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drawings/drawing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3.xml" ContentType="application/vnd.openxmlformats-officedocument.themeOverride+xml"/>
  <Override PartName="/xl/drawings/drawing5.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4.xml" ContentType="application/vnd.openxmlformats-officedocument.themeOverride+xml"/>
  <Override PartName="/xl/drawings/drawing6.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timelines/timeline1.xml" ContentType="application/vnd.ms-excel.timelin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DATA ANALYST\Project Sample\CFO guy - Financial Dashboard\"/>
    </mc:Choice>
  </mc:AlternateContent>
  <xr:revisionPtr revIDLastSave="0" documentId="13_ncr:1_{8A068D02-4EFF-4CEB-8BFA-F11BCDBEF8F8}" xr6:coauthVersionLast="47" xr6:coauthVersionMax="47" xr10:uidLastSave="{00000000-0000-0000-0000-000000000000}"/>
  <bookViews>
    <workbookView xWindow="-108" yWindow="-108" windowWidth="23256" windowHeight="12576" activeTab="2" xr2:uid="{00000000-000D-0000-FFFF-FFFF00000000}"/>
  </bookViews>
  <sheets>
    <sheet name="Dashboard" sheetId="11" r:id="rId1"/>
    <sheet name="Lists" sheetId="1" r:id="rId2"/>
    <sheet name="Data" sheetId="10" r:id="rId3"/>
    <sheet name="G&amp;A" sheetId="2" r:id="rId4"/>
    <sheet name="R&amp;D" sheetId="3" r:id="rId5"/>
    <sheet name="CS" sheetId="4" r:id="rId6"/>
    <sheet name="S&amp;M" sheetId="5" r:id="rId7"/>
    <sheet name="G&amp;A_Budget" sheetId="6" r:id="rId8"/>
    <sheet name="R&amp;D_Budget" sheetId="7" r:id="rId9"/>
    <sheet name="CS_Budget" sheetId="8" r:id="rId10"/>
    <sheet name="S&amp;M_Budget" sheetId="9" r:id="rId11"/>
  </sheets>
  <definedNames>
    <definedName name="_xlcn.WorksheetConnection_PersonalUltimateDashboard.xlsxDepartments1" hidden="1">Departments[]</definedName>
    <definedName name="_xlcn.WorksheetConnection_PersonalUltimateDashboard.xlsxMapping1" hidden="1">Mapping[]</definedName>
    <definedName name="_xlcn.WorksheetConnection_PersonalUltimateDashboard.xlsxPredefined_Dates1" hidden="1">Predefined_Dates[]</definedName>
    <definedName name="_xlcn.WorksheetConnection_PersonalUltimateDashboard.xlsxTableView1" hidden="1">TableView[]</definedName>
    <definedName name="Company_Name">"Demo Company"</definedName>
    <definedName name="CompanyName">YourCFOGuy</definedName>
    <definedName name="CS" localSheetId="5">CS!$B$4:$AM$53</definedName>
    <definedName name="CS_Budget" localSheetId="9">CS_Budget!$B$4:$AM$53</definedName>
    <definedName name="CurrentMonth">Lists!$N$3</definedName>
    <definedName name="End_Date">46022</definedName>
    <definedName name="EOM_Start_Date">44957</definedName>
    <definedName name="Fiscal_Offset">0</definedName>
    <definedName name="GandA" localSheetId="3">'G&amp;A'!$B$4:$AM$53</definedName>
    <definedName name="GandA_budget">'G&amp;A_Budget'!$B$4:$AM$53</definedName>
    <definedName name="LastMonthOfActuals">45322</definedName>
    <definedName name="LatestMonthOfActuals">45716</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andD" localSheetId="4">'R&amp;D'!$B$4:$AM$53</definedName>
    <definedName name="RandD_Budget" localSheetId="8">'R&amp;D_Budget'!$B$4:$AM$53</definedName>
    <definedName name="SandM" localSheetId="6">'S&amp;M'!$B$4:$AM$53</definedName>
    <definedName name="SandM_Budget" localSheetId="10">'S&amp;M_Budget'!$B$4:$AM$53</definedName>
    <definedName name="Slicer_Departments">#N/A</definedName>
    <definedName name="Slicer_Period">#N/A</definedName>
    <definedName name="Start_Date">44927</definedName>
    <definedName name="StartDate">44227</definedName>
    <definedName name="Timeline_Date">#N/A</definedName>
  </definedNames>
  <calcPr calcId="191029"/>
  <pivotCaches>
    <pivotCache cacheId="1336" r:id="rId12"/>
    <pivotCache cacheId="1486" r:id="rId13"/>
    <pivotCache cacheId="1489" r:id="rId14"/>
    <pivotCache cacheId="1492" r:id="rId15"/>
    <pivotCache cacheId="1495" r:id="rId16"/>
    <pivotCache cacheId="1498" r:id="rId17"/>
    <pivotCache cacheId="1501" r:id="rId18"/>
    <pivotCache cacheId="1504" r:id="rId19"/>
    <pivotCache cacheId="1507" r:id="rId20"/>
    <pivotCache cacheId="1510" r:id="rId21"/>
    <pivotCache cacheId="1513" r:id="rId22"/>
    <pivotCache cacheId="1516" r:id="rId23"/>
    <pivotCache cacheId="1519" r:id="rId24"/>
    <pivotCache cacheId="1522" r:id="rId25"/>
    <pivotCache cacheId="1525" r:id="rId26"/>
    <pivotCache cacheId="1528" r:id="rId27"/>
  </pivotCaches>
  <extLst>
    <ext xmlns:x14="http://schemas.microsoft.com/office/spreadsheetml/2009/9/main" uri="{876F7934-8845-4945-9796-88D515C7AA90}">
      <x14:pivotCaches>
        <pivotCache cacheId="1288" r:id="rId28"/>
        <pivotCache cacheId="1334" r:id="rId29"/>
      </x14:pivotCaches>
    </ex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35" r:id="rId32"/>
      </x15:timelineCachePivotCaches>
    </ext>
    <ext xmlns:x15="http://schemas.microsoft.com/office/spreadsheetml/2010/11/main" uri="{D0CA8CA8-9F24-4464-BF8E-62219DCF47F9}">
      <x15:timelineCacheRefs>
        <x15:timelineCacheRef r:id="rId3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partment P L_00ed6180-3be4-448b-b5b6-053ed78146d6" name="Department P L" connection="Query - Department P&amp;L"/>
          <x15:modelTable id="Department P L_Budget_4b95d386-95ae-44d4-ba4c-fd0c0e33dfa7" name="Department P L_Budget" connection="Query - Department P&amp;L_Budget"/>
          <x15:modelTable id="TableView" name="TableView" connection="WorksheetConnection_Personal Ultimate Dashboard.xlsx!TableView"/>
          <x15:modelTable id="Predefined_Dates" name="Predefined_Dates" connection="WorksheetConnection_Personal Ultimate Dashboard.xlsx!Predefined_Dates"/>
          <x15:modelTable id="Mapping" name="Mapping" connection="WorksheetConnection_Personal Ultimate Dashboard.xlsx!Mapping"/>
          <x15:modelTable id="Departments" name="Departments" connection="WorksheetConnection_Personal Ultimate Dashboard.xlsx!Departments"/>
          <x15:modelTable id="Calendar" name="Calendar" connection="Connection"/>
        </x15:modelTables>
        <x15:modelRelationships>
          <x15:modelRelationship fromTable="Department P L" fromColumn="Date" toTable="Calendar" toColumn="Date"/>
          <x15:modelRelationship fromTable="Department P L" fromColumn="Account" toTable="Mapping" toColumn="Account"/>
          <x15:modelRelationship fromTable="Department P L" fromColumn="Department" toTable="Departments" toColumn="Departments"/>
          <x15:modelRelationship fromTable="Department P L_Budget" fromColumn="Date" toTable="Calendar" toColumn="Date"/>
          <x15:modelRelationship fromTable="Department P L_Budget" fromColumn="Account" toTable="Mapping" toColumn="Account"/>
          <x15:modelRelationship fromTable="Department P L_Budget" fromColumn="Department" toTable="Departments" toColumn="Department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52" i="11" l="1"/>
  <c r="AC52" i="11"/>
  <c r="AB52" i="11"/>
  <c r="AD50" i="11"/>
  <c r="AC50" i="11"/>
  <c r="AB50" i="11"/>
  <c r="AD48" i="11"/>
  <c r="AC48" i="11"/>
  <c r="AB48" i="11"/>
  <c r="AD46" i="11"/>
  <c r="AC46" i="11"/>
  <c r="AB46" i="11"/>
  <c r="AA52" i="11"/>
  <c r="AA50" i="11"/>
  <c r="AA48" i="11"/>
  <c r="AA46" i="11"/>
  <c r="V52" i="11"/>
  <c r="U52" i="11"/>
  <c r="T52" i="11"/>
  <c r="V50" i="11"/>
  <c r="U50" i="11"/>
  <c r="T50" i="11"/>
  <c r="V48" i="11"/>
  <c r="U48" i="11"/>
  <c r="T48" i="11"/>
  <c r="V46" i="11"/>
  <c r="U46" i="11"/>
  <c r="T46" i="11"/>
  <c r="S52" i="11"/>
  <c r="S50" i="11"/>
  <c r="S48" i="11"/>
  <c r="S46" i="11"/>
  <c r="AD40" i="11"/>
  <c r="AC40" i="11"/>
  <c r="AB40" i="11"/>
  <c r="AD38" i="11"/>
  <c r="AC38" i="11"/>
  <c r="AB38" i="11"/>
  <c r="AD36" i="11"/>
  <c r="AC36" i="11"/>
  <c r="AB36" i="11"/>
  <c r="AD34" i="11"/>
  <c r="AC34" i="11"/>
  <c r="AB34" i="11"/>
  <c r="AA40" i="11"/>
  <c r="AA38" i="11"/>
  <c r="AA36" i="11"/>
  <c r="AA34" i="11"/>
  <c r="V40" i="11"/>
  <c r="U40" i="11"/>
  <c r="T40" i="11"/>
  <c r="V38" i="11"/>
  <c r="U38" i="11"/>
  <c r="T38" i="11"/>
  <c r="V36" i="11"/>
  <c r="U36" i="11"/>
  <c r="T36" i="11"/>
  <c r="V34" i="11"/>
  <c r="U34" i="11"/>
  <c r="T34" i="11"/>
  <c r="S40" i="11"/>
  <c r="S38" i="11"/>
  <c r="S36" i="11"/>
  <c r="S34" i="11"/>
  <c r="AD28" i="11"/>
  <c r="AC28" i="11"/>
  <c r="AB28" i="11"/>
  <c r="AD26" i="11"/>
  <c r="AC26" i="11"/>
  <c r="AB26" i="11"/>
  <c r="AD24" i="11"/>
  <c r="AC24" i="11"/>
  <c r="AB24" i="11"/>
  <c r="AD22" i="11"/>
  <c r="AC22" i="11"/>
  <c r="AB22" i="11"/>
  <c r="AA28" i="11"/>
  <c r="AA26" i="11"/>
  <c r="AA24" i="11"/>
  <c r="AA22" i="11"/>
  <c r="V28" i="11"/>
  <c r="U28" i="11"/>
  <c r="T28" i="11"/>
  <c r="V26" i="11"/>
  <c r="U26" i="11"/>
  <c r="T26" i="11"/>
  <c r="V24" i="11"/>
  <c r="U24" i="11"/>
  <c r="T24" i="11"/>
  <c r="V22" i="11"/>
  <c r="U22" i="11"/>
  <c r="T22" i="11"/>
  <c r="S28" i="11"/>
  <c r="S26" i="11"/>
  <c r="S24" i="11"/>
  <c r="S22" i="11"/>
  <c r="AA54" i="11" l="1"/>
  <c r="T54" i="11"/>
  <c r="S54" i="11"/>
  <c r="AA30" i="11"/>
  <c r="S30" i="11"/>
  <c r="U54" i="11"/>
  <c r="AB54" i="11"/>
  <c r="AA42" i="11"/>
  <c r="AC54" i="11"/>
  <c r="AD54" i="11" s="1"/>
  <c r="S42" i="11"/>
  <c r="U42" i="11"/>
  <c r="V42" i="11" s="1"/>
  <c r="AC30" i="11"/>
  <c r="AB42" i="11"/>
  <c r="AB30" i="11"/>
  <c r="T42" i="11"/>
  <c r="AC42" i="11"/>
  <c r="AD42" i="11" s="1"/>
  <c r="T30" i="11"/>
  <c r="U30" i="11"/>
  <c r="V54" i="11" l="1"/>
  <c r="AD30" i="11"/>
  <c r="V30" i="11"/>
  <c r="Q58" i="10" l="1"/>
  <c r="A50" i="11" s="1"/>
  <c r="R58" i="10" l="1"/>
  <c r="D50" i="11" s="1"/>
  <c r="S58" i="10"/>
  <c r="G50" i="11" s="1"/>
  <c r="S57" i="10"/>
  <c r="G38" i="11" s="1"/>
  <c r="R57" i="10"/>
  <c r="D38" i="11" s="1"/>
  <c r="Q57" i="10"/>
  <c r="A38" i="11" s="1"/>
  <c r="S56" i="10"/>
  <c r="G26" i="11" s="1"/>
  <c r="R56" i="10"/>
  <c r="D26" i="11" s="1"/>
  <c r="Q56" i="10"/>
  <c r="A26" i="11" s="1"/>
  <c r="S51" i="10"/>
  <c r="S50" i="10"/>
  <c r="R50" i="10"/>
  <c r="R51" i="10" s="1"/>
  <c r="Q50" i="10"/>
  <c r="Q51" i="10" s="1"/>
  <c r="S48" i="10"/>
  <c r="R48" i="10"/>
  <c r="Q48" i="10"/>
  <c r="Q49" i="10" s="1"/>
  <c r="Q40" i="10"/>
  <c r="Q43" i="10"/>
  <c r="S42" i="10"/>
  <c r="S43" i="10" s="1"/>
  <c r="R42" i="10"/>
  <c r="R43" i="10" s="1"/>
  <c r="Q42" i="10"/>
  <c r="S40" i="10"/>
  <c r="R40" i="10"/>
  <c r="R41" i="10" s="1"/>
  <c r="S34" i="10"/>
  <c r="S35" i="10" s="1"/>
  <c r="R34" i="10"/>
  <c r="R35" i="10" s="1"/>
  <c r="S32" i="10"/>
  <c r="S33" i="10" s="1"/>
  <c r="R32" i="10"/>
  <c r="R33" i="10" s="1"/>
  <c r="Q32" i="10"/>
  <c r="Q33" i="10" s="1"/>
  <c r="Q34" i="10"/>
  <c r="Q35" i="10" s="1"/>
  <c r="S44" i="10" l="1"/>
  <c r="S52" i="10"/>
  <c r="Q44" i="10"/>
  <c r="Q36" i="10"/>
  <c r="R52" i="10"/>
  <c r="R44" i="10"/>
  <c r="S41" i="10"/>
  <c r="Q52" i="10"/>
  <c r="R49" i="10"/>
  <c r="S49" i="10"/>
  <c r="Q41" i="10"/>
  <c r="S36" i="10"/>
  <c r="R36" i="10"/>
  <c r="K9" i="1" l="1"/>
  <c r="K10" i="1"/>
  <c r="K7" i="1"/>
  <c r="K5" i="1"/>
  <c r="AI43" i="9" l="1"/>
  <c r="K29" i="1" l="1"/>
  <c r="J38" i="1"/>
  <c r="J37" i="1"/>
  <c r="J36" i="1"/>
  <c r="J35" i="1"/>
  <c r="J34" i="1"/>
  <c r="J33" i="1"/>
  <c r="J32" i="1"/>
  <c r="J31" i="1"/>
  <c r="K30" i="1"/>
  <c r="J30" i="1"/>
  <c r="J29" i="1"/>
  <c r="J28" i="1"/>
  <c r="J27" i="1"/>
  <c r="J26" i="1"/>
  <c r="J25" i="1"/>
  <c r="J24" i="1"/>
  <c r="J23" i="1"/>
  <c r="J22" i="1"/>
  <c r="J21" i="1"/>
  <c r="K20" i="1"/>
  <c r="J20" i="1"/>
  <c r="J19" i="1"/>
  <c r="K18" i="1"/>
  <c r="K38" i="1" s="1"/>
  <c r="K17" i="1"/>
  <c r="K37" i="1" s="1"/>
  <c r="K11" i="1"/>
  <c r="K21" i="1" s="1"/>
  <c r="K6" i="1"/>
  <c r="K8" i="1" s="1"/>
  <c r="K31" i="1" l="1"/>
  <c r="K12" i="1"/>
  <c r="K32" i="1" s="1"/>
  <c r="K13" i="1"/>
  <c r="K14" i="1" s="1"/>
  <c r="K28" i="1"/>
  <c r="K27" i="1" s="1"/>
  <c r="K15" i="1"/>
  <c r="K19" i="1"/>
  <c r="K22" i="1" l="1"/>
  <c r="K33" i="1"/>
  <c r="K23" i="1"/>
  <c r="K25" i="1"/>
  <c r="K16" i="1"/>
  <c r="K35" i="1"/>
  <c r="K24" i="1"/>
  <c r="K34" i="1"/>
  <c r="K36" i="1" l="1"/>
  <c r="K26" i="1"/>
  <c r="AM51" i="9" l="1"/>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E51" i="9"/>
  <c r="D51" i="9"/>
  <c r="AM47" i="9"/>
  <c r="AL47" i="9"/>
  <c r="AK47" i="9"/>
  <c r="AK52" i="9" s="1"/>
  <c r="AJ47" i="9"/>
  <c r="AJ52" i="9" s="1"/>
  <c r="AI47" i="9"/>
  <c r="AH47" i="9"/>
  <c r="AG47" i="9"/>
  <c r="AF47" i="9"/>
  <c r="AE47" i="9"/>
  <c r="AD47" i="9"/>
  <c r="AC47" i="9"/>
  <c r="AC52" i="9" s="1"/>
  <c r="AB47" i="9"/>
  <c r="AB52" i="9" s="1"/>
  <c r="AA47" i="9"/>
  <c r="Z47" i="9"/>
  <c r="Y47" i="9"/>
  <c r="X47" i="9"/>
  <c r="W47" i="9"/>
  <c r="V47" i="9"/>
  <c r="U47" i="9"/>
  <c r="U52" i="9" s="1"/>
  <c r="T47" i="9"/>
  <c r="T52" i="9" s="1"/>
  <c r="S47" i="9"/>
  <c r="R47" i="9"/>
  <c r="Q47" i="9"/>
  <c r="P47" i="9"/>
  <c r="O47" i="9"/>
  <c r="N47" i="9"/>
  <c r="M47" i="9"/>
  <c r="M52" i="9" s="1"/>
  <c r="L47" i="9"/>
  <c r="L52" i="9" s="1"/>
  <c r="K47" i="9"/>
  <c r="J47" i="9"/>
  <c r="I47" i="9"/>
  <c r="H47" i="9"/>
  <c r="G47" i="9"/>
  <c r="F47" i="9"/>
  <c r="E47" i="9"/>
  <c r="E52" i="9" s="1"/>
  <c r="D47" i="9"/>
  <c r="D52" i="9" s="1"/>
  <c r="AJ43" i="9"/>
  <c r="AG43" i="9"/>
  <c r="AD43" i="9"/>
  <c r="AA43" i="9"/>
  <c r="Z43" i="9"/>
  <c r="X43" i="9"/>
  <c r="R43" i="9"/>
  <c r="Q43" i="9"/>
  <c r="O43" i="9"/>
  <c r="K43" i="9"/>
  <c r="I43" i="9"/>
  <c r="H43" i="9"/>
  <c r="D43" i="9"/>
  <c r="D42" i="9"/>
  <c r="AK40" i="9"/>
  <c r="AK43" i="9" s="1"/>
  <c r="AF40" i="9"/>
  <c r="P39" i="9"/>
  <c r="P43" i="9" s="1"/>
  <c r="M39" i="9"/>
  <c r="AM36" i="9"/>
  <c r="AL36" i="9"/>
  <c r="AK36" i="9"/>
  <c r="AJ36" i="9"/>
  <c r="AI36" i="9"/>
  <c r="AG36" i="9"/>
  <c r="AF36" i="9"/>
  <c r="AE36" i="9"/>
  <c r="AD36" i="9"/>
  <c r="AC36" i="9"/>
  <c r="AA36" i="9"/>
  <c r="Z36" i="9"/>
  <c r="X36" i="9"/>
  <c r="W36" i="9"/>
  <c r="R36" i="9"/>
  <c r="Q36" i="9"/>
  <c r="P36" i="9"/>
  <c r="O36" i="9"/>
  <c r="N36" i="9"/>
  <c r="K36" i="9"/>
  <c r="I36" i="9"/>
  <c r="H36" i="9"/>
  <c r="F36" i="9"/>
  <c r="D36" i="9"/>
  <c r="Y33" i="9"/>
  <c r="T33" i="9"/>
  <c r="T43" i="9" s="1"/>
  <c r="L33" i="9"/>
  <c r="L43" i="9" s="1"/>
  <c r="E33" i="9"/>
  <c r="Y32" i="9"/>
  <c r="S32" i="9"/>
  <c r="S36" i="9" s="1"/>
  <c r="J32" i="9"/>
  <c r="J43" i="9" s="1"/>
  <c r="AH31" i="9"/>
  <c r="AB31" i="9"/>
  <c r="AB36" i="9" s="1"/>
  <c r="U31" i="9"/>
  <c r="V31" i="9" s="1"/>
  <c r="V36" i="9" s="1"/>
  <c r="M31" i="9"/>
  <c r="M36" i="9" s="1"/>
  <c r="G31" i="9"/>
  <c r="AM29" i="9"/>
  <c r="AL29" i="9"/>
  <c r="AK29" i="9"/>
  <c r="AJ29" i="9"/>
  <c r="AI29" i="9"/>
  <c r="AH29" i="9"/>
  <c r="AG29" i="9"/>
  <c r="AF29" i="9"/>
  <c r="AE29" i="9"/>
  <c r="AD29" i="9"/>
  <c r="AC29" i="9"/>
  <c r="AB29" i="9"/>
  <c r="AA29" i="9"/>
  <c r="Z29" i="9"/>
  <c r="Y29" i="9"/>
  <c r="X29" i="9"/>
  <c r="W29" i="9"/>
  <c r="V29" i="9"/>
  <c r="U29" i="9"/>
  <c r="T29" i="9"/>
  <c r="S29" i="9"/>
  <c r="R29" i="9"/>
  <c r="Q29" i="9"/>
  <c r="P29" i="9"/>
  <c r="O29" i="9"/>
  <c r="N29" i="9"/>
  <c r="M29" i="9"/>
  <c r="L29" i="9"/>
  <c r="K29" i="9"/>
  <c r="J29" i="9"/>
  <c r="I29" i="9"/>
  <c r="H29" i="9"/>
  <c r="G29" i="9"/>
  <c r="F29" i="9"/>
  <c r="E29" i="9"/>
  <c r="D29"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AF17" i="9"/>
  <c r="S17" i="9"/>
  <c r="S43" i="9" s="1"/>
  <c r="E17" i="9"/>
  <c r="AL16" i="9"/>
  <c r="AL43" i="9" s="1"/>
  <c r="AH16" i="9"/>
  <c r="AC16" i="9"/>
  <c r="AC43" i="9" s="1"/>
  <c r="W16" i="9"/>
  <c r="N16" i="9"/>
  <c r="F16" i="9"/>
  <c r="F43" i="9" s="1"/>
  <c r="AM14" i="9"/>
  <c r="AM43" i="9" s="1"/>
  <c r="AE14" i="9"/>
  <c r="AE43" i="9" s="1"/>
  <c r="W14" i="9"/>
  <c r="N14" i="9"/>
  <c r="G14" i="9"/>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E4" i="9"/>
  <c r="F4" i="9" s="1"/>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E51" i="8"/>
  <c r="D51" i="8"/>
  <c r="AM47" i="8"/>
  <c r="AL47" i="8"/>
  <c r="AK47" i="8"/>
  <c r="AJ47" i="8"/>
  <c r="AI47" i="8"/>
  <c r="AH47" i="8"/>
  <c r="AG47" i="8"/>
  <c r="AF47" i="8"/>
  <c r="AE47" i="8"/>
  <c r="AD47" i="8"/>
  <c r="AC47" i="8"/>
  <c r="AB47" i="8"/>
  <c r="AA47" i="8"/>
  <c r="Z47" i="8"/>
  <c r="Y47" i="8"/>
  <c r="X47" i="8"/>
  <c r="W47" i="8"/>
  <c r="V47" i="8"/>
  <c r="U47" i="8"/>
  <c r="T47" i="8"/>
  <c r="S47" i="8"/>
  <c r="R47" i="8"/>
  <c r="Q47" i="8"/>
  <c r="P47" i="8"/>
  <c r="O47" i="8"/>
  <c r="N47" i="8"/>
  <c r="M47" i="8"/>
  <c r="L47" i="8"/>
  <c r="K47" i="8"/>
  <c r="J47" i="8"/>
  <c r="I47" i="8"/>
  <c r="H47" i="8"/>
  <c r="G47" i="8"/>
  <c r="F47" i="8"/>
  <c r="E47" i="8"/>
  <c r="D47" i="8"/>
  <c r="AM43" i="8"/>
  <c r="AI43" i="8"/>
  <c r="AH43" i="8"/>
  <c r="AG43" i="8"/>
  <c r="AF43" i="8"/>
  <c r="AD43" i="8"/>
  <c r="AA43" i="8"/>
  <c r="Z43" i="8"/>
  <c r="Y43" i="8"/>
  <c r="X43" i="8"/>
  <c r="V43" i="8"/>
  <c r="T43" i="8"/>
  <c r="S43" i="8"/>
  <c r="Q43" i="8"/>
  <c r="P43" i="8"/>
  <c r="O43" i="8"/>
  <c r="N43" i="8"/>
  <c r="M43" i="8"/>
  <c r="L43" i="8"/>
  <c r="K43" i="8"/>
  <c r="I43" i="8"/>
  <c r="F43" i="8"/>
  <c r="E43" i="8"/>
  <c r="D42" i="8"/>
  <c r="AM36" i="8"/>
  <c r="AL36" i="8"/>
  <c r="AJ36" i="8"/>
  <c r="AI36" i="8"/>
  <c r="AH36" i="8"/>
  <c r="AG36" i="8"/>
  <c r="AF36" i="8"/>
  <c r="AE36" i="8"/>
  <c r="AD36" i="8"/>
  <c r="AA36" i="8"/>
  <c r="Z36" i="8"/>
  <c r="Y36" i="8"/>
  <c r="X36" i="8"/>
  <c r="W36" i="8"/>
  <c r="V36" i="8"/>
  <c r="T36" i="8"/>
  <c r="S36" i="8"/>
  <c r="R36" i="8"/>
  <c r="Q36" i="8"/>
  <c r="P36" i="8"/>
  <c r="O36" i="8"/>
  <c r="N36" i="8"/>
  <c r="M36" i="8"/>
  <c r="L36" i="8"/>
  <c r="K36" i="8"/>
  <c r="J36" i="8"/>
  <c r="I36" i="8"/>
  <c r="G36" i="8"/>
  <c r="F36" i="8"/>
  <c r="E36" i="8"/>
  <c r="D32" i="8"/>
  <c r="D43" i="8" s="1"/>
  <c r="AK31" i="8"/>
  <c r="AK43" i="8" s="1"/>
  <c r="AB31" i="8"/>
  <c r="U31" i="8"/>
  <c r="U43" i="8" s="1"/>
  <c r="H31" i="8"/>
  <c r="AM29" i="8"/>
  <c r="AL29" i="8"/>
  <c r="AK29" i="8"/>
  <c r="AJ29" i="8"/>
  <c r="AI29" i="8"/>
  <c r="AH29" i="8"/>
  <c r="AG29" i="8"/>
  <c r="AF29" i="8"/>
  <c r="AE29" i="8"/>
  <c r="AD29" i="8"/>
  <c r="AC29" i="8"/>
  <c r="AB29" i="8"/>
  <c r="AA29" i="8"/>
  <c r="Z29" i="8"/>
  <c r="Y29" i="8"/>
  <c r="X29" i="8"/>
  <c r="W29" i="8"/>
  <c r="V29" i="8"/>
  <c r="U29" i="8"/>
  <c r="T29" i="8"/>
  <c r="S29" i="8"/>
  <c r="R29" i="8"/>
  <c r="Q29" i="8"/>
  <c r="P29" i="8"/>
  <c r="O29" i="8"/>
  <c r="N29" i="8"/>
  <c r="M29" i="8"/>
  <c r="L29" i="8"/>
  <c r="K29" i="8"/>
  <c r="J29" i="8"/>
  <c r="I29" i="8"/>
  <c r="H29" i="8"/>
  <c r="G29" i="8"/>
  <c r="F29" i="8"/>
  <c r="E29" i="8"/>
  <c r="D29"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23" i="8"/>
  <c r="AJ17" i="8"/>
  <c r="AJ43" i="8" s="1"/>
  <c r="AB17" i="8"/>
  <c r="R17" i="8"/>
  <c r="R43" i="8" s="1"/>
  <c r="G17" i="8"/>
  <c r="G43" i="8" s="1"/>
  <c r="AL16" i="8"/>
  <c r="AL43" i="8" s="1"/>
  <c r="AE16" i="8"/>
  <c r="AE43" i="8" s="1"/>
  <c r="W16" i="8"/>
  <c r="W43" i="8" s="1"/>
  <c r="J16" i="8"/>
  <c r="J43" i="8" s="1"/>
  <c r="AM11" i="8"/>
  <c r="AL11" i="8"/>
  <c r="AK11" i="8"/>
  <c r="AJ11" i="8"/>
  <c r="AI11" i="8"/>
  <c r="AH11" i="8"/>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AM7"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E4" i="8"/>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AM4" i="8" s="1"/>
  <c r="AM51" i="7"/>
  <c r="AL51" i="7"/>
  <c r="AK51"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AM47" i="7"/>
  <c r="AL47" i="7"/>
  <c r="AK47" i="7"/>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D47" i="7"/>
  <c r="AK43" i="7"/>
  <c r="AF43" i="7"/>
  <c r="AA43" i="7"/>
  <c r="Z43" i="7"/>
  <c r="U43" i="7"/>
  <c r="S43" i="7"/>
  <c r="P43" i="7"/>
  <c r="L43" i="7"/>
  <c r="K43" i="7"/>
  <c r="I43" i="7"/>
  <c r="E43" i="7"/>
  <c r="D43" i="7"/>
  <c r="D42" i="7"/>
  <c r="AJ39" i="7"/>
  <c r="AB39" i="7"/>
  <c r="AB43" i="7" s="1"/>
  <c r="V39" i="7"/>
  <c r="O39" i="7"/>
  <c r="H39" i="7"/>
  <c r="H43" i="7" s="1"/>
  <c r="AM36" i="7"/>
  <c r="AK36" i="7"/>
  <c r="AJ36" i="7"/>
  <c r="AG36" i="7"/>
  <c r="AF36" i="7"/>
  <c r="AD36" i="7"/>
  <c r="AB36" i="7"/>
  <c r="AA36" i="7"/>
  <c r="Z36" i="7"/>
  <c r="Y36" i="7"/>
  <c r="W36" i="7"/>
  <c r="U36" i="7"/>
  <c r="T36" i="7"/>
  <c r="S36" i="7"/>
  <c r="R36" i="7"/>
  <c r="P36" i="7"/>
  <c r="N36" i="7"/>
  <c r="M36" i="7"/>
  <c r="L36" i="7"/>
  <c r="K36" i="7"/>
  <c r="I36" i="7"/>
  <c r="H36" i="7"/>
  <c r="F36" i="7"/>
  <c r="E36" i="7"/>
  <c r="D36" i="7"/>
  <c r="AL32" i="7"/>
  <c r="AL36" i="7" s="1"/>
  <c r="AH32" i="7"/>
  <c r="AH36" i="7" s="1"/>
  <c r="AE32" i="7"/>
  <c r="AE43" i="7" s="1"/>
  <c r="X32" i="7"/>
  <c r="X43" i="7" s="1"/>
  <c r="Q32" i="7"/>
  <c r="G32" i="7"/>
  <c r="AI31" i="7"/>
  <c r="AI36" i="7" s="1"/>
  <c r="AC31" i="7"/>
  <c r="AC36" i="7" s="1"/>
  <c r="V31" i="7"/>
  <c r="V36" i="7" s="1"/>
  <c r="O31" i="7"/>
  <c r="O36" i="7" s="1"/>
  <c r="J31" i="7"/>
  <c r="J36" i="7" s="1"/>
  <c r="AM29" i="7"/>
  <c r="AL29" i="7"/>
  <c r="AK29" i="7"/>
  <c r="AI29" i="7"/>
  <c r="AH29" i="7"/>
  <c r="AG29" i="7"/>
  <c r="AF29" i="7"/>
  <c r="AE29" i="7"/>
  <c r="AC29" i="7"/>
  <c r="AB29" i="7"/>
  <c r="AA29" i="7"/>
  <c r="Z29" i="7"/>
  <c r="X29" i="7"/>
  <c r="W29" i="7"/>
  <c r="V29" i="7"/>
  <c r="U29" i="7"/>
  <c r="S29" i="7"/>
  <c r="R29" i="7"/>
  <c r="Q29" i="7"/>
  <c r="P29" i="7"/>
  <c r="O29" i="7"/>
  <c r="N29" i="7"/>
  <c r="L29" i="7"/>
  <c r="K29" i="7"/>
  <c r="J29" i="7"/>
  <c r="I29" i="7"/>
  <c r="H29" i="7"/>
  <c r="G29" i="7"/>
  <c r="F29" i="7"/>
  <c r="E29" i="7"/>
  <c r="D29" i="7"/>
  <c r="AJ28" i="7"/>
  <c r="AJ29" i="7" s="1"/>
  <c r="AD28" i="7"/>
  <c r="AD43" i="7" s="1"/>
  <c r="Y28" i="7"/>
  <c r="Y29" i="7" s="1"/>
  <c r="T28" i="7"/>
  <c r="T43" i="7" s="1"/>
  <c r="M28" i="7"/>
  <c r="M29" i="7" s="1"/>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AL17" i="7"/>
  <c r="AG17" i="7"/>
  <c r="AC17" i="7"/>
  <c r="Y17" i="7"/>
  <c r="R17" i="7"/>
  <c r="N17" i="7"/>
  <c r="G17" i="7"/>
  <c r="AM16" i="7"/>
  <c r="AM43" i="7" s="1"/>
  <c r="AG16" i="7"/>
  <c r="AC16" i="7"/>
  <c r="V16" i="7"/>
  <c r="W16" i="7" s="1"/>
  <c r="W43" i="7" s="1"/>
  <c r="R16" i="7"/>
  <c r="M16" i="7"/>
  <c r="F16" i="7"/>
  <c r="F43" i="7" s="1"/>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AM7" i="7"/>
  <c r="AL7" i="7"/>
  <c r="AK7" i="7"/>
  <c r="AJ7" i="7"/>
  <c r="AI7" i="7"/>
  <c r="AH7"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E4" i="7"/>
  <c r="F4" i="7" s="1"/>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E51" i="6"/>
  <c r="D51" i="6"/>
  <c r="AM47" i="6"/>
  <c r="AL47" i="6"/>
  <c r="AK47" i="6"/>
  <c r="AJ47" i="6"/>
  <c r="AI47" i="6"/>
  <c r="AH47" i="6"/>
  <c r="AG47" i="6"/>
  <c r="AF47" i="6"/>
  <c r="AE47" i="6"/>
  <c r="AD47" i="6"/>
  <c r="AC47" i="6"/>
  <c r="AB47" i="6"/>
  <c r="AA47" i="6"/>
  <c r="Z47" i="6"/>
  <c r="Y47" i="6"/>
  <c r="X47" i="6"/>
  <c r="W47" i="6"/>
  <c r="V47" i="6"/>
  <c r="U47" i="6"/>
  <c r="T47" i="6"/>
  <c r="S47" i="6"/>
  <c r="R47" i="6"/>
  <c r="Q47" i="6"/>
  <c r="P47" i="6"/>
  <c r="O47" i="6"/>
  <c r="N47" i="6"/>
  <c r="M47" i="6"/>
  <c r="L47" i="6"/>
  <c r="K47" i="6"/>
  <c r="J47" i="6"/>
  <c r="I47" i="6"/>
  <c r="H47" i="6"/>
  <c r="G47" i="6"/>
  <c r="F47" i="6"/>
  <c r="E47" i="6"/>
  <c r="D47" i="6"/>
  <c r="AL43" i="6"/>
  <c r="AG43" i="6"/>
  <c r="T43" i="6"/>
  <c r="M43" i="6"/>
  <c r="H43" i="6"/>
  <c r="G43" i="6"/>
  <c r="D43" i="6"/>
  <c r="D42" i="6"/>
  <c r="AM36" i="6"/>
  <c r="AL36" i="6"/>
  <c r="AJ36" i="6"/>
  <c r="AI36" i="6"/>
  <c r="AH36" i="6"/>
  <c r="AG36" i="6"/>
  <c r="AF36" i="6"/>
  <c r="AE36" i="6"/>
  <c r="AD36" i="6"/>
  <c r="AC36" i="6"/>
  <c r="AA36" i="6"/>
  <c r="Z36" i="6"/>
  <c r="Y36" i="6"/>
  <c r="X36" i="6"/>
  <c r="W36" i="6"/>
  <c r="V36" i="6"/>
  <c r="T36" i="6"/>
  <c r="S36" i="6"/>
  <c r="R36" i="6"/>
  <c r="Q36" i="6"/>
  <c r="P36" i="6"/>
  <c r="O36" i="6"/>
  <c r="N36" i="6"/>
  <c r="M36" i="6"/>
  <c r="K36" i="6"/>
  <c r="J36" i="6"/>
  <c r="I36" i="6"/>
  <c r="H36" i="6"/>
  <c r="G36" i="6"/>
  <c r="E36" i="6"/>
  <c r="D36" i="6"/>
  <c r="AK31" i="6"/>
  <c r="AB31" i="6"/>
  <c r="AB36" i="6" s="1"/>
  <c r="U31" i="6"/>
  <c r="L31" i="6"/>
  <c r="F31" i="6"/>
  <c r="AM29" i="6"/>
  <c r="AL29" i="6"/>
  <c r="AK29" i="6"/>
  <c r="AI29" i="6"/>
  <c r="AH29" i="6"/>
  <c r="AG29" i="6"/>
  <c r="AF29" i="6"/>
  <c r="AD29" i="6"/>
  <c r="AB29" i="6"/>
  <c r="AA29" i="6"/>
  <c r="Y29" i="6"/>
  <c r="X29" i="6"/>
  <c r="U29" i="6"/>
  <c r="T29" i="6"/>
  <c r="S29" i="6"/>
  <c r="R29" i="6"/>
  <c r="Q29" i="6"/>
  <c r="O29" i="6"/>
  <c r="N29" i="6"/>
  <c r="M29" i="6"/>
  <c r="K29" i="6"/>
  <c r="H29" i="6"/>
  <c r="G29" i="6"/>
  <c r="F29" i="6"/>
  <c r="D29" i="6"/>
  <c r="AE28" i="6"/>
  <c r="AE29" i="6" s="1"/>
  <c r="W28" i="6"/>
  <c r="L28" i="6"/>
  <c r="L29" i="6" s="1"/>
  <c r="E28" i="6"/>
  <c r="Z27" i="6"/>
  <c r="Z29" i="6" s="1"/>
  <c r="V27" i="6"/>
  <c r="V29" i="6" s="1"/>
  <c r="P27" i="6"/>
  <c r="P43" i="6" s="1"/>
  <c r="I27" i="6"/>
  <c r="I29" i="6" s="1"/>
  <c r="AJ25" i="6"/>
  <c r="AC25" i="6"/>
  <c r="AC43" i="6" s="1"/>
  <c r="W25" i="6"/>
  <c r="J25" i="6"/>
  <c r="AL23" i="6"/>
  <c r="AK23" i="6"/>
  <c r="AJ23" i="6"/>
  <c r="AH23" i="6"/>
  <c r="AG23" i="6"/>
  <c r="AE23" i="6"/>
  <c r="AD23" i="6"/>
  <c r="AC23" i="6"/>
  <c r="AA23" i="6"/>
  <c r="Z23" i="6"/>
  <c r="Y23" i="6"/>
  <c r="W23" i="6"/>
  <c r="V23" i="6"/>
  <c r="U23" i="6"/>
  <c r="T23" i="6"/>
  <c r="S23" i="6"/>
  <c r="P23" i="6"/>
  <c r="O23" i="6"/>
  <c r="N23" i="6"/>
  <c r="M23" i="6"/>
  <c r="L23" i="6"/>
  <c r="K23" i="6"/>
  <c r="I23" i="6"/>
  <c r="H23" i="6"/>
  <c r="G23" i="6"/>
  <c r="F23" i="6"/>
  <c r="D23" i="6"/>
  <c r="AM21" i="6"/>
  <c r="AI21" i="6"/>
  <c r="AF21" i="6"/>
  <c r="AF43" i="6" s="1"/>
  <c r="AB21" i="6"/>
  <c r="AB23" i="6" s="1"/>
  <c r="X21" i="6"/>
  <c r="X23" i="6" s="1"/>
  <c r="Q21" i="6"/>
  <c r="Q23" i="6" s="1"/>
  <c r="J21" i="6"/>
  <c r="J23" i="6" s="1"/>
  <c r="E21" i="6"/>
  <c r="E23" i="6" s="1"/>
  <c r="AH17" i="6"/>
  <c r="AH43" i="6" s="1"/>
  <c r="AE17" i="6"/>
  <c r="AB17" i="6"/>
  <c r="W17" i="6"/>
  <c r="Q17" i="6"/>
  <c r="K17" i="6"/>
  <c r="E17" i="6"/>
  <c r="AM16" i="6"/>
  <c r="AI16" i="6"/>
  <c r="AD16" i="6"/>
  <c r="AE16" i="6" s="1"/>
  <c r="AA16" i="6"/>
  <c r="AA43" i="6" s="1"/>
  <c r="X16" i="6"/>
  <c r="Y16" i="6" s="1"/>
  <c r="Y43" i="6" s="1"/>
  <c r="U16" i="6"/>
  <c r="V16" i="6" s="1"/>
  <c r="R16" i="6"/>
  <c r="S16" i="6" s="1"/>
  <c r="S43" i="6" s="1"/>
  <c r="N16" i="6"/>
  <c r="O16" i="6" s="1"/>
  <c r="O43" i="6" s="1"/>
  <c r="J16" i="6"/>
  <c r="K16" i="6" s="1"/>
  <c r="F16"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AM7" i="6"/>
  <c r="AK7" i="6"/>
  <c r="AJ7" i="6"/>
  <c r="AI7" i="6"/>
  <c r="AG7" i="6"/>
  <c r="AF7" i="6"/>
  <c r="AD7" i="6"/>
  <c r="AC7" i="6"/>
  <c r="AB7" i="6"/>
  <c r="Z7" i="6"/>
  <c r="Z12" i="6" s="1"/>
  <c r="Y7" i="6"/>
  <c r="Y12" i="6" s="1"/>
  <c r="X7" i="6"/>
  <c r="X12" i="6" s="1"/>
  <c r="W7" i="6"/>
  <c r="W12" i="6" s="1"/>
  <c r="V7" i="6"/>
  <c r="V12" i="6" s="1"/>
  <c r="U7" i="6"/>
  <c r="U12" i="6" s="1"/>
  <c r="T7" i="6"/>
  <c r="T12" i="6" s="1"/>
  <c r="R7" i="6"/>
  <c r="Q7" i="6"/>
  <c r="P7" i="6"/>
  <c r="N7" i="6"/>
  <c r="M7" i="6"/>
  <c r="L7" i="6"/>
  <c r="J7" i="6"/>
  <c r="I7" i="6"/>
  <c r="H7" i="6"/>
  <c r="G7" i="6"/>
  <c r="E7" i="6"/>
  <c r="D7" i="6"/>
  <c r="AL6" i="6"/>
  <c r="AL7" i="6" s="1"/>
  <c r="AH6" i="6"/>
  <c r="AH7" i="6" s="1"/>
  <c r="AE6" i="6"/>
  <c r="AE7" i="6" s="1"/>
  <c r="AA6" i="6"/>
  <c r="AA7" i="6" s="1"/>
  <c r="S6" i="6"/>
  <c r="S7" i="6" s="1"/>
  <c r="S12" i="6" s="1"/>
  <c r="O6" i="6"/>
  <c r="O7" i="6" s="1"/>
  <c r="K6" i="6"/>
  <c r="K7" i="6" s="1"/>
  <c r="F6" i="6"/>
  <c r="F7" i="6" s="1"/>
  <c r="E4" i="6"/>
  <c r="F4" i="6" s="1"/>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M4" i="6" s="1"/>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E51" i="5"/>
  <c r="D51" i="5"/>
  <c r="AM47" i="5"/>
  <c r="AL47" i="5"/>
  <c r="AK47" i="5"/>
  <c r="AJ47" i="5"/>
  <c r="AI47" i="5"/>
  <c r="AH47" i="5"/>
  <c r="AG47" i="5"/>
  <c r="AF47" i="5"/>
  <c r="AE47" i="5"/>
  <c r="AD47" i="5"/>
  <c r="AC47" i="5"/>
  <c r="AB47" i="5"/>
  <c r="AA47" i="5"/>
  <c r="Z47" i="5"/>
  <c r="Y47" i="5"/>
  <c r="X47" i="5"/>
  <c r="W47" i="5"/>
  <c r="V47" i="5"/>
  <c r="U47" i="5"/>
  <c r="T47" i="5"/>
  <c r="S47" i="5"/>
  <c r="R47" i="5"/>
  <c r="Q47" i="5"/>
  <c r="P47" i="5"/>
  <c r="O47" i="5"/>
  <c r="N47" i="5"/>
  <c r="M47" i="5"/>
  <c r="L47" i="5"/>
  <c r="K47" i="5"/>
  <c r="J47" i="5"/>
  <c r="I47" i="5"/>
  <c r="H47" i="5"/>
  <c r="G47" i="5"/>
  <c r="F47" i="5"/>
  <c r="E47" i="5"/>
  <c r="D47" i="5"/>
  <c r="AK43" i="5"/>
  <c r="AJ43" i="5"/>
  <c r="AI43" i="5"/>
  <c r="Y43" i="5"/>
  <c r="V43" i="5"/>
  <c r="P43" i="5"/>
  <c r="L43" i="5"/>
  <c r="K43" i="5"/>
  <c r="D43" i="5"/>
  <c r="D42" i="5"/>
  <c r="AL36" i="5"/>
  <c r="AK36" i="5"/>
  <c r="AJ36" i="5"/>
  <c r="AI36" i="5"/>
  <c r="AG36" i="5"/>
  <c r="AF36" i="5"/>
  <c r="AE36" i="5"/>
  <c r="AD36" i="5"/>
  <c r="AC36" i="5"/>
  <c r="AB36" i="5"/>
  <c r="AA36" i="5"/>
  <c r="Z36" i="5"/>
  <c r="Y36" i="5"/>
  <c r="V36" i="5"/>
  <c r="U36" i="5"/>
  <c r="S36" i="5"/>
  <c r="R36" i="5"/>
  <c r="Q36" i="5"/>
  <c r="P36" i="5"/>
  <c r="N36" i="5"/>
  <c r="L36" i="5"/>
  <c r="K36" i="5"/>
  <c r="I36" i="5"/>
  <c r="G36" i="5"/>
  <c r="E36" i="5"/>
  <c r="D36" i="5"/>
  <c r="X33" i="5"/>
  <c r="X36" i="5" s="1"/>
  <c r="T33" i="5"/>
  <c r="O33" i="5"/>
  <c r="O36" i="5" s="1"/>
  <c r="J33" i="5"/>
  <c r="J36" i="5" s="1"/>
  <c r="W32" i="5"/>
  <c r="T32" i="5"/>
  <c r="M32" i="5"/>
  <c r="H32" i="5"/>
  <c r="AM31" i="5"/>
  <c r="AM36" i="5" s="1"/>
  <c r="AH31" i="5"/>
  <c r="AH36" i="5" s="1"/>
  <c r="W31" i="5"/>
  <c r="M31" i="5"/>
  <c r="F31" i="5"/>
  <c r="F36" i="5" s="1"/>
  <c r="AM29" i="5"/>
  <c r="AK29" i="5"/>
  <c r="AJ29" i="5"/>
  <c r="AI29" i="5"/>
  <c r="AH29" i="5"/>
  <c r="AG29" i="5"/>
  <c r="AE29" i="5"/>
  <c r="AD29" i="5"/>
  <c r="AC29" i="5"/>
  <c r="AB29" i="5"/>
  <c r="AA29" i="5"/>
  <c r="Y29" i="5"/>
  <c r="X29" i="5"/>
  <c r="W29" i="5"/>
  <c r="V29" i="5"/>
  <c r="U29" i="5"/>
  <c r="T29" i="5"/>
  <c r="S29" i="5"/>
  <c r="R29" i="5"/>
  <c r="P29" i="5"/>
  <c r="O29" i="5"/>
  <c r="N29" i="5"/>
  <c r="M29" i="5"/>
  <c r="L29" i="5"/>
  <c r="K29" i="5"/>
  <c r="J29" i="5"/>
  <c r="I29" i="5"/>
  <c r="G29" i="5"/>
  <c r="F29" i="5"/>
  <c r="E29" i="5"/>
  <c r="D29" i="5"/>
  <c r="AL28" i="5"/>
  <c r="AL29" i="5" s="1"/>
  <c r="AF28" i="5"/>
  <c r="AF29" i="5" s="1"/>
  <c r="Z28" i="5"/>
  <c r="Z29" i="5" s="1"/>
  <c r="Q28" i="5"/>
  <c r="Q43" i="5" s="1"/>
  <c r="H28" i="5"/>
  <c r="H29" i="5" s="1"/>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AM17" i="5"/>
  <c r="AH17" i="5"/>
  <c r="AB17" i="5"/>
  <c r="AC17" i="5" s="1"/>
  <c r="W17" i="5"/>
  <c r="X17" i="5" s="1"/>
  <c r="R17" i="5"/>
  <c r="I17" i="5"/>
  <c r="I43" i="5" s="1"/>
  <c r="F17" i="5"/>
  <c r="AL16" i="5"/>
  <c r="AG16" i="5"/>
  <c r="AH16" i="5" s="1"/>
  <c r="AC16" i="5"/>
  <c r="AD16" i="5" s="1"/>
  <c r="AD43" i="5" s="1"/>
  <c r="W16" i="5"/>
  <c r="X16" i="5" s="1"/>
  <c r="R16" i="5"/>
  <c r="S16" i="5" s="1"/>
  <c r="S43" i="5" s="1"/>
  <c r="N16" i="5"/>
  <c r="G16" i="5"/>
  <c r="G43" i="5" s="1"/>
  <c r="AL14" i="5"/>
  <c r="AE14" i="5"/>
  <c r="AF14" i="5" s="1"/>
  <c r="Z14" i="5"/>
  <c r="T14" i="5"/>
  <c r="U14" i="5" s="1"/>
  <c r="U43" i="5" s="1"/>
  <c r="M14" i="5"/>
  <c r="E14" i="5"/>
  <c r="E43" i="5" s="1"/>
  <c r="AM11" i="5"/>
  <c r="AL11" i="5"/>
  <c r="AK11" i="5"/>
  <c r="AJ11" i="5"/>
  <c r="AI11" i="5"/>
  <c r="AH11" i="5"/>
  <c r="AG11"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AM7" i="5"/>
  <c r="AL7" i="5"/>
  <c r="AK7" i="5"/>
  <c r="AJ7" i="5"/>
  <c r="AI7" i="5"/>
  <c r="AH7" i="5"/>
  <c r="AG7" i="5"/>
  <c r="AF7" i="5"/>
  <c r="AE7" i="5"/>
  <c r="AD7" i="5"/>
  <c r="AC7" i="5"/>
  <c r="AB7" i="5"/>
  <c r="AA7" i="5"/>
  <c r="Z7" i="5"/>
  <c r="Y7" i="5"/>
  <c r="X7" i="5"/>
  <c r="W7" i="5"/>
  <c r="V7" i="5"/>
  <c r="U7" i="5"/>
  <c r="T7" i="5"/>
  <c r="S7" i="5"/>
  <c r="R7" i="5"/>
  <c r="Q7" i="5"/>
  <c r="P7" i="5"/>
  <c r="O7" i="5"/>
  <c r="N7" i="5"/>
  <c r="M7" i="5"/>
  <c r="L7" i="5"/>
  <c r="K7" i="5"/>
  <c r="J7" i="5"/>
  <c r="I7" i="5"/>
  <c r="H7" i="5"/>
  <c r="G7" i="5"/>
  <c r="F7" i="5"/>
  <c r="E7" i="5"/>
  <c r="D7" i="5"/>
  <c r="E4" i="5"/>
  <c r="F4" i="5" s="1"/>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AM4" i="5" s="1"/>
  <c r="AM51" i="4"/>
  <c r="AL51" i="4"/>
  <c r="AK51" i="4"/>
  <c r="AJ51" i="4"/>
  <c r="AI51" i="4"/>
  <c r="AH51" i="4"/>
  <c r="AG51" i="4"/>
  <c r="AF51" i="4"/>
  <c r="AE51" i="4"/>
  <c r="AD51" i="4"/>
  <c r="AC51" i="4"/>
  <c r="AB51" i="4"/>
  <c r="AA51" i="4"/>
  <c r="Z51" i="4"/>
  <c r="Y51" i="4"/>
  <c r="X51" i="4"/>
  <c r="W51" i="4"/>
  <c r="V51" i="4"/>
  <c r="U51" i="4"/>
  <c r="T51" i="4"/>
  <c r="S51" i="4"/>
  <c r="R51" i="4"/>
  <c r="Q51" i="4"/>
  <c r="P51" i="4"/>
  <c r="O51" i="4"/>
  <c r="N51" i="4"/>
  <c r="M51" i="4"/>
  <c r="L51" i="4"/>
  <c r="K51" i="4"/>
  <c r="J51" i="4"/>
  <c r="I51" i="4"/>
  <c r="H51" i="4"/>
  <c r="G51" i="4"/>
  <c r="F51" i="4"/>
  <c r="E51" i="4"/>
  <c r="D51" i="4"/>
  <c r="AM47" i="4"/>
  <c r="AL47" i="4"/>
  <c r="AK47" i="4"/>
  <c r="AJ47" i="4"/>
  <c r="AI47" i="4"/>
  <c r="AH47" i="4"/>
  <c r="AG47" i="4"/>
  <c r="AF47" i="4"/>
  <c r="AE47" i="4"/>
  <c r="AD47" i="4"/>
  <c r="AC47" i="4"/>
  <c r="AB47" i="4"/>
  <c r="AA47" i="4"/>
  <c r="Z47" i="4"/>
  <c r="Y47" i="4"/>
  <c r="X47" i="4"/>
  <c r="W47" i="4"/>
  <c r="V47" i="4"/>
  <c r="U47" i="4"/>
  <c r="T47" i="4"/>
  <c r="S47" i="4"/>
  <c r="R47" i="4"/>
  <c r="Q47" i="4"/>
  <c r="P47" i="4"/>
  <c r="O47" i="4"/>
  <c r="N47" i="4"/>
  <c r="M47" i="4"/>
  <c r="L47" i="4"/>
  <c r="K47" i="4"/>
  <c r="J47" i="4"/>
  <c r="I47" i="4"/>
  <c r="H47" i="4"/>
  <c r="G47" i="4"/>
  <c r="F47" i="4"/>
  <c r="E47" i="4"/>
  <c r="D47" i="4"/>
  <c r="AM43" i="4"/>
  <c r="AI43" i="4"/>
  <c r="AG43" i="4"/>
  <c r="AE43" i="4"/>
  <c r="X43" i="4"/>
  <c r="W43" i="4"/>
  <c r="T43" i="4"/>
  <c r="Q43" i="4"/>
  <c r="P43" i="4"/>
  <c r="K43" i="4"/>
  <c r="J43" i="4"/>
  <c r="D43" i="4"/>
  <c r="D42" i="4"/>
  <c r="E40" i="4"/>
  <c r="E43" i="4" s="1"/>
  <c r="AM36" i="4"/>
  <c r="AL36" i="4"/>
  <c r="AK36" i="4"/>
  <c r="AJ36" i="4"/>
  <c r="AI36" i="4"/>
  <c r="AH36" i="4"/>
  <c r="AG36" i="4"/>
  <c r="AF36" i="4"/>
  <c r="AE36" i="4"/>
  <c r="AD36" i="4"/>
  <c r="AC36" i="4"/>
  <c r="AB36" i="4"/>
  <c r="Y36" i="4"/>
  <c r="X36" i="4"/>
  <c r="W36" i="4"/>
  <c r="T36" i="4"/>
  <c r="S36" i="4"/>
  <c r="R36" i="4"/>
  <c r="Q36" i="4"/>
  <c r="P36" i="4"/>
  <c r="O36" i="4"/>
  <c r="N36" i="4"/>
  <c r="M36" i="4"/>
  <c r="L36" i="4"/>
  <c r="K36" i="4"/>
  <c r="J36" i="4"/>
  <c r="F36" i="4"/>
  <c r="E36" i="4"/>
  <c r="D36" i="4"/>
  <c r="Z31" i="4"/>
  <c r="AA31" i="4" s="1"/>
  <c r="AA43" i="4" s="1"/>
  <c r="U31" i="4"/>
  <c r="G31" i="4"/>
  <c r="H31" i="4" s="1"/>
  <c r="I31" i="4" s="1"/>
  <c r="AM29" i="4"/>
  <c r="AJ29" i="4"/>
  <c r="AI29" i="4"/>
  <c r="AH29" i="4"/>
  <c r="AG29" i="4"/>
  <c r="AE29" i="4"/>
  <c r="AD29" i="4"/>
  <c r="AC29" i="4"/>
  <c r="AB29" i="4"/>
  <c r="AA29" i="4"/>
  <c r="X29" i="4"/>
  <c r="W29" i="4"/>
  <c r="V29" i="4"/>
  <c r="U29" i="4"/>
  <c r="T29" i="4"/>
  <c r="S29" i="4"/>
  <c r="R29" i="4"/>
  <c r="Q29" i="4"/>
  <c r="P29" i="4"/>
  <c r="O29" i="4"/>
  <c r="K29" i="4"/>
  <c r="J29" i="4"/>
  <c r="I29" i="4"/>
  <c r="H29" i="4"/>
  <c r="G29" i="4"/>
  <c r="F29" i="4"/>
  <c r="E29" i="4"/>
  <c r="D29" i="4"/>
  <c r="AK28" i="4"/>
  <c r="AF28" i="4"/>
  <c r="Y28" i="4"/>
  <c r="Z28" i="4" s="1"/>
  <c r="Z29" i="4" s="1"/>
  <c r="L28" i="4"/>
  <c r="L29" i="4" s="1"/>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E23" i="4"/>
  <c r="D23" i="4"/>
  <c r="F20" i="4"/>
  <c r="G20" i="4" s="1"/>
  <c r="G23" i="4" s="1"/>
  <c r="AH17" i="4"/>
  <c r="AH43" i="4" s="1"/>
  <c r="AB17" i="4"/>
  <c r="AB43" i="4" s="1"/>
  <c r="R17" i="4"/>
  <c r="R43" i="4" s="1"/>
  <c r="H17" i="4"/>
  <c r="I17" i="4" s="1"/>
  <c r="AJ16" i="4"/>
  <c r="AJ43" i="4" s="1"/>
  <c r="AC16" i="4"/>
  <c r="AD16" i="4" s="1"/>
  <c r="AD43" i="4" s="1"/>
  <c r="Y16" i="4"/>
  <c r="Z16" i="4" s="1"/>
  <c r="U16" i="4"/>
  <c r="V16" i="4" s="1"/>
  <c r="O16" i="4"/>
  <c r="O43" i="4" s="1"/>
  <c r="G16" i="4"/>
  <c r="AM11" i="4"/>
  <c r="AL11" i="4"/>
  <c r="AK11" i="4"/>
  <c r="AJ11" i="4"/>
  <c r="AI11" i="4"/>
  <c r="AH11" i="4"/>
  <c r="AG11" i="4"/>
  <c r="AF11" i="4"/>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AM7" i="4"/>
  <c r="AL7" i="4"/>
  <c r="AK7" i="4"/>
  <c r="AJ7" i="4"/>
  <c r="AI7" i="4"/>
  <c r="AH7" i="4"/>
  <c r="AG7" i="4"/>
  <c r="AF7" i="4"/>
  <c r="AE7" i="4"/>
  <c r="AD7" i="4"/>
  <c r="AC7" i="4"/>
  <c r="AB7" i="4"/>
  <c r="AA7" i="4"/>
  <c r="Z7" i="4"/>
  <c r="Y7" i="4"/>
  <c r="X7" i="4"/>
  <c r="W7" i="4"/>
  <c r="V7" i="4"/>
  <c r="U7" i="4"/>
  <c r="T7" i="4"/>
  <c r="S7" i="4"/>
  <c r="R7" i="4"/>
  <c r="Q7" i="4"/>
  <c r="P7" i="4"/>
  <c r="O7" i="4"/>
  <c r="N7" i="4"/>
  <c r="M7" i="4"/>
  <c r="L7" i="4"/>
  <c r="K7" i="4"/>
  <c r="J7" i="4"/>
  <c r="I7" i="4"/>
  <c r="H7" i="4"/>
  <c r="G7" i="4"/>
  <c r="F7" i="4"/>
  <c r="E7" i="4"/>
  <c r="D7" i="4"/>
  <c r="E4" i="4"/>
  <c r="F4" i="4" s="1"/>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AM51" i="3"/>
  <c r="AL51" i="3"/>
  <c r="AK51" i="3"/>
  <c r="AJ51" i="3"/>
  <c r="AI51" i="3"/>
  <c r="AH51" i="3"/>
  <c r="AG51" i="3"/>
  <c r="AF51" i="3"/>
  <c r="AE51" i="3"/>
  <c r="AD51" i="3"/>
  <c r="AC51" i="3"/>
  <c r="AB51" i="3"/>
  <c r="AA51" i="3"/>
  <c r="Z51" i="3"/>
  <c r="Y51" i="3"/>
  <c r="X51" i="3"/>
  <c r="W51" i="3"/>
  <c r="V51" i="3"/>
  <c r="U51" i="3"/>
  <c r="T51" i="3"/>
  <c r="S51" i="3"/>
  <c r="R51" i="3"/>
  <c r="Q51" i="3"/>
  <c r="P51" i="3"/>
  <c r="O51" i="3"/>
  <c r="N51" i="3"/>
  <c r="M51" i="3"/>
  <c r="L51" i="3"/>
  <c r="K51" i="3"/>
  <c r="J51" i="3"/>
  <c r="I51" i="3"/>
  <c r="H51" i="3"/>
  <c r="G51" i="3"/>
  <c r="F51" i="3"/>
  <c r="E51" i="3"/>
  <c r="D51" i="3"/>
  <c r="AM47" i="3"/>
  <c r="AL47" i="3"/>
  <c r="AK47" i="3"/>
  <c r="AJ47" i="3"/>
  <c r="AI47" i="3"/>
  <c r="AH47" i="3"/>
  <c r="AG47" i="3"/>
  <c r="AF47" i="3"/>
  <c r="AE47" i="3"/>
  <c r="AD47" i="3"/>
  <c r="AC47" i="3"/>
  <c r="AB47" i="3"/>
  <c r="AA47" i="3"/>
  <c r="Z47" i="3"/>
  <c r="Y47" i="3"/>
  <c r="X47" i="3"/>
  <c r="W47" i="3"/>
  <c r="V47" i="3"/>
  <c r="U47" i="3"/>
  <c r="T47" i="3"/>
  <c r="S47" i="3"/>
  <c r="R47" i="3"/>
  <c r="Q47" i="3"/>
  <c r="P47" i="3"/>
  <c r="O47" i="3"/>
  <c r="N47" i="3"/>
  <c r="M47" i="3"/>
  <c r="L47" i="3"/>
  <c r="K47" i="3"/>
  <c r="J47" i="3"/>
  <c r="I47" i="3"/>
  <c r="H47" i="3"/>
  <c r="G47" i="3"/>
  <c r="F47" i="3"/>
  <c r="E47" i="3"/>
  <c r="D47" i="3"/>
  <c r="AK43" i="3"/>
  <c r="AJ43" i="3"/>
  <c r="AG43" i="3"/>
  <c r="AF43" i="3"/>
  <c r="AB43" i="3"/>
  <c r="Z43" i="3"/>
  <c r="X43" i="3"/>
  <c r="W43" i="3"/>
  <c r="S43" i="3"/>
  <c r="P43" i="3"/>
  <c r="N43" i="3"/>
  <c r="M43" i="3"/>
  <c r="L43" i="3"/>
  <c r="I43" i="3"/>
  <c r="G43" i="3"/>
  <c r="E43" i="3"/>
  <c r="D42" i="3"/>
  <c r="AM36" i="3"/>
  <c r="AL36" i="3"/>
  <c r="AK36" i="3"/>
  <c r="AJ36" i="3"/>
  <c r="AH36" i="3"/>
  <c r="AG36" i="3"/>
  <c r="AF36" i="3"/>
  <c r="AE36" i="3"/>
  <c r="AB36" i="3"/>
  <c r="AA36" i="3"/>
  <c r="Z36" i="3"/>
  <c r="Y36" i="3"/>
  <c r="X36" i="3"/>
  <c r="W36" i="3"/>
  <c r="U36" i="3"/>
  <c r="T36" i="3"/>
  <c r="S36" i="3"/>
  <c r="R36" i="3"/>
  <c r="Q36" i="3"/>
  <c r="P36" i="3"/>
  <c r="N36" i="3"/>
  <c r="M36" i="3"/>
  <c r="L36" i="3"/>
  <c r="K36" i="3"/>
  <c r="J36" i="3"/>
  <c r="I36" i="3"/>
  <c r="H36" i="3"/>
  <c r="G36" i="3"/>
  <c r="E36" i="3"/>
  <c r="AI35" i="3"/>
  <c r="AC35" i="3"/>
  <c r="V35" i="3"/>
  <c r="O35" i="3"/>
  <c r="F35" i="3"/>
  <c r="AI34" i="3"/>
  <c r="AC34" i="3"/>
  <c r="AD34" i="3" s="1"/>
  <c r="V34" i="3"/>
  <c r="O34" i="3"/>
  <c r="F34" i="3"/>
  <c r="D34" i="3"/>
  <c r="AI33" i="3"/>
  <c r="AC33" i="3"/>
  <c r="AD33" i="3" s="1"/>
  <c r="V33" i="3"/>
  <c r="O33" i="3"/>
  <c r="F33" i="3"/>
  <c r="D33" i="3"/>
  <c r="AI32" i="3"/>
  <c r="AC32" i="3"/>
  <c r="AD32" i="3" s="1"/>
  <c r="V32" i="3"/>
  <c r="O32" i="3"/>
  <c r="F32" i="3"/>
  <c r="D32" i="3"/>
  <c r="AI31" i="3"/>
  <c r="AC31" i="3"/>
  <c r="AD31" i="3" s="1"/>
  <c r="V31" i="3"/>
  <c r="O31" i="3"/>
  <c r="F31" i="3"/>
  <c r="AM29" i="3"/>
  <c r="AL29" i="3"/>
  <c r="AK29" i="3"/>
  <c r="AJ29" i="3"/>
  <c r="AG29" i="3"/>
  <c r="AF29" i="3"/>
  <c r="AD29" i="3"/>
  <c r="AC29" i="3"/>
  <c r="AB29" i="3"/>
  <c r="Z29" i="3"/>
  <c r="Y29" i="3"/>
  <c r="X29" i="3"/>
  <c r="W29" i="3"/>
  <c r="V29" i="3"/>
  <c r="U29" i="3"/>
  <c r="S29" i="3"/>
  <c r="R29" i="3"/>
  <c r="Q29" i="3"/>
  <c r="P29" i="3"/>
  <c r="N29" i="3"/>
  <c r="M29" i="3"/>
  <c r="L29" i="3"/>
  <c r="K29" i="3"/>
  <c r="J29" i="3"/>
  <c r="I29" i="3"/>
  <c r="G29" i="3"/>
  <c r="F29" i="3"/>
  <c r="E29" i="3"/>
  <c r="D29" i="3"/>
  <c r="AH28" i="3"/>
  <c r="AH29" i="3" s="1"/>
  <c r="AE28" i="3"/>
  <c r="AA28" i="3"/>
  <c r="AA43" i="3" s="1"/>
  <c r="T28" i="3"/>
  <c r="T29" i="3" s="1"/>
  <c r="O28" i="3"/>
  <c r="O29" i="3" s="1"/>
  <c r="H28" i="3"/>
  <c r="H43" i="3" s="1"/>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L17" i="3"/>
  <c r="AL43" i="3" s="1"/>
  <c r="AH17" i="3"/>
  <c r="AI17" i="3" s="1"/>
  <c r="AC17" i="3"/>
  <c r="Y17" i="3"/>
  <c r="Y43" i="3" s="1"/>
  <c r="U17" i="3"/>
  <c r="U43" i="3" s="1"/>
  <c r="Q17" i="3"/>
  <c r="Q43" i="3" s="1"/>
  <c r="J17" i="3"/>
  <c r="F17"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M7" i="3"/>
  <c r="AL7" i="3"/>
  <c r="AK7" i="3"/>
  <c r="AJ7" i="3"/>
  <c r="AI7"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E4" i="3"/>
  <c r="F4" i="3" s="1"/>
  <c r="G4" i="3" s="1"/>
  <c r="H4" i="3" s="1"/>
  <c r="I4" i="3" s="1"/>
  <c r="J4" i="3" s="1"/>
  <c r="K4" i="3" s="1"/>
  <c r="L4" i="3" s="1"/>
  <c r="M4" i="3" s="1"/>
  <c r="N4" i="3" s="1"/>
  <c r="O4" i="3" s="1"/>
  <c r="P4" i="3" s="1"/>
  <c r="Q4" i="3" s="1"/>
  <c r="R4" i="3" s="1"/>
  <c r="S4" i="3" s="1"/>
  <c r="T4" i="3" s="1"/>
  <c r="U4" i="3" s="1"/>
  <c r="V4" i="3" s="1"/>
  <c r="W4" i="3" s="1"/>
  <c r="X4" i="3" s="1"/>
  <c r="Y4" i="3" s="1"/>
  <c r="Z4" i="3" s="1"/>
  <c r="AA4" i="3" s="1"/>
  <c r="AB4" i="3" s="1"/>
  <c r="AC4" i="3" s="1"/>
  <c r="AD4" i="3" s="1"/>
  <c r="AE4" i="3" s="1"/>
  <c r="AF4" i="3" s="1"/>
  <c r="AG4" i="3" s="1"/>
  <c r="AH4" i="3" s="1"/>
  <c r="AI4" i="3" s="1"/>
  <c r="AJ4" i="3" s="1"/>
  <c r="AK4" i="3" s="1"/>
  <c r="AL4" i="3" s="1"/>
  <c r="AM4" i="3" s="1"/>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F51" i="2"/>
  <c r="E51" i="2"/>
  <c r="D51"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F47" i="2"/>
  <c r="E47" i="2"/>
  <c r="D47" i="2"/>
  <c r="AJ43" i="2"/>
  <c r="AB43" i="2"/>
  <c r="W43" i="2"/>
  <c r="V43" i="2"/>
  <c r="T43" i="2"/>
  <c r="P43" i="2"/>
  <c r="O43" i="2"/>
  <c r="N43" i="2"/>
  <c r="L43" i="2"/>
  <c r="K43" i="2"/>
  <c r="J43" i="2"/>
  <c r="E43" i="2"/>
  <c r="D43" i="2"/>
  <c r="D42" i="2"/>
  <c r="AK41" i="2"/>
  <c r="AG41" i="2"/>
  <c r="AE41" i="2"/>
  <c r="AC41" i="2"/>
  <c r="AA41" i="2"/>
  <c r="X41" i="2"/>
  <c r="U41" i="2"/>
  <c r="Q41" i="2"/>
  <c r="M41" i="2"/>
  <c r="I41" i="2"/>
  <c r="F41" i="2"/>
  <c r="AK40" i="2"/>
  <c r="AG40" i="2"/>
  <c r="AE40" i="2"/>
  <c r="AC40" i="2"/>
  <c r="AA40" i="2"/>
  <c r="X40" i="2"/>
  <c r="U40" i="2"/>
  <c r="Q40" i="2"/>
  <c r="M40" i="2"/>
  <c r="I40" i="2"/>
  <c r="F40" i="2"/>
  <c r="AK39" i="2"/>
  <c r="AG39" i="2"/>
  <c r="AE39" i="2"/>
  <c r="AC39" i="2"/>
  <c r="AA39" i="2"/>
  <c r="X39" i="2"/>
  <c r="U39" i="2"/>
  <c r="Q39" i="2"/>
  <c r="M39" i="2"/>
  <c r="I39" i="2"/>
  <c r="F39" i="2"/>
  <c r="AK38" i="2"/>
  <c r="AG38" i="2"/>
  <c r="AE38" i="2"/>
  <c r="AC38" i="2"/>
  <c r="AA38" i="2"/>
  <c r="X38" i="2"/>
  <c r="U38" i="2"/>
  <c r="Q38" i="2"/>
  <c r="M38" i="2"/>
  <c r="I38" i="2"/>
  <c r="F38" i="2"/>
  <c r="AK37" i="2"/>
  <c r="AG37" i="2"/>
  <c r="AE37" i="2"/>
  <c r="AC37" i="2"/>
  <c r="AA37" i="2"/>
  <c r="X37" i="2"/>
  <c r="U37" i="2"/>
  <c r="Q37" i="2"/>
  <c r="M37" i="2"/>
  <c r="I37" i="2"/>
  <c r="F37" i="2"/>
  <c r="AM36" i="2"/>
  <c r="AL36" i="2"/>
  <c r="AJ36" i="2"/>
  <c r="AF36" i="2"/>
  <c r="AD36" i="2"/>
  <c r="AB36" i="2"/>
  <c r="W36" i="2"/>
  <c r="V36" i="2"/>
  <c r="T36" i="2"/>
  <c r="P36" i="2"/>
  <c r="O36" i="2"/>
  <c r="N36" i="2"/>
  <c r="L36" i="2"/>
  <c r="K36" i="2"/>
  <c r="J36" i="2"/>
  <c r="E36" i="2"/>
  <c r="D36" i="2"/>
  <c r="AK35" i="2"/>
  <c r="AG35" i="2"/>
  <c r="AE35" i="2"/>
  <c r="AC35" i="2"/>
  <c r="AA35" i="2"/>
  <c r="X35" i="2"/>
  <c r="U35" i="2"/>
  <c r="Q35" i="2"/>
  <c r="M35" i="2"/>
  <c r="I35" i="2"/>
  <c r="F35" i="2"/>
  <c r="AK34" i="2"/>
  <c r="AG34" i="2"/>
  <c r="AE34" i="2"/>
  <c r="AC34" i="2"/>
  <c r="AA34" i="2"/>
  <c r="X34" i="2"/>
  <c r="U34" i="2"/>
  <c r="Q34" i="2"/>
  <c r="M34" i="2"/>
  <c r="I34" i="2"/>
  <c r="F34" i="2"/>
  <c r="AK33" i="2"/>
  <c r="AG33" i="2"/>
  <c r="AE33" i="2"/>
  <c r="AC33" i="2"/>
  <c r="AA33" i="2"/>
  <c r="X33" i="2"/>
  <c r="U33" i="2"/>
  <c r="Q33" i="2"/>
  <c r="M33" i="2"/>
  <c r="I33" i="2"/>
  <c r="F33" i="2"/>
  <c r="AK32" i="2"/>
  <c r="AG32" i="2"/>
  <c r="AE32" i="2"/>
  <c r="AC32" i="2"/>
  <c r="AA32" i="2"/>
  <c r="X32" i="2"/>
  <c r="U32" i="2"/>
  <c r="Q32" i="2"/>
  <c r="M32" i="2"/>
  <c r="I32" i="2"/>
  <c r="F32" i="2"/>
  <c r="AK31" i="2"/>
  <c r="AG31" i="2"/>
  <c r="AH31" i="2" s="1"/>
  <c r="AH36" i="2" s="1"/>
  <c r="AE31" i="2"/>
  <c r="AC31" i="2"/>
  <c r="X31" i="2"/>
  <c r="Y31" i="2" s="1"/>
  <c r="U31" i="2"/>
  <c r="Q31" i="2"/>
  <c r="R31" i="2" s="1"/>
  <c r="R43" i="2" s="1"/>
  <c r="M31" i="2"/>
  <c r="F31" i="2"/>
  <c r="G31" i="2" s="1"/>
  <c r="G43" i="2" s="1"/>
  <c r="AK30" i="2"/>
  <c r="AG30" i="2"/>
  <c r="AE30" i="2"/>
  <c r="AC30" i="2"/>
  <c r="AA30" i="2"/>
  <c r="X30" i="2"/>
  <c r="U30" i="2"/>
  <c r="Q30" i="2"/>
  <c r="M30" i="2"/>
  <c r="I30" i="2"/>
  <c r="F30" i="2"/>
  <c r="AM29" i="2"/>
  <c r="AL29" i="2"/>
  <c r="AJ29" i="2"/>
  <c r="AI29" i="2"/>
  <c r="AH29" i="2"/>
  <c r="AF29" i="2"/>
  <c r="AD29" i="2"/>
  <c r="AB29" i="2"/>
  <c r="Z29" i="2"/>
  <c r="Y29" i="2"/>
  <c r="W29" i="2"/>
  <c r="V29" i="2"/>
  <c r="T29" i="2"/>
  <c r="S29" i="2"/>
  <c r="R29" i="2"/>
  <c r="P29" i="2"/>
  <c r="O29" i="2"/>
  <c r="N29" i="2"/>
  <c r="L29" i="2"/>
  <c r="K29" i="2"/>
  <c r="J29" i="2"/>
  <c r="H29" i="2"/>
  <c r="G29" i="2"/>
  <c r="E29" i="2"/>
  <c r="D29" i="2"/>
  <c r="AK28" i="2"/>
  <c r="AG28" i="2"/>
  <c r="AE28" i="2"/>
  <c r="AC28" i="2"/>
  <c r="AA28" i="2"/>
  <c r="X28" i="2"/>
  <c r="U28" i="2"/>
  <c r="Q28" i="2"/>
  <c r="M28" i="2"/>
  <c r="I28" i="2"/>
  <c r="F28" i="2"/>
  <c r="AK27" i="2"/>
  <c r="AG27" i="2"/>
  <c r="AE27" i="2"/>
  <c r="AC27" i="2"/>
  <c r="AA27" i="2"/>
  <c r="X27" i="2"/>
  <c r="U27" i="2"/>
  <c r="Q27" i="2"/>
  <c r="M27" i="2"/>
  <c r="I27" i="2"/>
  <c r="F27" i="2"/>
  <c r="AK26" i="2"/>
  <c r="AG26" i="2"/>
  <c r="AE26" i="2"/>
  <c r="AC26" i="2"/>
  <c r="AA26" i="2"/>
  <c r="X26" i="2"/>
  <c r="U26" i="2"/>
  <c r="Q26" i="2"/>
  <c r="M26" i="2"/>
  <c r="I26" i="2"/>
  <c r="F26" i="2"/>
  <c r="AK25" i="2"/>
  <c r="AG25" i="2"/>
  <c r="AE25" i="2"/>
  <c r="AC25" i="2"/>
  <c r="AA25" i="2"/>
  <c r="X25" i="2"/>
  <c r="U25" i="2"/>
  <c r="Q25" i="2"/>
  <c r="M25" i="2"/>
  <c r="I25" i="2"/>
  <c r="F25" i="2"/>
  <c r="AK24" i="2"/>
  <c r="AG24" i="2"/>
  <c r="AE24" i="2"/>
  <c r="AC24" i="2"/>
  <c r="AA24" i="2"/>
  <c r="X24" i="2"/>
  <c r="U24" i="2"/>
  <c r="Q24" i="2"/>
  <c r="M24" i="2"/>
  <c r="I24" i="2"/>
  <c r="F24" i="2"/>
  <c r="AJ23" i="2"/>
  <c r="AI23" i="2"/>
  <c r="AH23" i="2"/>
  <c r="AB23" i="2"/>
  <c r="Z23" i="2"/>
  <c r="Y23" i="2"/>
  <c r="W23" i="2"/>
  <c r="V23" i="2"/>
  <c r="T23" i="2"/>
  <c r="S23" i="2"/>
  <c r="R23" i="2"/>
  <c r="P23" i="2"/>
  <c r="O23" i="2"/>
  <c r="N23" i="2"/>
  <c r="L23" i="2"/>
  <c r="K23" i="2"/>
  <c r="J23" i="2"/>
  <c r="H23" i="2"/>
  <c r="G23" i="2"/>
  <c r="E23" i="2"/>
  <c r="D23" i="2"/>
  <c r="AK22" i="2"/>
  <c r="AG22" i="2"/>
  <c r="AE22" i="2"/>
  <c r="AC22" i="2"/>
  <c r="AA22" i="2"/>
  <c r="X22" i="2"/>
  <c r="U22" i="2"/>
  <c r="Q22" i="2"/>
  <c r="M22" i="2"/>
  <c r="I22" i="2"/>
  <c r="F22" i="2"/>
  <c r="AK21" i="2"/>
  <c r="AL21" i="2" s="1"/>
  <c r="AC21" i="2"/>
  <c r="AD21" i="2" s="1"/>
  <c r="AD23" i="2" s="1"/>
  <c r="AA21" i="2"/>
  <c r="X21" i="2"/>
  <c r="U21" i="2"/>
  <c r="Q21" i="2"/>
  <c r="M21" i="2"/>
  <c r="I21" i="2"/>
  <c r="F21" i="2"/>
  <c r="AK20" i="2"/>
  <c r="AG20" i="2"/>
  <c r="AE20" i="2"/>
  <c r="AC20" i="2"/>
  <c r="AA20" i="2"/>
  <c r="X20" i="2"/>
  <c r="U20" i="2"/>
  <c r="Q20" i="2"/>
  <c r="M20" i="2"/>
  <c r="I20" i="2"/>
  <c r="F20" i="2"/>
  <c r="AK19" i="2"/>
  <c r="AG19" i="2"/>
  <c r="AE19" i="2"/>
  <c r="AC19" i="2"/>
  <c r="AA19" i="2"/>
  <c r="X19" i="2"/>
  <c r="U19" i="2"/>
  <c r="Q19" i="2"/>
  <c r="M19" i="2"/>
  <c r="I19" i="2"/>
  <c r="F19" i="2"/>
  <c r="AK18" i="2"/>
  <c r="AG18" i="2"/>
  <c r="AE18" i="2"/>
  <c r="AC18" i="2"/>
  <c r="AA18" i="2"/>
  <c r="X18" i="2"/>
  <c r="U18" i="2"/>
  <c r="Q18" i="2"/>
  <c r="M18" i="2"/>
  <c r="I18" i="2"/>
  <c r="F18" i="2"/>
  <c r="AK17" i="2"/>
  <c r="AG17" i="2"/>
  <c r="AE17" i="2"/>
  <c r="AC17" i="2"/>
  <c r="AA17" i="2"/>
  <c r="X17" i="2"/>
  <c r="U17" i="2"/>
  <c r="Q17" i="2"/>
  <c r="M17" i="2"/>
  <c r="I17" i="2"/>
  <c r="F17" i="2"/>
  <c r="AK16" i="2"/>
  <c r="AG16" i="2"/>
  <c r="AE16" i="2"/>
  <c r="AC16" i="2"/>
  <c r="AA16" i="2"/>
  <c r="X16" i="2"/>
  <c r="U16" i="2"/>
  <c r="Q16" i="2"/>
  <c r="M16" i="2"/>
  <c r="I16" i="2"/>
  <c r="F16" i="2"/>
  <c r="AK15" i="2"/>
  <c r="AG15" i="2"/>
  <c r="AE15" i="2"/>
  <c r="AC15" i="2"/>
  <c r="AA15" i="2"/>
  <c r="X15" i="2"/>
  <c r="U15" i="2"/>
  <c r="Q15" i="2"/>
  <c r="M15" i="2"/>
  <c r="I15" i="2"/>
  <c r="F15"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F11" i="2"/>
  <c r="E11" i="2"/>
  <c r="D11" i="2"/>
  <c r="AL7" i="2"/>
  <c r="AK7" i="2"/>
  <c r="AJ7" i="2"/>
  <c r="AH7" i="2"/>
  <c r="AG7" i="2"/>
  <c r="AE7" i="2"/>
  <c r="AD7" i="2"/>
  <c r="AC7" i="2"/>
  <c r="AA7" i="2"/>
  <c r="Z7" i="2"/>
  <c r="Y7" i="2"/>
  <c r="Y12" i="2" s="1"/>
  <c r="V7" i="2"/>
  <c r="U7" i="2"/>
  <c r="S7" i="2"/>
  <c r="Q7" i="2"/>
  <c r="P7" i="2"/>
  <c r="N7" i="2"/>
  <c r="M7" i="2"/>
  <c r="L7" i="2"/>
  <c r="J7" i="2"/>
  <c r="I7" i="2"/>
  <c r="G7" i="2"/>
  <c r="E7" i="2"/>
  <c r="D7" i="2"/>
  <c r="AM6" i="2"/>
  <c r="AM7" i="2" s="1"/>
  <c r="AI6" i="2"/>
  <c r="AI7" i="2" s="1"/>
  <c r="AF6" i="2"/>
  <c r="AF7" i="2" s="1"/>
  <c r="AB6" i="2"/>
  <c r="AB7" i="2" s="1"/>
  <c r="W6" i="2"/>
  <c r="X6" i="2" s="1"/>
  <c r="X7" i="2" s="1"/>
  <c r="T6" i="2"/>
  <c r="T7" i="2" s="1"/>
  <c r="R6" i="2"/>
  <c r="R7" i="2" s="1"/>
  <c r="O6" i="2"/>
  <c r="O7" i="2" s="1"/>
  <c r="K6" i="2"/>
  <c r="K7" i="2" s="1"/>
  <c r="H6" i="2"/>
  <c r="H7" i="2" s="1"/>
  <c r="F6" i="2"/>
  <c r="F7" i="2" s="1"/>
  <c r="E4" i="2"/>
  <c r="F4" i="2" s="1"/>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AD12" i="3" l="1"/>
  <c r="Q12" i="6"/>
  <c r="S44" i="6"/>
  <c r="K52" i="7"/>
  <c r="S52" i="7"/>
  <c r="O12" i="2"/>
  <c r="Z12" i="2"/>
  <c r="R12" i="2"/>
  <c r="AD12" i="2"/>
  <c r="AC17" i="4"/>
  <c r="AC43" i="4" s="1"/>
  <c r="G52" i="3"/>
  <c r="AE52" i="3"/>
  <c r="AD12" i="5"/>
  <c r="AD44" i="5" s="1"/>
  <c r="I52" i="3"/>
  <c r="Q52" i="3"/>
  <c r="Y52" i="3"/>
  <c r="AG52" i="3"/>
  <c r="O52" i="3"/>
  <c r="W52" i="3"/>
  <c r="AM52" i="3"/>
  <c r="AK12" i="6"/>
  <c r="AE12" i="6"/>
  <c r="D36" i="8"/>
  <c r="AA12" i="7"/>
  <c r="AA44" i="7" s="1"/>
  <c r="S12" i="3"/>
  <c r="S44" i="3" s="1"/>
  <c r="AA12" i="3"/>
  <c r="AA44" i="3" s="1"/>
  <c r="I12" i="4"/>
  <c r="Q12" i="4"/>
  <c r="Y12" i="4"/>
  <c r="AG12" i="4"/>
  <c r="O12" i="6"/>
  <c r="G12" i="6"/>
  <c r="G44" i="6" s="1"/>
  <c r="AM12" i="6"/>
  <c r="I12" i="7"/>
  <c r="D12" i="8"/>
  <c r="D44" i="8" s="1"/>
  <c r="L12" i="8"/>
  <c r="L44" i="8" s="1"/>
  <c r="T12" i="8"/>
  <c r="T44" i="8" s="1"/>
  <c r="AB12" i="8"/>
  <c r="AJ12" i="8"/>
  <c r="AJ44" i="8" s="1"/>
  <c r="AL43" i="5"/>
  <c r="Y29" i="4"/>
  <c r="K12" i="9"/>
  <c r="K44" i="9" s="1"/>
  <c r="S12" i="9"/>
  <c r="S44" i="9" s="1"/>
  <c r="AA12" i="9"/>
  <c r="AA44" i="9" s="1"/>
  <c r="AI12" i="9"/>
  <c r="AI44" i="9" s="1"/>
  <c r="O44" i="2"/>
  <c r="AC12" i="2"/>
  <c r="E12" i="3"/>
  <c r="E44" i="3" s="1"/>
  <c r="M12" i="3"/>
  <c r="M44" i="3" s="1"/>
  <c r="U12" i="3"/>
  <c r="U44" i="3" s="1"/>
  <c r="AC12" i="3"/>
  <c r="AK12" i="3"/>
  <c r="AK44" i="3" s="1"/>
  <c r="I12" i="3"/>
  <c r="I44" i="3" s="1"/>
  <c r="I53" i="3" s="1"/>
  <c r="AG12" i="3"/>
  <c r="Y44" i="6"/>
  <c r="J12" i="8"/>
  <c r="J44" i="8" s="1"/>
  <c r="R12" i="8"/>
  <c r="R44" i="8" s="1"/>
  <c r="Z12" i="8"/>
  <c r="Z44" i="8" s="1"/>
  <c r="AH12" i="8"/>
  <c r="AH44" i="8" s="1"/>
  <c r="I52" i="6"/>
  <c r="L52" i="7"/>
  <c r="K12" i="8"/>
  <c r="S12" i="8"/>
  <c r="S44" i="8" s="1"/>
  <c r="AA12" i="8"/>
  <c r="AA44" i="8" s="1"/>
  <c r="AI12" i="8"/>
  <c r="AI44" i="8" s="1"/>
  <c r="AB12" i="6"/>
  <c r="G12" i="5"/>
  <c r="O12" i="5"/>
  <c r="W12" i="5"/>
  <c r="AE12" i="5"/>
  <c r="AM12" i="5"/>
  <c r="T44" i="6"/>
  <c r="J12" i="2"/>
  <c r="J44" i="2" s="1"/>
  <c r="W29" i="6"/>
  <c r="U12" i="2"/>
  <c r="L12" i="6"/>
  <c r="K52" i="6"/>
  <c r="S52" i="6"/>
  <c r="S53" i="6" s="1"/>
  <c r="AI52" i="6"/>
  <c r="Z12" i="7"/>
  <c r="Z44" i="7" s="1"/>
  <c r="AJ43" i="7"/>
  <c r="P52" i="8"/>
  <c r="AF52" i="8"/>
  <c r="N12" i="9"/>
  <c r="V12" i="9"/>
  <c r="AL12" i="9"/>
  <c r="AL44" i="9" s="1"/>
  <c r="F12" i="2"/>
  <c r="AH12" i="2"/>
  <c r="I23" i="2"/>
  <c r="AG36" i="2"/>
  <c r="I52" i="2"/>
  <c r="Q52" i="2"/>
  <c r="Y52" i="2"/>
  <c r="AG52" i="2"/>
  <c r="L52" i="3"/>
  <c r="T52" i="3"/>
  <c r="AB52" i="3"/>
  <c r="AJ52" i="3"/>
  <c r="D12" i="5"/>
  <c r="D44" i="5" s="1"/>
  <c r="L12" i="5"/>
  <c r="L44" i="5" s="1"/>
  <c r="T12" i="5"/>
  <c r="AB12" i="5"/>
  <c r="AJ12" i="5"/>
  <c r="AJ44" i="5" s="1"/>
  <c r="M36" i="5"/>
  <c r="AB52" i="5"/>
  <c r="AG12" i="6"/>
  <c r="AG44" i="6" s="1"/>
  <c r="D52" i="6"/>
  <c r="L52" i="6"/>
  <c r="T52" i="6"/>
  <c r="AB52" i="6"/>
  <c r="AJ52" i="6"/>
  <c r="V43" i="6"/>
  <c r="V44" i="6" s="1"/>
  <c r="I44" i="7"/>
  <c r="AA52" i="6"/>
  <c r="H52" i="8"/>
  <c r="X52" i="8"/>
  <c r="F12" i="9"/>
  <c r="F44" i="9" s="1"/>
  <c r="AD12" i="9"/>
  <c r="AD44" i="9" s="1"/>
  <c r="AK23" i="2"/>
  <c r="D12" i="4"/>
  <c r="D44" i="4" s="1"/>
  <c r="L12" i="4"/>
  <c r="T12" i="4"/>
  <c r="T44" i="4" s="1"/>
  <c r="AB12" i="4"/>
  <c r="AB44" i="4" s="1"/>
  <c r="AJ12" i="4"/>
  <c r="F52" i="4"/>
  <c r="N52" i="4"/>
  <c r="V52" i="4"/>
  <c r="AD52" i="4"/>
  <c r="AL52" i="4"/>
  <c r="W43" i="5"/>
  <c r="AI43" i="6"/>
  <c r="AF23" i="6"/>
  <c r="E52" i="6"/>
  <c r="M52" i="6"/>
  <c r="U52" i="6"/>
  <c r="AC52" i="6"/>
  <c r="AK52" i="6"/>
  <c r="Q52" i="6"/>
  <c r="N43" i="9"/>
  <c r="AM12" i="2"/>
  <c r="N12" i="2"/>
  <c r="N44" i="2" s="1"/>
  <c r="K52" i="2"/>
  <c r="S52" i="2"/>
  <c r="AA52" i="2"/>
  <c r="AI52" i="2"/>
  <c r="N12" i="3"/>
  <c r="N44" i="3" s="1"/>
  <c r="D36" i="3"/>
  <c r="V43" i="3"/>
  <c r="F52" i="3"/>
  <c r="N52" i="3"/>
  <c r="V52" i="3"/>
  <c r="AD52" i="3"/>
  <c r="AL52" i="3"/>
  <c r="Y43" i="4"/>
  <c r="P12" i="8"/>
  <c r="AF12" i="8"/>
  <c r="AF44" i="8" s="1"/>
  <c r="E12" i="2"/>
  <c r="E44" i="2" s="1"/>
  <c r="P12" i="2"/>
  <c r="P44" i="2" s="1"/>
  <c r="AL12" i="2"/>
  <c r="AH43" i="2"/>
  <c r="J52" i="2"/>
  <c r="R52" i="2"/>
  <c r="Z52" i="2"/>
  <c r="AH52" i="2"/>
  <c r="Y12" i="3"/>
  <c r="H52" i="3"/>
  <c r="P52" i="3"/>
  <c r="X52" i="3"/>
  <c r="AF52" i="3"/>
  <c r="F23" i="4"/>
  <c r="H52" i="4"/>
  <c r="P52" i="4"/>
  <c r="X52" i="4"/>
  <c r="AF52" i="4"/>
  <c r="T36" i="5"/>
  <c r="J52" i="5"/>
  <c r="R52" i="5"/>
  <c r="Z52" i="5"/>
  <c r="AH52" i="5"/>
  <c r="AC12" i="6"/>
  <c r="AC44" i="6" s="1"/>
  <c r="H12" i="8"/>
  <c r="Q12" i="2"/>
  <c r="F36" i="3"/>
  <c r="G36" i="4"/>
  <c r="AC43" i="5"/>
  <c r="AD12" i="6"/>
  <c r="AI23" i="6"/>
  <c r="AH43" i="9"/>
  <c r="I12" i="2"/>
  <c r="D52" i="2"/>
  <c r="T52" i="2"/>
  <c r="AB52" i="2"/>
  <c r="AJ52" i="2"/>
  <c r="K12" i="3"/>
  <c r="AI12" i="3"/>
  <c r="AI28" i="3"/>
  <c r="AI29" i="3" s="1"/>
  <c r="G12" i="4"/>
  <c r="O12" i="4"/>
  <c r="O44" i="4" s="1"/>
  <c r="W12" i="4"/>
  <c r="W44" i="4" s="1"/>
  <c r="AE12" i="4"/>
  <c r="AE44" i="4" s="1"/>
  <c r="AM12" i="4"/>
  <c r="AM44" i="4" s="1"/>
  <c r="AI12" i="4"/>
  <c r="AI44" i="4" s="1"/>
  <c r="X12" i="5"/>
  <c r="AF12" i="5"/>
  <c r="D52" i="5"/>
  <c r="L52" i="5"/>
  <c r="T52" i="5"/>
  <c r="AJ52" i="5"/>
  <c r="H52" i="5"/>
  <c r="P52" i="5"/>
  <c r="X52" i="5"/>
  <c r="AF52" i="5"/>
  <c r="AC29" i="6"/>
  <c r="G52" i="7"/>
  <c r="O52" i="7"/>
  <c r="W52" i="7"/>
  <c r="AE52" i="7"/>
  <c r="AM52" i="7"/>
  <c r="AA52" i="7"/>
  <c r="AB43" i="8"/>
  <c r="F52" i="9"/>
  <c r="N52" i="9"/>
  <c r="V52" i="9"/>
  <c r="AD52" i="9"/>
  <c r="AD53" i="9" s="1"/>
  <c r="AL52" i="9"/>
  <c r="AC36" i="2"/>
  <c r="D12" i="3"/>
  <c r="L12" i="3"/>
  <c r="L44" i="3" s="1"/>
  <c r="T12" i="3"/>
  <c r="AB12" i="3"/>
  <c r="AB44" i="3" s="1"/>
  <c r="AJ12" i="3"/>
  <c r="AJ44" i="3" s="1"/>
  <c r="H12" i="3"/>
  <c r="H44" i="3" s="1"/>
  <c r="P12" i="3"/>
  <c r="P44" i="3" s="1"/>
  <c r="I43" i="4"/>
  <c r="I12" i="5"/>
  <c r="I44" i="5" s="1"/>
  <c r="Q12" i="5"/>
  <c r="Q44" i="5" s="1"/>
  <c r="Y12" i="5"/>
  <c r="Y44" i="5" s="1"/>
  <c r="AG12" i="5"/>
  <c r="E52" i="5"/>
  <c r="M52" i="5"/>
  <c r="U52" i="5"/>
  <c r="AC52" i="5"/>
  <c r="AK52" i="5"/>
  <c r="AL12" i="6"/>
  <c r="AL44" i="6" s="1"/>
  <c r="F43" i="6"/>
  <c r="T29" i="7"/>
  <c r="AC43" i="7"/>
  <c r="H52" i="7"/>
  <c r="P52" i="7"/>
  <c r="X52" i="7"/>
  <c r="AF52" i="7"/>
  <c r="AB52" i="7"/>
  <c r="J52" i="8"/>
  <c r="R52" i="8"/>
  <c r="Z52" i="8"/>
  <c r="AH52" i="8"/>
  <c r="H12" i="9"/>
  <c r="H44" i="9" s="1"/>
  <c r="P12" i="9"/>
  <c r="P44" i="9" s="1"/>
  <c r="X12" i="9"/>
  <c r="X44" i="9" s="1"/>
  <c r="AF12" i="9"/>
  <c r="AB43" i="9"/>
  <c r="G52" i="9"/>
  <c r="O52" i="9"/>
  <c r="W52" i="9"/>
  <c r="AE52" i="9"/>
  <c r="AM52" i="9"/>
  <c r="R12" i="6"/>
  <c r="X12" i="2"/>
  <c r="X23" i="2"/>
  <c r="AF12" i="2"/>
  <c r="AE36" i="2"/>
  <c r="AD29" i="7"/>
  <c r="I52" i="7"/>
  <c r="Q52" i="7"/>
  <c r="Y52" i="7"/>
  <c r="AG52" i="7"/>
  <c r="P44" i="8"/>
  <c r="K52" i="8"/>
  <c r="S52" i="8"/>
  <c r="AA52" i="8"/>
  <c r="AI52" i="8"/>
  <c r="I12" i="9"/>
  <c r="I44" i="9" s="1"/>
  <c r="Q12" i="9"/>
  <c r="Q44" i="9" s="1"/>
  <c r="Y12" i="9"/>
  <c r="AG12" i="9"/>
  <c r="AG44" i="9" s="1"/>
  <c r="L52" i="2"/>
  <c r="L12" i="2"/>
  <c r="L44" i="2" s="1"/>
  <c r="AG12" i="2"/>
  <c r="H12" i="2"/>
  <c r="M12" i="2"/>
  <c r="V12" i="2"/>
  <c r="V44" i="2" s="1"/>
  <c r="F12" i="3"/>
  <c r="V12" i="3"/>
  <c r="AL12" i="3"/>
  <c r="AL44" i="3" s="1"/>
  <c r="J12" i="4"/>
  <c r="J44" i="4" s="1"/>
  <c r="R12" i="4"/>
  <c r="R44" i="4" s="1"/>
  <c r="Z12" i="4"/>
  <c r="AH12" i="4"/>
  <c r="AH44" i="4" s="1"/>
  <c r="F12" i="4"/>
  <c r="AL12" i="4"/>
  <c r="F40" i="4"/>
  <c r="G40" i="4" s="1"/>
  <c r="G43" i="4" s="1"/>
  <c r="AB43" i="5"/>
  <c r="AB16" i="6"/>
  <c r="AB43" i="6" s="1"/>
  <c r="AB44" i="6" s="1"/>
  <c r="AB53" i="6" s="1"/>
  <c r="AD43" i="6"/>
  <c r="AD44" i="6" s="1"/>
  <c r="R12" i="7"/>
  <c r="M43" i="7"/>
  <c r="J52" i="7"/>
  <c r="R52" i="7"/>
  <c r="Z52" i="7"/>
  <c r="AH52" i="7"/>
  <c r="I12" i="8"/>
  <c r="I44" i="8" s="1"/>
  <c r="Q12" i="8"/>
  <c r="Q44" i="8" s="1"/>
  <c r="Y12" i="8"/>
  <c r="Y44" i="8" s="1"/>
  <c r="AG12" i="8"/>
  <c r="AG44" i="8" s="1"/>
  <c r="D52" i="8"/>
  <c r="D53" i="8" s="1"/>
  <c r="L52" i="8"/>
  <c r="L53" i="8" s="1"/>
  <c r="T52" i="8"/>
  <c r="AB52" i="8"/>
  <c r="AJ52" i="8"/>
  <c r="V52" i="2"/>
  <c r="F43" i="3"/>
  <c r="V12" i="4"/>
  <c r="U43" i="4"/>
  <c r="V31" i="4"/>
  <c r="J52" i="4"/>
  <c r="AH52" i="4"/>
  <c r="AB12" i="2"/>
  <c r="AB44" i="2" s="1"/>
  <c r="F23" i="2"/>
  <c r="D43" i="3"/>
  <c r="K12" i="2"/>
  <c r="K44" i="2" s="1"/>
  <c r="AE12" i="2"/>
  <c r="AG44" i="3"/>
  <c r="AM17" i="3"/>
  <c r="AM43" i="3" s="1"/>
  <c r="AA29" i="3"/>
  <c r="T43" i="3"/>
  <c r="AA23" i="2"/>
  <c r="AG29" i="2"/>
  <c r="R17" i="3"/>
  <c r="R43" i="3" s="1"/>
  <c r="AE29" i="3"/>
  <c r="AE43" i="3"/>
  <c r="J12" i="6"/>
  <c r="AI12" i="2"/>
  <c r="M23" i="2"/>
  <c r="Q23" i="2"/>
  <c r="I29" i="2"/>
  <c r="D12" i="2"/>
  <c r="D44" i="2" s="1"/>
  <c r="W7" i="2"/>
  <c r="W12" i="2" s="1"/>
  <c r="W44" i="2" s="1"/>
  <c r="AC23" i="2"/>
  <c r="M36" i="2"/>
  <c r="AI31" i="2"/>
  <c r="AI36" i="2" s="1"/>
  <c r="F36" i="2"/>
  <c r="E52" i="2"/>
  <c r="M52" i="2"/>
  <c r="U52" i="2"/>
  <c r="AC52" i="2"/>
  <c r="AK52" i="2"/>
  <c r="G12" i="3"/>
  <c r="G44" i="3" s="1"/>
  <c r="G53" i="3" s="1"/>
  <c r="O12" i="3"/>
  <c r="W12" i="3"/>
  <c r="W44" i="3" s="1"/>
  <c r="AE12" i="3"/>
  <c r="AM12" i="3"/>
  <c r="O43" i="3"/>
  <c r="K52" i="3"/>
  <c r="S52" i="3"/>
  <c r="AA52" i="3"/>
  <c r="AI52" i="3"/>
  <c r="E12" i="4"/>
  <c r="E44" i="4" s="1"/>
  <c r="M12" i="4"/>
  <c r="U12" i="4"/>
  <c r="AC12" i="4"/>
  <c r="AK12" i="4"/>
  <c r="AG52" i="4"/>
  <c r="X43" i="5"/>
  <c r="AK36" i="2"/>
  <c r="N52" i="2"/>
  <c r="D52" i="3"/>
  <c r="Z52" i="4"/>
  <c r="AD52" i="2"/>
  <c r="AF12" i="3"/>
  <c r="AF44" i="3" s="1"/>
  <c r="G12" i="2"/>
  <c r="G44" i="2" s="1"/>
  <c r="U29" i="2"/>
  <c r="U36" i="2"/>
  <c r="G52" i="2"/>
  <c r="W52" i="2"/>
  <c r="AM52" i="2"/>
  <c r="F52" i="2"/>
  <c r="AL52" i="2"/>
  <c r="X12" i="3"/>
  <c r="X44" i="3" s="1"/>
  <c r="N12" i="4"/>
  <c r="R52" i="4"/>
  <c r="AJ43" i="6"/>
  <c r="AJ29" i="6"/>
  <c r="AJ12" i="2"/>
  <c r="AJ44" i="2" s="1"/>
  <c r="AC29" i="2"/>
  <c r="O52" i="2"/>
  <c r="O53" i="2" s="1"/>
  <c r="AE52" i="2"/>
  <c r="Q12" i="3"/>
  <c r="AK12" i="2"/>
  <c r="AE29" i="2"/>
  <c r="X29" i="2"/>
  <c r="M29" i="2"/>
  <c r="AK29" i="2"/>
  <c r="H52" i="2"/>
  <c r="P52" i="2"/>
  <c r="X52" i="2"/>
  <c r="AF52" i="2"/>
  <c r="J12" i="3"/>
  <c r="R12" i="3"/>
  <c r="Z12" i="3"/>
  <c r="Z44" i="3" s="1"/>
  <c r="AH12" i="3"/>
  <c r="V36" i="3"/>
  <c r="M43" i="5"/>
  <c r="AD12" i="4"/>
  <c r="AD44" i="4" s="1"/>
  <c r="G52" i="4"/>
  <c r="O52" i="4"/>
  <c r="W52" i="4"/>
  <c r="AE52" i="4"/>
  <c r="AM52" i="4"/>
  <c r="H12" i="5"/>
  <c r="P12" i="5"/>
  <c r="P44" i="5" s="1"/>
  <c r="P53" i="5" s="1"/>
  <c r="AA12" i="6"/>
  <c r="K44" i="8"/>
  <c r="J12" i="9"/>
  <c r="J44" i="9" s="1"/>
  <c r="R12" i="9"/>
  <c r="R44" i="9" s="1"/>
  <c r="Z12" i="9"/>
  <c r="Z44" i="9" s="1"/>
  <c r="AH12" i="9"/>
  <c r="H12" i="4"/>
  <c r="P12" i="4"/>
  <c r="P44" i="4" s="1"/>
  <c r="X12" i="4"/>
  <c r="X44" i="4" s="1"/>
  <c r="AF12" i="4"/>
  <c r="I52" i="4"/>
  <c r="Q52" i="4"/>
  <c r="Y52" i="4"/>
  <c r="J12" i="5"/>
  <c r="R12" i="5"/>
  <c r="Z12" i="5"/>
  <c r="AH12" i="5"/>
  <c r="F12" i="5"/>
  <c r="N12" i="5"/>
  <c r="V12" i="5"/>
  <c r="V44" i="5" s="1"/>
  <c r="AL12" i="5"/>
  <c r="R43" i="5"/>
  <c r="AE43" i="5"/>
  <c r="AE44" i="5" s="1"/>
  <c r="F52" i="5"/>
  <c r="N52" i="5"/>
  <c r="V52" i="5"/>
  <c r="AD52" i="5"/>
  <c r="AL52" i="5"/>
  <c r="AH12" i="6"/>
  <c r="AH44" i="6" s="1"/>
  <c r="L43" i="6"/>
  <c r="I43" i="6"/>
  <c r="G52" i="6"/>
  <c r="O52" i="6"/>
  <c r="W52" i="6"/>
  <c r="AE52" i="6"/>
  <c r="AM52" i="6"/>
  <c r="Q12" i="7"/>
  <c r="Y12" i="7"/>
  <c r="AG12" i="7"/>
  <c r="AI52" i="7"/>
  <c r="E12" i="8"/>
  <c r="E44" i="8" s="1"/>
  <c r="M12" i="8"/>
  <c r="M44" i="8" s="1"/>
  <c r="U12" i="8"/>
  <c r="U44" i="8" s="1"/>
  <c r="AC12" i="8"/>
  <c r="AK12" i="8"/>
  <c r="AK44" i="8" s="1"/>
  <c r="F52" i="8"/>
  <c r="N52" i="8"/>
  <c r="V52" i="8"/>
  <c r="AD52" i="8"/>
  <c r="AL52" i="8"/>
  <c r="D12" i="9"/>
  <c r="D44" i="9" s="1"/>
  <c r="D53" i="9" s="1"/>
  <c r="L12" i="9"/>
  <c r="L44" i="9" s="1"/>
  <c r="L53" i="9" s="1"/>
  <c r="T12" i="9"/>
  <c r="T44" i="9" s="1"/>
  <c r="T53" i="9" s="1"/>
  <c r="AB12" i="9"/>
  <c r="AJ12" i="9"/>
  <c r="AJ44" i="9" s="1"/>
  <c r="AJ53" i="9" s="1"/>
  <c r="G43" i="9"/>
  <c r="E43" i="9"/>
  <c r="T36" i="9"/>
  <c r="H52" i="9"/>
  <c r="P52" i="9"/>
  <c r="X52" i="9"/>
  <c r="AF52" i="9"/>
  <c r="K12" i="5"/>
  <c r="K44" i="5" s="1"/>
  <c r="S12" i="5"/>
  <c r="S44" i="5" s="1"/>
  <c r="AA12" i="5"/>
  <c r="AI12" i="5"/>
  <c r="AI44" i="5" s="1"/>
  <c r="Z43" i="5"/>
  <c r="G52" i="5"/>
  <c r="O52" i="5"/>
  <c r="W52" i="5"/>
  <c r="AE52" i="5"/>
  <c r="AM52" i="5"/>
  <c r="M12" i="6"/>
  <c r="M44" i="6" s="1"/>
  <c r="M53" i="6" s="1"/>
  <c r="P29" i="6"/>
  <c r="U43" i="6"/>
  <c r="U44" i="6" s="1"/>
  <c r="H52" i="6"/>
  <c r="P52" i="6"/>
  <c r="X52" i="6"/>
  <c r="AF52" i="6"/>
  <c r="J12" i="7"/>
  <c r="AH12" i="7"/>
  <c r="D52" i="7"/>
  <c r="T52" i="7"/>
  <c r="AJ52" i="7"/>
  <c r="F12" i="8"/>
  <c r="F44" i="8" s="1"/>
  <c r="N12" i="8"/>
  <c r="N44" i="8" s="1"/>
  <c r="V12" i="8"/>
  <c r="V44" i="8" s="1"/>
  <c r="AD12" i="8"/>
  <c r="AD44" i="8" s="1"/>
  <c r="AL12" i="8"/>
  <c r="AL44" i="8" s="1"/>
  <c r="G52" i="8"/>
  <c r="O52" i="8"/>
  <c r="W52" i="8"/>
  <c r="AE52" i="8"/>
  <c r="AM52" i="8"/>
  <c r="E12" i="9"/>
  <c r="M12" i="9"/>
  <c r="U12" i="9"/>
  <c r="AC12" i="9"/>
  <c r="AC44" i="9" s="1"/>
  <c r="AC53" i="9" s="1"/>
  <c r="AK12" i="9"/>
  <c r="AK44" i="9" s="1"/>
  <c r="AK53" i="9" s="1"/>
  <c r="W43" i="9"/>
  <c r="L36" i="9"/>
  <c r="U36" i="9"/>
  <c r="M43" i="9"/>
  <c r="I52" i="9"/>
  <c r="Q52" i="9"/>
  <c r="Y52" i="9"/>
  <c r="AG52" i="9"/>
  <c r="AA14" i="5"/>
  <c r="AA43" i="5" s="1"/>
  <c r="T43" i="5"/>
  <c r="T44" i="5" s="1"/>
  <c r="F12" i="6"/>
  <c r="D12" i="6"/>
  <c r="D44" i="6" s="1"/>
  <c r="N12" i="6"/>
  <c r="AI12" i="6"/>
  <c r="N43" i="6"/>
  <c r="Y52" i="6"/>
  <c r="Y53" i="6" s="1"/>
  <c r="AG52" i="6"/>
  <c r="K12" i="7"/>
  <c r="K44" i="7" s="1"/>
  <c r="K53" i="7" s="1"/>
  <c r="S12" i="7"/>
  <c r="S44" i="7" s="1"/>
  <c r="S53" i="7" s="1"/>
  <c r="AI12" i="7"/>
  <c r="E52" i="7"/>
  <c r="M52" i="7"/>
  <c r="U52" i="7"/>
  <c r="AC52" i="7"/>
  <c r="AK52" i="7"/>
  <c r="G12" i="8"/>
  <c r="G44" i="8" s="1"/>
  <c r="O12" i="8"/>
  <c r="O44" i="8" s="1"/>
  <c r="W12" i="8"/>
  <c r="W44" i="8" s="1"/>
  <c r="AE12" i="8"/>
  <c r="AE44" i="8" s="1"/>
  <c r="AM12" i="8"/>
  <c r="AM44" i="8" s="1"/>
  <c r="K12" i="4"/>
  <c r="K44" i="4" s="1"/>
  <c r="S12" i="4"/>
  <c r="AA12" i="4"/>
  <c r="AA44" i="4" s="1"/>
  <c r="D52" i="4"/>
  <c r="L52" i="4"/>
  <c r="T52" i="4"/>
  <c r="AB52" i="4"/>
  <c r="AJ52" i="4"/>
  <c r="E12" i="5"/>
  <c r="E44" i="5" s="1"/>
  <c r="M12" i="5"/>
  <c r="U12" i="5"/>
  <c r="U44" i="5" s="1"/>
  <c r="AC12" i="5"/>
  <c r="AC44" i="5" s="1"/>
  <c r="AK12" i="5"/>
  <c r="AK44" i="5" s="1"/>
  <c r="AF43" i="5"/>
  <c r="Q29" i="5"/>
  <c r="W36" i="5"/>
  <c r="I52" i="5"/>
  <c r="Q52" i="5"/>
  <c r="Y52" i="5"/>
  <c r="AG52" i="5"/>
  <c r="K12" i="6"/>
  <c r="E12" i="6"/>
  <c r="AJ12" i="6"/>
  <c r="I12" i="6"/>
  <c r="AM43" i="6"/>
  <c r="AM23" i="6"/>
  <c r="L36" i="6"/>
  <c r="Q43" i="6"/>
  <c r="Q44" i="6" s="1"/>
  <c r="J52" i="6"/>
  <c r="R52" i="6"/>
  <c r="Z52" i="6"/>
  <c r="AH52" i="6"/>
  <c r="N52" i="6"/>
  <c r="V52" i="6"/>
  <c r="AD52" i="6"/>
  <c r="D12" i="7"/>
  <c r="D44" i="7" s="1"/>
  <c r="L12" i="7"/>
  <c r="L44" i="7" s="1"/>
  <c r="L53" i="7" s="1"/>
  <c r="T12" i="7"/>
  <c r="T44" i="7" s="1"/>
  <c r="AB12" i="7"/>
  <c r="AB44" i="7" s="1"/>
  <c r="AJ12" i="7"/>
  <c r="AG43" i="7"/>
  <c r="AL43" i="7"/>
  <c r="AE36" i="7"/>
  <c r="O43" i="7"/>
  <c r="F52" i="7"/>
  <c r="N52" i="7"/>
  <c r="V52" i="7"/>
  <c r="AD52" i="7"/>
  <c r="AL52" i="7"/>
  <c r="X12" i="8"/>
  <c r="X44" i="8" s="1"/>
  <c r="X53" i="8" s="1"/>
  <c r="I52" i="8"/>
  <c r="Q52" i="8"/>
  <c r="Y52" i="8"/>
  <c r="AG52" i="8"/>
  <c r="G12" i="9"/>
  <c r="G44" i="9" s="1"/>
  <c r="O12" i="9"/>
  <c r="O44" i="9" s="1"/>
  <c r="W12" i="9"/>
  <c r="AE12" i="9"/>
  <c r="AE44" i="9" s="1"/>
  <c r="AM12" i="9"/>
  <c r="AM44" i="9" s="1"/>
  <c r="Y43" i="9"/>
  <c r="AF43" i="9"/>
  <c r="K52" i="9"/>
  <c r="S52" i="9"/>
  <c r="AA52" i="9"/>
  <c r="AA53" i="9" s="1"/>
  <c r="AI52" i="9"/>
  <c r="AI53" i="9" s="1"/>
  <c r="X36" i="2"/>
  <c r="Q36" i="2"/>
  <c r="F43" i="2"/>
  <c r="X43" i="2"/>
  <c r="R44" i="2"/>
  <c r="AA12" i="2"/>
  <c r="Q29" i="2"/>
  <c r="Y43" i="2"/>
  <c r="Y44" i="2" s="1"/>
  <c r="Y53" i="2" s="1"/>
  <c r="Y36" i="2"/>
  <c r="Z31" i="2"/>
  <c r="N53" i="3"/>
  <c r="AI36" i="3"/>
  <c r="AF29" i="4"/>
  <c r="AF43" i="4"/>
  <c r="S12" i="2"/>
  <c r="U23" i="2"/>
  <c r="AA29" i="2"/>
  <c r="H31" i="2"/>
  <c r="Y44" i="3"/>
  <c r="M43" i="2"/>
  <c r="AK43" i="2"/>
  <c r="Q44" i="3"/>
  <c r="AL23" i="2"/>
  <c r="AL43" i="2"/>
  <c r="T12" i="2"/>
  <c r="T44" i="2" s="1"/>
  <c r="AM21" i="2"/>
  <c r="F29" i="2"/>
  <c r="S31" i="2"/>
  <c r="R36" i="2"/>
  <c r="G36" i="2"/>
  <c r="AC43" i="2"/>
  <c r="AC44" i="2" s="1"/>
  <c r="U43" i="2"/>
  <c r="Q43" i="2"/>
  <c r="J29" i="6"/>
  <c r="J43" i="6"/>
  <c r="E29" i="6"/>
  <c r="E43" i="6"/>
  <c r="AC36" i="3"/>
  <c r="J52" i="3"/>
  <c r="R52" i="3"/>
  <c r="Z52" i="3"/>
  <c r="AH52" i="3"/>
  <c r="Q44" i="4"/>
  <c r="AG44" i="4"/>
  <c r="H43" i="4"/>
  <c r="H36" i="4"/>
  <c r="O36" i="3"/>
  <c r="H36" i="5"/>
  <c r="H43" i="5"/>
  <c r="H44" i="5" s="1"/>
  <c r="AE21" i="2"/>
  <c r="AE43" i="2" s="1"/>
  <c r="AD43" i="2"/>
  <c r="K17" i="3"/>
  <c r="K43" i="3" s="1"/>
  <c r="K44" i="3" s="1"/>
  <c r="J43" i="3"/>
  <c r="S17" i="4"/>
  <c r="S43" i="4" s="1"/>
  <c r="I36" i="4"/>
  <c r="K52" i="4"/>
  <c r="S52" i="4"/>
  <c r="AA52" i="4"/>
  <c r="AI52" i="4"/>
  <c r="AI53" i="4" s="1"/>
  <c r="N14" i="5"/>
  <c r="N43" i="5" s="1"/>
  <c r="AJ44" i="4"/>
  <c r="AK43" i="4"/>
  <c r="AK29" i="4"/>
  <c r="AL28" i="4"/>
  <c r="H29" i="3"/>
  <c r="E52" i="3"/>
  <c r="E53" i="3" s="1"/>
  <c r="M52" i="3"/>
  <c r="U52" i="3"/>
  <c r="AC52" i="3"/>
  <c r="AK52" i="3"/>
  <c r="P12" i="6"/>
  <c r="P44" i="6" s="1"/>
  <c r="F52" i="6"/>
  <c r="L43" i="4"/>
  <c r="M28" i="4"/>
  <c r="Z43" i="4"/>
  <c r="E52" i="4"/>
  <c r="M52" i="4"/>
  <c r="U52" i="4"/>
  <c r="AC52" i="4"/>
  <c r="AK52" i="4"/>
  <c r="AH43" i="3"/>
  <c r="AC43" i="3"/>
  <c r="AC44" i="3" s="1"/>
  <c r="AD35" i="3"/>
  <c r="H12" i="6"/>
  <c r="H44" i="6" s="1"/>
  <c r="G43" i="7"/>
  <c r="G36" i="7"/>
  <c r="O44" i="6"/>
  <c r="AK43" i="6"/>
  <c r="AK44" i="6" s="1"/>
  <c r="AK36" i="6"/>
  <c r="Z43" i="6"/>
  <c r="Z44" i="6" s="1"/>
  <c r="Z36" i="4"/>
  <c r="F43" i="5"/>
  <c r="AA44" i="6"/>
  <c r="AA53" i="6" s="1"/>
  <c r="K43" i="6"/>
  <c r="K44" i="6" s="1"/>
  <c r="K53" i="6" s="1"/>
  <c r="H12" i="7"/>
  <c r="H44" i="7" s="1"/>
  <c r="P12" i="7"/>
  <c r="P44" i="7" s="1"/>
  <c r="X12" i="7"/>
  <c r="X44" i="7" s="1"/>
  <c r="AF12" i="7"/>
  <c r="AF44" i="7" s="1"/>
  <c r="N44" i="9"/>
  <c r="AA36" i="4"/>
  <c r="G44" i="5"/>
  <c r="O43" i="5"/>
  <c r="O44" i="5" s="1"/>
  <c r="X43" i="6"/>
  <c r="X44" i="6" s="1"/>
  <c r="W43" i="6"/>
  <c r="W44" i="6" s="1"/>
  <c r="W53" i="6" s="1"/>
  <c r="F36" i="6"/>
  <c r="AF12" i="6"/>
  <c r="AF44" i="6" s="1"/>
  <c r="AE43" i="6"/>
  <c r="AE44" i="6" s="1"/>
  <c r="U36" i="4"/>
  <c r="AM14" i="5"/>
  <c r="AM43" i="5" s="1"/>
  <c r="AM44" i="5" s="1"/>
  <c r="AM53" i="5" s="1"/>
  <c r="K52" i="5"/>
  <c r="S52" i="5"/>
  <c r="AA52" i="5"/>
  <c r="AI52" i="5"/>
  <c r="AI53" i="5" s="1"/>
  <c r="AL52" i="6"/>
  <c r="R21" i="6"/>
  <c r="U36" i="6"/>
  <c r="N16" i="7"/>
  <c r="N43" i="7" s="1"/>
  <c r="R43" i="7"/>
  <c r="AI43" i="7"/>
  <c r="AG43" i="5"/>
  <c r="E12" i="7"/>
  <c r="E44" i="7" s="1"/>
  <c r="M12" i="7"/>
  <c r="M44" i="7" s="1"/>
  <c r="U12" i="7"/>
  <c r="U44" i="7" s="1"/>
  <c r="AC12" i="7"/>
  <c r="AK12" i="7"/>
  <c r="AK44" i="7" s="1"/>
  <c r="G36" i="9"/>
  <c r="J43" i="5"/>
  <c r="J44" i="5" s="1"/>
  <c r="AH43" i="5"/>
  <c r="F12" i="7"/>
  <c r="F44" i="7" s="1"/>
  <c r="N12" i="7"/>
  <c r="V12" i="7"/>
  <c r="AD12" i="7"/>
  <c r="AD44" i="7" s="1"/>
  <c r="AL12" i="7"/>
  <c r="G12" i="7"/>
  <c r="O12" i="7"/>
  <c r="W12" i="7"/>
  <c r="W44" i="7" s="1"/>
  <c r="AE12" i="7"/>
  <c r="AE44" i="7" s="1"/>
  <c r="AE53" i="7" s="1"/>
  <c r="AM12" i="7"/>
  <c r="AM44" i="7" s="1"/>
  <c r="AM53" i="7" s="1"/>
  <c r="J53" i="8"/>
  <c r="E52" i="8"/>
  <c r="M52" i="8"/>
  <c r="M53" i="8" s="1"/>
  <c r="U52" i="8"/>
  <c r="AC52" i="8"/>
  <c r="AK52" i="8"/>
  <c r="J52" i="9"/>
  <c r="R52" i="9"/>
  <c r="Z52" i="9"/>
  <c r="AH52" i="9"/>
  <c r="Q36" i="7"/>
  <c r="Q43" i="7"/>
  <c r="AB44" i="8"/>
  <c r="AB53" i="8" s="1"/>
  <c r="H36" i="8"/>
  <c r="H43" i="8"/>
  <c r="H44" i="8" s="1"/>
  <c r="H53" i="8" s="1"/>
  <c r="V43" i="9"/>
  <c r="V44" i="9" s="1"/>
  <c r="Y43" i="7"/>
  <c r="Y44" i="7" s="1"/>
  <c r="AB36" i="8"/>
  <c r="E36" i="9"/>
  <c r="J43" i="7"/>
  <c r="AH43" i="7"/>
  <c r="U36" i="8"/>
  <c r="AK36" i="8"/>
  <c r="U43" i="9"/>
  <c r="Y36" i="9"/>
  <c r="X36" i="7"/>
  <c r="V43" i="7"/>
  <c r="AC31" i="8"/>
  <c r="J36" i="9"/>
  <c r="AH36" i="9"/>
  <c r="Q53" i="3" l="1"/>
  <c r="AF44" i="4"/>
  <c r="G53" i="6"/>
  <c r="F44" i="5"/>
  <c r="U53" i="8"/>
  <c r="AE53" i="6"/>
  <c r="F44" i="2"/>
  <c r="F53" i="2" s="1"/>
  <c r="G53" i="8"/>
  <c r="AL53" i="3"/>
  <c r="U53" i="3"/>
  <c r="Z53" i="7"/>
  <c r="AD44" i="2"/>
  <c r="J44" i="6"/>
  <c r="J53" i="6" s="1"/>
  <c r="Y53" i="3"/>
  <c r="D53" i="4"/>
  <c r="T53" i="5"/>
  <c r="X53" i="9"/>
  <c r="AL44" i="5"/>
  <c r="AG53" i="3"/>
  <c r="Z53" i="8"/>
  <c r="AA53" i="7"/>
  <c r="V53" i="9"/>
  <c r="L44" i="4"/>
  <c r="M44" i="5"/>
  <c r="M53" i="5" s="1"/>
  <c r="U53" i="6"/>
  <c r="J53" i="2"/>
  <c r="K53" i="9"/>
  <c r="J53" i="5"/>
  <c r="AG44" i="5"/>
  <c r="AK53" i="6"/>
  <c r="AL44" i="2"/>
  <c r="AL53" i="2" s="1"/>
  <c r="AM44" i="6"/>
  <c r="AM53" i="6" s="1"/>
  <c r="J44" i="7"/>
  <c r="J53" i="7" s="1"/>
  <c r="E53" i="7"/>
  <c r="W44" i="5"/>
  <c r="W53" i="5" s="1"/>
  <c r="O53" i="9"/>
  <c r="AL53" i="8"/>
  <c r="AA53" i="3"/>
  <c r="R53" i="8"/>
  <c r="AC44" i="7"/>
  <c r="AC53" i="7" s="1"/>
  <c r="F53" i="5"/>
  <c r="X44" i="2"/>
  <c r="AE44" i="3"/>
  <c r="AE53" i="3" s="1"/>
  <c r="T53" i="2"/>
  <c r="AD53" i="5"/>
  <c r="W53" i="4"/>
  <c r="Y44" i="9"/>
  <c r="Y53" i="9" s="1"/>
  <c r="L53" i="5"/>
  <c r="AH53" i="8"/>
  <c r="AK53" i="3"/>
  <c r="U44" i="2"/>
  <c r="U53" i="2" s="1"/>
  <c r="E53" i="5"/>
  <c r="D53" i="5"/>
  <c r="K53" i="8"/>
  <c r="F53" i="7"/>
  <c r="G53" i="9"/>
  <c r="AI53" i="8"/>
  <c r="I53" i="7"/>
  <c r="I44" i="4"/>
  <c r="I53" i="4" s="1"/>
  <c r="AF53" i="8"/>
  <c r="M53" i="3"/>
  <c r="AD53" i="2"/>
  <c r="T53" i="4"/>
  <c r="D53" i="6"/>
  <c r="X53" i="3"/>
  <c r="W53" i="3"/>
  <c r="L44" i="6"/>
  <c r="L53" i="6" s="1"/>
  <c r="Y44" i="4"/>
  <c r="N44" i="5"/>
  <c r="J53" i="9"/>
  <c r="AG53" i="5"/>
  <c r="S53" i="9"/>
  <c r="AJ44" i="6"/>
  <c r="AJ53" i="6" s="1"/>
  <c r="P53" i="4"/>
  <c r="AD53" i="4"/>
  <c r="L53" i="3"/>
  <c r="P53" i="2"/>
  <c r="P53" i="7"/>
  <c r="AI43" i="2"/>
  <c r="AI44" i="2" s="1"/>
  <c r="AI53" i="2" s="1"/>
  <c r="AH44" i="2"/>
  <c r="AH53" i="2" s="1"/>
  <c r="F44" i="6"/>
  <c r="F53" i="6" s="1"/>
  <c r="AB44" i="9"/>
  <c r="AB53" i="9" s="1"/>
  <c r="F44" i="3"/>
  <c r="F53" i="3" s="1"/>
  <c r="AC53" i="6"/>
  <c r="AD53" i="7"/>
  <c r="T44" i="3"/>
  <c r="T53" i="3" s="1"/>
  <c r="AB44" i="5"/>
  <c r="AB53" i="5" s="1"/>
  <c r="AL53" i="9"/>
  <c r="S53" i="8"/>
  <c r="Z53" i="3"/>
  <c r="AD53" i="6"/>
  <c r="Y53" i="5"/>
  <c r="U53" i="5"/>
  <c r="AG53" i="6"/>
  <c r="AM53" i="4"/>
  <c r="AJ53" i="5"/>
  <c r="AK44" i="4"/>
  <c r="AK53" i="4" s="1"/>
  <c r="T53" i="6"/>
  <c r="O44" i="7"/>
  <c r="O53" i="7" s="1"/>
  <c r="AF53" i="6"/>
  <c r="I53" i="8"/>
  <c r="F53" i="8"/>
  <c r="AH53" i="6"/>
  <c r="AL53" i="5"/>
  <c r="O44" i="3"/>
  <c r="O53" i="3" s="1"/>
  <c r="T53" i="8"/>
  <c r="G44" i="4"/>
  <c r="G53" i="4" s="1"/>
  <c r="V44" i="3"/>
  <c r="V53" i="3" s="1"/>
  <c r="P53" i="8"/>
  <c r="AI44" i="7"/>
  <c r="AI53" i="7" s="1"/>
  <c r="X53" i="6"/>
  <c r="AH44" i="3"/>
  <c r="AH53" i="3" s="1"/>
  <c r="H44" i="4"/>
  <c r="H53" i="4" s="1"/>
  <c r="AF53" i="4"/>
  <c r="I44" i="6"/>
  <c r="I53" i="6" s="1"/>
  <c r="K53" i="2"/>
  <c r="AH53" i="4"/>
  <c r="AF44" i="5"/>
  <c r="AF53" i="5" s="1"/>
  <c r="K53" i="5"/>
  <c r="H53" i="5"/>
  <c r="AB53" i="4"/>
  <c r="AM53" i="8"/>
  <c r="AI44" i="6"/>
  <c r="AI53" i="6" s="1"/>
  <c r="Q53" i="9"/>
  <c r="AH44" i="7"/>
  <c r="AH53" i="7" s="1"/>
  <c r="R44" i="3"/>
  <c r="R53" i="3" s="1"/>
  <c r="AJ53" i="2"/>
  <c r="X44" i="5"/>
  <c r="X53" i="5" s="1"/>
  <c r="Y53" i="7"/>
  <c r="H53" i="7"/>
  <c r="K53" i="4"/>
  <c r="T53" i="7"/>
  <c r="P53" i="3"/>
  <c r="G44" i="7"/>
  <c r="G53" i="7" s="1"/>
  <c r="AJ44" i="7"/>
  <c r="AJ53" i="7" s="1"/>
  <c r="AA53" i="8"/>
  <c r="AG53" i="8"/>
  <c r="I53" i="9"/>
  <c r="F53" i="9"/>
  <c r="AI43" i="3"/>
  <c r="AI44" i="3" s="1"/>
  <c r="AI53" i="3" s="1"/>
  <c r="S53" i="5"/>
  <c r="Z53" i="6"/>
  <c r="E53" i="4"/>
  <c r="V53" i="8"/>
  <c r="AM44" i="3"/>
  <c r="AM53" i="3" s="1"/>
  <c r="AB53" i="2"/>
  <c r="L53" i="2"/>
  <c r="H53" i="3"/>
  <c r="U44" i="9"/>
  <c r="U53" i="9" s="1"/>
  <c r="X53" i="7"/>
  <c r="F43" i="4"/>
  <c r="F44" i="4" s="1"/>
  <c r="F53" i="4" s="1"/>
  <c r="Q53" i="8"/>
  <c r="Q53" i="6"/>
  <c r="AC53" i="5"/>
  <c r="AH44" i="9"/>
  <c r="AH53" i="9" s="1"/>
  <c r="AF53" i="3"/>
  <c r="E53" i="2"/>
  <c r="AJ53" i="3"/>
  <c r="X53" i="4"/>
  <c r="AM53" i="9"/>
  <c r="Z53" i="9"/>
  <c r="AB53" i="3"/>
  <c r="W53" i="7"/>
  <c r="U53" i="7"/>
  <c r="L53" i="4"/>
  <c r="AJ53" i="4"/>
  <c r="E44" i="6"/>
  <c r="E53" i="6" s="1"/>
  <c r="AE53" i="9"/>
  <c r="P53" i="9"/>
  <c r="V53" i="5"/>
  <c r="R53" i="4"/>
  <c r="V53" i="2"/>
  <c r="E53" i="8"/>
  <c r="AH44" i="5"/>
  <c r="AH53" i="5" s="1"/>
  <c r="M53" i="7"/>
  <c r="O53" i="6"/>
  <c r="AC44" i="4"/>
  <c r="AC53" i="4" s="1"/>
  <c r="N53" i="5"/>
  <c r="H53" i="9"/>
  <c r="AF44" i="9"/>
  <c r="AF53" i="9" s="1"/>
  <c r="O53" i="4"/>
  <c r="AL53" i="6"/>
  <c r="AL44" i="7"/>
  <c r="AL53" i="7" s="1"/>
  <c r="K53" i="3"/>
  <c r="I53" i="5"/>
  <c r="N53" i="2"/>
  <c r="AJ53" i="8"/>
  <c r="U44" i="4"/>
  <c r="U53" i="4" s="1"/>
  <c r="D53" i="2"/>
  <c r="D44" i="3"/>
  <c r="D53" i="3" s="1"/>
  <c r="N53" i="9"/>
  <c r="AK44" i="2"/>
  <c r="AK53" i="2" s="1"/>
  <c r="R44" i="7"/>
  <c r="R53" i="7" s="1"/>
  <c r="AF53" i="7"/>
  <c r="AE44" i="2"/>
  <c r="AE53" i="2" s="1"/>
  <c r="M44" i="2"/>
  <c r="M53" i="2" s="1"/>
  <c r="R53" i="2"/>
  <c r="AB53" i="7"/>
  <c r="Q44" i="2"/>
  <c r="Q53" i="2" s="1"/>
  <c r="N44" i="6"/>
  <c r="N53" i="6" s="1"/>
  <c r="Q53" i="5"/>
  <c r="AC53" i="3"/>
  <c r="Z44" i="4"/>
  <c r="Z53" i="4" s="1"/>
  <c r="AG53" i="4"/>
  <c r="X53" i="2"/>
  <c r="Y53" i="8"/>
  <c r="AK53" i="5"/>
  <c r="AE53" i="5"/>
  <c r="AC53" i="2"/>
  <c r="D53" i="7"/>
  <c r="O53" i="8"/>
  <c r="N53" i="8"/>
  <c r="J53" i="4"/>
  <c r="Y53" i="4"/>
  <c r="W44" i="9"/>
  <c r="W53" i="9" s="1"/>
  <c r="AE53" i="4"/>
  <c r="G53" i="2"/>
  <c r="G53" i="5"/>
  <c r="R53" i="9"/>
  <c r="AK53" i="8"/>
  <c r="Q53" i="4"/>
  <c r="S53" i="3"/>
  <c r="P53" i="6"/>
  <c r="Q44" i="7"/>
  <c r="Q53" i="7" s="1"/>
  <c r="AK53" i="7"/>
  <c r="S44" i="4"/>
  <c r="S53" i="4" s="1"/>
  <c r="AA44" i="5"/>
  <c r="AA53" i="5" s="1"/>
  <c r="V53" i="6"/>
  <c r="AE53" i="8"/>
  <c r="M44" i="9"/>
  <c r="M53" i="9" s="1"/>
  <c r="AD53" i="8"/>
  <c r="Z44" i="5"/>
  <c r="Z53" i="5" s="1"/>
  <c r="H53" i="6"/>
  <c r="J44" i="3"/>
  <c r="J53" i="3" s="1"/>
  <c r="W53" i="8"/>
  <c r="E44" i="9"/>
  <c r="E53" i="9" s="1"/>
  <c r="AG44" i="7"/>
  <c r="AG53" i="7" s="1"/>
  <c r="R44" i="5"/>
  <c r="R53" i="5" s="1"/>
  <c r="W53" i="2"/>
  <c r="V43" i="4"/>
  <c r="V44" i="4" s="1"/>
  <c r="V53" i="4" s="1"/>
  <c r="V36" i="4"/>
  <c r="O53" i="5"/>
  <c r="AA53" i="4"/>
  <c r="AG53" i="9"/>
  <c r="N44" i="7"/>
  <c r="N53" i="7" s="1"/>
  <c r="H43" i="2"/>
  <c r="H44" i="2" s="1"/>
  <c r="H53" i="2" s="1"/>
  <c r="H36" i="2"/>
  <c r="I31" i="2"/>
  <c r="AD43" i="3"/>
  <c r="AD44" i="3" s="1"/>
  <c r="AD53" i="3" s="1"/>
  <c r="AD36" i="3"/>
  <c r="S36" i="2"/>
  <c r="S43" i="2"/>
  <c r="S44" i="2" s="1"/>
  <c r="S53" i="2" s="1"/>
  <c r="R23" i="6"/>
  <c r="R43" i="6"/>
  <c r="R44" i="6" s="1"/>
  <c r="R53" i="6" s="1"/>
  <c r="Z36" i="2"/>
  <c r="AA31" i="2"/>
  <c r="Z43" i="2"/>
  <c r="Z44" i="2" s="1"/>
  <c r="Z53" i="2" s="1"/>
  <c r="AF21" i="2"/>
  <c r="AE23" i="2"/>
  <c r="AC43" i="8"/>
  <c r="AC44" i="8" s="1"/>
  <c r="AC53" i="8" s="1"/>
  <c r="AC36" i="8"/>
  <c r="M43" i="4"/>
  <c r="M44" i="4" s="1"/>
  <c r="M53" i="4" s="1"/>
  <c r="N28" i="4"/>
  <c r="M29" i="4"/>
  <c r="AL29" i="4"/>
  <c r="AL43" i="4"/>
  <c r="AL44" i="4" s="1"/>
  <c r="AL53" i="4" s="1"/>
  <c r="AM43" i="2"/>
  <c r="AM44" i="2" s="1"/>
  <c r="AM53" i="2" s="1"/>
  <c r="AM23" i="2"/>
  <c r="V44" i="7"/>
  <c r="V53" i="7" s="1"/>
  <c r="AA36" i="2" l="1"/>
  <c r="AA43" i="2"/>
  <c r="AA44" i="2" s="1"/>
  <c r="AA53" i="2" s="1"/>
  <c r="N29" i="4"/>
  <c r="N43" i="4"/>
  <c r="N44" i="4" s="1"/>
  <c r="N53" i="4" s="1"/>
  <c r="I36" i="2"/>
  <c r="I43" i="2"/>
  <c r="I44" i="2" s="1"/>
  <c r="I53" i="2" s="1"/>
  <c r="AF43" i="2"/>
  <c r="AF44" i="2" s="1"/>
  <c r="AF53" i="2" s="1"/>
  <c r="AG21" i="2"/>
  <c r="AF23" i="2"/>
  <c r="AG23" i="2" l="1"/>
  <c r="AG43" i="2"/>
  <c r="AG44" i="2" s="1"/>
  <c r="AG5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23A578-5581-4D68-931B-D607D4D2EF02}" name="Connection" type="104" refreshedVersion="0" background="1">
    <extLst>
      <ext xmlns:x15="http://schemas.microsoft.com/office/spreadsheetml/2010/11/main" uri="{DE250136-89BD-433C-8126-D09CA5730AF9}">
        <x15:connection id="Calendar"/>
      </ext>
    </extLst>
  </connection>
  <connection id="2" xr16:uid="{4C27DC34-B0A2-4179-830A-C9A022D263AC}" keepAlive="1" name="Query - CS_Actuals" description="Connection to the 'CS_Actuals' query in the workbook." type="5" refreshedVersion="0" background="1">
    <dbPr connection="Provider=Microsoft.Mashup.OleDb.1;Data Source=$Workbook$;Location=CS_Actuals;Extended Properties=&quot;&quot;" command="SELECT * FROM [CS_Actuals]"/>
  </connection>
  <connection id="3" xr16:uid="{B07BA28A-47A4-4527-A252-F69B36B8ED61}" keepAlive="1" name="Query - CS_Budget" description="Connection to the 'CS_Budget' query in the workbook." type="5" refreshedVersion="0" background="1">
    <dbPr connection="Provider=Microsoft.Mashup.OleDb.1;Data Source=$Workbook$;Location=CS_Budget;Extended Properties=&quot;&quot;" command="SELECT * FROM [CS_Budget]"/>
  </connection>
  <connection id="4" xr16:uid="{6621CCBF-68C6-4660-A0E8-7E4E9F9DD375}" name="Query - Department P&amp;L" description="Connection to the 'Department P&amp;L' query in the workbook." type="100" refreshedVersion="8" minRefreshableVersion="5">
    <extLst>
      <ext xmlns:x15="http://schemas.microsoft.com/office/spreadsheetml/2010/11/main" uri="{DE250136-89BD-433C-8126-D09CA5730AF9}">
        <x15:connection id="8e263bee-b360-4685-b486-1572fef81e9d"/>
      </ext>
    </extLst>
  </connection>
  <connection id="5" xr16:uid="{97AF153E-A4F8-4E10-8D31-CEB7D6D17692}" name="Query - Department P&amp;L_Budget" description="Connection to the 'Department P&amp;L_Budget' query in the workbook." type="100" refreshedVersion="8" minRefreshableVersion="5">
    <extLst>
      <ext xmlns:x15="http://schemas.microsoft.com/office/spreadsheetml/2010/11/main" uri="{DE250136-89BD-433C-8126-D09CA5730AF9}">
        <x15:connection id="be8c839a-0916-4310-98b1-fc8dcaa35be8"/>
      </ext>
    </extLst>
  </connection>
  <connection id="6" xr16:uid="{F4481E2C-25B3-42D1-920E-A94657109B61}" keepAlive="1" name="Query - G&amp;A_Actuals" description="Connection to the 'G&amp;A_Actuals' query in the workbook." type="5" refreshedVersion="0" background="1">
    <dbPr connection="Provider=Microsoft.Mashup.OleDb.1;Data Source=$Workbook$;Location=G&amp;A_Actuals;Extended Properties=&quot;&quot;" command="SELECT * FROM [G&amp;A_Actuals]"/>
  </connection>
  <connection id="7" xr16:uid="{478773BD-2850-43D2-B975-A64B9A0D5C07}" keepAlive="1" name="Query - G&amp;A_Budget" description="Connection to the 'G&amp;A_Budget' query in the workbook." type="5" refreshedVersion="0" background="1">
    <dbPr connection="Provider=Microsoft.Mashup.OleDb.1;Data Source=$Workbook$;Location=G&amp;A_Budget;Extended Properties=&quot;&quot;" command="SELECT * FROM [G&amp;A_Budget]"/>
  </connection>
  <connection id="8" xr16:uid="{E9A295E2-0351-42F4-B74E-E5E0A2470281}" keepAlive="1" name="Query - R&amp;D_Actuals" description="Connection to the 'R&amp;D_Actuals' query in the workbook." type="5" refreshedVersion="0" background="1">
    <dbPr connection="Provider=Microsoft.Mashup.OleDb.1;Data Source=$Workbook$;Location=R&amp;D_Actuals;Extended Properties=&quot;&quot;" command="SELECT * FROM [R&amp;D_Actuals]"/>
  </connection>
  <connection id="9" xr16:uid="{E677F06A-9FAE-44AC-A1E9-BEBA18B52834}" keepAlive="1" name="Query - R&amp;D_Budget" description="Connection to the 'R&amp;D_Budget' query in the workbook." type="5" refreshedVersion="0" background="1">
    <dbPr connection="Provider=Microsoft.Mashup.OleDb.1;Data Source=$Workbook$;Location=R&amp;D_Budget;Extended Properties=&quot;&quot;" command="SELECT * FROM [R&amp;D_Budget]"/>
  </connection>
  <connection id="10" xr16:uid="{496CC58F-D906-4031-82B7-03A8AD96F884}" keepAlive="1" name="Query - S&amp;M_Actuals" description="Connection to the 'S&amp;M_Actuals' query in the workbook." type="5" refreshedVersion="0" background="1">
    <dbPr connection="Provider=Microsoft.Mashup.OleDb.1;Data Source=$Workbook$;Location=S&amp;M_Actuals;Extended Properties=&quot;&quot;" command="SELECT * FROM [S&amp;M_Actuals]"/>
  </connection>
  <connection id="11" xr16:uid="{AE64E2DC-6454-45C4-9D7A-C9090FC838C0}" keepAlive="1" name="Query - S&amp;M_Budget" description="Connection to the 'S&amp;M_Budget' query in the workbook." type="5" refreshedVersion="0" background="1">
    <dbPr connection="Provider=Microsoft.Mashup.OleDb.1;Data Source=$Workbook$;Location=S&amp;M_Budget;Extended Properties=&quot;&quot;" command="SELECT * FROM [S&amp;M_Budget]"/>
  </connection>
  <connection id="12" xr16:uid="{3E141B7C-844C-48A3-A4B6-7DF0123DE9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2070821C-73F9-4890-ACA9-2A4B81E531E8}" name="WorksheetConnection_Personal Ultimate Dashboard.xlsx!Departments" type="102" refreshedVersion="8" minRefreshableVersion="5">
    <extLst>
      <ext xmlns:x15="http://schemas.microsoft.com/office/spreadsheetml/2010/11/main" uri="{DE250136-89BD-433C-8126-D09CA5730AF9}">
        <x15:connection id="Departments">
          <x15:rangePr sourceName="_xlcn.WorksheetConnection_PersonalUltimateDashboard.xlsxDepartments1"/>
        </x15:connection>
      </ext>
    </extLst>
  </connection>
  <connection id="14" xr16:uid="{E0C2B12A-FEA3-4EBA-B9C1-96663B2294AF}" name="WorksheetConnection_Personal Ultimate Dashboard.xlsx!Mapping" type="102" refreshedVersion="8" minRefreshableVersion="5">
    <extLst>
      <ext xmlns:x15="http://schemas.microsoft.com/office/spreadsheetml/2010/11/main" uri="{DE250136-89BD-433C-8126-D09CA5730AF9}">
        <x15:connection id="Mapping">
          <x15:rangePr sourceName="_xlcn.WorksheetConnection_PersonalUltimateDashboard.xlsxMapping1"/>
        </x15:connection>
      </ext>
    </extLst>
  </connection>
  <connection id="15" xr16:uid="{79A73194-3926-4D83-B107-F1E9B1CD2696}" name="WorksheetConnection_Personal Ultimate Dashboard.xlsx!Predefined_Dates" type="102" refreshedVersion="8" minRefreshableVersion="5">
    <extLst>
      <ext xmlns:x15="http://schemas.microsoft.com/office/spreadsheetml/2010/11/main" uri="{DE250136-89BD-433C-8126-D09CA5730AF9}">
        <x15:connection id="Predefined_Dates">
          <x15:rangePr sourceName="_xlcn.WorksheetConnection_PersonalUltimateDashboard.xlsxPredefined_Dates1"/>
        </x15:connection>
      </ext>
    </extLst>
  </connection>
  <connection id="16" xr16:uid="{B2E5C407-9176-4412-806F-966476530E8C}" name="WorksheetConnection_Personal Ultimate Dashboard.xlsx!TableView" type="102" refreshedVersion="8" minRefreshableVersion="5">
    <extLst>
      <ext xmlns:x15="http://schemas.microsoft.com/office/spreadsheetml/2010/11/main" uri="{DE250136-89BD-433C-8126-D09CA5730AF9}">
        <x15:connection id="TableView">
          <x15:rangePr sourceName="_xlcn.WorksheetConnection_PersonalUltimateDashboard.xlsxTableView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apping].[Section].&amp;[Expenses]}"/>
  </metadataStrings>
  <mdxMetadata count="1">
    <mdx n="0" f="s">
      <ms ns="1" c="0"/>
    </mdx>
  </mdxMetadata>
  <valueMetadata count="1">
    <bk>
      <rc t="1" v="0"/>
    </bk>
  </valueMetadata>
</metadata>
</file>

<file path=xl/sharedStrings.xml><?xml version="1.0" encoding="utf-8"?>
<sst xmlns="http://schemas.openxmlformats.org/spreadsheetml/2006/main" count="1353" uniqueCount="133">
  <si>
    <t>Income Statement</t>
  </si>
  <si>
    <t>General &amp; Admnistrative</t>
  </si>
  <si>
    <t>Revenue</t>
  </si>
  <si>
    <t>Sales</t>
  </si>
  <si>
    <t>Total Revenue</t>
  </si>
  <si>
    <t>Cost of Goods Sold</t>
  </si>
  <si>
    <t>Web Domain &amp; Hosting Fees</t>
  </si>
  <si>
    <t>Merchant Account Fees</t>
  </si>
  <si>
    <t>Total Cost of Goods Sold</t>
  </si>
  <si>
    <t>Gross Profit</t>
  </si>
  <si>
    <t>Expenses</t>
  </si>
  <si>
    <t>Advertising &amp; Marketing</t>
  </si>
  <si>
    <t>Bank Charges &amp; Fees</t>
  </si>
  <si>
    <t>Conferences &amp; Events</t>
  </si>
  <si>
    <t>Software &amp; Apps</t>
  </si>
  <si>
    <t>Insurance</t>
  </si>
  <si>
    <t>Office Expenses</t>
  </si>
  <si>
    <t>Office Supplies</t>
  </si>
  <si>
    <t>Rent &amp; Lease</t>
  </si>
  <si>
    <t>Utilities</t>
  </si>
  <si>
    <t>Total Office Expenses</t>
  </si>
  <si>
    <t>Professional Services</t>
  </si>
  <si>
    <t>Accounting Fees</t>
  </si>
  <si>
    <t>Consulting Fees</t>
  </si>
  <si>
    <t>Legal Fees</t>
  </si>
  <si>
    <t>Recruiting Fees</t>
  </si>
  <si>
    <t>Total Professional Services</t>
  </si>
  <si>
    <t>Payroll Expenses</t>
  </si>
  <si>
    <t>Salary &amp; Wages</t>
  </si>
  <si>
    <t>Payroll Taxes</t>
  </si>
  <si>
    <t>Health Insurance</t>
  </si>
  <si>
    <t>Payroll Processing Fees</t>
  </si>
  <si>
    <t>Commissions Expense</t>
  </si>
  <si>
    <t>Total Payroll Expenses</t>
  </si>
  <si>
    <t>Taxes &amp; Licenses</t>
  </si>
  <si>
    <t>Travel, Meals &amp; Entertainment</t>
  </si>
  <si>
    <t>Lodging</t>
  </si>
  <si>
    <t>Meals &amp; Entertainment</t>
  </si>
  <si>
    <t>Travel</t>
  </si>
  <si>
    <t>Total Travel, Meals &amp; Entertainment</t>
  </si>
  <si>
    <t>Total Expenses</t>
  </si>
  <si>
    <t>Net Operating Income</t>
  </si>
  <si>
    <t>Other Income</t>
  </si>
  <si>
    <t>Interest Income</t>
  </si>
  <si>
    <t>Total Other Income</t>
  </si>
  <si>
    <t>Other Expenses</t>
  </si>
  <si>
    <t>Depreciation Expense</t>
  </si>
  <si>
    <t>Interest Expense</t>
  </si>
  <si>
    <t>Total Other Expenses</t>
  </si>
  <si>
    <t>Net Other Income</t>
  </si>
  <si>
    <t>Net Income</t>
  </si>
  <si>
    <t>Value Row</t>
  </si>
  <si>
    <t>Summation Row</t>
  </si>
  <si>
    <t>Research &amp; Development</t>
  </si>
  <si>
    <t>Customer Support</t>
  </si>
  <si>
    <t>Sales &amp; Marketing</t>
  </si>
  <si>
    <t>Account</t>
  </si>
  <si>
    <t>Section</t>
  </si>
  <si>
    <t>Summary Grouping</t>
  </si>
  <si>
    <t>Income</t>
  </si>
  <si>
    <t>COGS</t>
  </si>
  <si>
    <t>Other G&amp;A</t>
  </si>
  <si>
    <t>Advertising</t>
  </si>
  <si>
    <t>Professional Fees</t>
  </si>
  <si>
    <t>Payroll</t>
  </si>
  <si>
    <t>EBITDA</t>
  </si>
  <si>
    <t>Departments</t>
  </si>
  <si>
    <t>General &amp; Administrative</t>
  </si>
  <si>
    <t>Period</t>
  </si>
  <si>
    <t>YTD</t>
  </si>
  <si>
    <t>Current Month</t>
  </si>
  <si>
    <t>Trailing 3 Months</t>
  </si>
  <si>
    <t>Trailing 6 Months</t>
  </si>
  <si>
    <t>Trailing 12 Months</t>
  </si>
  <si>
    <t>Row Labels</t>
  </si>
  <si>
    <t>Budget</t>
  </si>
  <si>
    <t>Actuals</t>
  </si>
  <si>
    <t>Date</t>
  </si>
  <si>
    <t>2023 Start</t>
  </si>
  <si>
    <t>2023 End</t>
  </si>
  <si>
    <t>2024 Start</t>
  </si>
  <si>
    <t>2024 End</t>
  </si>
  <si>
    <t>2025 Start</t>
  </si>
  <si>
    <t>2025 End</t>
  </si>
  <si>
    <t>Current Month Start</t>
  </si>
  <si>
    <t>Current Month End</t>
  </si>
  <si>
    <t>Trailing 3 Mo Start</t>
  </si>
  <si>
    <t>Trailing 6 Mo Start</t>
  </si>
  <si>
    <t>Trailing 6 Mo End</t>
  </si>
  <si>
    <t>Trailing 12 Mo Start</t>
  </si>
  <si>
    <t>Trailing 12 Mo End</t>
  </si>
  <si>
    <t>YTD Start</t>
  </si>
  <si>
    <t>YTD End</t>
  </si>
  <si>
    <t>Metric</t>
  </si>
  <si>
    <t>Amount</t>
  </si>
  <si>
    <t>Actual</t>
  </si>
  <si>
    <t>Column Labels</t>
  </si>
  <si>
    <t>Grand Total</t>
  </si>
  <si>
    <t>Trailing 3 Mo End</t>
  </si>
  <si>
    <t>FINANCIAL DASHBOARD</t>
  </si>
  <si>
    <t>BY DEPARTMENT</t>
  </si>
  <si>
    <t>BY COST</t>
  </si>
  <si>
    <t>VS BUDGET</t>
  </si>
  <si>
    <t>VS PRIOR PERIOD</t>
  </si>
  <si>
    <t>VS PRIOR YEAR</t>
  </si>
  <si>
    <t>%</t>
  </si>
  <si>
    <t>Prior Period</t>
  </si>
  <si>
    <t>Prior Year</t>
  </si>
  <si>
    <t>TOTAL</t>
  </si>
  <si>
    <t>Revenue &amp; Gross Margin</t>
  </si>
  <si>
    <t>Gross Margin</t>
  </si>
  <si>
    <t/>
  </si>
  <si>
    <t>Actuals By Cost</t>
  </si>
  <si>
    <t>Actuals By Department</t>
  </si>
  <si>
    <t>Var to Budget Income ($)</t>
  </si>
  <si>
    <t>Var to Budget (%)</t>
  </si>
  <si>
    <t>Var to Prior Period ($)</t>
  </si>
  <si>
    <t>Var to Prior Period (%)</t>
  </si>
  <si>
    <t>Var to Prior Year ($)</t>
  </si>
  <si>
    <t>Var to Prior Year (%)</t>
  </si>
  <si>
    <t>REVENUE</t>
  </si>
  <si>
    <t>GROSS PROFIT</t>
  </si>
  <si>
    <t>A (+)</t>
  </si>
  <si>
    <t>B (+)</t>
  </si>
  <si>
    <t>A (-)</t>
  </si>
  <si>
    <t>B (-)</t>
  </si>
  <si>
    <t>text</t>
  </si>
  <si>
    <t>BvA: Rev, GP, EBITDA</t>
  </si>
  <si>
    <t>AvPP: Rev, GP, EBITDA</t>
  </si>
  <si>
    <t>AvPY: Rev, GP, EBITDA</t>
  </si>
  <si>
    <t xml:space="preserve">Variance </t>
  </si>
  <si>
    <t>Var to Budget Expense ($)</t>
  </si>
  <si>
    <t>Var to Budget Expense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</si>
</sst>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3" formatCode="_-* #,##0.00_-;\-* #,##0.00_-;_-* &quot;-&quot;??_-;_-@_-"/>
    <numFmt numFmtId="164" formatCode="_(&quot;$&quot;* #,##0_);_(&quot;$&quot;* \(#,##0\);_(&quot;$&quot;* &quot;-&quot;_);_(@_)"/>
    <numFmt numFmtId="165" formatCode="_(&quot;$&quot;* #,##0.00_);_(&quot;$&quot;* \(#,##0.00\);_(&quot;$&quot;* &quot;-&quot;??_);_(@_)"/>
    <numFmt numFmtId="166" formatCode="_(* #,##0.00_);_(* \(#,##0.00\);_(* &quot;-&quot;??_);_(@_)"/>
    <numFmt numFmtId="167" formatCode="_(&quot;$&quot;* #,##0_);_(&quot;$&quot;* \(#,##0\);_(&quot;$&quot;* &quot;-&quot;??_);_(@_)"/>
    <numFmt numFmtId="168" formatCode="&quot;$&quot;* #,##0\ _€"/>
    <numFmt numFmtId="169" formatCode="_(* #,##0_);_(* \(#,##0\);_(* &quot;-&quot;??_);_(@_)"/>
    <numFmt numFmtId="170" formatCode="#,##0_);\(#.##0\);\-"/>
    <numFmt numFmtId="171" formatCode="#,##0_);\(#,##0\);\-"/>
    <numFmt numFmtId="172" formatCode="0.00%;\-0.00%;0.00%"/>
    <numFmt numFmtId="173" formatCode="#,##0;\-#,##0;\-"/>
    <numFmt numFmtId="174" formatCode="#,##0.00%;\-#,##0.00%;#,##0.00%"/>
    <numFmt numFmtId="175" formatCode="_-* #,##0_-;\-* #,##0_-;_-* &quot;-&quot;??_-;_-@_-"/>
    <numFmt numFmtId="180" formatCode="0.0%"/>
    <numFmt numFmtId="182" formatCode="#,##0;\(#,##0\);\-"/>
    <numFmt numFmtId="184" formatCode="\+#,##0;\(#,##0\);\-"/>
  </numFmts>
  <fonts count="21"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2"/>
      <color theme="1"/>
      <name val="Calibri"/>
      <family val="2"/>
      <scheme val="minor"/>
    </font>
    <font>
      <b/>
      <sz val="12"/>
      <name val="Calibri"/>
      <family val="2"/>
      <scheme val="minor"/>
    </font>
    <font>
      <b/>
      <sz val="11"/>
      <color theme="1"/>
      <name val="Calibri"/>
      <family val="2"/>
      <scheme val="minor"/>
    </font>
    <font>
      <b/>
      <sz val="11"/>
      <color theme="1"/>
      <name val="Calibri"/>
      <family val="2"/>
      <charset val="238"/>
      <scheme val="minor"/>
    </font>
    <font>
      <sz val="11"/>
      <color theme="1"/>
      <name val="Calibri"/>
      <family val="2"/>
      <charset val="238"/>
      <scheme val="minor"/>
    </font>
    <font>
      <sz val="11"/>
      <color rgb="FF0070C0"/>
      <name val="Calibri"/>
      <family val="2"/>
      <charset val="238"/>
      <scheme val="minor"/>
    </font>
    <font>
      <sz val="11"/>
      <color rgb="FF0070C0"/>
      <name val="Calibri"/>
      <family val="2"/>
      <scheme val="minor"/>
    </font>
    <font>
      <b/>
      <sz val="12"/>
      <color theme="1"/>
      <name val="Arial"/>
      <family val="2"/>
    </font>
    <font>
      <b/>
      <sz val="11"/>
      <color theme="0"/>
      <name val="Calibri"/>
      <family val="2"/>
      <scheme val="minor"/>
    </font>
    <font>
      <b/>
      <sz val="24"/>
      <color theme="0"/>
      <name val="Calibri"/>
      <family val="2"/>
      <scheme val="minor"/>
    </font>
    <font>
      <b/>
      <sz val="24"/>
      <color rgb="FF002060"/>
      <name val="Calibri"/>
      <family val="2"/>
      <scheme val="minor"/>
    </font>
    <font>
      <b/>
      <sz val="22"/>
      <color rgb="FFFF0000"/>
      <name val="Calibri"/>
      <family val="2"/>
      <scheme val="minor"/>
    </font>
    <font>
      <b/>
      <sz val="16"/>
      <color rgb="FF002060"/>
      <name val="Calibri"/>
      <family val="2"/>
      <scheme val="minor"/>
    </font>
    <font>
      <b/>
      <sz val="16"/>
      <color theme="1"/>
      <name val="Calibri"/>
      <family val="2"/>
      <scheme val="minor"/>
    </font>
    <font>
      <sz val="14.5"/>
      <color theme="1"/>
      <name val="Calibri"/>
      <family val="2"/>
      <scheme val="minor"/>
    </font>
    <font>
      <b/>
      <sz val="14.5"/>
      <color theme="1"/>
      <name val="Calibri"/>
      <family val="2"/>
      <scheme val="minor"/>
    </font>
    <font>
      <b/>
      <sz val="22"/>
      <color theme="1"/>
      <name val="Calibri"/>
      <family val="2"/>
      <scheme val="minor"/>
    </font>
  </fonts>
  <fills count="8">
    <fill>
      <patternFill patternType="none"/>
    </fill>
    <fill>
      <patternFill patternType="gray125"/>
    </fill>
    <fill>
      <patternFill patternType="solid">
        <fgColor rgb="FFFDFCED"/>
        <bgColor indexed="64"/>
      </patternFill>
    </fill>
    <fill>
      <patternFill patternType="solid">
        <fgColor theme="2"/>
        <bgColor indexed="64"/>
      </patternFill>
    </fill>
    <fill>
      <patternFill patternType="solid">
        <fgColor theme="0"/>
        <bgColor indexed="64"/>
      </patternFill>
    </fill>
    <fill>
      <patternFill patternType="solid">
        <fgColor rgb="FFFFF6DD"/>
        <bgColor indexed="64"/>
      </patternFill>
    </fill>
    <fill>
      <patternFill patternType="solid">
        <fgColor rgb="FF002060"/>
        <bgColor indexed="64"/>
      </patternFill>
    </fill>
    <fill>
      <patternFill patternType="solid">
        <fgColor rgb="FF38434D"/>
        <bgColor indexed="64"/>
      </patternFill>
    </fill>
  </fills>
  <borders count="14">
    <border>
      <left/>
      <right/>
      <top/>
      <bottom/>
      <diagonal/>
    </border>
    <border>
      <left/>
      <right/>
      <top/>
      <bottom style="thin">
        <color theme="0" tint="-0.14999847407452621"/>
      </bottom>
      <diagonal/>
    </border>
    <border>
      <left/>
      <right/>
      <top style="thin">
        <color indexed="64"/>
      </top>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top/>
      <bottom style="thin">
        <color theme="4"/>
      </bottom>
      <diagonal/>
    </border>
    <border>
      <left/>
      <right/>
      <top/>
      <bottom style="thin">
        <color theme="6"/>
      </bottom>
      <diagonal/>
    </border>
    <border>
      <left/>
      <right/>
      <top style="thin">
        <color theme="6"/>
      </top>
      <bottom/>
      <diagonal/>
    </border>
    <border>
      <left style="thin">
        <color theme="6"/>
      </left>
      <right/>
      <top/>
      <bottom/>
      <diagonal/>
    </border>
    <border>
      <left style="thin">
        <color theme="6"/>
      </left>
      <right/>
      <top/>
      <bottom style="thin">
        <color theme="6"/>
      </bottom>
      <diagonal/>
    </border>
    <border>
      <left style="thin">
        <color theme="6"/>
      </left>
      <right/>
      <top style="thin">
        <color theme="6"/>
      </top>
      <bottom/>
      <diagonal/>
    </border>
    <border>
      <left style="thin">
        <color indexed="64"/>
      </left>
      <right style="thin">
        <color indexed="64"/>
      </right>
      <top style="thin">
        <color indexed="64"/>
      </top>
      <bottom style="thin">
        <color indexed="64"/>
      </bottom>
      <diagonal/>
    </border>
    <border>
      <left/>
      <right style="thin">
        <color theme="6"/>
      </right>
      <top style="thin">
        <color theme="6"/>
      </top>
      <bottom/>
      <diagonal/>
    </border>
    <border>
      <left/>
      <right style="thin">
        <color theme="6"/>
      </right>
      <top/>
      <bottom style="thin">
        <color theme="6"/>
      </bottom>
      <diagonal/>
    </border>
  </borders>
  <cellStyleXfs count="7">
    <xf numFmtId="0" fontId="0" fillId="0" borderId="0"/>
    <xf numFmtId="165" fontId="1" fillId="0" borderId="0" applyFont="0" applyFill="0" applyBorder="0" applyAlignment="0" applyProtection="0"/>
    <xf numFmtId="166" fontId="1" fillId="0" borderId="0" applyFont="0" applyFill="0" applyBorder="0" applyAlignment="0" applyProtection="0"/>
    <xf numFmtId="0" fontId="11" fillId="2" borderId="0" applyNumberFormat="0" applyBorder="0" applyAlignment="0" applyProtection="0"/>
    <xf numFmtId="0" fontId="11" fillId="0" borderId="5" applyNumberFormat="0" applyFill="0" applyAlignment="0" applyProtection="0"/>
    <xf numFmtId="9" fontId="1" fillId="0" borderId="0" applyFont="0" applyFill="0" applyBorder="0" applyAlignment="0" applyProtection="0"/>
    <xf numFmtId="43" fontId="1" fillId="0" borderId="0" applyFont="0" applyFill="0" applyBorder="0" applyAlignment="0" applyProtection="0"/>
  </cellStyleXfs>
  <cellXfs count="107">
    <xf numFmtId="0" fontId="0" fillId="0" borderId="0" xfId="0"/>
    <xf numFmtId="0" fontId="2" fillId="0" borderId="0" xfId="0" applyFont="1"/>
    <xf numFmtId="0" fontId="0" fillId="0" borderId="0" xfId="0" applyAlignment="1">
      <alignment horizontal="left"/>
    </xf>
    <xf numFmtId="0" fontId="3" fillId="0" borderId="0" xfId="0" applyFont="1"/>
    <xf numFmtId="0" fontId="4" fillId="0" borderId="0" xfId="0" applyFont="1"/>
    <xf numFmtId="0" fontId="4" fillId="0" borderId="0" xfId="0" applyFont="1" applyAlignment="1">
      <alignment horizontal="left"/>
    </xf>
    <xf numFmtId="14" fontId="5" fillId="0" borderId="1" xfId="0" applyNumberFormat="1" applyFont="1" applyBorder="1" applyAlignment="1">
      <alignment horizontal="center"/>
    </xf>
    <xf numFmtId="14" fontId="5" fillId="0" borderId="0" xfId="0" applyNumberFormat="1" applyFont="1" applyAlignment="1">
      <alignment horizontal="center"/>
    </xf>
    <xf numFmtId="167" fontId="6" fillId="0" borderId="0" xfId="0" applyNumberFormat="1" applyFont="1"/>
    <xf numFmtId="0" fontId="7" fillId="0" borderId="0" xfId="0" applyFont="1"/>
    <xf numFmtId="168" fontId="6" fillId="0" borderId="0" xfId="0" applyNumberFormat="1" applyFont="1"/>
    <xf numFmtId="167" fontId="6" fillId="0" borderId="0" xfId="1" quotePrefix="1" applyNumberFormat="1" applyFont="1" applyFill="1" applyBorder="1" applyProtection="1"/>
    <xf numFmtId="167" fontId="0" fillId="0" borderId="0" xfId="0" applyNumberFormat="1"/>
    <xf numFmtId="0" fontId="8" fillId="0" borderId="0" xfId="0" applyFont="1" applyAlignment="1">
      <alignment horizontal="left" indent="1"/>
    </xf>
    <xf numFmtId="169" fontId="9" fillId="0" borderId="0" xfId="2" quotePrefix="1" applyNumberFormat="1" applyFont="1" applyFill="1" applyBorder="1" applyProtection="1"/>
    <xf numFmtId="0" fontId="7" fillId="0" borderId="0" xfId="0" applyFont="1" applyAlignment="1">
      <alignment horizontal="left"/>
    </xf>
    <xf numFmtId="167" fontId="7" fillId="0" borderId="0" xfId="1" quotePrefix="1" applyNumberFormat="1" applyFont="1" applyFill="1" applyBorder="1" applyProtection="1"/>
    <xf numFmtId="167" fontId="1" fillId="0" borderId="0" xfId="1" quotePrefix="1" applyNumberFormat="1" applyFont="1" applyFill="1" applyBorder="1" applyProtection="1"/>
    <xf numFmtId="167" fontId="7" fillId="0" borderId="0" xfId="0" applyNumberFormat="1" applyFont="1"/>
    <xf numFmtId="168" fontId="7" fillId="0" borderId="0" xfId="0" applyNumberFormat="1" applyFont="1"/>
    <xf numFmtId="167" fontId="7" fillId="0" borderId="2" xfId="1" quotePrefix="1" applyNumberFormat="1" applyFont="1" applyFill="1" applyBorder="1" applyProtection="1"/>
    <xf numFmtId="0" fontId="7" fillId="0" borderId="0" xfId="0" applyFont="1" applyAlignment="1">
      <alignment horizontal="left" indent="1"/>
    </xf>
    <xf numFmtId="0" fontId="8" fillId="0" borderId="0" xfId="0" applyFont="1" applyAlignment="1">
      <alignment horizontal="left" indent="2"/>
    </xf>
    <xf numFmtId="0" fontId="6" fillId="0" borderId="0" xfId="0" applyFont="1" applyAlignment="1">
      <alignment horizontal="left" indent="1"/>
    </xf>
    <xf numFmtId="169" fontId="2" fillId="0" borderId="0" xfId="2" quotePrefix="1" applyNumberFormat="1" applyFont="1" applyFill="1" applyBorder="1" applyProtection="1"/>
    <xf numFmtId="167" fontId="0" fillId="0" borderId="0" xfId="1" applyNumberFormat="1" applyFont="1" applyFill="1" applyProtection="1"/>
    <xf numFmtId="1" fontId="0" fillId="0" borderId="0" xfId="1" applyNumberFormat="1" applyFont="1" applyFill="1" applyProtection="1"/>
    <xf numFmtId="164" fontId="0" fillId="0" borderId="0" xfId="1" applyNumberFormat="1" applyFont="1" applyFill="1" applyProtection="1"/>
    <xf numFmtId="0" fontId="2" fillId="0" borderId="0" xfId="0" applyFont="1" applyAlignment="1">
      <alignment horizontal="left" indent="1"/>
    </xf>
    <xf numFmtId="168" fontId="2" fillId="0" borderId="0" xfId="0" applyNumberFormat="1" applyFont="1"/>
    <xf numFmtId="169" fontId="3" fillId="0" borderId="0" xfId="2" quotePrefix="1" applyNumberFormat="1" applyFont="1" applyFill="1" applyBorder="1" applyProtection="1"/>
    <xf numFmtId="167" fontId="3" fillId="0" borderId="0" xfId="0" applyNumberFormat="1" applyFont="1"/>
    <xf numFmtId="167" fontId="2" fillId="0" borderId="0" xfId="0" applyNumberFormat="1" applyFont="1"/>
    <xf numFmtId="0" fontId="6" fillId="0" borderId="0" xfId="0" applyFont="1"/>
    <xf numFmtId="0" fontId="0" fillId="0" borderId="3" xfId="0" applyBorder="1" applyAlignment="1">
      <alignment horizontal="left"/>
    </xf>
    <xf numFmtId="0" fontId="0" fillId="0" borderId="4" xfId="0" applyBorder="1" applyAlignment="1">
      <alignment horizontal="left"/>
    </xf>
    <xf numFmtId="0" fontId="0" fillId="0" borderId="0" xfId="0" pivotButton="1" applyAlignment="1">
      <alignment horizontal="center" vertical="center"/>
    </xf>
    <xf numFmtId="0" fontId="0" fillId="0" borderId="0" xfId="0" applyAlignment="1">
      <alignment horizontal="center" vertical="center"/>
    </xf>
    <xf numFmtId="170" fontId="0" fillId="0" borderId="0" xfId="0" applyNumberFormat="1"/>
    <xf numFmtId="14" fontId="0" fillId="0" borderId="0" xfId="0" applyNumberFormat="1"/>
    <xf numFmtId="14" fontId="3" fillId="0" borderId="0" xfId="0" applyNumberFormat="1" applyFont="1"/>
    <xf numFmtId="14" fontId="10" fillId="0" borderId="0" xfId="0" applyNumberFormat="1" applyFont="1"/>
    <xf numFmtId="0" fontId="6" fillId="0" borderId="0" xfId="0" applyFont="1" applyAlignment="1">
      <alignment horizontal="center"/>
    </xf>
    <xf numFmtId="0" fontId="0" fillId="0" borderId="0" xfId="0" pivotButton="1"/>
    <xf numFmtId="14" fontId="0" fillId="0" borderId="0" xfId="0" applyNumberFormat="1" applyAlignment="1">
      <alignment horizontal="left"/>
    </xf>
    <xf numFmtId="171" fontId="0" fillId="0" borderId="0" xfId="0" applyNumberFormat="1"/>
    <xf numFmtId="0" fontId="0" fillId="3" borderId="0" xfId="0" applyFill="1"/>
    <xf numFmtId="0" fontId="0" fillId="4" borderId="0" xfId="0" applyFill="1"/>
    <xf numFmtId="0" fontId="0" fillId="6" borderId="0" xfId="0" applyFill="1"/>
    <xf numFmtId="0" fontId="12" fillId="7" borderId="0" xfId="0" applyFont="1" applyFill="1" applyAlignment="1">
      <alignment horizontal="center" vertical="center"/>
    </xf>
    <xf numFmtId="0" fontId="0" fillId="7" borderId="0" xfId="0" applyFill="1"/>
    <xf numFmtId="0" fontId="0" fillId="5" borderId="6" xfId="0" applyFill="1" applyBorder="1"/>
    <xf numFmtId="0" fontId="14" fillId="5" borderId="6" xfId="0" applyFont="1" applyFill="1" applyBorder="1" applyAlignment="1">
      <alignment horizontal="left" vertical="center"/>
    </xf>
    <xf numFmtId="0" fontId="0" fillId="4" borderId="8" xfId="0" applyFill="1" applyBorder="1"/>
    <xf numFmtId="0" fontId="0" fillId="6" borderId="8" xfId="0" applyFill="1" applyBorder="1"/>
    <xf numFmtId="3" fontId="0" fillId="0" borderId="0" xfId="0" applyNumberFormat="1"/>
    <xf numFmtId="172" fontId="0" fillId="0" borderId="0" xfId="0" applyNumberFormat="1"/>
    <xf numFmtId="173" fontId="0" fillId="0" borderId="0" xfId="0" applyNumberFormat="1"/>
    <xf numFmtId="0" fontId="15" fillId="5" borderId="9" xfId="0" applyFont="1" applyFill="1" applyBorder="1" applyAlignment="1">
      <alignment horizontal="left" vertical="center"/>
    </xf>
    <xf numFmtId="174" fontId="0" fillId="0" borderId="0" xfId="0" applyNumberFormat="1"/>
    <xf numFmtId="0" fontId="6" fillId="0" borderId="11" xfId="0" applyFont="1" applyBorder="1" applyAlignment="1">
      <alignment horizontal="center" vertical="center"/>
    </xf>
    <xf numFmtId="0" fontId="0" fillId="0" borderId="11" xfId="0" applyBorder="1"/>
    <xf numFmtId="9" fontId="0" fillId="0" borderId="11" xfId="5" applyFont="1" applyBorder="1"/>
    <xf numFmtId="3" fontId="0" fillId="0" borderId="11" xfId="0" applyNumberFormat="1" applyBorder="1"/>
    <xf numFmtId="0" fontId="13" fillId="7" borderId="0" xfId="0" applyFont="1" applyFill="1" applyAlignment="1">
      <alignment horizontal="center" vertical="center"/>
    </xf>
    <xf numFmtId="0" fontId="16" fillId="5" borderId="8" xfId="0" applyFont="1" applyFill="1" applyBorder="1" applyAlignment="1">
      <alignment horizontal="left" vertical="center"/>
    </xf>
    <xf numFmtId="0" fontId="17" fillId="5" borderId="0" xfId="0" applyFont="1" applyFill="1"/>
    <xf numFmtId="0" fontId="16" fillId="5" borderId="0" xfId="0" applyFont="1" applyFill="1" applyAlignment="1">
      <alignment horizontal="center" vertical="center"/>
    </xf>
    <xf numFmtId="0" fontId="18" fillId="4" borderId="10" xfId="0" applyFont="1" applyFill="1" applyBorder="1" applyAlignment="1">
      <alignment horizontal="left" vertical="center"/>
    </xf>
    <xf numFmtId="0" fontId="18" fillId="4" borderId="7" xfId="0" applyFont="1" applyFill="1" applyBorder="1" applyAlignment="1">
      <alignment horizontal="left" vertical="center"/>
    </xf>
    <xf numFmtId="175" fontId="18" fillId="4" borderId="7" xfId="6" applyNumberFormat="1" applyFont="1" applyFill="1" applyBorder="1" applyAlignment="1">
      <alignment horizontal="center" vertical="center"/>
    </xf>
    <xf numFmtId="180" fontId="18" fillId="4" borderId="12" xfId="5" applyNumberFormat="1" applyFont="1" applyFill="1" applyBorder="1" applyAlignment="1">
      <alignment horizontal="center" vertical="center"/>
    </xf>
    <xf numFmtId="0" fontId="18" fillId="4" borderId="10" xfId="0" applyFont="1" applyFill="1" applyBorder="1" applyAlignment="1">
      <alignment horizontal="left" vertical="center" indent="1"/>
    </xf>
    <xf numFmtId="0" fontId="18" fillId="4" borderId="7" xfId="0" applyFont="1" applyFill="1" applyBorder="1" applyAlignment="1">
      <alignment horizontal="left" vertical="center" indent="1"/>
    </xf>
    <xf numFmtId="3" fontId="18" fillId="4" borderId="7" xfId="0" applyNumberFormat="1" applyFont="1" applyFill="1" applyBorder="1" applyAlignment="1">
      <alignment horizontal="center" vertical="center"/>
    </xf>
    <xf numFmtId="180" fontId="18" fillId="4" borderId="7" xfId="0" applyNumberFormat="1" applyFont="1" applyFill="1" applyBorder="1" applyAlignment="1">
      <alignment horizontal="center" vertical="center"/>
    </xf>
    <xf numFmtId="0" fontId="18" fillId="4" borderId="9" xfId="0" applyFont="1" applyFill="1" applyBorder="1" applyAlignment="1">
      <alignment horizontal="left" vertical="center"/>
    </xf>
    <xf numFmtId="0" fontId="18" fillId="4" borderId="6" xfId="0" applyFont="1" applyFill="1" applyBorder="1" applyAlignment="1">
      <alignment horizontal="left" vertical="center"/>
    </xf>
    <xf numFmtId="175" fontId="18" fillId="4" borderId="6" xfId="6" applyNumberFormat="1" applyFont="1" applyFill="1" applyBorder="1" applyAlignment="1">
      <alignment horizontal="center" vertical="center"/>
    </xf>
    <xf numFmtId="180" fontId="18" fillId="4" borderId="13" xfId="5" applyNumberFormat="1" applyFont="1" applyFill="1" applyBorder="1" applyAlignment="1">
      <alignment horizontal="center" vertical="center"/>
    </xf>
    <xf numFmtId="0" fontId="18" fillId="4" borderId="9" xfId="0" applyFont="1" applyFill="1" applyBorder="1" applyAlignment="1">
      <alignment horizontal="left" vertical="center" indent="1"/>
    </xf>
    <xf numFmtId="0" fontId="18" fillId="4" borderId="6" xfId="0" applyFont="1" applyFill="1" applyBorder="1" applyAlignment="1">
      <alignment horizontal="left" vertical="center" indent="1"/>
    </xf>
    <xf numFmtId="3" fontId="18" fillId="4" borderId="6" xfId="0" applyNumberFormat="1" applyFont="1" applyFill="1" applyBorder="1" applyAlignment="1">
      <alignment horizontal="center" vertical="center"/>
    </xf>
    <xf numFmtId="180" fontId="18" fillId="4" borderId="6" xfId="0" applyNumberFormat="1" applyFont="1" applyFill="1" applyBorder="1" applyAlignment="1">
      <alignment horizontal="center" vertical="center"/>
    </xf>
    <xf numFmtId="0" fontId="19" fillId="4" borderId="10" xfId="0" applyFont="1" applyFill="1" applyBorder="1" applyAlignment="1">
      <alignment horizontal="left" vertical="center"/>
    </xf>
    <xf numFmtId="0" fontId="19" fillId="4" borderId="7" xfId="0" applyFont="1" applyFill="1" applyBorder="1" applyAlignment="1">
      <alignment horizontal="left" vertical="center"/>
    </xf>
    <xf numFmtId="175" fontId="19" fillId="4" borderId="7" xfId="6" applyNumberFormat="1" applyFont="1" applyFill="1" applyBorder="1" applyAlignment="1">
      <alignment horizontal="center" vertical="center"/>
    </xf>
    <xf numFmtId="0" fontId="19" fillId="4" borderId="10" xfId="0" applyFont="1" applyFill="1" applyBorder="1" applyAlignment="1">
      <alignment horizontal="left" vertical="center" indent="1"/>
    </xf>
    <xf numFmtId="0" fontId="19" fillId="4" borderId="7" xfId="0" applyFont="1" applyFill="1" applyBorder="1" applyAlignment="1">
      <alignment horizontal="left" vertical="center" indent="1"/>
    </xf>
    <xf numFmtId="3" fontId="19" fillId="4" borderId="7" xfId="0" applyNumberFormat="1" applyFont="1" applyFill="1" applyBorder="1" applyAlignment="1">
      <alignment horizontal="center" vertical="center"/>
    </xf>
    <xf numFmtId="180" fontId="19" fillId="4" borderId="7" xfId="0" applyNumberFormat="1" applyFont="1" applyFill="1" applyBorder="1" applyAlignment="1">
      <alignment horizontal="center" vertical="center"/>
    </xf>
    <xf numFmtId="0" fontId="19" fillId="4" borderId="8" xfId="0" applyFont="1" applyFill="1" applyBorder="1" applyAlignment="1">
      <alignment horizontal="left" vertical="center"/>
    </xf>
    <xf numFmtId="0" fontId="19" fillId="4" borderId="0" xfId="0" applyFont="1" applyFill="1" applyAlignment="1">
      <alignment horizontal="left" vertical="center"/>
    </xf>
    <xf numFmtId="175" fontId="19" fillId="4" borderId="0" xfId="6" applyNumberFormat="1" applyFont="1" applyFill="1" applyBorder="1" applyAlignment="1">
      <alignment horizontal="center" vertical="center"/>
    </xf>
    <xf numFmtId="0" fontId="19" fillId="4" borderId="8" xfId="0" applyFont="1" applyFill="1" applyBorder="1" applyAlignment="1">
      <alignment horizontal="left" vertical="center" indent="1"/>
    </xf>
    <xf numFmtId="0" fontId="19" fillId="4" borderId="0" xfId="0" applyFont="1" applyFill="1" applyAlignment="1">
      <alignment horizontal="left" vertical="center" indent="1"/>
    </xf>
    <xf numFmtId="3" fontId="19" fillId="4" borderId="0" xfId="0" applyNumberFormat="1" applyFont="1" applyFill="1" applyAlignment="1">
      <alignment horizontal="center" vertical="center"/>
    </xf>
    <xf numFmtId="180" fontId="19" fillId="4" borderId="0" xfId="0" applyNumberFormat="1" applyFont="1" applyFill="1" applyAlignment="1">
      <alignment horizontal="center" vertical="center"/>
    </xf>
    <xf numFmtId="180" fontId="19" fillId="4" borderId="12" xfId="5" applyNumberFormat="1" applyFont="1" applyFill="1" applyBorder="1" applyAlignment="1">
      <alignment horizontal="center" vertical="center"/>
    </xf>
    <xf numFmtId="180" fontId="19" fillId="4" borderId="13" xfId="5" applyNumberFormat="1" applyFont="1" applyFill="1" applyBorder="1" applyAlignment="1">
      <alignment horizontal="center" vertical="center"/>
    </xf>
    <xf numFmtId="182" fontId="18" fillId="4" borderId="7" xfId="0" applyNumberFormat="1" applyFont="1" applyFill="1" applyBorder="1" applyAlignment="1">
      <alignment horizontal="center" vertical="center"/>
    </xf>
    <xf numFmtId="182" fontId="18" fillId="4" borderId="6" xfId="0" applyNumberFormat="1" applyFont="1" applyFill="1" applyBorder="1" applyAlignment="1">
      <alignment horizontal="center" vertical="center"/>
    </xf>
    <xf numFmtId="182" fontId="19" fillId="4" borderId="7" xfId="0" applyNumberFormat="1" applyFont="1" applyFill="1" applyBorder="1" applyAlignment="1">
      <alignment horizontal="center" vertical="center"/>
    </xf>
    <xf numFmtId="182" fontId="19" fillId="4" borderId="0" xfId="0" applyNumberFormat="1" applyFont="1" applyFill="1" applyAlignment="1">
      <alignment horizontal="center" vertical="center"/>
    </xf>
    <xf numFmtId="3" fontId="20" fillId="4" borderId="0" xfId="0" applyNumberFormat="1" applyFont="1" applyFill="1" applyAlignment="1">
      <alignment horizontal="center" vertical="center"/>
    </xf>
    <xf numFmtId="0" fontId="20" fillId="4" borderId="0" xfId="0" applyFont="1" applyFill="1" applyAlignment="1">
      <alignment horizontal="center" vertical="center"/>
    </xf>
    <xf numFmtId="184" fontId="20" fillId="4" borderId="0" xfId="0" applyNumberFormat="1" applyFont="1" applyFill="1" applyAlignment="1">
      <alignment horizontal="center" vertical="center"/>
    </xf>
  </cellXfs>
  <cellStyles count="7">
    <cellStyle name="Comma" xfId="6" builtinId="3"/>
    <cellStyle name="Comma 2" xfId="2" xr:uid="{F52CD286-4C01-4EAA-B9B3-ED19C68D8B9A}"/>
    <cellStyle name="Currency 2" xfId="1" xr:uid="{52CF3D7B-40D9-4A6C-BF57-B6CA317522F8}"/>
    <cellStyle name="Normal" xfId="0" builtinId="0"/>
    <cellStyle name="Percent" xfId="5" builtinId="5"/>
    <cellStyle name="Title 2" xfId="3" xr:uid="{78F4CB1E-D95E-4AE1-BE71-1924F6D67D02}"/>
    <cellStyle name="Total 2" xfId="4" xr:uid="{701B2EA7-8F1E-44F7-ADF0-01A94E32D9E7}"/>
  </cellStyles>
  <dxfs count="19">
    <dxf>
      <numFmt numFmtId="170" formatCode="#,##0_);\(#.##0\);\-"/>
    </dxf>
    <dxf>
      <numFmt numFmtId="170" formatCode="#,##0_);\(#.##0\);\-"/>
    </dxf>
    <dxf>
      <alignment vertical="center"/>
    </dxf>
    <dxf>
      <alignment vertical="center"/>
    </dxf>
    <dxf>
      <alignment horizontal="center"/>
    </dxf>
    <dxf>
      <alignment horizontal="center"/>
    </dxf>
    <dxf>
      <numFmt numFmtId="176" formatCode="#,##0.000"/>
    </dxf>
    <dxf>
      <numFmt numFmtId="177" formatCode="m/d/yyyy"/>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s>
  <tableStyles count="2" defaultTableStyle="TableStyleMedium2" defaultPivotStyle="PivotStyleLight16">
    <tableStyle name="Invisible" pivot="0" table="0" count="0" xr9:uid="{4794E646-93EC-44C0-B409-6BF335C48341}"/>
    <tableStyle name="SlicerStyleLight1 2" pivot="0" table="0" count="10" xr9:uid="{169BE1A0-4B91-4B39-8BA1-C64BE545574B}">
      <tableStyleElement type="wholeTable" dxfId="18"/>
      <tableStyleElement type="headerRow" dxfId="17"/>
    </tableStyle>
  </tableStyles>
  <colors>
    <mruColors>
      <color rgb="FFFF0000"/>
      <color rgb="FF38434D"/>
      <color rgb="FFFFF6DD"/>
    </mruColors>
  </colors>
  <extLst>
    <ext xmlns:x14="http://schemas.microsoft.com/office/spreadsheetml/2009/9/main" uri="{46F421CA-312F-682f-3DD2-61675219B42D}">
      <x14:dxfs count="8">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16" Type="http://schemas.openxmlformats.org/officeDocument/2006/relationships/pivotCacheDefinition" Target="pivotCache/pivotCacheDefinition5.xml"/><Relationship Id="rId11" Type="http://schemas.openxmlformats.org/officeDocument/2006/relationships/worksheet" Target="worksheets/sheet11.xml"/><Relationship Id="rId32" Type="http://schemas.openxmlformats.org/officeDocument/2006/relationships/pivotCacheDefinition" Target="pivotCache/pivotCacheDefinition19.xml"/><Relationship Id="rId37" Type="http://schemas.openxmlformats.org/officeDocument/2006/relationships/sharedStrings" Target="sharedStrings.xml"/><Relationship Id="rId53" Type="http://schemas.openxmlformats.org/officeDocument/2006/relationships/customXml" Target="../customXml/item13.xml"/><Relationship Id="rId58" Type="http://schemas.openxmlformats.org/officeDocument/2006/relationships/customXml" Target="../customXml/item18.xml"/><Relationship Id="rId74" Type="http://schemas.openxmlformats.org/officeDocument/2006/relationships/customXml" Target="../customXml/item34.xml"/><Relationship Id="rId79"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21.xml"/><Relationship Id="rId82" Type="http://schemas.openxmlformats.org/officeDocument/2006/relationships/customXml" Target="../customXml/item42.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77" Type="http://schemas.openxmlformats.org/officeDocument/2006/relationships/customXml" Target="../customXml/item37.xml"/><Relationship Id="rId8" Type="http://schemas.openxmlformats.org/officeDocument/2006/relationships/worksheet" Target="worksheets/sheet8.xml"/><Relationship Id="rId51" Type="http://schemas.openxmlformats.org/officeDocument/2006/relationships/customXml" Target="../customXml/item11.xml"/><Relationship Id="rId72" Type="http://schemas.openxmlformats.org/officeDocument/2006/relationships/customXml" Target="../customXml/item32.xml"/><Relationship Id="rId80" Type="http://schemas.openxmlformats.org/officeDocument/2006/relationships/customXml" Target="../customXml/item40.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microsoft.com/office/2011/relationships/timelineCache" Target="timelineCaches/timelineCache1.xml"/><Relationship Id="rId38" Type="http://schemas.openxmlformats.org/officeDocument/2006/relationships/sheetMetadata" Target="metadata.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9.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83" Type="http://schemas.openxmlformats.org/officeDocument/2006/relationships/customXml" Target="../customXml/item4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78" Type="http://schemas.openxmlformats.org/officeDocument/2006/relationships/customXml" Target="../customXml/item38.xml"/><Relationship Id="rId81"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9" Type="http://schemas.openxmlformats.org/officeDocument/2006/relationships/powerPivotData" Target="model/item.data"/><Relationship Id="rId34" Type="http://schemas.openxmlformats.org/officeDocument/2006/relationships/theme" Target="theme/theme1.xml"/><Relationship Id="rId50" Type="http://schemas.openxmlformats.org/officeDocument/2006/relationships/customXml" Target="../customXml/item10.xml"/><Relationship Id="rId55" Type="http://schemas.openxmlformats.org/officeDocument/2006/relationships/customXml" Target="../customXml/item15.xml"/><Relationship Id="rId76" Type="http://schemas.openxmlformats.org/officeDocument/2006/relationships/customXml" Target="../customXml/item36.xml"/><Relationship Id="rId7" Type="http://schemas.openxmlformats.org/officeDocument/2006/relationships/worksheet" Target="worksheets/sheet7.xml"/><Relationship Id="rId71"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24" Type="http://schemas.openxmlformats.org/officeDocument/2006/relationships/pivotCacheDefinition" Target="pivotCache/pivotCacheDefinition13.xml"/><Relationship Id="rId40" Type="http://schemas.openxmlformats.org/officeDocument/2006/relationships/calcChain" Target="calcChain.xml"/><Relationship Id="rId45" Type="http://schemas.openxmlformats.org/officeDocument/2006/relationships/customXml" Target="../customXml/item5.xml"/><Relationship Id="rId66"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3.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4.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5.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Dashboard.xlsx]Data!RevenueAndGrossMargin</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Data!$C$25</c:f>
              <c:strCache>
                <c:ptCount val="1"/>
                <c:pt idx="0">
                  <c:v>Revenue</c:v>
                </c:pt>
              </c:strCache>
            </c:strRef>
          </c:tx>
          <c:spPr>
            <a:solidFill>
              <a:schemeClr val="accent1"/>
            </a:solidFill>
            <a:ln>
              <a:noFill/>
            </a:ln>
            <a:effectLst/>
          </c:spPr>
          <c:invertIfNegative val="0"/>
          <c:cat>
            <c:strRef>
              <c:f>Data!$B$26:$B$38</c:f>
              <c:strCache>
                <c:ptCount val="12"/>
                <c:pt idx="0">
                  <c:v>31/01/2024</c:v>
                </c:pt>
                <c:pt idx="1">
                  <c:v>29/02/2024</c:v>
                </c:pt>
                <c:pt idx="2">
                  <c:v>31/03/2024</c:v>
                </c:pt>
                <c:pt idx="3">
                  <c:v>30/04/2024</c:v>
                </c:pt>
                <c:pt idx="4">
                  <c:v>31/05/2024</c:v>
                </c:pt>
                <c:pt idx="5">
                  <c:v>30/06/2024</c:v>
                </c:pt>
                <c:pt idx="6">
                  <c:v>31/07/2024</c:v>
                </c:pt>
                <c:pt idx="7">
                  <c:v>31/08/2024</c:v>
                </c:pt>
                <c:pt idx="8">
                  <c:v>30/09/2024</c:v>
                </c:pt>
                <c:pt idx="9">
                  <c:v>31/10/2024</c:v>
                </c:pt>
                <c:pt idx="10">
                  <c:v>30/11/2024</c:v>
                </c:pt>
                <c:pt idx="11">
                  <c:v>31/12/2024</c:v>
                </c:pt>
              </c:strCache>
            </c:strRef>
          </c:cat>
          <c:val>
            <c:numRef>
              <c:f>Data!$C$26:$C$38</c:f>
              <c:numCache>
                <c:formatCode>#,##0</c:formatCode>
                <c:ptCount val="12"/>
                <c:pt idx="0">
                  <c:v>112146.24449755717</c:v>
                </c:pt>
                <c:pt idx="1">
                  <c:v>115510.63183248389</c:v>
                </c:pt>
                <c:pt idx="2">
                  <c:v>112045.31287750938</c:v>
                </c:pt>
                <c:pt idx="3">
                  <c:v>115406.67226383467</c:v>
                </c:pt>
                <c:pt idx="4">
                  <c:v>111944.47209591963</c:v>
                </c:pt>
                <c:pt idx="5">
                  <c:v>115302.80625879722</c:v>
                </c:pt>
                <c:pt idx="6">
                  <c:v>118761.89044656114</c:v>
                </c:pt>
                <c:pt idx="7">
                  <c:v>115199.03373316431</c:v>
                </c:pt>
                <c:pt idx="8">
                  <c:v>111743.06272116938</c:v>
                </c:pt>
                <c:pt idx="9">
                  <c:v>115095.35460280447</c:v>
                </c:pt>
                <c:pt idx="10">
                  <c:v>118548.2152408886</c:v>
                </c:pt>
                <c:pt idx="11">
                  <c:v>122104.66169811526</c:v>
                </c:pt>
              </c:numCache>
            </c:numRef>
          </c:val>
          <c:extLst>
            <c:ext xmlns:c16="http://schemas.microsoft.com/office/drawing/2014/chart" uri="{C3380CC4-5D6E-409C-BE32-E72D297353CC}">
              <c16:uniqueId val="{00000000-8ADF-4F35-840C-61F12FB6BD55}"/>
            </c:ext>
          </c:extLst>
        </c:ser>
        <c:dLbls>
          <c:showLegendKey val="0"/>
          <c:showVal val="0"/>
          <c:showCatName val="0"/>
          <c:showSerName val="0"/>
          <c:showPercent val="0"/>
          <c:showBubbleSize val="0"/>
        </c:dLbls>
        <c:gapWidth val="219"/>
        <c:overlap val="-27"/>
        <c:axId val="377552495"/>
        <c:axId val="377543375"/>
      </c:barChart>
      <c:lineChart>
        <c:grouping val="standard"/>
        <c:varyColors val="0"/>
        <c:ser>
          <c:idx val="1"/>
          <c:order val="1"/>
          <c:tx>
            <c:strRef>
              <c:f>Data!$D$25</c:f>
              <c:strCache>
                <c:ptCount val="1"/>
                <c:pt idx="0">
                  <c:v>Gross Margin</c:v>
                </c:pt>
              </c:strCache>
            </c:strRef>
          </c:tx>
          <c:spPr>
            <a:ln w="28575" cap="rnd">
              <a:solidFill>
                <a:schemeClr val="accent2"/>
              </a:solidFill>
              <a:round/>
            </a:ln>
            <a:effectLst/>
          </c:spPr>
          <c:marker>
            <c:symbol val="none"/>
          </c:marker>
          <c:cat>
            <c:strRef>
              <c:f>Data!$B$26:$B$38</c:f>
              <c:strCache>
                <c:ptCount val="12"/>
                <c:pt idx="0">
                  <c:v>31/01/2024</c:v>
                </c:pt>
                <c:pt idx="1">
                  <c:v>29/02/2024</c:v>
                </c:pt>
                <c:pt idx="2">
                  <c:v>31/03/2024</c:v>
                </c:pt>
                <c:pt idx="3">
                  <c:v>30/04/2024</c:v>
                </c:pt>
                <c:pt idx="4">
                  <c:v>31/05/2024</c:v>
                </c:pt>
                <c:pt idx="5">
                  <c:v>30/06/2024</c:v>
                </c:pt>
                <c:pt idx="6">
                  <c:v>31/07/2024</c:v>
                </c:pt>
                <c:pt idx="7">
                  <c:v>31/08/2024</c:v>
                </c:pt>
                <c:pt idx="8">
                  <c:v>30/09/2024</c:v>
                </c:pt>
                <c:pt idx="9">
                  <c:v>31/10/2024</c:v>
                </c:pt>
                <c:pt idx="10">
                  <c:v>30/11/2024</c:v>
                </c:pt>
                <c:pt idx="11">
                  <c:v>31/12/2024</c:v>
                </c:pt>
              </c:strCache>
            </c:strRef>
          </c:cat>
          <c:val>
            <c:numRef>
              <c:f>Data!$D$26:$D$38</c:f>
              <c:numCache>
                <c:formatCode>0.00%;\-0.00%;0.00%</c:formatCode>
                <c:ptCount val="12"/>
                <c:pt idx="0">
                  <c:v>0.87300371494653717</c:v>
                </c:pt>
                <c:pt idx="1">
                  <c:v>0.8125282392632921</c:v>
                </c:pt>
                <c:pt idx="2">
                  <c:v>0.85152686926765087</c:v>
                </c:pt>
                <c:pt idx="3">
                  <c:v>0.75095102543147185</c:v>
                </c:pt>
                <c:pt idx="4">
                  <c:v>0.81973827626249374</c:v>
                </c:pt>
                <c:pt idx="5">
                  <c:v>0.79904087756188646</c:v>
                </c:pt>
                <c:pt idx="6">
                  <c:v>0.85829608283308279</c:v>
                </c:pt>
                <c:pt idx="7">
                  <c:v>0.76672751661483607</c:v>
                </c:pt>
                <c:pt idx="8">
                  <c:v>0.85494873018177286</c:v>
                </c:pt>
                <c:pt idx="9">
                  <c:v>0.88392582834946609</c:v>
                </c:pt>
                <c:pt idx="10">
                  <c:v>0.80283340891690558</c:v>
                </c:pt>
                <c:pt idx="11">
                  <c:v>0.83166674738698654</c:v>
                </c:pt>
              </c:numCache>
            </c:numRef>
          </c:val>
          <c:smooth val="0"/>
          <c:extLst>
            <c:ext xmlns:c16="http://schemas.microsoft.com/office/drawing/2014/chart" uri="{C3380CC4-5D6E-409C-BE32-E72D297353CC}">
              <c16:uniqueId val="{00000001-8ADF-4F35-840C-61F12FB6BD55}"/>
            </c:ext>
          </c:extLst>
        </c:ser>
        <c:dLbls>
          <c:showLegendKey val="0"/>
          <c:showVal val="0"/>
          <c:showCatName val="0"/>
          <c:showSerName val="0"/>
          <c:showPercent val="0"/>
          <c:showBubbleSize val="0"/>
        </c:dLbls>
        <c:marker val="1"/>
        <c:smooth val="0"/>
        <c:axId val="377544815"/>
        <c:axId val="377544335"/>
      </c:lineChart>
      <c:catAx>
        <c:axId val="3775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43375"/>
        <c:crosses val="autoZero"/>
        <c:auto val="1"/>
        <c:lblAlgn val="ctr"/>
        <c:lblOffset val="100"/>
        <c:noMultiLvlLbl val="0"/>
      </c:catAx>
      <c:valAx>
        <c:axId val="377543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52495"/>
        <c:crosses val="autoZero"/>
        <c:crossBetween val="between"/>
      </c:valAx>
      <c:valAx>
        <c:axId val="377544335"/>
        <c:scaling>
          <c:orientation val="minMax"/>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44815"/>
        <c:crosses val="max"/>
        <c:crossBetween val="between"/>
      </c:valAx>
      <c:catAx>
        <c:axId val="377544815"/>
        <c:scaling>
          <c:orientation val="minMax"/>
        </c:scaling>
        <c:delete val="1"/>
        <c:axPos val="b"/>
        <c:numFmt formatCode="General" sourceLinked="1"/>
        <c:majorTickMark val="out"/>
        <c:minorTickMark val="none"/>
        <c:tickLblPos val="nextTo"/>
        <c:crossAx val="3775443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Dashboard.xlsx]Data!Expenses_By_Department</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9704239237595"/>
          <c:y val="0.28020558988375205"/>
          <c:w val="0.55393874074583094"/>
          <c:h val="0.43139470238252564"/>
        </c:manualLayout>
      </c:layout>
      <c:barChart>
        <c:barDir val="col"/>
        <c:grouping val="stacked"/>
        <c:varyColors val="0"/>
        <c:ser>
          <c:idx val="0"/>
          <c:order val="0"/>
          <c:tx>
            <c:strRef>
              <c:f>Data!$G$25:$G$26</c:f>
              <c:strCache>
                <c:ptCount val="1"/>
                <c:pt idx="0">
                  <c:v>Customer Support</c:v>
                </c:pt>
              </c:strCache>
            </c:strRef>
          </c:tx>
          <c:spPr>
            <a:solidFill>
              <a:schemeClr val="accent1"/>
            </a:solidFill>
            <a:ln>
              <a:noFill/>
            </a:ln>
            <a:effectLst/>
          </c:spPr>
          <c:invertIfNegative val="0"/>
          <c:cat>
            <c:strRef>
              <c:f>Data!$F$27:$F$38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Data!$G$27:$G$38</c:f>
              <c:numCache>
                <c:formatCode>#,##0;\-#,##0;\-</c:formatCode>
                <c:ptCount val="12"/>
                <c:pt idx="0">
                  <c:v>11405.289845734786</c:v>
                </c:pt>
                <c:pt idx="1">
                  <c:v>11747.448541106831</c:v>
                </c:pt>
                <c:pt idx="2">
                  <c:v>11777.677721590215</c:v>
                </c:pt>
                <c:pt idx="3">
                  <c:v>11834.58931954808</c:v>
                </c:pt>
                <c:pt idx="4">
                  <c:v>12189.626999134529</c:v>
                </c:pt>
                <c:pt idx="5">
                  <c:v>12023.518620775505</c:v>
                </c:pt>
                <c:pt idx="6">
                  <c:v>11894.970766132357</c:v>
                </c:pt>
                <c:pt idx="7">
                  <c:v>12251.819889116328</c:v>
                </c:pt>
                <c:pt idx="8">
                  <c:v>12619.374485789818</c:v>
                </c:pt>
                <c:pt idx="9">
                  <c:v>12632.607716303912</c:v>
                </c:pt>
                <c:pt idx="10">
                  <c:v>12268.277323852715</c:v>
                </c:pt>
                <c:pt idx="11">
                  <c:v>12261.712260179256</c:v>
                </c:pt>
              </c:numCache>
            </c:numRef>
          </c:val>
          <c:extLst>
            <c:ext xmlns:c16="http://schemas.microsoft.com/office/drawing/2014/chart" uri="{C3380CC4-5D6E-409C-BE32-E72D297353CC}">
              <c16:uniqueId val="{00000000-A724-4039-BF6C-4B0AAF0196DF}"/>
            </c:ext>
          </c:extLst>
        </c:ser>
        <c:ser>
          <c:idx val="1"/>
          <c:order val="1"/>
          <c:tx>
            <c:strRef>
              <c:f>Data!$H$25:$H$26</c:f>
              <c:strCache>
                <c:ptCount val="1"/>
                <c:pt idx="0">
                  <c:v>General &amp; Administrative</c:v>
                </c:pt>
              </c:strCache>
            </c:strRef>
          </c:tx>
          <c:spPr>
            <a:solidFill>
              <a:schemeClr val="accent3"/>
            </a:solidFill>
            <a:ln>
              <a:noFill/>
            </a:ln>
            <a:effectLst/>
          </c:spPr>
          <c:invertIfNegative val="0"/>
          <c:cat>
            <c:strRef>
              <c:f>Data!$F$27:$F$38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Data!$H$27:$H$38</c:f>
              <c:numCache>
                <c:formatCode>#,##0;\-#,##0;\-</c:formatCode>
                <c:ptCount val="12"/>
                <c:pt idx="0">
                  <c:v>30761.504775093545</c:v>
                </c:pt>
                <c:pt idx="1">
                  <c:v>30146.274679591683</c:v>
                </c:pt>
                <c:pt idx="2">
                  <c:v>30578.688960530817</c:v>
                </c:pt>
                <c:pt idx="3">
                  <c:v>31094.818706838301</c:v>
                </c:pt>
                <c:pt idx="4">
                  <c:v>32277.813474329087</c:v>
                </c:pt>
                <c:pt idx="5">
                  <c:v>31632.257204842495</c:v>
                </c:pt>
                <c:pt idx="6">
                  <c:v>32838.838861917866</c:v>
                </c:pt>
                <c:pt idx="7">
                  <c:v>34094.709676089311</c:v>
                </c:pt>
                <c:pt idx="8">
                  <c:v>33412.815482567523</c:v>
                </c:pt>
                <c:pt idx="9">
                  <c:v>34041.889936105057</c:v>
                </c:pt>
                <c:pt idx="10">
                  <c:v>34756.150578634668</c:v>
                </c:pt>
                <c:pt idx="11">
                  <c:v>33779.331407246937</c:v>
                </c:pt>
              </c:numCache>
            </c:numRef>
          </c:val>
          <c:extLst>
            <c:ext xmlns:c16="http://schemas.microsoft.com/office/drawing/2014/chart" uri="{C3380CC4-5D6E-409C-BE32-E72D297353CC}">
              <c16:uniqueId val="{00000001-A724-4039-BF6C-4B0AAF0196DF}"/>
            </c:ext>
          </c:extLst>
        </c:ser>
        <c:ser>
          <c:idx val="2"/>
          <c:order val="2"/>
          <c:tx>
            <c:strRef>
              <c:f>Data!$I$25:$I$26</c:f>
              <c:strCache>
                <c:ptCount val="1"/>
                <c:pt idx="0">
                  <c:v>Research &amp; Development</c:v>
                </c:pt>
              </c:strCache>
            </c:strRef>
          </c:tx>
          <c:spPr>
            <a:solidFill>
              <a:schemeClr val="accent5"/>
            </a:solidFill>
            <a:ln>
              <a:noFill/>
            </a:ln>
            <a:effectLst/>
          </c:spPr>
          <c:invertIfNegative val="0"/>
          <c:cat>
            <c:strRef>
              <c:f>Data!$F$27:$F$38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Data!$I$27:$I$38</c:f>
              <c:numCache>
                <c:formatCode>#,##0;\-#,##0;\-</c:formatCode>
                <c:ptCount val="12"/>
                <c:pt idx="0">
                  <c:v>21048.484420049408</c:v>
                </c:pt>
                <c:pt idx="1">
                  <c:v>21358.440230608991</c:v>
                </c:pt>
                <c:pt idx="2">
                  <c:v>21709.844587689557</c:v>
                </c:pt>
                <c:pt idx="3">
                  <c:v>22361.139925320243</c:v>
                </c:pt>
                <c:pt idx="4">
                  <c:v>22722.700923026958</c:v>
                </c:pt>
                <c:pt idx="5">
                  <c:v>23128.108775404224</c:v>
                </c:pt>
                <c:pt idx="6">
                  <c:v>21769.636886875916</c:v>
                </c:pt>
                <c:pt idx="7">
                  <c:v>22422.725993482192</c:v>
                </c:pt>
                <c:pt idx="8">
                  <c:v>23095.407773286661</c:v>
                </c:pt>
                <c:pt idx="9">
                  <c:v>23516.567964248505</c:v>
                </c:pt>
                <c:pt idx="10">
                  <c:v>24222.065003175961</c:v>
                </c:pt>
                <c:pt idx="11">
                  <c:v>24616.367415971006</c:v>
                </c:pt>
              </c:numCache>
            </c:numRef>
          </c:val>
          <c:extLst>
            <c:ext xmlns:c16="http://schemas.microsoft.com/office/drawing/2014/chart" uri="{C3380CC4-5D6E-409C-BE32-E72D297353CC}">
              <c16:uniqueId val="{00000002-A724-4039-BF6C-4B0AAF0196DF}"/>
            </c:ext>
          </c:extLst>
        </c:ser>
        <c:ser>
          <c:idx val="3"/>
          <c:order val="3"/>
          <c:tx>
            <c:strRef>
              <c:f>Data!$J$25:$J$26</c:f>
              <c:strCache>
                <c:ptCount val="1"/>
                <c:pt idx="0">
                  <c:v>Sales &amp; Marketing</c:v>
                </c:pt>
              </c:strCache>
            </c:strRef>
          </c:tx>
          <c:spPr>
            <a:solidFill>
              <a:schemeClr val="accent1">
                <a:lumMod val="60000"/>
              </a:schemeClr>
            </a:solidFill>
            <a:ln>
              <a:noFill/>
            </a:ln>
            <a:effectLst/>
          </c:spPr>
          <c:invertIfNegative val="0"/>
          <c:cat>
            <c:strRef>
              <c:f>Data!$F$27:$F$38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Data!$J$27:$J$38</c:f>
              <c:numCache>
                <c:formatCode>#,##0;\-#,##0;\-</c:formatCode>
                <c:ptCount val="12"/>
                <c:pt idx="0">
                  <c:v>36671.752603906629</c:v>
                </c:pt>
                <c:pt idx="1">
                  <c:v>37609.949819149071</c:v>
                </c:pt>
                <c:pt idx="2">
                  <c:v>37645.049614318901</c:v>
                </c:pt>
                <c:pt idx="3">
                  <c:v>38118.481883105698</c:v>
                </c:pt>
                <c:pt idx="4">
                  <c:v>36197.416137763859</c:v>
                </c:pt>
                <c:pt idx="5">
                  <c:v>35273.847168260814</c:v>
                </c:pt>
                <c:pt idx="6">
                  <c:v>36332.062583308631</c:v>
                </c:pt>
                <c:pt idx="7">
                  <c:v>32251.101487757747</c:v>
                </c:pt>
                <c:pt idx="8">
                  <c:v>32042.492079250555</c:v>
                </c:pt>
                <c:pt idx="9">
                  <c:v>33003.766841628072</c:v>
                </c:pt>
                <c:pt idx="10">
                  <c:v>31886.790375003955</c:v>
                </c:pt>
                <c:pt idx="11">
                  <c:v>31209.315594442724</c:v>
                </c:pt>
              </c:numCache>
            </c:numRef>
          </c:val>
          <c:extLst>
            <c:ext xmlns:c16="http://schemas.microsoft.com/office/drawing/2014/chart" uri="{C3380CC4-5D6E-409C-BE32-E72D297353CC}">
              <c16:uniqueId val="{00000003-A724-4039-BF6C-4B0AAF0196DF}"/>
            </c:ext>
          </c:extLst>
        </c:ser>
        <c:dLbls>
          <c:showLegendKey val="0"/>
          <c:showVal val="0"/>
          <c:showCatName val="0"/>
          <c:showSerName val="0"/>
          <c:showPercent val="0"/>
          <c:showBubbleSize val="0"/>
        </c:dLbls>
        <c:gapWidth val="150"/>
        <c:overlap val="100"/>
        <c:axId val="377596175"/>
        <c:axId val="377597135"/>
      </c:barChart>
      <c:catAx>
        <c:axId val="37759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97135"/>
        <c:crosses val="autoZero"/>
        <c:auto val="1"/>
        <c:lblAlgn val="ctr"/>
        <c:lblOffset val="100"/>
        <c:noMultiLvlLbl val="0"/>
      </c:catAx>
      <c:valAx>
        <c:axId val="37759713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596175"/>
        <c:crosses val="autoZero"/>
        <c:crossBetween val="between"/>
      </c:valAx>
      <c:spPr>
        <a:noFill/>
        <a:ln>
          <a:noFill/>
        </a:ln>
        <a:effectLst/>
      </c:spPr>
    </c:plotArea>
    <c:legend>
      <c:legendPos val="t"/>
      <c:layout>
        <c:manualLayout>
          <c:xMode val="edge"/>
          <c:yMode val="edge"/>
          <c:x val="8.1718423628801024E-2"/>
          <c:y val="2.3099748975282951E-2"/>
          <c:w val="0.84240079649347333"/>
          <c:h val="0.183485342559462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4268609380366779"/>
          <c:y val="0.10996691876890288"/>
          <c:w val="0.77577899545137918"/>
          <c:h val="0.76477345366860128"/>
        </c:manualLayout>
      </c:layout>
      <c:pieChart>
        <c:varyColors val="1"/>
        <c:ser>
          <c:idx val="0"/>
          <c:order val="0"/>
          <c:tx>
            <c:strRef>
              <c:f>Data!$M$25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16-41DA-8D89-420AF54B80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16-41DA-8D89-420AF54B80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16-41DA-8D89-420AF54B80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16-41DA-8D89-420AF54B80ED}"/>
              </c:ext>
            </c:extLst>
          </c:dPt>
          <c:cat>
            <c:strRef>
              <c:f>Data!$L$26:$L$30</c:f>
              <c:strCache>
                <c:ptCount val="4"/>
                <c:pt idx="0">
                  <c:v>Customer Support</c:v>
                </c:pt>
                <c:pt idx="1">
                  <c:v>General &amp; Administrative</c:v>
                </c:pt>
                <c:pt idx="2">
                  <c:v>Research &amp; Development</c:v>
                </c:pt>
                <c:pt idx="3">
                  <c:v>Sales &amp; Marketing</c:v>
                </c:pt>
              </c:strCache>
            </c:strRef>
          </c:cat>
          <c:val>
            <c:numRef>
              <c:f>Data!$M$26:$M$30</c:f>
              <c:numCache>
                <c:formatCode>#,##0;\-#,##0;\-</c:formatCode>
                <c:ptCount val="4"/>
                <c:pt idx="0">
                  <c:v>144906.91348926449</c:v>
                </c:pt>
                <c:pt idx="1">
                  <c:v>389415.09374378726</c:v>
                </c:pt>
                <c:pt idx="2">
                  <c:v>271971.48989913956</c:v>
                </c:pt>
                <c:pt idx="3">
                  <c:v>418242.02618789673</c:v>
                </c:pt>
              </c:numCache>
            </c:numRef>
          </c:val>
          <c:extLst>
            <c:ext xmlns:c16="http://schemas.microsoft.com/office/drawing/2014/chart" uri="{C3380CC4-5D6E-409C-BE32-E72D297353CC}">
              <c16:uniqueId val="{00000008-2A16-41DA-8D89-420AF54B80E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07456117540137"/>
          <c:y val="0.17816398504498265"/>
          <c:w val="0.54452955009655302"/>
          <c:h val="0.55523276520390874"/>
        </c:manualLayout>
      </c:layout>
      <c:barChart>
        <c:barDir val="col"/>
        <c:grouping val="clustered"/>
        <c:varyColors val="0"/>
        <c:ser>
          <c:idx val="0"/>
          <c:order val="0"/>
          <c:tx>
            <c:strRef>
              <c:f>Data!$G$45:$G$46</c:f>
              <c:strCache>
                <c:ptCount val="1"/>
                <c:pt idx="0">
                  <c:v>Advertising</c:v>
                </c:pt>
              </c:strCache>
            </c:strRef>
          </c:tx>
          <c:spPr>
            <a:solidFill>
              <a:schemeClr val="accent1"/>
            </a:solidFill>
            <a:ln>
              <a:noFill/>
            </a:ln>
            <a:effectLst/>
          </c:spPr>
          <c:invertIfNegative val="0"/>
          <c:cat>
            <c:strRef>
              <c:f>Data!$F$47:$F$58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Data!$G$47:$G$58</c:f>
              <c:numCache>
                <c:formatCode>#,##0;\-#,##0;\-</c:formatCode>
                <c:ptCount val="12"/>
                <c:pt idx="0">
                  <c:v>19431.89164257532</c:v>
                </c:pt>
                <c:pt idx="1">
                  <c:v>19953.33570194335</c:v>
                </c:pt>
                <c:pt idx="2">
                  <c:v>19835.193127287439</c:v>
                </c:pt>
                <c:pt idx="3">
                  <c:v>19786.86844817438</c:v>
                </c:pt>
                <c:pt idx="4">
                  <c:v>18029.407205686242</c:v>
                </c:pt>
                <c:pt idx="5">
                  <c:v>16401.450126074356</c:v>
                </c:pt>
                <c:pt idx="6">
                  <c:v>16822.569064192194</c:v>
                </c:pt>
                <c:pt idx="7">
                  <c:v>16696.001856192448</c:v>
                </c:pt>
                <c:pt idx="8">
                  <c:v>16544.446047727837</c:v>
                </c:pt>
                <c:pt idx="9">
                  <c:v>16972.670686046178</c:v>
                </c:pt>
                <c:pt idx="10">
                  <c:v>15498.436000701864</c:v>
                </c:pt>
                <c:pt idx="11">
                  <c:v>14253.124387410255</c:v>
                </c:pt>
              </c:numCache>
            </c:numRef>
          </c:val>
          <c:extLst>
            <c:ext xmlns:c16="http://schemas.microsoft.com/office/drawing/2014/chart" uri="{C3380CC4-5D6E-409C-BE32-E72D297353CC}">
              <c16:uniqueId val="{00000000-F592-4B90-827C-F98646E7E49B}"/>
            </c:ext>
          </c:extLst>
        </c:ser>
        <c:ser>
          <c:idx val="1"/>
          <c:order val="1"/>
          <c:tx>
            <c:strRef>
              <c:f>Data!$H$45:$H$46</c:f>
              <c:strCache>
                <c:ptCount val="1"/>
                <c:pt idx="0">
                  <c:v>Other G&amp;A</c:v>
                </c:pt>
              </c:strCache>
            </c:strRef>
          </c:tx>
          <c:spPr>
            <a:solidFill>
              <a:schemeClr val="accent2"/>
            </a:solidFill>
            <a:ln>
              <a:noFill/>
            </a:ln>
            <a:effectLst/>
          </c:spPr>
          <c:invertIfNegative val="0"/>
          <c:cat>
            <c:strRef>
              <c:f>Data!$F$47:$F$58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Data!$H$47:$H$58</c:f>
              <c:numCache>
                <c:formatCode>#,##0;\-#,##0;\-</c:formatCode>
                <c:ptCount val="12"/>
                <c:pt idx="0">
                  <c:v>29529.336285449597</c:v>
                </c:pt>
                <c:pt idx="1">
                  <c:v>29350.079416848508</c:v>
                </c:pt>
                <c:pt idx="2">
                  <c:v>29407.744952775938</c:v>
                </c:pt>
                <c:pt idx="3">
                  <c:v>30154.319705420978</c:v>
                </c:pt>
                <c:pt idx="4">
                  <c:v>31227.748491222792</c:v>
                </c:pt>
                <c:pt idx="5">
                  <c:v>31067.125406550505</c:v>
                </c:pt>
                <c:pt idx="6">
                  <c:v>32172.833540030737</c:v>
                </c:pt>
                <c:pt idx="7">
                  <c:v>32951.276205901428</c:v>
                </c:pt>
                <c:pt idx="8">
                  <c:v>32735.772467637176</c:v>
                </c:pt>
                <c:pt idx="9">
                  <c:v>33633.811682883032</c:v>
                </c:pt>
                <c:pt idx="10">
                  <c:v>34839.877520995695</c:v>
                </c:pt>
                <c:pt idx="11">
                  <c:v>34959.127561984642</c:v>
                </c:pt>
              </c:numCache>
            </c:numRef>
          </c:val>
          <c:extLst>
            <c:ext xmlns:c16="http://schemas.microsoft.com/office/drawing/2014/chart" uri="{C3380CC4-5D6E-409C-BE32-E72D297353CC}">
              <c16:uniqueId val="{00000001-F592-4B90-827C-F98646E7E49B}"/>
            </c:ext>
          </c:extLst>
        </c:ser>
        <c:ser>
          <c:idx val="2"/>
          <c:order val="2"/>
          <c:tx>
            <c:strRef>
              <c:f>Data!$I$45:$I$46</c:f>
              <c:strCache>
                <c:ptCount val="1"/>
                <c:pt idx="0">
                  <c:v>Payroll</c:v>
                </c:pt>
              </c:strCache>
            </c:strRef>
          </c:tx>
          <c:spPr>
            <a:solidFill>
              <a:schemeClr val="accent3"/>
            </a:solidFill>
            <a:ln>
              <a:noFill/>
            </a:ln>
            <a:effectLst/>
          </c:spPr>
          <c:invertIfNegative val="0"/>
          <c:cat>
            <c:strRef>
              <c:f>Data!$F$47:$F$58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Data!$I$47:$I$58</c:f>
              <c:numCache>
                <c:formatCode>#,##0;\-#,##0;\-</c:formatCode>
                <c:ptCount val="12"/>
                <c:pt idx="0">
                  <c:v>36264.881753753172</c:v>
                </c:pt>
                <c:pt idx="1">
                  <c:v>37044.557095615732</c:v>
                </c:pt>
                <c:pt idx="2">
                  <c:v>37529.780669671163</c:v>
                </c:pt>
                <c:pt idx="3">
                  <c:v>38092.386899192374</c:v>
                </c:pt>
                <c:pt idx="4">
                  <c:v>38614.425100643202</c:v>
                </c:pt>
                <c:pt idx="5">
                  <c:v>39060.712424119301</c:v>
                </c:pt>
                <c:pt idx="6">
                  <c:v>37857.273268431563</c:v>
                </c:pt>
                <c:pt idx="7">
                  <c:v>34922.453941365464</c:v>
                </c:pt>
                <c:pt idx="8">
                  <c:v>35415.541118793903</c:v>
                </c:pt>
                <c:pt idx="9">
                  <c:v>35914.630074865592</c:v>
                </c:pt>
                <c:pt idx="10">
                  <c:v>36078.104053261464</c:v>
                </c:pt>
                <c:pt idx="11">
                  <c:v>36255.721268516121</c:v>
                </c:pt>
              </c:numCache>
            </c:numRef>
          </c:val>
          <c:extLst>
            <c:ext xmlns:c16="http://schemas.microsoft.com/office/drawing/2014/chart" uri="{C3380CC4-5D6E-409C-BE32-E72D297353CC}">
              <c16:uniqueId val="{00000002-F592-4B90-827C-F98646E7E49B}"/>
            </c:ext>
          </c:extLst>
        </c:ser>
        <c:ser>
          <c:idx val="3"/>
          <c:order val="3"/>
          <c:tx>
            <c:strRef>
              <c:f>Data!$J$45:$J$46</c:f>
              <c:strCache>
                <c:ptCount val="1"/>
                <c:pt idx="0">
                  <c:v>Professional Fees</c:v>
                </c:pt>
              </c:strCache>
            </c:strRef>
          </c:tx>
          <c:spPr>
            <a:solidFill>
              <a:schemeClr val="accent4"/>
            </a:solidFill>
            <a:ln>
              <a:noFill/>
            </a:ln>
            <a:effectLst/>
          </c:spPr>
          <c:invertIfNegative val="0"/>
          <c:cat>
            <c:strRef>
              <c:f>Data!$F$47:$F$58</c:f>
              <c:strCache>
                <c:ptCount val="12"/>
                <c:pt idx="0">
                  <c:v>01/01/2024</c:v>
                </c:pt>
                <c:pt idx="1">
                  <c:v>01/02/2024</c:v>
                </c:pt>
                <c:pt idx="2">
                  <c:v>01/03/2024</c:v>
                </c:pt>
                <c:pt idx="3">
                  <c:v>01/04/2024</c:v>
                </c:pt>
                <c:pt idx="4">
                  <c:v>01/05/2024</c:v>
                </c:pt>
                <c:pt idx="5">
                  <c:v>01/06/2024</c:v>
                </c:pt>
                <c:pt idx="6">
                  <c:v>01/07/2024</c:v>
                </c:pt>
                <c:pt idx="7">
                  <c:v>01/08/2024</c:v>
                </c:pt>
                <c:pt idx="8">
                  <c:v>01/09/2024</c:v>
                </c:pt>
                <c:pt idx="9">
                  <c:v>01/10/2024</c:v>
                </c:pt>
                <c:pt idx="10">
                  <c:v>01/11/2024</c:v>
                </c:pt>
                <c:pt idx="11">
                  <c:v>01/12/2024</c:v>
                </c:pt>
              </c:strCache>
            </c:strRef>
          </c:cat>
          <c:val>
            <c:numRef>
              <c:f>Data!$J$47:$J$58</c:f>
              <c:numCache>
                <c:formatCode>#,##0;\-#,##0;\-</c:formatCode>
                <c:ptCount val="12"/>
                <c:pt idx="0">
                  <c:v>14660.921963006282</c:v>
                </c:pt>
                <c:pt idx="1">
                  <c:v>14514.141056048988</c:v>
                </c:pt>
                <c:pt idx="2">
                  <c:v>14938.542134394958</c:v>
                </c:pt>
                <c:pt idx="3">
                  <c:v>15375.454782024601</c:v>
                </c:pt>
                <c:pt idx="4">
                  <c:v>15515.976736702187</c:v>
                </c:pt>
                <c:pt idx="5">
                  <c:v>15528.443812538881</c:v>
                </c:pt>
                <c:pt idx="6">
                  <c:v>15982.833225580287</c:v>
                </c:pt>
                <c:pt idx="7">
                  <c:v>16450.625042986245</c:v>
                </c:pt>
                <c:pt idx="8">
                  <c:v>16474.330186735646</c:v>
                </c:pt>
                <c:pt idx="9">
                  <c:v>16673.720014490755</c:v>
                </c:pt>
                <c:pt idx="10">
                  <c:v>16716.865705708278</c:v>
                </c:pt>
                <c:pt idx="11">
                  <c:v>16398.753459928896</c:v>
                </c:pt>
              </c:numCache>
            </c:numRef>
          </c:val>
          <c:extLst>
            <c:ext xmlns:c16="http://schemas.microsoft.com/office/drawing/2014/chart" uri="{C3380CC4-5D6E-409C-BE32-E72D297353CC}">
              <c16:uniqueId val="{00000003-F592-4B90-827C-F98646E7E49B}"/>
            </c:ext>
          </c:extLst>
        </c:ser>
        <c:dLbls>
          <c:showLegendKey val="0"/>
          <c:showVal val="0"/>
          <c:showCatName val="0"/>
          <c:showSerName val="0"/>
          <c:showPercent val="0"/>
          <c:showBubbleSize val="0"/>
        </c:dLbls>
        <c:gapWidth val="219"/>
        <c:overlap val="-27"/>
        <c:axId val="329108303"/>
        <c:axId val="329108783"/>
      </c:barChart>
      <c:catAx>
        <c:axId val="32910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108783"/>
        <c:crosses val="autoZero"/>
        <c:auto val="1"/>
        <c:lblAlgn val="ctr"/>
        <c:lblOffset val="100"/>
        <c:noMultiLvlLbl val="0"/>
      </c:catAx>
      <c:valAx>
        <c:axId val="32910878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108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Data!$M$45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27-499F-8F2E-6A8E811CB0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27-499F-8F2E-6A8E811CB0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27-499F-8F2E-6A8E811CB0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27-499F-8F2E-6A8E811CB04D}"/>
              </c:ext>
            </c:extLst>
          </c:dPt>
          <c:cat>
            <c:strRef>
              <c:f>Data!$L$46:$L$50</c:f>
              <c:strCache>
                <c:ptCount val="4"/>
                <c:pt idx="0">
                  <c:v>Advertising</c:v>
                </c:pt>
                <c:pt idx="1">
                  <c:v>Other G&amp;A</c:v>
                </c:pt>
                <c:pt idx="2">
                  <c:v>Payroll</c:v>
                </c:pt>
                <c:pt idx="3">
                  <c:v>Professional Fees</c:v>
                </c:pt>
              </c:strCache>
            </c:strRef>
          </c:cat>
          <c:val>
            <c:numRef>
              <c:f>Data!$M$46:$M$50</c:f>
              <c:numCache>
                <c:formatCode>#,##0;\-#,##0;\-</c:formatCode>
                <c:ptCount val="4"/>
                <c:pt idx="0">
                  <c:v>210225.39429401184</c:v>
                </c:pt>
                <c:pt idx="1">
                  <c:v>382029.05323770113</c:v>
                </c:pt>
                <c:pt idx="2">
                  <c:v>443050.46766822907</c:v>
                </c:pt>
                <c:pt idx="3">
                  <c:v>189230.608120146</c:v>
                </c:pt>
              </c:numCache>
            </c:numRef>
          </c:val>
          <c:extLst>
            <c:ext xmlns:c16="http://schemas.microsoft.com/office/drawing/2014/chart" uri="{C3380CC4-5D6E-409C-BE32-E72D297353CC}">
              <c16:uniqueId val="{00000008-4F27-499F-8F2E-6A8E811CB0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b="1">
                <a:solidFill>
                  <a:srgbClr val="002060"/>
                </a:solidFill>
              </a:rPr>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doughnutChart>
        <c:varyColors val="1"/>
        <c:ser>
          <c:idx val="0"/>
          <c:order val="0"/>
          <c:tx>
            <c:strRef>
              <c:f>Data!$Q$31</c:f>
              <c:strCache>
                <c:ptCount val="1"/>
                <c:pt idx="0">
                  <c:v>REVENUE</c:v>
                </c:pt>
              </c:strCache>
            </c:strRef>
          </c:tx>
          <c:dPt>
            <c:idx val="0"/>
            <c:bubble3D val="0"/>
            <c:spPr>
              <a:solidFill>
                <a:srgbClr val="00B050"/>
              </a:solidFill>
              <a:ln w="19050">
                <a:noFill/>
              </a:ln>
              <a:effectLst/>
            </c:spPr>
            <c:extLst>
              <c:ext xmlns:c16="http://schemas.microsoft.com/office/drawing/2014/chart" uri="{C3380CC4-5D6E-409C-BE32-E72D297353CC}">
                <c16:uniqueId val="{00000001-6FA5-4583-AB4E-D5207675B31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6FA5-4583-AB4E-D5207675B31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6FA5-4583-AB4E-D5207675B315}"/>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FA5-4583-AB4E-D5207675B315}"/>
              </c:ext>
            </c:extLst>
          </c:dPt>
          <c:cat>
            <c:strRef>
              <c:f>Data!$P$32:$P$35</c:f>
              <c:strCache>
                <c:ptCount val="4"/>
                <c:pt idx="0">
                  <c:v>A (+)</c:v>
                </c:pt>
                <c:pt idx="1">
                  <c:v>B (+)</c:v>
                </c:pt>
                <c:pt idx="2">
                  <c:v>A (-)</c:v>
                </c:pt>
                <c:pt idx="3">
                  <c:v>B (-)</c:v>
                </c:pt>
              </c:strCache>
            </c:strRef>
          </c:cat>
          <c:val>
            <c:numRef>
              <c:f>Data!$Q$32:$Q$35</c:f>
              <c:numCache>
                <c:formatCode>0%</c:formatCode>
                <c:ptCount val="4"/>
                <c:pt idx="0">
                  <c:v>0</c:v>
                </c:pt>
                <c:pt idx="1">
                  <c:v>0</c:v>
                </c:pt>
                <c:pt idx="2">
                  <c:v>5.7972772118703053E-2</c:v>
                </c:pt>
                <c:pt idx="3">
                  <c:v>0.94202722788129689</c:v>
                </c:pt>
              </c:numCache>
            </c:numRef>
          </c:val>
          <c:extLst>
            <c:ext xmlns:c16="http://schemas.microsoft.com/office/drawing/2014/chart" uri="{C3380CC4-5D6E-409C-BE32-E72D297353CC}">
              <c16:uniqueId val="{00000008-6FA5-4583-AB4E-D5207675B31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spc="0" baseline="0">
                <a:solidFill>
                  <a:srgbClr val="002060"/>
                </a:solidFill>
                <a:latin typeface="+mn-lt"/>
                <a:ea typeface="+mn-ea"/>
                <a:cs typeface="+mn-cs"/>
              </a:defRPr>
            </a:pPr>
            <a:r>
              <a:rPr lang="en-US" sz="1200" b="1" i="0" u="none" strike="noStrike" kern="1200" spc="0" baseline="0">
                <a:solidFill>
                  <a:srgbClr val="002060"/>
                </a:solidFill>
                <a:latin typeface="+mn-lt"/>
                <a:ea typeface="+mn-ea"/>
                <a:cs typeface="+mn-cs"/>
              </a:rPr>
              <a:t>GROSS PROFIT</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rgbClr val="002060"/>
              </a:solidFill>
              <a:latin typeface="+mn-lt"/>
              <a:ea typeface="+mn-ea"/>
              <a:cs typeface="+mn-cs"/>
            </a:defRPr>
          </a:pPr>
          <a:endParaRPr lang="en-US"/>
        </a:p>
      </c:txPr>
    </c:title>
    <c:autoTitleDeleted val="0"/>
    <c:plotArea>
      <c:layout/>
      <c:doughnutChart>
        <c:varyColors val="1"/>
        <c:ser>
          <c:idx val="1"/>
          <c:order val="1"/>
          <c:tx>
            <c:strRef>
              <c:f>Data!$R$31</c:f>
              <c:strCache>
                <c:ptCount val="1"/>
                <c:pt idx="0">
                  <c:v>GROSS PROFIT</c:v>
                </c:pt>
              </c:strCache>
            </c:strRef>
          </c:tx>
          <c:dPt>
            <c:idx val="0"/>
            <c:bubble3D val="0"/>
            <c:spPr>
              <a:solidFill>
                <a:srgbClr val="00B050"/>
              </a:solidFill>
              <a:ln w="19050">
                <a:noFill/>
              </a:ln>
              <a:effectLst/>
            </c:spPr>
            <c:extLst>
              <c:ext xmlns:c16="http://schemas.microsoft.com/office/drawing/2014/chart" uri="{C3380CC4-5D6E-409C-BE32-E72D297353CC}">
                <c16:uniqueId val="{0000001B-C999-42F8-9CB3-0609601C9E5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C-C999-42F8-9CB3-0609601C9E5A}"/>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1D-C999-42F8-9CB3-0609601C9E5A}"/>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E-C999-42F8-9CB3-0609601C9E5A}"/>
              </c:ext>
            </c:extLst>
          </c:dPt>
          <c:cat>
            <c:strRef>
              <c:f>Data!$P$32:$P$35</c:f>
              <c:strCache>
                <c:ptCount val="4"/>
                <c:pt idx="0">
                  <c:v>A (+)</c:v>
                </c:pt>
                <c:pt idx="1">
                  <c:v>B (+)</c:v>
                </c:pt>
                <c:pt idx="2">
                  <c:v>A (-)</c:v>
                </c:pt>
                <c:pt idx="3">
                  <c:v>B (-)</c:v>
                </c:pt>
              </c:strCache>
            </c:strRef>
          </c:cat>
          <c:val>
            <c:numRef>
              <c:f>Data!$R$32:$R$35</c:f>
              <c:numCache>
                <c:formatCode>0%</c:formatCode>
                <c:ptCount val="4"/>
                <c:pt idx="0">
                  <c:v>0</c:v>
                </c:pt>
                <c:pt idx="1">
                  <c:v>0</c:v>
                </c:pt>
                <c:pt idx="2">
                  <c:v>0.24303399368170528</c:v>
                </c:pt>
                <c:pt idx="3">
                  <c:v>0.75696600631829469</c:v>
                </c:pt>
              </c:numCache>
            </c:numRef>
          </c:val>
          <c:extLst>
            <c:ext xmlns:c16="http://schemas.microsoft.com/office/drawing/2014/chart" uri="{C3380CC4-5D6E-409C-BE32-E72D297353CC}">
              <c16:uniqueId val="{00000008-C999-42F8-9CB3-0609601C9E5A}"/>
            </c:ext>
          </c:extLst>
        </c:ser>
        <c:dLbls>
          <c:showLegendKey val="0"/>
          <c:showVal val="0"/>
          <c:showCatName val="0"/>
          <c:showSerName val="0"/>
          <c:showPercent val="0"/>
          <c:showBubbleSize val="0"/>
          <c:showLeaderLines val="1"/>
        </c:dLbls>
        <c:firstSliceAng val="0"/>
        <c:holeSize val="75"/>
        <c:extLst>
          <c:ext xmlns:c15="http://schemas.microsoft.com/office/drawing/2012/chart" uri="{02D57815-91ED-43cb-92C2-25804820EDAC}">
            <c15:filteredPieSeries>
              <c15:ser>
                <c:idx val="0"/>
                <c:order val="0"/>
                <c:tx>
                  <c:strRef>
                    <c:extLst>
                      <c:ext uri="{02D57815-91ED-43cb-92C2-25804820EDAC}">
                        <c15:formulaRef>
                          <c15:sqref>Data!$Q$31</c15:sqref>
                        </c15:formulaRef>
                      </c:ext>
                    </c:extLst>
                    <c:strCache>
                      <c:ptCount val="1"/>
                      <c:pt idx="0">
                        <c:v>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A5-4583-AB4E-D5207675B3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A5-4583-AB4E-D5207675B3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A5-4583-AB4E-D5207675B3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A5-4583-AB4E-D5207675B315}"/>
                    </c:ext>
                  </c:extLst>
                </c:dPt>
                <c:cat>
                  <c:strRef>
                    <c:extLst>
                      <c:ext uri="{02D57815-91ED-43cb-92C2-25804820EDAC}">
                        <c15:formulaRef>
                          <c15:sqref>Data!$P$32:$P$35</c15:sqref>
                        </c15:formulaRef>
                      </c:ext>
                    </c:extLst>
                    <c:strCache>
                      <c:ptCount val="4"/>
                      <c:pt idx="0">
                        <c:v>A (+)</c:v>
                      </c:pt>
                      <c:pt idx="1">
                        <c:v>B (+)</c:v>
                      </c:pt>
                      <c:pt idx="2">
                        <c:v>A (-)</c:v>
                      </c:pt>
                      <c:pt idx="3">
                        <c:v>B (-)</c:v>
                      </c:pt>
                    </c:strCache>
                  </c:strRef>
                </c:cat>
                <c:val>
                  <c:numRef>
                    <c:extLst>
                      <c:ext uri="{02D57815-91ED-43cb-92C2-25804820EDAC}">
                        <c15:formulaRef>
                          <c15:sqref>Data!$Q$32:$Q$35</c15:sqref>
                        </c15:formulaRef>
                      </c:ext>
                    </c:extLst>
                    <c:numCache>
                      <c:formatCode>0%</c:formatCode>
                      <c:ptCount val="4"/>
                      <c:pt idx="0">
                        <c:v>0</c:v>
                      </c:pt>
                      <c:pt idx="1">
                        <c:v>0</c:v>
                      </c:pt>
                      <c:pt idx="2">
                        <c:v>5.7972772118703053E-2</c:v>
                      </c:pt>
                      <c:pt idx="3">
                        <c:v>0.94202722788129689</c:v>
                      </c:pt>
                    </c:numCache>
                  </c:numRef>
                </c:val>
                <c:extLst>
                  <c:ext xmlns:c16="http://schemas.microsoft.com/office/drawing/2014/chart" uri="{C3380CC4-5D6E-409C-BE32-E72D297353CC}">
                    <c16:uniqueId val="{00000008-6FA5-4583-AB4E-D5207675B315}"/>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US" b="1"/>
              <a:t>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doughnutChart>
        <c:varyColors val="1"/>
        <c:ser>
          <c:idx val="0"/>
          <c:order val="0"/>
          <c:tx>
            <c:strRef>
              <c:f>Data!$Q$39</c:f>
              <c:strCache>
                <c:ptCount val="1"/>
                <c:pt idx="0">
                  <c:v>REVENUE</c:v>
                </c:pt>
              </c:strCache>
            </c:strRef>
          </c:tx>
          <c:dPt>
            <c:idx val="0"/>
            <c:bubble3D val="0"/>
            <c:spPr>
              <a:solidFill>
                <a:srgbClr val="00B050"/>
              </a:solidFill>
              <a:ln w="19050">
                <a:noFill/>
              </a:ln>
              <a:effectLst/>
            </c:spPr>
            <c:extLst>
              <c:ext xmlns:c16="http://schemas.microsoft.com/office/drawing/2014/chart" uri="{C3380CC4-5D6E-409C-BE32-E72D297353CC}">
                <c16:uniqueId val="{00000001-6FA5-4583-AB4E-D5207675B31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6FA5-4583-AB4E-D5207675B31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6FA5-4583-AB4E-D5207675B315}"/>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FA5-4583-AB4E-D5207675B315}"/>
              </c:ext>
            </c:extLst>
          </c:dPt>
          <c:cat>
            <c:strRef>
              <c:f>Data!$P$40:$P$43</c:f>
              <c:strCache>
                <c:ptCount val="4"/>
                <c:pt idx="0">
                  <c:v>A (+)</c:v>
                </c:pt>
                <c:pt idx="1">
                  <c:v>B (+)</c:v>
                </c:pt>
                <c:pt idx="2">
                  <c:v>A (-)</c:v>
                </c:pt>
                <c:pt idx="3">
                  <c:v>B (-)</c:v>
                </c:pt>
              </c:strCache>
            </c:strRef>
          </c:cat>
          <c:val>
            <c:numRef>
              <c:f>Data!$Q$40:$Q$43</c:f>
              <c:numCache>
                <c:formatCode>0%</c:formatCode>
                <c:ptCount val="4"/>
                <c:pt idx="0">
                  <c:v>0.10441182635779028</c:v>
                </c:pt>
                <c:pt idx="1">
                  <c:v>0.89558817364220977</c:v>
                </c:pt>
                <c:pt idx="2">
                  <c:v>0</c:v>
                </c:pt>
                <c:pt idx="3">
                  <c:v>0</c:v>
                </c:pt>
              </c:numCache>
            </c:numRef>
          </c:val>
          <c:extLst>
            <c:ext xmlns:c16="http://schemas.microsoft.com/office/drawing/2014/chart" uri="{C3380CC4-5D6E-409C-BE32-E72D297353CC}">
              <c16:uniqueId val="{00000008-6FA5-4583-AB4E-D5207675B315}"/>
            </c:ext>
          </c:extLst>
        </c:ser>
        <c:dLbls>
          <c:showLegendKey val="0"/>
          <c:showVal val="0"/>
          <c:showCatName val="0"/>
          <c:showSerName val="0"/>
          <c:showPercent val="0"/>
          <c:showBubbleSize val="0"/>
          <c:showLeaderLines val="1"/>
        </c:dLbls>
        <c:firstSliceAng val="0"/>
        <c:holeSize val="75"/>
        <c:extLst>
          <c:ext xmlns:c15="http://schemas.microsoft.com/office/drawing/2012/chart" uri="{02D57815-91ED-43cb-92C2-25804820EDAC}">
            <c15:filteredPieSeries>
              <c15:ser>
                <c:idx val="1"/>
                <c:order val="1"/>
                <c:tx>
                  <c:strRef>
                    <c:extLst>
                      <c:ext uri="{02D57815-91ED-43cb-92C2-25804820EDAC}">
                        <c15:formulaRef>
                          <c15:sqref>Data!$R$39</c15:sqref>
                        </c15:formulaRef>
                      </c:ext>
                    </c:extLst>
                    <c:strCache>
                      <c:ptCount val="1"/>
                      <c:pt idx="0">
                        <c:v>GROSS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D2C9-4983-BA55-7B5737AFA9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D2C9-4983-BA55-7B5737AFA9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D2C9-4983-BA55-7B5737AFA9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D2C9-4983-BA55-7B5737AFA94A}"/>
                    </c:ext>
                  </c:extLst>
                </c:dPt>
                <c:cat>
                  <c:strRef>
                    <c:extLst>
                      <c:ext uri="{02D57815-91ED-43cb-92C2-25804820EDAC}">
                        <c15:formulaRef>
                          <c15:sqref>Data!$P$40:$P$43</c15:sqref>
                        </c15:formulaRef>
                      </c:ext>
                    </c:extLst>
                    <c:strCache>
                      <c:ptCount val="4"/>
                      <c:pt idx="0">
                        <c:v>A (+)</c:v>
                      </c:pt>
                      <c:pt idx="1">
                        <c:v>B (+)</c:v>
                      </c:pt>
                      <c:pt idx="2">
                        <c:v>A (-)</c:v>
                      </c:pt>
                      <c:pt idx="3">
                        <c:v>B (-)</c:v>
                      </c:pt>
                    </c:strCache>
                  </c:strRef>
                </c:cat>
                <c:val>
                  <c:numRef>
                    <c:extLst>
                      <c:ext uri="{02D57815-91ED-43cb-92C2-25804820EDAC}">
                        <c15:formulaRef>
                          <c15:sqref>Data!$R$40:$R$43</c15:sqref>
                        </c15:formulaRef>
                      </c:ext>
                    </c:extLst>
                    <c:numCache>
                      <c:formatCode>0%</c:formatCode>
                      <c:ptCount val="4"/>
                      <c:pt idx="0">
                        <c:v>0.13056002345838438</c:v>
                      </c:pt>
                      <c:pt idx="1">
                        <c:v>0.86943997654161564</c:v>
                      </c:pt>
                      <c:pt idx="2">
                        <c:v>0</c:v>
                      </c:pt>
                      <c:pt idx="3">
                        <c:v>0</c:v>
                      </c:pt>
                    </c:numCache>
                  </c:numRef>
                </c:val>
                <c:extLst>
                  <c:ext xmlns:c16="http://schemas.microsoft.com/office/drawing/2014/chart" uri="{C3380CC4-5D6E-409C-BE32-E72D297353CC}">
                    <c16:uniqueId val="{0000001C-3014-4AA4-A10B-39FD0AE8E958}"/>
                  </c:ext>
                </c:extLst>
              </c15:ser>
            </c15:filteredPieSeries>
          </c:ext>
        </c:extLst>
      </c:doughnutChart>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GROSS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doughnutChart>
        <c:varyColors val="1"/>
        <c:ser>
          <c:idx val="0"/>
          <c:order val="0"/>
          <c:tx>
            <c:strRef>
              <c:f>Data!$R$39</c:f>
              <c:strCache>
                <c:ptCount val="1"/>
                <c:pt idx="0">
                  <c:v>GROSS PROFIT</c:v>
                </c:pt>
              </c:strCache>
            </c:strRef>
          </c:tx>
          <c:dPt>
            <c:idx val="0"/>
            <c:bubble3D val="0"/>
            <c:spPr>
              <a:solidFill>
                <a:srgbClr val="00B050"/>
              </a:solidFill>
              <a:ln w="19050">
                <a:noFill/>
              </a:ln>
              <a:effectLst/>
            </c:spPr>
            <c:extLst>
              <c:ext xmlns:c16="http://schemas.microsoft.com/office/drawing/2014/chart" uri="{C3380CC4-5D6E-409C-BE32-E72D297353CC}">
                <c16:uniqueId val="{00000001-6FA5-4583-AB4E-D5207675B31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6FA5-4583-AB4E-D5207675B31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6FA5-4583-AB4E-D5207675B315}"/>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FA5-4583-AB4E-D5207675B315}"/>
              </c:ext>
            </c:extLst>
          </c:dPt>
          <c:cat>
            <c:strRef>
              <c:f>Data!$P$40:$P$43</c:f>
              <c:strCache>
                <c:ptCount val="4"/>
                <c:pt idx="0">
                  <c:v>A (+)</c:v>
                </c:pt>
                <c:pt idx="1">
                  <c:v>B (+)</c:v>
                </c:pt>
                <c:pt idx="2">
                  <c:v>A (-)</c:v>
                </c:pt>
                <c:pt idx="3">
                  <c:v>B (-)</c:v>
                </c:pt>
              </c:strCache>
            </c:strRef>
          </c:cat>
          <c:val>
            <c:numRef>
              <c:f>Data!$R$40:$R$43</c:f>
              <c:numCache>
                <c:formatCode>0%</c:formatCode>
                <c:ptCount val="4"/>
                <c:pt idx="0">
                  <c:v>0.13056002345838438</c:v>
                </c:pt>
                <c:pt idx="1">
                  <c:v>0.86943997654161564</c:v>
                </c:pt>
                <c:pt idx="2">
                  <c:v>0</c:v>
                </c:pt>
                <c:pt idx="3">
                  <c:v>0</c:v>
                </c:pt>
              </c:numCache>
            </c:numRef>
          </c:val>
          <c:extLst>
            <c:ext xmlns:c16="http://schemas.microsoft.com/office/drawing/2014/chart" uri="{C3380CC4-5D6E-409C-BE32-E72D297353CC}">
              <c16:uniqueId val="{00000008-6FA5-4583-AB4E-D5207675B31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doughnutChart>
        <c:varyColors val="1"/>
        <c:ser>
          <c:idx val="0"/>
          <c:order val="0"/>
          <c:tx>
            <c:strRef>
              <c:f>Data!$Q$47</c:f>
              <c:strCache>
                <c:ptCount val="1"/>
                <c:pt idx="0">
                  <c:v>REVENUE</c:v>
                </c:pt>
              </c:strCache>
            </c:strRef>
          </c:tx>
          <c:dPt>
            <c:idx val="0"/>
            <c:bubble3D val="0"/>
            <c:spPr>
              <a:solidFill>
                <a:srgbClr val="00B050"/>
              </a:solidFill>
              <a:ln w="19050">
                <a:noFill/>
              </a:ln>
              <a:effectLst/>
            </c:spPr>
            <c:extLst>
              <c:ext xmlns:c16="http://schemas.microsoft.com/office/drawing/2014/chart" uri="{C3380CC4-5D6E-409C-BE32-E72D297353CC}">
                <c16:uniqueId val="{00000001-6FA5-4583-AB4E-D5207675B31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6FA5-4583-AB4E-D5207675B31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6FA5-4583-AB4E-D5207675B315}"/>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FA5-4583-AB4E-D5207675B315}"/>
              </c:ext>
            </c:extLst>
          </c:dPt>
          <c:cat>
            <c:strRef>
              <c:f>Data!$P$48:$P$51</c:f>
              <c:strCache>
                <c:ptCount val="4"/>
                <c:pt idx="0">
                  <c:v>A (+)</c:v>
                </c:pt>
                <c:pt idx="1">
                  <c:v>B (+)</c:v>
                </c:pt>
                <c:pt idx="2">
                  <c:v>A (-)</c:v>
                </c:pt>
                <c:pt idx="3">
                  <c:v>B (-)</c:v>
                </c:pt>
              </c:strCache>
            </c:strRef>
          </c:cat>
          <c:val>
            <c:numRef>
              <c:f>Data!$Q$48:$Q$51</c:f>
              <c:numCache>
                <c:formatCode>0%</c:formatCode>
                <c:ptCount val="4"/>
                <c:pt idx="0">
                  <c:v>0.13056002345838438</c:v>
                </c:pt>
                <c:pt idx="1">
                  <c:v>0.86943997654161564</c:v>
                </c:pt>
                <c:pt idx="2">
                  <c:v>0</c:v>
                </c:pt>
                <c:pt idx="3">
                  <c:v>0</c:v>
                </c:pt>
              </c:numCache>
            </c:numRef>
          </c:val>
          <c:extLst>
            <c:ext xmlns:c16="http://schemas.microsoft.com/office/drawing/2014/chart" uri="{C3380CC4-5D6E-409C-BE32-E72D297353CC}">
              <c16:uniqueId val="{00000008-6FA5-4583-AB4E-D5207675B31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GROSS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doughnutChart>
        <c:varyColors val="1"/>
        <c:ser>
          <c:idx val="0"/>
          <c:order val="0"/>
          <c:tx>
            <c:strRef>
              <c:f>Data!$R$47</c:f>
              <c:strCache>
                <c:ptCount val="1"/>
                <c:pt idx="0">
                  <c:v>GROSS PROFIT</c:v>
                </c:pt>
              </c:strCache>
            </c:strRef>
          </c:tx>
          <c:dPt>
            <c:idx val="0"/>
            <c:bubble3D val="0"/>
            <c:spPr>
              <a:solidFill>
                <a:srgbClr val="00B050"/>
              </a:solidFill>
              <a:ln w="19050">
                <a:noFill/>
              </a:ln>
              <a:effectLst/>
            </c:spPr>
            <c:extLst>
              <c:ext xmlns:c16="http://schemas.microsoft.com/office/drawing/2014/chart" uri="{C3380CC4-5D6E-409C-BE32-E72D297353CC}">
                <c16:uniqueId val="{00000001-6FA5-4583-AB4E-D5207675B31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6FA5-4583-AB4E-D5207675B315}"/>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6FA5-4583-AB4E-D5207675B315}"/>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FA5-4583-AB4E-D5207675B315}"/>
              </c:ext>
            </c:extLst>
          </c:dPt>
          <c:cat>
            <c:strRef>
              <c:f>Data!$P$48:$P$51</c:f>
              <c:strCache>
                <c:ptCount val="4"/>
                <c:pt idx="0">
                  <c:v>A (+)</c:v>
                </c:pt>
                <c:pt idx="1">
                  <c:v>B (+)</c:v>
                </c:pt>
                <c:pt idx="2">
                  <c:v>A (-)</c:v>
                </c:pt>
                <c:pt idx="3">
                  <c:v>B (-)</c:v>
                </c:pt>
              </c:strCache>
            </c:strRef>
          </c:cat>
          <c:val>
            <c:numRef>
              <c:f>Data!$R$48:$R$51</c:f>
              <c:numCache>
                <c:formatCode>0%</c:formatCode>
                <c:ptCount val="4"/>
                <c:pt idx="0">
                  <c:v>0.45729173655891114</c:v>
                </c:pt>
                <c:pt idx="1">
                  <c:v>0.54270826344108891</c:v>
                </c:pt>
                <c:pt idx="2">
                  <c:v>0</c:v>
                </c:pt>
                <c:pt idx="3">
                  <c:v>0</c:v>
                </c:pt>
              </c:numCache>
            </c:numRef>
          </c:val>
          <c:extLst>
            <c:ext xmlns:c16="http://schemas.microsoft.com/office/drawing/2014/chart" uri="{C3380CC4-5D6E-409C-BE32-E72D297353CC}">
              <c16:uniqueId val="{00000008-6FA5-4583-AB4E-D5207675B31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20</xdr:col>
      <xdr:colOff>226621</xdr:colOff>
      <xdr:row>20</xdr:row>
      <xdr:rowOff>228599</xdr:rowOff>
    </xdr:from>
    <xdr:to>
      <xdr:col>20</xdr:col>
      <xdr:colOff>381001</xdr:colOff>
      <xdr:row>20</xdr:row>
      <xdr:rowOff>327560</xdr:rowOff>
    </xdr:to>
    <xdr:sp macro="" textlink="">
      <xdr:nvSpPr>
        <xdr:cNvPr id="3" name="Isosceles Triangle 2">
          <a:extLst>
            <a:ext uri="{FF2B5EF4-FFF2-40B4-BE49-F238E27FC236}">
              <a16:creationId xmlns:a16="http://schemas.microsoft.com/office/drawing/2014/main" id="{12A3DEF3-B597-65D4-57A0-19CEC78C5391}"/>
            </a:ext>
          </a:extLst>
        </xdr:cNvPr>
        <xdr:cNvSpPr/>
      </xdr:nvSpPr>
      <xdr:spPr>
        <a:xfrm>
          <a:off x="12429507" y="4299856"/>
          <a:ext cx="154380" cy="98961"/>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315685</xdr:colOff>
      <xdr:row>20</xdr:row>
      <xdr:rowOff>239486</xdr:rowOff>
    </xdr:from>
    <xdr:to>
      <xdr:col>28</xdr:col>
      <xdr:colOff>470065</xdr:colOff>
      <xdr:row>20</xdr:row>
      <xdr:rowOff>338447</xdr:rowOff>
    </xdr:to>
    <xdr:sp macro="" textlink="">
      <xdr:nvSpPr>
        <xdr:cNvPr id="4" name="Isosceles Triangle 3">
          <a:extLst>
            <a:ext uri="{FF2B5EF4-FFF2-40B4-BE49-F238E27FC236}">
              <a16:creationId xmlns:a16="http://schemas.microsoft.com/office/drawing/2014/main" id="{CCFD758F-353C-4FD8-8D60-02745A1BE105}"/>
            </a:ext>
          </a:extLst>
        </xdr:cNvPr>
        <xdr:cNvSpPr/>
      </xdr:nvSpPr>
      <xdr:spPr>
        <a:xfrm>
          <a:off x="17047028" y="4310743"/>
          <a:ext cx="154380" cy="98961"/>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270163</xdr:colOff>
      <xdr:row>32</xdr:row>
      <xdr:rowOff>174169</xdr:rowOff>
    </xdr:from>
    <xdr:to>
      <xdr:col>20</xdr:col>
      <xdr:colOff>424543</xdr:colOff>
      <xdr:row>32</xdr:row>
      <xdr:rowOff>273130</xdr:rowOff>
    </xdr:to>
    <xdr:sp macro="" textlink="">
      <xdr:nvSpPr>
        <xdr:cNvPr id="5" name="Isosceles Triangle 4">
          <a:extLst>
            <a:ext uri="{FF2B5EF4-FFF2-40B4-BE49-F238E27FC236}">
              <a16:creationId xmlns:a16="http://schemas.microsoft.com/office/drawing/2014/main" id="{8D7112C3-1C26-4FCB-8FA6-DCF7E2A0CDB8}"/>
            </a:ext>
          </a:extLst>
        </xdr:cNvPr>
        <xdr:cNvSpPr/>
      </xdr:nvSpPr>
      <xdr:spPr>
        <a:xfrm>
          <a:off x="12473049" y="6596740"/>
          <a:ext cx="154380" cy="98961"/>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000</a:t>
          </a:r>
        </a:p>
      </xdr:txBody>
    </xdr:sp>
    <xdr:clientData/>
  </xdr:twoCellAnchor>
  <xdr:twoCellAnchor>
    <xdr:from>
      <xdr:col>28</xdr:col>
      <xdr:colOff>270163</xdr:colOff>
      <xdr:row>32</xdr:row>
      <xdr:rowOff>174169</xdr:rowOff>
    </xdr:from>
    <xdr:to>
      <xdr:col>28</xdr:col>
      <xdr:colOff>424543</xdr:colOff>
      <xdr:row>32</xdr:row>
      <xdr:rowOff>273130</xdr:rowOff>
    </xdr:to>
    <xdr:sp macro="" textlink="">
      <xdr:nvSpPr>
        <xdr:cNvPr id="6" name="Isosceles Triangle 5">
          <a:extLst>
            <a:ext uri="{FF2B5EF4-FFF2-40B4-BE49-F238E27FC236}">
              <a16:creationId xmlns:a16="http://schemas.microsoft.com/office/drawing/2014/main" id="{7345E6FA-77C0-400F-8808-F742C3A359EE}"/>
            </a:ext>
          </a:extLst>
        </xdr:cNvPr>
        <xdr:cNvSpPr/>
      </xdr:nvSpPr>
      <xdr:spPr>
        <a:xfrm>
          <a:off x="12473049" y="6596740"/>
          <a:ext cx="154380" cy="98961"/>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000</a:t>
          </a:r>
        </a:p>
      </xdr:txBody>
    </xdr:sp>
    <xdr:clientData/>
  </xdr:twoCellAnchor>
  <xdr:twoCellAnchor>
    <xdr:from>
      <xdr:col>20</xdr:col>
      <xdr:colOff>270163</xdr:colOff>
      <xdr:row>44</xdr:row>
      <xdr:rowOff>239485</xdr:rowOff>
    </xdr:from>
    <xdr:to>
      <xdr:col>20</xdr:col>
      <xdr:colOff>424543</xdr:colOff>
      <xdr:row>44</xdr:row>
      <xdr:rowOff>338446</xdr:rowOff>
    </xdr:to>
    <xdr:sp macro="" textlink="">
      <xdr:nvSpPr>
        <xdr:cNvPr id="7" name="Isosceles Triangle 6">
          <a:extLst>
            <a:ext uri="{FF2B5EF4-FFF2-40B4-BE49-F238E27FC236}">
              <a16:creationId xmlns:a16="http://schemas.microsoft.com/office/drawing/2014/main" id="{631D3612-88CC-4C2D-A1D5-545B535A5E86}"/>
            </a:ext>
          </a:extLst>
        </xdr:cNvPr>
        <xdr:cNvSpPr/>
      </xdr:nvSpPr>
      <xdr:spPr>
        <a:xfrm>
          <a:off x="12473049" y="8871856"/>
          <a:ext cx="154380" cy="98961"/>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000</a:t>
          </a:r>
        </a:p>
      </xdr:txBody>
    </xdr:sp>
    <xdr:clientData/>
  </xdr:twoCellAnchor>
  <xdr:twoCellAnchor>
    <xdr:from>
      <xdr:col>28</xdr:col>
      <xdr:colOff>270163</xdr:colOff>
      <xdr:row>44</xdr:row>
      <xdr:rowOff>283026</xdr:rowOff>
    </xdr:from>
    <xdr:to>
      <xdr:col>28</xdr:col>
      <xdr:colOff>424543</xdr:colOff>
      <xdr:row>44</xdr:row>
      <xdr:rowOff>381987</xdr:rowOff>
    </xdr:to>
    <xdr:sp macro="" textlink="">
      <xdr:nvSpPr>
        <xdr:cNvPr id="8" name="Isosceles Triangle 7">
          <a:extLst>
            <a:ext uri="{FF2B5EF4-FFF2-40B4-BE49-F238E27FC236}">
              <a16:creationId xmlns:a16="http://schemas.microsoft.com/office/drawing/2014/main" id="{D5D9104E-6F03-4368-A5FF-411E61FF5932}"/>
            </a:ext>
          </a:extLst>
        </xdr:cNvPr>
        <xdr:cNvSpPr/>
      </xdr:nvSpPr>
      <xdr:spPr>
        <a:xfrm>
          <a:off x="17741734" y="8915397"/>
          <a:ext cx="154380" cy="98961"/>
        </a:xfrm>
        <a:prstGeom prst="triangl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000</a:t>
          </a:r>
        </a:p>
      </xdr:txBody>
    </xdr:sp>
    <xdr:clientData/>
  </xdr:twoCellAnchor>
  <xdr:twoCellAnchor editAs="oneCell">
    <xdr:from>
      <xdr:col>14</xdr:col>
      <xdr:colOff>43543</xdr:colOff>
      <xdr:row>0</xdr:row>
      <xdr:rowOff>36000</xdr:rowOff>
    </xdr:from>
    <xdr:to>
      <xdr:col>29</xdr:col>
      <xdr:colOff>363186</xdr:colOff>
      <xdr:row>0</xdr:row>
      <xdr:rowOff>728727</xdr:rowOff>
    </xdr:to>
    <mc:AlternateContent xmlns:mc="http://schemas.openxmlformats.org/markup-compatibility/2006" xmlns:a14="http://schemas.microsoft.com/office/drawing/2010/main">
      <mc:Choice Requires="a14">
        <xdr:graphicFrame macro="">
          <xdr:nvGraphicFramePr>
            <xdr:cNvPr id="9" name="Period 1">
              <a:extLst>
                <a:ext uri="{FF2B5EF4-FFF2-40B4-BE49-F238E27FC236}">
                  <a16:creationId xmlns:a16="http://schemas.microsoft.com/office/drawing/2014/main" id="{0664630E-C65F-49EB-9CC8-AA07EECD543B}"/>
                </a:ext>
              </a:extLst>
            </xdr:cNvPr>
            <xdr:cNvGraphicFramePr/>
          </xdr:nvGraphicFramePr>
          <xdr:xfrm>
            <a:off x="0" y="0"/>
            <a:ext cx="0" cy="0"/>
          </xdr:xfrm>
          <a:graphic>
            <a:graphicData uri="http://schemas.microsoft.com/office/drawing/2010/slicer">
              <sle:slicer xmlns:sle="http://schemas.microsoft.com/office/drawing/2010/slicer" name="Period 1"/>
            </a:graphicData>
          </a:graphic>
        </xdr:graphicFrame>
      </mc:Choice>
      <mc:Fallback xmlns="">
        <xdr:sp macro="" textlink="">
          <xdr:nvSpPr>
            <xdr:cNvPr id="0" name=""/>
            <xdr:cNvSpPr>
              <a:spLocks noTextEdit="1"/>
            </xdr:cNvSpPr>
          </xdr:nvSpPr>
          <xdr:spPr>
            <a:xfrm>
              <a:off x="8240486" y="0"/>
              <a:ext cx="10221685" cy="664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350519</xdr:colOff>
      <xdr:row>4</xdr:row>
      <xdr:rowOff>87086</xdr:rowOff>
    </xdr:from>
    <xdr:to>
      <xdr:col>12</xdr:col>
      <xdr:colOff>522515</xdr:colOff>
      <xdr:row>18</xdr:row>
      <xdr:rowOff>123009</xdr:rowOff>
    </xdr:to>
    <xdr:graphicFrame macro="">
      <xdr:nvGraphicFramePr>
        <xdr:cNvPr id="2" name="Chart 1">
          <a:extLst>
            <a:ext uri="{FF2B5EF4-FFF2-40B4-BE49-F238E27FC236}">
              <a16:creationId xmlns:a16="http://schemas.microsoft.com/office/drawing/2014/main" id="{9FEAB67B-AC65-4BBB-8AAC-AD5FCDBB7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119745</xdr:colOff>
      <xdr:row>4</xdr:row>
      <xdr:rowOff>168408</xdr:rowOff>
    </xdr:from>
    <xdr:to>
      <xdr:col>21</xdr:col>
      <xdr:colOff>566057</xdr:colOff>
      <xdr:row>17</xdr:row>
      <xdr:rowOff>64032</xdr:rowOff>
    </xdr:to>
    <xdr:graphicFrame macro="">
      <xdr:nvGraphicFramePr>
        <xdr:cNvPr id="10" name="Chart 9">
          <a:extLst>
            <a:ext uri="{FF2B5EF4-FFF2-40B4-BE49-F238E27FC236}">
              <a16:creationId xmlns:a16="http://schemas.microsoft.com/office/drawing/2014/main" id="{80AA1584-50F0-4338-862D-C6F6108B1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510991</xdr:colOff>
      <xdr:row>8</xdr:row>
      <xdr:rowOff>44824</xdr:rowOff>
    </xdr:from>
    <xdr:to>
      <xdr:col>21</xdr:col>
      <xdr:colOff>537883</xdr:colOff>
      <xdr:row>15</xdr:row>
      <xdr:rowOff>53789</xdr:rowOff>
    </xdr:to>
    <xdr:graphicFrame macro="">
      <xdr:nvGraphicFramePr>
        <xdr:cNvPr id="11" name="Chart 10">
          <a:extLst>
            <a:ext uri="{FF2B5EF4-FFF2-40B4-BE49-F238E27FC236}">
              <a16:creationId xmlns:a16="http://schemas.microsoft.com/office/drawing/2014/main" id="{AB4554D5-2310-49A0-9297-DEC0C5163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116541</xdr:colOff>
      <xdr:row>4</xdr:row>
      <xdr:rowOff>89646</xdr:rowOff>
    </xdr:from>
    <xdr:to>
      <xdr:col>29</xdr:col>
      <xdr:colOff>555171</xdr:colOff>
      <xdr:row>17</xdr:row>
      <xdr:rowOff>98611</xdr:rowOff>
    </xdr:to>
    <xdr:graphicFrame macro="">
      <xdr:nvGraphicFramePr>
        <xdr:cNvPr id="12" name="Chart 11">
          <a:extLst>
            <a:ext uri="{FF2B5EF4-FFF2-40B4-BE49-F238E27FC236}">
              <a16:creationId xmlns:a16="http://schemas.microsoft.com/office/drawing/2014/main" id="{BD416737-641E-41CA-8E8F-ED82CADCA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407126</xdr:colOff>
      <xdr:row>7</xdr:row>
      <xdr:rowOff>51164</xdr:rowOff>
    </xdr:from>
    <xdr:to>
      <xdr:col>29</xdr:col>
      <xdr:colOff>478971</xdr:colOff>
      <xdr:row>14</xdr:row>
      <xdr:rowOff>108858</xdr:rowOff>
    </xdr:to>
    <xdr:graphicFrame macro="">
      <xdr:nvGraphicFramePr>
        <xdr:cNvPr id="13" name="Chart 12">
          <a:extLst>
            <a:ext uri="{FF2B5EF4-FFF2-40B4-BE49-F238E27FC236}">
              <a16:creationId xmlns:a16="http://schemas.microsoft.com/office/drawing/2014/main" id="{1E7E8F41-FF1C-4915-834F-B3B744D7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108857</xdr:colOff>
      <xdr:row>2</xdr:row>
      <xdr:rowOff>65314</xdr:rowOff>
    </xdr:from>
    <xdr:to>
      <xdr:col>2</xdr:col>
      <xdr:colOff>544285</xdr:colOff>
      <xdr:row>3</xdr:row>
      <xdr:rowOff>152400</xdr:rowOff>
    </xdr:to>
    <xdr:sp macro="" textlink="">
      <xdr:nvSpPr>
        <xdr:cNvPr id="14" name="Rectangle: Rounded Corners 13">
          <a:extLst>
            <a:ext uri="{FF2B5EF4-FFF2-40B4-BE49-F238E27FC236}">
              <a16:creationId xmlns:a16="http://schemas.microsoft.com/office/drawing/2014/main" id="{A3F2CB09-638A-82C5-563C-8A966690B794}"/>
            </a:ext>
          </a:extLst>
        </xdr:cNvPr>
        <xdr:cNvSpPr/>
      </xdr:nvSpPr>
      <xdr:spPr>
        <a:xfrm>
          <a:off x="108857" y="1393371"/>
          <a:ext cx="1654628" cy="272143"/>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Revenue &amp; Gross Margin</a:t>
          </a:r>
        </a:p>
      </xdr:txBody>
    </xdr:sp>
    <xdr:clientData/>
  </xdr:twoCellAnchor>
  <xdr:twoCellAnchor>
    <xdr:from>
      <xdr:col>14</xdr:col>
      <xdr:colOff>119743</xdr:colOff>
      <xdr:row>2</xdr:row>
      <xdr:rowOff>43543</xdr:rowOff>
    </xdr:from>
    <xdr:to>
      <xdr:col>15</xdr:col>
      <xdr:colOff>97971</xdr:colOff>
      <xdr:row>3</xdr:row>
      <xdr:rowOff>130629</xdr:rowOff>
    </xdr:to>
    <xdr:sp macro="" textlink="">
      <xdr:nvSpPr>
        <xdr:cNvPr id="15" name="Rectangle: Rounded Corners 14">
          <a:extLst>
            <a:ext uri="{FF2B5EF4-FFF2-40B4-BE49-F238E27FC236}">
              <a16:creationId xmlns:a16="http://schemas.microsoft.com/office/drawing/2014/main" id="{21B82996-39E5-445F-BF87-3703D2849636}"/>
            </a:ext>
          </a:extLst>
        </xdr:cNvPr>
        <xdr:cNvSpPr/>
      </xdr:nvSpPr>
      <xdr:spPr>
        <a:xfrm>
          <a:off x="8316686" y="1371600"/>
          <a:ext cx="587828" cy="272143"/>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OPEX</a:t>
          </a:r>
        </a:p>
      </xdr:txBody>
    </xdr:sp>
    <xdr:clientData/>
  </xdr:twoCellAnchor>
  <xdr:twoCellAnchor>
    <xdr:from>
      <xdr:col>22</xdr:col>
      <xdr:colOff>108858</xdr:colOff>
      <xdr:row>2</xdr:row>
      <xdr:rowOff>43543</xdr:rowOff>
    </xdr:from>
    <xdr:to>
      <xdr:col>23</xdr:col>
      <xdr:colOff>87086</xdr:colOff>
      <xdr:row>3</xdr:row>
      <xdr:rowOff>130629</xdr:rowOff>
    </xdr:to>
    <xdr:sp macro="" textlink="">
      <xdr:nvSpPr>
        <xdr:cNvPr id="16" name="Rectangle: Rounded Corners 15">
          <a:extLst>
            <a:ext uri="{FF2B5EF4-FFF2-40B4-BE49-F238E27FC236}">
              <a16:creationId xmlns:a16="http://schemas.microsoft.com/office/drawing/2014/main" id="{32BBD37A-C6F4-48B9-BC5E-1EC251FB9150}"/>
            </a:ext>
          </a:extLst>
        </xdr:cNvPr>
        <xdr:cNvSpPr/>
      </xdr:nvSpPr>
      <xdr:spPr>
        <a:xfrm>
          <a:off x="13824858" y="1371600"/>
          <a:ext cx="587828" cy="272143"/>
        </a:xfrm>
        <a:prstGeom prst="round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OPEX</a:t>
          </a:r>
        </a:p>
      </xdr:txBody>
    </xdr:sp>
    <xdr:clientData/>
  </xdr:twoCellAnchor>
  <xdr:twoCellAnchor>
    <xdr:from>
      <xdr:col>9</xdr:col>
      <xdr:colOff>148089</xdr:colOff>
      <xdr:row>21</xdr:row>
      <xdr:rowOff>162169</xdr:rowOff>
    </xdr:from>
    <xdr:to>
      <xdr:col>11</xdr:col>
      <xdr:colOff>595364</xdr:colOff>
      <xdr:row>29</xdr:row>
      <xdr:rowOff>96856</xdr:rowOff>
    </xdr:to>
    <xdr:graphicFrame macro="">
      <xdr:nvGraphicFramePr>
        <xdr:cNvPr id="17" name="Chart 16">
          <a:extLst>
            <a:ext uri="{FF2B5EF4-FFF2-40B4-BE49-F238E27FC236}">
              <a16:creationId xmlns:a16="http://schemas.microsoft.com/office/drawing/2014/main" id="{04F7FC35-CC92-4075-B734-50EEE86B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36927</xdr:colOff>
      <xdr:row>21</xdr:row>
      <xdr:rowOff>114300</xdr:rowOff>
    </xdr:from>
    <xdr:to>
      <xdr:col>2</xdr:col>
      <xdr:colOff>593187</xdr:colOff>
      <xdr:row>30</xdr:row>
      <xdr:rowOff>76200</xdr:rowOff>
    </xdr:to>
    <xdr:sp macro="" textlink="">
      <xdr:nvSpPr>
        <xdr:cNvPr id="18" name="Rectangle: Rounded Corners 17">
          <a:extLst>
            <a:ext uri="{FF2B5EF4-FFF2-40B4-BE49-F238E27FC236}">
              <a16:creationId xmlns:a16="http://schemas.microsoft.com/office/drawing/2014/main" id="{A79CC3B9-CC97-4A8F-8B95-D34EE39C2E62}"/>
            </a:ext>
          </a:extLst>
        </xdr:cNvPr>
        <xdr:cNvSpPr/>
      </xdr:nvSpPr>
      <xdr:spPr>
        <a:xfrm>
          <a:off x="36927" y="5418992"/>
          <a:ext cx="1767645"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399422</xdr:colOff>
      <xdr:row>22</xdr:row>
      <xdr:rowOff>21771</xdr:rowOff>
    </xdr:from>
    <xdr:ext cx="1110342" cy="342786"/>
    <xdr:sp macro="" textlink="">
      <xdr:nvSpPr>
        <xdr:cNvPr id="19" name="TextBox 18">
          <a:extLst>
            <a:ext uri="{FF2B5EF4-FFF2-40B4-BE49-F238E27FC236}">
              <a16:creationId xmlns:a16="http://schemas.microsoft.com/office/drawing/2014/main" id="{F168CCF9-9399-DDC5-CC2B-CF79835C3706}"/>
            </a:ext>
          </a:extLst>
        </xdr:cNvPr>
        <xdr:cNvSpPr txBox="1"/>
      </xdr:nvSpPr>
      <xdr:spPr>
        <a:xfrm>
          <a:off x="399422" y="5512079"/>
          <a:ext cx="11103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solidFill>
                <a:srgbClr val="002060"/>
              </a:solidFill>
            </a:rPr>
            <a:t>REVENUE</a:t>
          </a:r>
        </a:p>
      </xdr:txBody>
    </xdr:sp>
    <xdr:clientData/>
  </xdr:oneCellAnchor>
  <xdr:twoCellAnchor>
    <xdr:from>
      <xdr:col>3</xdr:col>
      <xdr:colOff>134898</xdr:colOff>
      <xdr:row>21</xdr:row>
      <xdr:rowOff>103414</xdr:rowOff>
    </xdr:from>
    <xdr:to>
      <xdr:col>6</xdr:col>
      <xdr:colOff>81558</xdr:colOff>
      <xdr:row>30</xdr:row>
      <xdr:rowOff>65314</xdr:rowOff>
    </xdr:to>
    <xdr:sp macro="" textlink="">
      <xdr:nvSpPr>
        <xdr:cNvPr id="20" name="Rectangle: Rounded Corners 19">
          <a:extLst>
            <a:ext uri="{FF2B5EF4-FFF2-40B4-BE49-F238E27FC236}">
              <a16:creationId xmlns:a16="http://schemas.microsoft.com/office/drawing/2014/main" id="{3B922991-8664-4228-A5CE-7EBBCA0BE362}"/>
            </a:ext>
          </a:extLst>
        </xdr:cNvPr>
        <xdr:cNvSpPr/>
      </xdr:nvSpPr>
      <xdr:spPr>
        <a:xfrm>
          <a:off x="1951975" y="5408106"/>
          <a:ext cx="1763737"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257908</xdr:colOff>
      <xdr:row>22</xdr:row>
      <xdr:rowOff>21771</xdr:rowOff>
    </xdr:from>
    <xdr:ext cx="1643742" cy="342786"/>
    <xdr:sp macro="" textlink="">
      <xdr:nvSpPr>
        <xdr:cNvPr id="21" name="TextBox 20">
          <a:extLst>
            <a:ext uri="{FF2B5EF4-FFF2-40B4-BE49-F238E27FC236}">
              <a16:creationId xmlns:a16="http://schemas.microsoft.com/office/drawing/2014/main" id="{44ED2AC4-F4A8-4FE5-A39F-8ADF2CA3328C}"/>
            </a:ext>
          </a:extLst>
        </xdr:cNvPr>
        <xdr:cNvSpPr txBox="1"/>
      </xdr:nvSpPr>
      <xdr:spPr>
        <a:xfrm>
          <a:off x="2074985" y="5512079"/>
          <a:ext cx="16437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GROSS</a:t>
          </a:r>
          <a:r>
            <a:rPr lang="en-US" sz="1600" b="1" baseline="0">
              <a:solidFill>
                <a:srgbClr val="002060"/>
              </a:solidFill>
            </a:rPr>
            <a:t> PROFIT</a:t>
          </a:r>
          <a:endParaRPr lang="en-US" sz="1600" b="1">
            <a:solidFill>
              <a:srgbClr val="002060"/>
            </a:solidFill>
          </a:endParaRPr>
        </a:p>
      </xdr:txBody>
    </xdr:sp>
    <xdr:clientData/>
  </xdr:oneCellAnchor>
  <xdr:twoCellAnchor>
    <xdr:from>
      <xdr:col>6</xdr:col>
      <xdr:colOff>192677</xdr:colOff>
      <xdr:row>21</xdr:row>
      <xdr:rowOff>103414</xdr:rowOff>
    </xdr:from>
    <xdr:to>
      <xdr:col>9</xdr:col>
      <xdr:colOff>139337</xdr:colOff>
      <xdr:row>30</xdr:row>
      <xdr:rowOff>65314</xdr:rowOff>
    </xdr:to>
    <xdr:sp macro="" textlink="">
      <xdr:nvSpPr>
        <xdr:cNvPr id="22" name="Rectangle: Rounded Corners 21">
          <a:extLst>
            <a:ext uri="{FF2B5EF4-FFF2-40B4-BE49-F238E27FC236}">
              <a16:creationId xmlns:a16="http://schemas.microsoft.com/office/drawing/2014/main" id="{23E905E2-9CDA-41FE-A501-B34D95AC4D97}"/>
            </a:ext>
          </a:extLst>
        </xdr:cNvPr>
        <xdr:cNvSpPr/>
      </xdr:nvSpPr>
      <xdr:spPr>
        <a:xfrm>
          <a:off x="3850277" y="5393871"/>
          <a:ext cx="1775460" cy="1627414"/>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566058</xdr:colOff>
      <xdr:row>22</xdr:row>
      <xdr:rowOff>21771</xdr:rowOff>
    </xdr:from>
    <xdr:ext cx="1110342" cy="342786"/>
    <xdr:sp macro="" textlink="">
      <xdr:nvSpPr>
        <xdr:cNvPr id="23" name="TextBox 22">
          <a:extLst>
            <a:ext uri="{FF2B5EF4-FFF2-40B4-BE49-F238E27FC236}">
              <a16:creationId xmlns:a16="http://schemas.microsoft.com/office/drawing/2014/main" id="{33F3E119-7487-4055-ADDD-046F7E86D6AC}"/>
            </a:ext>
          </a:extLst>
        </xdr:cNvPr>
        <xdr:cNvSpPr txBox="1"/>
      </xdr:nvSpPr>
      <xdr:spPr>
        <a:xfrm>
          <a:off x="4223658" y="5497285"/>
          <a:ext cx="11103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EBITDA</a:t>
          </a:r>
        </a:p>
      </xdr:txBody>
    </xdr:sp>
    <xdr:clientData/>
  </xdr:oneCellAnchor>
  <xdr:twoCellAnchor>
    <xdr:from>
      <xdr:col>10</xdr:col>
      <xdr:colOff>19259</xdr:colOff>
      <xdr:row>25</xdr:row>
      <xdr:rowOff>163285</xdr:rowOff>
    </xdr:from>
    <xdr:to>
      <xdr:col>11</xdr:col>
      <xdr:colOff>128117</xdr:colOff>
      <xdr:row>27</xdr:row>
      <xdr:rowOff>76200</xdr:rowOff>
    </xdr:to>
    <xdr:sp macro="" textlink="Data!Q36">
      <xdr:nvSpPr>
        <xdr:cNvPr id="24" name="TextBox 23">
          <a:extLst>
            <a:ext uri="{FF2B5EF4-FFF2-40B4-BE49-F238E27FC236}">
              <a16:creationId xmlns:a16="http://schemas.microsoft.com/office/drawing/2014/main" id="{66DE1652-2D11-22C9-2662-14713ACEF2B8}"/>
            </a:ext>
          </a:extLst>
        </xdr:cNvPr>
        <xdr:cNvSpPr txBox="1"/>
      </xdr:nvSpPr>
      <xdr:spPr>
        <a:xfrm>
          <a:off x="6115259" y="6130331"/>
          <a:ext cx="718458" cy="27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C69BA8-3BD3-48E6-A808-C58F9AC7D369}" type="TxLink">
            <a:rPr lang="en-US" sz="1100" b="0" i="0" u="none" strike="noStrike">
              <a:solidFill>
                <a:srgbClr val="000000"/>
              </a:solidFill>
              <a:latin typeface="Calibri"/>
              <a:cs typeface="Calibri"/>
            </a:rPr>
            <a:pPr/>
            <a:t>6% miss</a:t>
          </a:fld>
          <a:endParaRPr lang="en-US" sz="1100"/>
        </a:p>
      </xdr:txBody>
    </xdr:sp>
    <xdr:clientData/>
  </xdr:twoCellAnchor>
  <xdr:twoCellAnchor>
    <xdr:from>
      <xdr:col>11</xdr:col>
      <xdr:colOff>218174</xdr:colOff>
      <xdr:row>21</xdr:row>
      <xdr:rowOff>152400</xdr:rowOff>
    </xdr:from>
    <xdr:to>
      <xdr:col>13</xdr:col>
      <xdr:colOff>722243</xdr:colOff>
      <xdr:row>29</xdr:row>
      <xdr:rowOff>26505</xdr:rowOff>
    </xdr:to>
    <xdr:graphicFrame macro="">
      <xdr:nvGraphicFramePr>
        <xdr:cNvPr id="25" name="Chart 24">
          <a:extLst>
            <a:ext uri="{FF2B5EF4-FFF2-40B4-BE49-F238E27FC236}">
              <a16:creationId xmlns:a16="http://schemas.microsoft.com/office/drawing/2014/main" id="{C880A50E-333E-02A2-1968-6D3CDF6DA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6838</xdr:rowOff>
    </xdr:from>
    <xdr:to>
      <xdr:col>2</xdr:col>
      <xdr:colOff>556260</xdr:colOff>
      <xdr:row>42</xdr:row>
      <xdr:rowOff>154353</xdr:rowOff>
    </xdr:to>
    <xdr:sp macro="" textlink="">
      <xdr:nvSpPr>
        <xdr:cNvPr id="26" name="Rectangle: Rounded Corners 25">
          <a:extLst>
            <a:ext uri="{FF2B5EF4-FFF2-40B4-BE49-F238E27FC236}">
              <a16:creationId xmlns:a16="http://schemas.microsoft.com/office/drawing/2014/main" id="{A58617B7-4D51-8DCB-747A-82254A1E7224}"/>
            </a:ext>
          </a:extLst>
        </xdr:cNvPr>
        <xdr:cNvSpPr/>
      </xdr:nvSpPr>
      <xdr:spPr>
        <a:xfrm>
          <a:off x="0" y="7900376"/>
          <a:ext cx="1767645"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362495</xdr:colOff>
      <xdr:row>34</xdr:row>
      <xdr:rowOff>99925</xdr:rowOff>
    </xdr:from>
    <xdr:ext cx="1110342" cy="342786"/>
    <xdr:sp macro="" textlink="">
      <xdr:nvSpPr>
        <xdr:cNvPr id="27" name="TextBox 26">
          <a:extLst>
            <a:ext uri="{FF2B5EF4-FFF2-40B4-BE49-F238E27FC236}">
              <a16:creationId xmlns:a16="http://schemas.microsoft.com/office/drawing/2014/main" id="{39A027B6-EBAE-319A-B237-A1A158DFC7F3}"/>
            </a:ext>
          </a:extLst>
        </xdr:cNvPr>
        <xdr:cNvSpPr txBox="1"/>
      </xdr:nvSpPr>
      <xdr:spPr>
        <a:xfrm>
          <a:off x="362495" y="7993463"/>
          <a:ext cx="11103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REVENUE</a:t>
          </a:r>
        </a:p>
      </xdr:txBody>
    </xdr:sp>
    <xdr:clientData/>
  </xdr:oneCellAnchor>
  <xdr:twoCellAnchor>
    <xdr:from>
      <xdr:col>3</xdr:col>
      <xdr:colOff>97971</xdr:colOff>
      <xdr:row>33</xdr:row>
      <xdr:rowOff>181567</xdr:rowOff>
    </xdr:from>
    <xdr:to>
      <xdr:col>6</xdr:col>
      <xdr:colOff>44631</xdr:colOff>
      <xdr:row>42</xdr:row>
      <xdr:rowOff>143467</xdr:rowOff>
    </xdr:to>
    <xdr:sp macro="" textlink="">
      <xdr:nvSpPr>
        <xdr:cNvPr id="28" name="Rectangle: Rounded Corners 27">
          <a:extLst>
            <a:ext uri="{FF2B5EF4-FFF2-40B4-BE49-F238E27FC236}">
              <a16:creationId xmlns:a16="http://schemas.microsoft.com/office/drawing/2014/main" id="{1FAD6F88-D6AA-DFA9-EFA1-9A6D141E743E}"/>
            </a:ext>
          </a:extLst>
        </xdr:cNvPr>
        <xdr:cNvSpPr/>
      </xdr:nvSpPr>
      <xdr:spPr>
        <a:xfrm>
          <a:off x="1915048" y="7889490"/>
          <a:ext cx="1763737"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220981</xdr:colOff>
      <xdr:row>34</xdr:row>
      <xdr:rowOff>99925</xdr:rowOff>
    </xdr:from>
    <xdr:ext cx="1643742" cy="342786"/>
    <xdr:sp macro="" textlink="">
      <xdr:nvSpPr>
        <xdr:cNvPr id="29" name="TextBox 28">
          <a:extLst>
            <a:ext uri="{FF2B5EF4-FFF2-40B4-BE49-F238E27FC236}">
              <a16:creationId xmlns:a16="http://schemas.microsoft.com/office/drawing/2014/main" id="{8691C28D-10A7-B34F-5FFF-983E6FBC987A}"/>
            </a:ext>
          </a:extLst>
        </xdr:cNvPr>
        <xdr:cNvSpPr txBox="1"/>
      </xdr:nvSpPr>
      <xdr:spPr>
        <a:xfrm>
          <a:off x="2038058" y="7993463"/>
          <a:ext cx="16437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GROSS</a:t>
          </a:r>
          <a:r>
            <a:rPr lang="en-US" sz="1600" b="1" baseline="0">
              <a:solidFill>
                <a:srgbClr val="002060"/>
              </a:solidFill>
            </a:rPr>
            <a:t> PROFIT</a:t>
          </a:r>
          <a:endParaRPr lang="en-US" sz="1600" b="1">
            <a:solidFill>
              <a:srgbClr val="002060"/>
            </a:solidFill>
          </a:endParaRPr>
        </a:p>
      </xdr:txBody>
    </xdr:sp>
    <xdr:clientData/>
  </xdr:oneCellAnchor>
  <xdr:twoCellAnchor>
    <xdr:from>
      <xdr:col>6</xdr:col>
      <xdr:colOff>155750</xdr:colOff>
      <xdr:row>33</xdr:row>
      <xdr:rowOff>181567</xdr:rowOff>
    </xdr:from>
    <xdr:to>
      <xdr:col>9</xdr:col>
      <xdr:colOff>102410</xdr:colOff>
      <xdr:row>42</xdr:row>
      <xdr:rowOff>143467</xdr:rowOff>
    </xdr:to>
    <xdr:sp macro="" textlink="">
      <xdr:nvSpPr>
        <xdr:cNvPr id="30" name="Rectangle: Rounded Corners 29">
          <a:extLst>
            <a:ext uri="{FF2B5EF4-FFF2-40B4-BE49-F238E27FC236}">
              <a16:creationId xmlns:a16="http://schemas.microsoft.com/office/drawing/2014/main" id="{CC7E45D3-3314-A73E-8024-0F4A3204652C}"/>
            </a:ext>
          </a:extLst>
        </xdr:cNvPr>
        <xdr:cNvSpPr/>
      </xdr:nvSpPr>
      <xdr:spPr>
        <a:xfrm>
          <a:off x="3789904" y="7889490"/>
          <a:ext cx="1763737"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529131</xdr:colOff>
      <xdr:row>34</xdr:row>
      <xdr:rowOff>99925</xdr:rowOff>
    </xdr:from>
    <xdr:ext cx="1110342" cy="342786"/>
    <xdr:sp macro="" textlink="">
      <xdr:nvSpPr>
        <xdr:cNvPr id="31" name="TextBox 30">
          <a:extLst>
            <a:ext uri="{FF2B5EF4-FFF2-40B4-BE49-F238E27FC236}">
              <a16:creationId xmlns:a16="http://schemas.microsoft.com/office/drawing/2014/main" id="{602884C7-FD9E-E4F6-FC9A-E5EA55DF609E}"/>
            </a:ext>
          </a:extLst>
        </xdr:cNvPr>
        <xdr:cNvSpPr txBox="1"/>
      </xdr:nvSpPr>
      <xdr:spPr>
        <a:xfrm>
          <a:off x="4163285" y="7993463"/>
          <a:ext cx="11103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EBITDA</a:t>
          </a:r>
        </a:p>
      </xdr:txBody>
    </xdr:sp>
    <xdr:clientData/>
  </xdr:oneCellAnchor>
  <xdr:twoCellAnchor>
    <xdr:from>
      <xdr:col>0</xdr:col>
      <xdr:colOff>0</xdr:colOff>
      <xdr:row>45</xdr:row>
      <xdr:rowOff>133837</xdr:rowOff>
    </xdr:from>
    <xdr:to>
      <xdr:col>2</xdr:col>
      <xdr:colOff>556260</xdr:colOff>
      <xdr:row>54</xdr:row>
      <xdr:rowOff>95737</xdr:rowOff>
    </xdr:to>
    <xdr:sp macro="" textlink="">
      <xdr:nvSpPr>
        <xdr:cNvPr id="32" name="Rectangle: Rounded Corners 31">
          <a:extLst>
            <a:ext uri="{FF2B5EF4-FFF2-40B4-BE49-F238E27FC236}">
              <a16:creationId xmlns:a16="http://schemas.microsoft.com/office/drawing/2014/main" id="{C2D9D72F-300D-3A18-445D-7E3990614171}"/>
            </a:ext>
          </a:extLst>
        </xdr:cNvPr>
        <xdr:cNvSpPr/>
      </xdr:nvSpPr>
      <xdr:spPr>
        <a:xfrm>
          <a:off x="0" y="10469683"/>
          <a:ext cx="1767645"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362495</xdr:colOff>
      <xdr:row>46</xdr:row>
      <xdr:rowOff>41308</xdr:rowOff>
    </xdr:from>
    <xdr:ext cx="1110342" cy="342786"/>
    <xdr:sp macro="" textlink="">
      <xdr:nvSpPr>
        <xdr:cNvPr id="33" name="TextBox 32">
          <a:extLst>
            <a:ext uri="{FF2B5EF4-FFF2-40B4-BE49-F238E27FC236}">
              <a16:creationId xmlns:a16="http://schemas.microsoft.com/office/drawing/2014/main" id="{C93E9477-4713-36C0-45B6-7CDAD1465CAC}"/>
            </a:ext>
          </a:extLst>
        </xdr:cNvPr>
        <xdr:cNvSpPr txBox="1"/>
      </xdr:nvSpPr>
      <xdr:spPr>
        <a:xfrm>
          <a:off x="362495" y="10562770"/>
          <a:ext cx="11103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REVENUE</a:t>
          </a:r>
        </a:p>
      </xdr:txBody>
    </xdr:sp>
    <xdr:clientData/>
  </xdr:oneCellAnchor>
  <xdr:twoCellAnchor>
    <xdr:from>
      <xdr:col>3</xdr:col>
      <xdr:colOff>97971</xdr:colOff>
      <xdr:row>45</xdr:row>
      <xdr:rowOff>122951</xdr:rowOff>
    </xdr:from>
    <xdr:to>
      <xdr:col>6</xdr:col>
      <xdr:colOff>44631</xdr:colOff>
      <xdr:row>54</xdr:row>
      <xdr:rowOff>84851</xdr:rowOff>
    </xdr:to>
    <xdr:sp macro="" textlink="">
      <xdr:nvSpPr>
        <xdr:cNvPr id="34" name="Rectangle: Rounded Corners 33">
          <a:extLst>
            <a:ext uri="{FF2B5EF4-FFF2-40B4-BE49-F238E27FC236}">
              <a16:creationId xmlns:a16="http://schemas.microsoft.com/office/drawing/2014/main" id="{08129388-639E-01CF-E566-893B578C9788}"/>
            </a:ext>
          </a:extLst>
        </xdr:cNvPr>
        <xdr:cNvSpPr/>
      </xdr:nvSpPr>
      <xdr:spPr>
        <a:xfrm>
          <a:off x="1915048" y="10458797"/>
          <a:ext cx="1763737"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220981</xdr:colOff>
      <xdr:row>46</xdr:row>
      <xdr:rowOff>41308</xdr:rowOff>
    </xdr:from>
    <xdr:ext cx="1643742" cy="342786"/>
    <xdr:sp macro="" textlink="">
      <xdr:nvSpPr>
        <xdr:cNvPr id="35" name="TextBox 34">
          <a:extLst>
            <a:ext uri="{FF2B5EF4-FFF2-40B4-BE49-F238E27FC236}">
              <a16:creationId xmlns:a16="http://schemas.microsoft.com/office/drawing/2014/main" id="{B45B03AD-E0F5-7BCB-3209-AE4049332711}"/>
            </a:ext>
          </a:extLst>
        </xdr:cNvPr>
        <xdr:cNvSpPr txBox="1"/>
      </xdr:nvSpPr>
      <xdr:spPr>
        <a:xfrm>
          <a:off x="2038058" y="10562770"/>
          <a:ext cx="16437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GROSS</a:t>
          </a:r>
          <a:r>
            <a:rPr lang="en-US" sz="1600" b="1" baseline="0">
              <a:solidFill>
                <a:srgbClr val="002060"/>
              </a:solidFill>
            </a:rPr>
            <a:t> PROFIT</a:t>
          </a:r>
          <a:endParaRPr lang="en-US" sz="1600" b="1">
            <a:solidFill>
              <a:srgbClr val="002060"/>
            </a:solidFill>
          </a:endParaRPr>
        </a:p>
      </xdr:txBody>
    </xdr:sp>
    <xdr:clientData/>
  </xdr:oneCellAnchor>
  <xdr:twoCellAnchor>
    <xdr:from>
      <xdr:col>6</xdr:col>
      <xdr:colOff>155750</xdr:colOff>
      <xdr:row>45</xdr:row>
      <xdr:rowOff>122951</xdr:rowOff>
    </xdr:from>
    <xdr:to>
      <xdr:col>9</xdr:col>
      <xdr:colOff>102410</xdr:colOff>
      <xdr:row>54</xdr:row>
      <xdr:rowOff>84851</xdr:rowOff>
    </xdr:to>
    <xdr:sp macro="" textlink="">
      <xdr:nvSpPr>
        <xdr:cNvPr id="36" name="Rectangle: Rounded Corners 35">
          <a:extLst>
            <a:ext uri="{FF2B5EF4-FFF2-40B4-BE49-F238E27FC236}">
              <a16:creationId xmlns:a16="http://schemas.microsoft.com/office/drawing/2014/main" id="{E813CDAE-3FA2-4E49-F241-3EE6D8F318C7}"/>
            </a:ext>
          </a:extLst>
        </xdr:cNvPr>
        <xdr:cNvSpPr/>
      </xdr:nvSpPr>
      <xdr:spPr>
        <a:xfrm>
          <a:off x="3789904" y="10458797"/>
          <a:ext cx="1763737" cy="1632439"/>
        </a:xfrm>
        <a:prstGeom prst="roundRect">
          <a:avLst>
            <a:gd name="adj" fmla="val 8640"/>
          </a:avLst>
        </a:prstGeom>
        <a:noFill/>
        <a:ln w="63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529131</xdr:colOff>
      <xdr:row>46</xdr:row>
      <xdr:rowOff>41308</xdr:rowOff>
    </xdr:from>
    <xdr:ext cx="1110342" cy="342786"/>
    <xdr:sp macro="" textlink="">
      <xdr:nvSpPr>
        <xdr:cNvPr id="37" name="TextBox 36">
          <a:extLst>
            <a:ext uri="{FF2B5EF4-FFF2-40B4-BE49-F238E27FC236}">
              <a16:creationId xmlns:a16="http://schemas.microsoft.com/office/drawing/2014/main" id="{94AB2C1B-3975-912A-9C13-8F59329A866D}"/>
            </a:ext>
          </a:extLst>
        </xdr:cNvPr>
        <xdr:cNvSpPr txBox="1"/>
      </xdr:nvSpPr>
      <xdr:spPr>
        <a:xfrm>
          <a:off x="4163285" y="10562770"/>
          <a:ext cx="111034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rgbClr val="002060"/>
              </a:solidFill>
            </a:rPr>
            <a:t>EBITDA</a:t>
          </a:r>
        </a:p>
      </xdr:txBody>
    </xdr:sp>
    <xdr:clientData/>
  </xdr:oneCellAnchor>
  <xdr:twoCellAnchor>
    <xdr:from>
      <xdr:col>9</xdr:col>
      <xdr:colOff>148089</xdr:colOff>
      <xdr:row>34</xdr:row>
      <xdr:rowOff>40054</xdr:rowOff>
    </xdr:from>
    <xdr:to>
      <xdr:col>11</xdr:col>
      <xdr:colOff>595364</xdr:colOff>
      <xdr:row>41</xdr:row>
      <xdr:rowOff>160356</xdr:rowOff>
    </xdr:to>
    <xdr:graphicFrame macro="">
      <xdr:nvGraphicFramePr>
        <xdr:cNvPr id="40" name="Chart 39">
          <a:extLst>
            <a:ext uri="{FF2B5EF4-FFF2-40B4-BE49-F238E27FC236}">
              <a16:creationId xmlns:a16="http://schemas.microsoft.com/office/drawing/2014/main" id="{3D53ABAE-C4D7-6067-F497-C25C64043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218174</xdr:colOff>
      <xdr:row>34</xdr:row>
      <xdr:rowOff>70345</xdr:rowOff>
    </xdr:from>
    <xdr:to>
      <xdr:col>13</xdr:col>
      <xdr:colOff>722243</xdr:colOff>
      <xdr:row>41</xdr:row>
      <xdr:rowOff>130065</xdr:rowOff>
    </xdr:to>
    <xdr:graphicFrame macro="">
      <xdr:nvGraphicFramePr>
        <xdr:cNvPr id="41" name="Chart 40">
          <a:extLst>
            <a:ext uri="{FF2B5EF4-FFF2-40B4-BE49-F238E27FC236}">
              <a16:creationId xmlns:a16="http://schemas.microsoft.com/office/drawing/2014/main" id="{0650378C-22BC-0033-48CC-B5A8545B6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161341</xdr:colOff>
      <xdr:row>46</xdr:row>
      <xdr:rowOff>13551</xdr:rowOff>
    </xdr:from>
    <xdr:to>
      <xdr:col>11</xdr:col>
      <xdr:colOff>608616</xdr:colOff>
      <xdr:row>53</xdr:row>
      <xdr:rowOff>133853</xdr:rowOff>
    </xdr:to>
    <xdr:graphicFrame macro="">
      <xdr:nvGraphicFramePr>
        <xdr:cNvPr id="43" name="Chart 42">
          <a:extLst>
            <a:ext uri="{FF2B5EF4-FFF2-40B4-BE49-F238E27FC236}">
              <a16:creationId xmlns:a16="http://schemas.microsoft.com/office/drawing/2014/main" id="{1C014103-64A1-9977-822A-F4731F01F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231426</xdr:colOff>
      <xdr:row>46</xdr:row>
      <xdr:rowOff>43842</xdr:rowOff>
    </xdr:from>
    <xdr:to>
      <xdr:col>13</xdr:col>
      <xdr:colOff>735495</xdr:colOff>
      <xdr:row>53</xdr:row>
      <xdr:rowOff>103562</xdr:rowOff>
    </xdr:to>
    <xdr:graphicFrame macro="">
      <xdr:nvGraphicFramePr>
        <xdr:cNvPr id="44" name="Chart 43">
          <a:extLst>
            <a:ext uri="{FF2B5EF4-FFF2-40B4-BE49-F238E27FC236}">
              <a16:creationId xmlns:a16="http://schemas.microsoft.com/office/drawing/2014/main" id="{19F979AF-C290-08F4-AB47-7D3ABCF83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0.30789</cdr:x>
      <cdr:y>0.54634</cdr:y>
    </cdr:from>
    <cdr:to>
      <cdr:x>0.81544</cdr:x>
      <cdr:y>0.72195</cdr:y>
    </cdr:to>
    <cdr:sp macro="" textlink="Data!$R$36">
      <cdr:nvSpPr>
        <cdr:cNvPr id="2" name="TextBox 1">
          <a:extLst xmlns:a="http://schemas.openxmlformats.org/drawingml/2006/main">
            <a:ext uri="{FF2B5EF4-FFF2-40B4-BE49-F238E27FC236}">
              <a16:creationId xmlns:a16="http://schemas.microsoft.com/office/drawing/2014/main" id="{F639D0C5-C136-B5F6-F7EC-3B149BB7070B}"/>
            </a:ext>
          </a:extLst>
        </cdr:cNvPr>
        <cdr:cNvSpPr txBox="1"/>
      </cdr:nvSpPr>
      <cdr:spPr>
        <a:xfrm xmlns:a="http://schemas.openxmlformats.org/drawingml/2006/main">
          <a:off x="530574" y="742120"/>
          <a:ext cx="874643" cy="2385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5BCEB5D-0593-44C0-B06D-BAE8E446F6E6}" type="TxLink">
            <a:rPr lang="en-US" sz="1100" b="0" i="0" u="none" strike="noStrike" kern="1200">
              <a:solidFill>
                <a:srgbClr val="000000"/>
              </a:solidFill>
              <a:latin typeface="Calibri"/>
              <a:cs typeface="Calibri"/>
            </a:rPr>
            <a:pPr/>
            <a:t>24% miss</a:t>
          </a:fld>
          <a:endParaRPr lang="en-US" sz="1100" kern="1200"/>
        </a:p>
      </cdr:txBody>
    </cdr:sp>
  </cdr:relSizeAnchor>
</c:userShapes>
</file>

<file path=xl/drawings/drawing3.xml><?xml version="1.0" encoding="utf-8"?>
<c:userShapes xmlns:c="http://schemas.openxmlformats.org/drawingml/2006/chart">
  <cdr:relSizeAnchor xmlns:cdr="http://schemas.openxmlformats.org/drawingml/2006/chartDrawing">
    <cdr:from>
      <cdr:x>0.33331</cdr:x>
      <cdr:y>0.53421</cdr:y>
    </cdr:from>
    <cdr:to>
      <cdr:x>0.73138</cdr:x>
      <cdr:y>0.68412</cdr:y>
    </cdr:to>
    <cdr:sp macro="" textlink="Data!$Q$44">
      <cdr:nvSpPr>
        <cdr:cNvPr id="2" name="TextBox 1">
          <a:extLst xmlns:a="http://schemas.openxmlformats.org/drawingml/2006/main">
            <a:ext uri="{FF2B5EF4-FFF2-40B4-BE49-F238E27FC236}">
              <a16:creationId xmlns:a16="http://schemas.microsoft.com/office/drawing/2014/main" id="{C2060941-EFEF-BFC5-DB74-890FF0AF7210}"/>
            </a:ext>
          </a:extLst>
        </cdr:cNvPr>
        <cdr:cNvSpPr txBox="1"/>
      </cdr:nvSpPr>
      <cdr:spPr>
        <a:xfrm xmlns:a="http://schemas.openxmlformats.org/drawingml/2006/main">
          <a:off x="555445" y="758048"/>
          <a:ext cx="663389" cy="21273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E1CB0A5-FEB5-45F4-B1FA-74807B91CCF3}" type="TxLink">
            <a:rPr lang="en-US" sz="1100" b="0" i="0" u="none" strike="noStrike" kern="1200">
              <a:solidFill>
                <a:srgbClr val="000000"/>
              </a:solidFill>
              <a:latin typeface="Calibri"/>
              <a:cs typeface="Calibri"/>
            </a:rPr>
            <a:pPr/>
            <a:t>10% hit</a:t>
          </a:fld>
          <a:endParaRPr lang="en-US" sz="1100" kern="1200"/>
        </a:p>
      </cdr:txBody>
    </cdr:sp>
  </cdr:relSizeAnchor>
</c:userShapes>
</file>

<file path=xl/drawings/drawing4.xml><?xml version="1.0" encoding="utf-8"?>
<c:userShapes xmlns:c="http://schemas.openxmlformats.org/drawingml/2006/chart">
  <cdr:relSizeAnchor xmlns:cdr="http://schemas.openxmlformats.org/drawingml/2006/chartDrawing">
    <cdr:from>
      <cdr:x>0.33865</cdr:x>
      <cdr:y>0.52683</cdr:y>
    </cdr:from>
    <cdr:to>
      <cdr:x>0.71931</cdr:x>
      <cdr:y>0.70244</cdr:y>
    </cdr:to>
    <cdr:sp macro="" textlink="Data!$R$44">
      <cdr:nvSpPr>
        <cdr:cNvPr id="2" name="TextBox 1">
          <a:extLst xmlns:a="http://schemas.openxmlformats.org/drawingml/2006/main">
            <a:ext uri="{FF2B5EF4-FFF2-40B4-BE49-F238E27FC236}">
              <a16:creationId xmlns:a16="http://schemas.microsoft.com/office/drawing/2014/main" id="{F639D0C5-C136-B5F6-F7EC-3B149BB7070B}"/>
            </a:ext>
          </a:extLst>
        </cdr:cNvPr>
        <cdr:cNvSpPr txBox="1"/>
      </cdr:nvSpPr>
      <cdr:spPr>
        <a:xfrm xmlns:a="http://schemas.openxmlformats.org/drawingml/2006/main">
          <a:off x="583586" y="715662"/>
          <a:ext cx="655979" cy="2385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857EE61-749C-4A45-82E9-587A16405445}" type="TxLink">
            <a:rPr lang="en-US" sz="1100" b="0" i="0" u="none" strike="noStrike" kern="1200">
              <a:solidFill>
                <a:srgbClr val="000000"/>
              </a:solidFill>
              <a:latin typeface="Calibri"/>
              <a:cs typeface="Calibri"/>
            </a:rPr>
            <a:pPr/>
            <a:t>13% hit</a:t>
          </a:fld>
          <a:endParaRPr lang="en-US" sz="1100" kern="1200"/>
        </a:p>
      </cdr:txBody>
    </cdr:sp>
  </cdr:relSizeAnchor>
</c:userShapes>
</file>

<file path=xl/drawings/drawing5.xml><?xml version="1.0" encoding="utf-8"?>
<c:userShapes xmlns:c="http://schemas.openxmlformats.org/drawingml/2006/chart">
  <cdr:relSizeAnchor xmlns:cdr="http://schemas.openxmlformats.org/drawingml/2006/chartDrawing">
    <cdr:from>
      <cdr:x>0.33331</cdr:x>
      <cdr:y>0.53421</cdr:y>
    </cdr:from>
    <cdr:to>
      <cdr:x>0.73138</cdr:x>
      <cdr:y>0.68412</cdr:y>
    </cdr:to>
    <cdr:sp macro="" textlink="Data!$Q$52">
      <cdr:nvSpPr>
        <cdr:cNvPr id="2" name="TextBox 1">
          <a:extLst xmlns:a="http://schemas.openxmlformats.org/drawingml/2006/main">
            <a:ext uri="{FF2B5EF4-FFF2-40B4-BE49-F238E27FC236}">
              <a16:creationId xmlns:a16="http://schemas.microsoft.com/office/drawing/2014/main" id="{C2060941-EFEF-BFC5-DB74-890FF0AF7210}"/>
            </a:ext>
          </a:extLst>
        </cdr:cNvPr>
        <cdr:cNvSpPr txBox="1"/>
      </cdr:nvSpPr>
      <cdr:spPr>
        <a:xfrm xmlns:a="http://schemas.openxmlformats.org/drawingml/2006/main">
          <a:off x="555445" y="758048"/>
          <a:ext cx="663389" cy="21273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FC68A5B-17EC-42A4-9A9E-DD509A7564AE}" type="TxLink">
            <a:rPr lang="en-US" sz="1100" b="0" i="0" u="none" strike="noStrike" kern="1200">
              <a:solidFill>
                <a:srgbClr val="000000"/>
              </a:solidFill>
              <a:latin typeface="Calibri"/>
              <a:cs typeface="Calibri"/>
            </a:rPr>
            <a:pPr/>
            <a:t>13% hit</a:t>
          </a:fld>
          <a:endParaRPr lang="en-US" sz="1100" kern="1200"/>
        </a:p>
      </cdr:txBody>
    </cdr:sp>
  </cdr:relSizeAnchor>
</c:userShapes>
</file>

<file path=xl/drawings/drawing6.xml><?xml version="1.0" encoding="utf-8"?>
<c:userShapes xmlns:c="http://schemas.openxmlformats.org/drawingml/2006/chart">
  <cdr:relSizeAnchor xmlns:cdr="http://schemas.openxmlformats.org/drawingml/2006/chartDrawing">
    <cdr:from>
      <cdr:x>0.33865</cdr:x>
      <cdr:y>0.52683</cdr:y>
    </cdr:from>
    <cdr:to>
      <cdr:x>0.71931</cdr:x>
      <cdr:y>0.70244</cdr:y>
    </cdr:to>
    <cdr:sp macro="" textlink="Data!$R$52">
      <cdr:nvSpPr>
        <cdr:cNvPr id="2" name="TextBox 1">
          <a:extLst xmlns:a="http://schemas.openxmlformats.org/drawingml/2006/main">
            <a:ext uri="{FF2B5EF4-FFF2-40B4-BE49-F238E27FC236}">
              <a16:creationId xmlns:a16="http://schemas.microsoft.com/office/drawing/2014/main" id="{F639D0C5-C136-B5F6-F7EC-3B149BB7070B}"/>
            </a:ext>
          </a:extLst>
        </cdr:cNvPr>
        <cdr:cNvSpPr txBox="1"/>
      </cdr:nvSpPr>
      <cdr:spPr>
        <a:xfrm xmlns:a="http://schemas.openxmlformats.org/drawingml/2006/main">
          <a:off x="583586" y="715662"/>
          <a:ext cx="655979" cy="2385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ABB93C7-B558-4E55-AE96-8FEC93A0913E}" type="TxLink">
            <a:rPr lang="en-US" sz="1100" b="0" i="0" u="none" strike="noStrike" kern="1200">
              <a:solidFill>
                <a:srgbClr val="000000"/>
              </a:solidFill>
              <a:latin typeface="Calibri"/>
              <a:cs typeface="Calibri"/>
            </a:rPr>
            <a:pPr/>
            <a:t>46% hit</a:t>
          </a:fld>
          <a:endParaRPr lang="en-US" sz="1100" kern="1200"/>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4</xdr:col>
      <xdr:colOff>417467</xdr:colOff>
      <xdr:row>3</xdr:row>
      <xdr:rowOff>23706</xdr:rowOff>
    </xdr:from>
    <xdr:to>
      <xdr:col>6</xdr:col>
      <xdr:colOff>422060</xdr:colOff>
      <xdr:row>16</xdr:row>
      <xdr:rowOff>69215</xdr:rowOff>
    </xdr:to>
    <mc:AlternateContent xmlns:mc="http://schemas.openxmlformats.org/markup-compatibility/2006" xmlns:a14="http://schemas.microsoft.com/office/drawing/2010/main">
      <mc:Choice Requires="a14">
        <xdr:graphicFrame macro="">
          <xdr:nvGraphicFramePr>
            <xdr:cNvPr id="3" name="Departments">
              <a:extLst>
                <a:ext uri="{FF2B5EF4-FFF2-40B4-BE49-F238E27FC236}">
                  <a16:creationId xmlns:a16="http://schemas.microsoft.com/office/drawing/2014/main" id="{77D920D4-5FC4-03F3-7AE4-24FB36CB115F}"/>
                </a:ext>
              </a:extLst>
            </xdr:cNvPr>
            <xdr:cNvGraphicFramePr/>
          </xdr:nvGraphicFramePr>
          <xdr:xfrm>
            <a:off x="0" y="0"/>
            <a:ext cx="0" cy="0"/>
          </xdr:xfrm>
          <a:graphic>
            <a:graphicData uri="http://schemas.microsoft.com/office/drawing/2010/slicer">
              <sle:slicer xmlns:sle="http://schemas.microsoft.com/office/drawing/2010/slicer" name="Departments"/>
            </a:graphicData>
          </a:graphic>
        </xdr:graphicFrame>
      </mc:Choice>
      <mc:Fallback xmlns="">
        <xdr:sp macro="" textlink="">
          <xdr:nvSpPr>
            <xdr:cNvPr id="0" name=""/>
            <xdr:cNvSpPr>
              <a:spLocks noTextEdit="1"/>
            </xdr:cNvSpPr>
          </xdr:nvSpPr>
          <xdr:spPr>
            <a:xfrm>
              <a:off x="4174655" y="566914"/>
              <a:ext cx="1821715" cy="2399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288518</xdr:colOff>
      <xdr:row>0</xdr:row>
      <xdr:rowOff>155983</xdr:rowOff>
    </xdr:from>
    <xdr:to>
      <xdr:col>3</xdr:col>
      <xdr:colOff>515755</xdr:colOff>
      <xdr:row>8</xdr:row>
      <xdr:rowOff>38101</xdr:rowOff>
    </xdr:to>
    <mc:AlternateContent xmlns:mc="http://schemas.openxmlformats.org/markup-compatibility/2006" xmlns:tsle="http://schemas.microsoft.com/office/drawing/2012/timeslicer">
      <mc:Choice Requires="tsle">
        <xdr:graphicFrame macro="">
          <xdr:nvGraphicFramePr>
            <xdr:cNvPr id="8" name="Date">
              <a:extLst>
                <a:ext uri="{FF2B5EF4-FFF2-40B4-BE49-F238E27FC236}">
                  <a16:creationId xmlns:a16="http://schemas.microsoft.com/office/drawing/2014/main" id="{C987F08A-A5DF-B27D-93E4-295A5E7739D7}"/>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88518" y="155983"/>
              <a:ext cx="3336258" cy="136704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106532</xdr:colOff>
      <xdr:row>34</xdr:row>
      <xdr:rowOff>18917</xdr:rowOff>
    </xdr:from>
    <xdr:to>
      <xdr:col>11</xdr:col>
      <xdr:colOff>186258</xdr:colOff>
      <xdr:row>39</xdr:row>
      <xdr:rowOff>121954</xdr:rowOff>
    </xdr:to>
    <mc:AlternateContent xmlns:mc="http://schemas.openxmlformats.org/markup-compatibility/2006" xmlns:a14="http://schemas.microsoft.com/office/drawing/2010/main">
      <mc:Choice Requires="a14">
        <xdr:graphicFrame macro="">
          <xdr:nvGraphicFramePr>
            <xdr:cNvPr id="2" name="Period">
              <a:extLst>
                <a:ext uri="{FF2B5EF4-FFF2-40B4-BE49-F238E27FC236}">
                  <a16:creationId xmlns:a16="http://schemas.microsoft.com/office/drawing/2014/main" id="{A1EADCC9-BFC2-095F-DB4D-BBD21B60A079}"/>
                </a:ext>
              </a:extLst>
            </xdr:cNvPr>
            <xdr:cNvGraphicFramePr/>
          </xdr:nvGraphicFramePr>
          <xdr:xfrm>
            <a:off x="0" y="0"/>
            <a:ext cx="0" cy="0"/>
          </xdr:xfrm>
          <a:graphic>
            <a:graphicData uri="http://schemas.microsoft.com/office/drawing/2010/slicer">
              <sle:slicer xmlns:sle="http://schemas.microsoft.com/office/drawing/2010/slicer" name="Period"/>
            </a:graphicData>
          </a:graphic>
        </xdr:graphicFrame>
      </mc:Choice>
      <mc:Fallback xmlns="">
        <xdr:sp macro="" textlink="">
          <xdr:nvSpPr>
            <xdr:cNvPr id="0" name=""/>
            <xdr:cNvSpPr>
              <a:spLocks noTextEdit="1"/>
            </xdr:cNvSpPr>
          </xdr:nvSpPr>
          <xdr:spPr>
            <a:xfrm>
              <a:off x="3863720" y="6175273"/>
              <a:ext cx="7240820" cy="1008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13087615742" backgroundQuery="1" createdVersion="8" refreshedVersion="8" minRefreshableVersion="3" recordCount="0" supportSubquery="1" supportAdvancedDrill="1" xr:uid="{9A85593C-A0DE-4E62-B7D3-93B9632C368C}">
  <cacheSource type="external" connectionId="12"/>
  <cacheFields count="6">
    <cacheField name="[Mapping].[Section].[Section]" caption="Section" numFmtId="0" hierarchy="18" level="1">
      <sharedItems count="9">
        <s v="Cost of Goods Sold"/>
        <s v="EBITDA"/>
        <s v="Expenses"/>
        <s v="Gross Profit"/>
        <s v="Income"/>
        <s v="Net Income"/>
        <s v="Net Other Income"/>
        <s v="Other Expenses"/>
        <s v="Other Income"/>
      </sharedItems>
      <extLst>
        <ext xmlns:x15="http://schemas.microsoft.com/office/spreadsheetml/2010/11/main" uri="{4F2E5C28-24EA-4eb8-9CBF-B6C8F9C3D259}">
          <x15:cachedUniqueNames>
            <x15:cachedUniqueName index="0" name="[Mapping].[Section].&amp;[Cost of Goods Sold]"/>
            <x15:cachedUniqueName index="1" name="[Mapping].[Section].&amp;[EBITDA]"/>
            <x15:cachedUniqueName index="2" name="[Mapping].[Section].&amp;[Expenses]"/>
            <x15:cachedUniqueName index="3" name="[Mapping].[Section].&amp;[Gross Profit]"/>
            <x15:cachedUniqueName index="4" name="[Mapping].[Section].&amp;[Income]"/>
            <x15:cachedUniqueName index="5" name="[Mapping].[Section].&amp;[Net Income]"/>
            <x15:cachedUniqueName index="6" name="[Mapping].[Section].&amp;[Net Other Income]"/>
            <x15:cachedUniqueName index="7" name="[Mapping].[Section].&amp;[Other Expenses]"/>
            <x15:cachedUniqueName index="8" name="[Mapping].[Section].&amp;[Other Income]"/>
          </x15:cachedUniqueNames>
        </ext>
      </extLst>
    </cacheField>
    <cacheField name="[Mapping].[Account].[Account]" caption="Account" numFmtId="0" hierarchy="17" level="1">
      <sharedItems count="2">
        <s v="Revenue"/>
        <s v="Sales"/>
      </sharedItems>
    </cacheField>
    <cacheField name="[Mapping].[Summary Grouping].[Summary Grouping]" caption="Summary Grouping" numFmtId="0" hierarchy="19" level="1">
      <sharedItems count="1">
        <s v="Revenue"/>
      </sharedItems>
    </cacheField>
    <cacheField name="[Measures].[Sum of Value]" caption="Sum of Value" numFmtId="0" hierarchy="24" level="32767"/>
    <cacheField name="[Measures].[Sum of Value 2]" caption="Sum of Value 2" numFmtId="0" hierarchy="25" level="32767"/>
    <cacheField name="[Departments].[Departments].[Departments]" caption="Departments" numFmtId="0" hierarchy="16" level="1">
      <sharedItems containsSemiMixedTypes="0" containsNonDate="0" containsString="0"/>
    </cacheField>
  </cacheFields>
  <cacheHierarchies count="77">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5"/>
      </fieldsUsage>
    </cacheHierarchy>
    <cacheHierarchy uniqueName="[Mapping].[Account]" caption="Account" attribute="1" defaultMemberUniqueName="[Mapping].[Account].[All]" allUniqueName="[Mapping].[Account].[All]" dimensionUniqueName="[Mapping]" displayFolder="" count="2" memberValueDatatype="130" unbalanced="0">
      <fieldsUsage count="2">
        <fieldUsage x="-1"/>
        <fieldUsage x="1"/>
      </fieldsUsage>
    </cacheHierarchy>
    <cacheHierarchy uniqueName="[Mapping].[Section]" caption="Section" attribute="1" defaultMemberUniqueName="[Mapping].[Section].[All]" allUniqueName="[Mapping].[Section].[All]" dimensionUniqueName="[Mapping]" displayFolder="" count="2" memberValueDatatype="130" unbalanced="0">
      <fieldsUsage count="2">
        <fieldUsage x="-1"/>
        <fieldUsage x="0"/>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2"/>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0" memberValueDatatype="130" unbalanced="0"/>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oneField="1">
      <fieldsUsage count="1">
        <fieldUsage x="3"/>
      </fieldsUsage>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oneField="1">
      <fieldsUsage count="1">
        <fieldUsage x="4"/>
      </fieldsUsage>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60995371" backgroundQuery="1" createdVersion="8" refreshedVersion="8" minRefreshableVersion="3" recordCount="0" supportSubquery="1" supportAdvancedDrill="1" xr:uid="{8935CB09-282D-4666-82D9-E26D35CBA355}">
  <cacheSource type="external" connectionId="12"/>
  <cacheFields count="4">
    <cacheField name="[Department P L].[Department].[Department]" caption="Department" numFmtId="0" hierarchy="9"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 P L].[Department].&amp;[Customer Support]"/>
            <x15:cachedUniqueName index="1" name="[Department P L].[Department].&amp;[General &amp; Administrative]"/>
            <x15:cachedUniqueName index="2" name="[Department P L].[Department].&amp;[Research &amp; Development]"/>
            <x15:cachedUniqueName index="3" name="[Department P L].[Department].&amp;[Sales &amp; Marketing]"/>
          </x15:cachedUniqueNames>
        </ext>
      </extLst>
    </cacheField>
    <cacheField name="[Calendar].[Date].[Date]" caption="Date" numFmtId="0" level="1">
      <sharedItems containsSemiMixedTypes="0" containsNonDate="0" containsDate="1" containsString="0" minDate="2024-01-31T00:00:00" maxDate="2025-01-01T00:00:00" count="12">
        <d v="2024-01-31T00:00:00"/>
        <d v="2024-02-29T00:00:00"/>
        <d v="2024-03-31T00:00:00"/>
        <d v="2024-04-30T00:00:00"/>
        <d v="2024-05-31T00:00:00"/>
        <d v="2024-06-30T00:00:00"/>
        <d v="2024-07-31T00:00:00"/>
        <d v="2024-08-31T00:00:00"/>
        <d v="2024-09-30T00:00:00"/>
        <d v="2024-10-31T00:00:00"/>
        <d v="2024-11-30T00:00:00"/>
        <d v="2024-12-31T00:00:00"/>
      </sharedItems>
      <extLst>
        <ext xmlns:x15="http://schemas.microsoft.com/office/spreadsheetml/2010/11/main" uri="{4F2E5C28-24EA-4eb8-9CBF-B6C8F9C3D259}">
          <x15:cachedUniqueNames>
            <x15:cachedUniqueName index="0" name="[Calendar].[Date].&amp;[2024-01-31T00:00:00]"/>
            <x15:cachedUniqueName index="1" name="[Calendar].[Date].&amp;[2024-02-29T00:00:00]"/>
            <x15:cachedUniqueName index="2" name="[Calendar].[Date].&amp;[2024-03-31T00:00:00]"/>
            <x15:cachedUniqueName index="3" name="[Calendar].[Date].&amp;[2024-04-30T00:00:00]"/>
            <x15:cachedUniqueName index="4" name="[Calendar].[Date].&amp;[2024-05-31T00:00:00]"/>
            <x15:cachedUniqueName index="5" name="[Calendar].[Date].&amp;[2024-06-30T00:00:00]"/>
            <x15:cachedUniqueName index="6" name="[Calendar].[Date].&amp;[2024-07-31T00:00:00]"/>
            <x15:cachedUniqueName index="7" name="[Calendar].[Date].&amp;[2024-08-31T00:00:00]"/>
            <x15:cachedUniqueName index="8" name="[Calendar].[Date].&amp;[2024-09-30T00:00:00]"/>
            <x15:cachedUniqueName index="9" name="[Calendar].[Date].&amp;[2024-10-31T00:00:00]"/>
            <x15:cachedUniqueName index="10" name="[Calendar].[Date].&amp;[2024-11-30T00:00:00]"/>
            <x15:cachedUniqueName index="11" name="[Calendar].[Date].&amp;[2024-12-31T00:00:00]"/>
          </x15:cachedUniqueNames>
        </ext>
      </extLst>
    </cacheField>
    <cacheField name="[TableView].[Period].[Period]" caption="Period" numFmtId="0" hierarchy="22" level="1">
      <sharedItems containsSemiMixedTypes="0" containsNonDate="0" containsString="0"/>
    </cacheField>
    <cacheField name="[Measures].[Actual]" caption="Actual" numFmtId="0" hierarchy="36" level="32767"/>
  </cacheFields>
  <cacheHierarchies count="77">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2" memberValueDatatype="130" unbalanced="0">
      <fieldsUsage count="2">
        <fieldUsage x="-1"/>
        <fieldUsage x="0"/>
      </fieldsUsage>
    </cacheHierarchy>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0" memberValueDatatype="13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3"/>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Quyen Tran" refreshedDate="45739.52226203704" backgroundQuery="1" createdVersion="8" refreshedVersion="8" minRefreshableVersion="3" recordCount="0" supportSubquery="1" supportAdvancedDrill="1" xr:uid="{2609C7D0-0EFC-44EB-AAF5-5C3098F9E458}">
  <cacheSource type="external" connectionId="12"/>
  <cacheFields count="4">
    <cacheField name="[Calendar].[Date].[Date]" caption="Date" numFmtId="0" level="1">
      <sharedItems containsSemiMixedTypes="0" containsNonDate="0" containsDate="1" containsString="0" minDate="2024-01-31T00:00:00" maxDate="2025-01-01T00:00:00" count="12">
        <d v="2024-01-31T00:00:00"/>
        <d v="2024-02-29T00:00:00"/>
        <d v="2024-03-31T00:00:00"/>
        <d v="2024-04-30T00:00:00"/>
        <d v="2024-05-31T00:00:00"/>
        <d v="2024-06-30T00:00:00"/>
        <d v="2024-07-31T00:00:00"/>
        <d v="2024-08-31T00:00:00"/>
        <d v="2024-09-30T00:00:00"/>
        <d v="2024-10-31T00:00:00"/>
        <d v="2024-11-30T00:00:00"/>
        <d v="2024-12-31T00:00:00"/>
      </sharedItems>
      <extLst>
        <ext xmlns:x15="http://schemas.microsoft.com/office/spreadsheetml/2010/11/main" uri="{4F2E5C28-24EA-4eb8-9CBF-B6C8F9C3D259}">
          <x15:cachedUniqueNames>
            <x15:cachedUniqueName index="0" name="[Calendar].[Date].&amp;[2024-01-31T00:00:00]"/>
            <x15:cachedUniqueName index="1" name="[Calendar].[Date].&amp;[2024-02-29T00:00:00]"/>
            <x15:cachedUniqueName index="2" name="[Calendar].[Date].&amp;[2024-03-31T00:00:00]"/>
            <x15:cachedUniqueName index="3" name="[Calendar].[Date].&amp;[2024-04-30T00:00:00]"/>
            <x15:cachedUniqueName index="4" name="[Calendar].[Date].&amp;[2024-05-31T00:00:00]"/>
            <x15:cachedUniqueName index="5" name="[Calendar].[Date].&amp;[2024-06-30T00:00:00]"/>
            <x15:cachedUniqueName index="6" name="[Calendar].[Date].&amp;[2024-07-31T00:00:00]"/>
            <x15:cachedUniqueName index="7" name="[Calendar].[Date].&amp;[2024-08-31T00:00:00]"/>
            <x15:cachedUniqueName index="8" name="[Calendar].[Date].&amp;[2024-09-30T00:00:00]"/>
            <x15:cachedUniqueName index="9" name="[Calendar].[Date].&amp;[2024-10-31T00:00:00]"/>
            <x15:cachedUniqueName index="10" name="[Calendar].[Date].&amp;[2024-11-30T00:00:00]"/>
            <x15:cachedUniqueName index="11" name="[Calendar].[Date].&amp;[2024-12-31T00:00:00]"/>
          </x15:cachedUniqueNames>
        </ext>
      </extLst>
    </cacheField>
    <cacheField name="[TableView].[Period].[Period]" caption="Period" numFmtId="0" hierarchy="22" level="1">
      <sharedItems containsSemiMixedTypes="0" containsNonDate="0" containsString="0"/>
    </cacheField>
    <cacheField name="[Measures].[Revenue]" caption="Revenue" numFmtId="0" hierarchy="66" level="32767"/>
    <cacheField name="[Measures].[Gross Margin]" caption="Gross Margin" numFmtId="0" hierarchy="68" level="32767"/>
  </cacheFields>
  <cacheHierarchies count="77">
    <cacheHierarchy uniqueName="[Calendar].[Date]" caption="Date" attribute="1" time="1" keyAttribute="1" defaultMemberUniqueName="[Calendar].[Date].[All]" allUniqueName="[Calendar].[Date].[All]" dimensionUniqueName="[Calendar]" displayFolder="" count="2" memberValueDatatype="7" unbalanced="0">
      <fieldsUsage count="2">
        <fieldUsage x="-1"/>
        <fieldUsage x="0"/>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0" memberValueDatatype="13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oneField="1">
      <fieldsUsage count="1">
        <fieldUsage x="2"/>
      </fieldsUsage>
    </cacheHierarchy>
    <cacheHierarchy uniqueName="[Measures].[Gross Profit]" caption="Gross Profit" measure="1" displayFolder="" measureGroup="Department P L" count="0"/>
    <cacheHierarchy uniqueName="[Measures].[Gross Margin]" caption="Gross Margin" measure="1" displayFolder="" measureGroup="Department P L" count="0" oneField="1">
      <fieldsUsage count="1">
        <fieldUsage x="3"/>
      </fieldsUsage>
    </cacheHierarchy>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62500002" backgroundQuery="1" createdVersion="8" refreshedVersion="8" minRefreshableVersion="3" recordCount="0" supportSubquery="1" supportAdvancedDrill="1" xr:uid="{3AF0C287-6EDE-47F3-8753-B1FB5AFC89CD}">
  <cacheSource type="external" connectionId="12"/>
  <cacheFields count="5">
    <cacheField name="[TableView].[Period].[Period]" caption="Period" numFmtId="0" hierarchy="22" level="1">
      <sharedItems containsSemiMixedTypes="0" containsNonDate="0" containsString="0"/>
    </cacheField>
    <cacheField name="[Calendar].[MMM-YYYY].[MMM-YYYY]" caption="MMM-YYYY" numFmtId="0" hierarchy="5" level="1">
      <sharedItems containsSemiMixedTypes="0" containsNonDate="0" containsDate="1" containsString="0" minDate="2024-01-01T00:00:00" maxDate="2024-12-02T00:00:00" count="12">
        <d v="2024-01-01T00:00:00"/>
        <d v="2024-02-01T00:00:00"/>
        <d v="2024-03-01T00:00:00"/>
        <d v="2024-04-01T00:00:00"/>
        <d v="2024-05-01T00:00:00"/>
        <d v="2024-06-01T00:00:00"/>
        <d v="2024-07-01T00:00:00"/>
        <d v="2024-08-01T00:00:00"/>
        <d v="2024-09-01T00:00:00"/>
        <d v="2024-10-01T00:00:00"/>
        <d v="2024-11-01T00:00:00"/>
        <d v="2024-12-01T00:00:00"/>
      </sharedItems>
      <extLst>
        <ext xmlns:x15="http://schemas.microsoft.com/office/spreadsheetml/2010/11/main" uri="{4F2E5C28-24EA-4eb8-9CBF-B6C8F9C3D259}">
          <x15:cachedUniqueNames>
            <x15:cachedUniqueName index="0" name="[Calendar].[MMM-YYYY].&amp;[2024-01-01T00:00:00]"/>
            <x15:cachedUniqueName index="1" name="[Calendar].[MMM-YYYY].&amp;[2024-02-01T00:00:00]"/>
            <x15:cachedUniqueName index="2" name="[Calendar].[MMM-YYYY].&amp;[2024-03-01T00:00:00]"/>
            <x15:cachedUniqueName index="3" name="[Calendar].[MMM-YYYY].&amp;[2024-04-01T00:00:00]"/>
            <x15:cachedUniqueName index="4" name="[Calendar].[MMM-YYYY].&amp;[2024-05-01T00:00:00]"/>
            <x15:cachedUniqueName index="5" name="[Calendar].[MMM-YYYY].&amp;[2024-06-01T00:00:00]"/>
            <x15:cachedUniqueName index="6" name="[Calendar].[MMM-YYYY].&amp;[2024-07-01T00:00:00]"/>
            <x15:cachedUniqueName index="7" name="[Calendar].[MMM-YYYY].&amp;[2024-08-01T00:00:00]"/>
            <x15:cachedUniqueName index="8" name="[Calendar].[MMM-YYYY].&amp;[2024-09-01T00:00:00]"/>
            <x15:cachedUniqueName index="9" name="[Calendar].[MMM-YYYY].&amp;[2024-10-01T00:00:00]"/>
            <x15:cachedUniqueName index="10" name="[Calendar].[MMM-YYYY].&amp;[2024-11-01T00:00:00]"/>
            <x15:cachedUniqueName index="11" name="[Calendar].[MMM-YYYY].&amp;[2024-12-01T00:00:00]"/>
          </x15:cachedUniqueNames>
        </ext>
      </extLst>
    </cacheField>
    <cacheField name="[Measures].[Actual]" caption="Actual" numFmtId="0" hierarchy="36" level="32767"/>
    <cacheField name="[Department P L].[Department].[Department]" caption="Department" numFmtId="0" hierarchy="9"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 P L].[Department].&amp;[Customer Support]"/>
            <x15:cachedUniqueName index="1" name="[Department P L].[Department].&amp;[General &amp; Administrative]"/>
            <x15:cachedUniqueName index="2" name="[Department P L].[Department].&amp;[Research &amp; Development]"/>
            <x15:cachedUniqueName index="3" name="[Department P L].[Department].&amp;[Sales &amp; Marketing]"/>
          </x15:cachedUniqueNames>
        </ext>
      </extLst>
    </cacheField>
    <cacheField name="[Mapping].[Section].[Section]" caption="Section" numFmtId="0" hierarchy="18" level="1">
      <sharedItems containsSemiMixedTypes="0" containsNonDate="0" containsString="0"/>
    </cacheField>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7"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2" memberValueDatatype="130" unbalanced="0">
      <fieldsUsage count="2">
        <fieldUsage x="-1"/>
        <fieldUsage x="3"/>
      </fieldsUsage>
    </cacheHierarchy>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4"/>
      </fieldsUsage>
    </cacheHierarchy>
    <cacheHierarchy uniqueName="[Mapping].[Summary Grouping]" caption="Summary Grouping" attribute="1" defaultMemberUniqueName="[Mapping].[Summary Grouping].[All]" allUniqueName="[Mapping].[Summary Grouping].[All]" dimensionUniqueName="[Mapping]" displayFolder="" count="0" memberValueDatatype="13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2"/>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62962964" backgroundQuery="1" createdVersion="8" refreshedVersion="8" minRefreshableVersion="3" recordCount="0" supportSubquery="1" supportAdvancedDrill="1" xr:uid="{172C8D60-57AB-4BDA-989E-9FBA62F2EAA3}">
  <cacheSource type="external" connectionId="12"/>
  <cacheFields count="5">
    <cacheField name="[TableView].[Period].[Period]" caption="Period" numFmtId="0" hierarchy="22" level="1">
      <sharedItems containsSemiMixedTypes="0" containsNonDate="0" containsString="0"/>
    </cacheField>
    <cacheField name="[Calendar].[MMM-YYYY].[MMM-YYYY]" caption="MMM-YYYY" numFmtId="0" hierarchy="5" level="1">
      <sharedItems containsSemiMixedTypes="0" containsNonDate="0" containsDate="1" containsString="0" minDate="2024-01-01T00:00:00" maxDate="2024-12-02T00:00:00" count="12">
        <d v="2024-01-01T00:00:00"/>
        <d v="2024-02-01T00:00:00"/>
        <d v="2024-03-01T00:00:00"/>
        <d v="2024-04-01T00:00:00"/>
        <d v="2024-05-01T00:00:00"/>
        <d v="2024-06-01T00:00:00"/>
        <d v="2024-07-01T00:00:00"/>
        <d v="2024-08-01T00:00:00"/>
        <d v="2024-09-01T00:00:00"/>
        <d v="2024-10-01T00:00:00"/>
        <d v="2024-11-01T00:00:00"/>
        <d v="2024-12-01T00:00:00"/>
      </sharedItems>
      <extLst>
        <ext xmlns:x15="http://schemas.microsoft.com/office/spreadsheetml/2010/11/main" uri="{4F2E5C28-24EA-4eb8-9CBF-B6C8F9C3D259}">
          <x15:cachedUniqueNames>
            <x15:cachedUniqueName index="0" name="[Calendar].[MMM-YYYY].&amp;[2024-01-01T00:00:00]"/>
            <x15:cachedUniqueName index="1" name="[Calendar].[MMM-YYYY].&amp;[2024-02-01T00:00:00]"/>
            <x15:cachedUniqueName index="2" name="[Calendar].[MMM-YYYY].&amp;[2024-03-01T00:00:00]"/>
            <x15:cachedUniqueName index="3" name="[Calendar].[MMM-YYYY].&amp;[2024-04-01T00:00:00]"/>
            <x15:cachedUniqueName index="4" name="[Calendar].[MMM-YYYY].&amp;[2024-05-01T00:00:00]"/>
            <x15:cachedUniqueName index="5" name="[Calendar].[MMM-YYYY].&amp;[2024-06-01T00:00:00]"/>
            <x15:cachedUniqueName index="6" name="[Calendar].[MMM-YYYY].&amp;[2024-07-01T00:00:00]"/>
            <x15:cachedUniqueName index="7" name="[Calendar].[MMM-YYYY].&amp;[2024-08-01T00:00:00]"/>
            <x15:cachedUniqueName index="8" name="[Calendar].[MMM-YYYY].&amp;[2024-09-01T00:00:00]"/>
            <x15:cachedUniqueName index="9" name="[Calendar].[MMM-YYYY].&amp;[2024-10-01T00:00:00]"/>
            <x15:cachedUniqueName index="10" name="[Calendar].[MMM-YYYY].&amp;[2024-11-01T00:00:00]"/>
            <x15:cachedUniqueName index="11" name="[Calendar].[MMM-YYYY].&amp;[2024-12-01T00:00:00]"/>
          </x15:cachedUniqueNames>
        </ext>
      </extLst>
    </cacheField>
    <cacheField name="[Measures].[Actual]" caption="Actual" numFmtId="0" hierarchy="36" level="32767"/>
    <cacheField name="[Mapping].[Section].[Section]" caption="Section" numFmtId="0" hierarchy="18" level="1">
      <sharedItems containsSemiMixedTypes="0" containsNonDate="0" containsString="0"/>
    </cacheField>
    <cacheField name="[Mapping].[Summary Grouping].[Summary Grouping]" caption="Summary Grouping" numFmtId="0" hierarchy="19" level="1">
      <sharedItems count="4">
        <s v="Advertising"/>
        <s v="Other G&amp;A"/>
        <s v="Payroll"/>
        <s v="Professional Fees"/>
      </sharedItems>
      <extLst>
        <ext xmlns:x15="http://schemas.microsoft.com/office/spreadsheetml/2010/11/main" uri="{4F2E5C28-24EA-4eb8-9CBF-B6C8F9C3D259}">
          <x15:cachedUniqueNames>
            <x15:cachedUniqueName index="0" name="[Mapping].[Summary Grouping].&amp;[Advertising]"/>
            <x15:cachedUniqueName index="1" name="[Mapping].[Summary Grouping].&amp;[Other G&amp;A]"/>
            <x15:cachedUniqueName index="2" name="[Mapping].[Summary Grouping].&amp;[Payroll]"/>
            <x15:cachedUniqueName index="3" name="[Mapping].[Summary Grouping].&amp;[Professional Fees]"/>
          </x15:cachedUniqueNames>
        </ext>
      </extLst>
    </cacheField>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7"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3"/>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4"/>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2"/>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63657411" backgroundQuery="1" createdVersion="8" refreshedVersion="8" minRefreshableVersion="3" recordCount="0" supportSubquery="1" supportAdvancedDrill="1" xr:uid="{2124A634-9A39-4CB8-B5E3-A2172A6BE7BA}">
  <cacheSource type="external" connectionId="12"/>
  <cacheFields count="5">
    <cacheField name="[TableView].[Period].[Period]" caption="Period" numFmtId="0" hierarchy="22" level="1">
      <sharedItems containsSemiMixedTypes="0" containsNonDate="0" containsString="0"/>
    </cacheField>
    <cacheField name="[Calendar].[MMM-YYYY].[MMM-YYYY]" caption="MMM-YYYY" numFmtId="0" hierarchy="5" level="1">
      <sharedItems containsSemiMixedTypes="0" containsNonDate="0" containsDate="1" containsString="0" minDate="2023-01-01T00:00:00" maxDate="2023-12-02T00:00:00" count="12">
        <d v="2023-01-01T00:00:00"/>
        <d v="2023-02-01T00:00:00"/>
        <d v="2023-03-01T00:00:00"/>
        <d v="2023-04-01T00:00:00"/>
        <d v="2023-05-01T00:00:00"/>
        <d v="2023-06-01T00:00:00"/>
        <d v="2023-07-01T00:00:00"/>
        <d v="2023-08-01T00:00:00"/>
        <d v="2023-09-01T00:00:00"/>
        <d v="2023-10-01T00:00:00"/>
        <d v="2023-11-01T00:00:00"/>
        <d v="2023-12-01T00:00:00"/>
      </sharedItems>
      <extLst>
        <ext xmlns:x15="http://schemas.microsoft.com/office/spreadsheetml/2010/11/main" uri="{4F2E5C28-24EA-4eb8-9CBF-B6C8F9C3D259}">
          <x15:cachedUniqueNames>
            <x15:cachedUniqueName index="0" name="[Calendar].[MMM-YYYY].&amp;[2023-01-01T00:00:00]"/>
            <x15:cachedUniqueName index="1" name="[Calendar].[MMM-YYYY].&amp;[2023-02-01T00:00:00]"/>
            <x15:cachedUniqueName index="2" name="[Calendar].[MMM-YYYY].&amp;[2023-03-01T00:00:00]"/>
            <x15:cachedUniqueName index="3" name="[Calendar].[MMM-YYYY].&amp;[2023-04-01T00:00:00]"/>
            <x15:cachedUniqueName index="4" name="[Calendar].[MMM-YYYY].&amp;[2023-05-01T00:00:00]"/>
            <x15:cachedUniqueName index="5" name="[Calendar].[MMM-YYYY].&amp;[2023-06-01T00:00:00]"/>
            <x15:cachedUniqueName index="6" name="[Calendar].[MMM-YYYY].&amp;[2023-07-01T00:00:00]"/>
            <x15:cachedUniqueName index="7" name="[Calendar].[MMM-YYYY].&amp;[2023-08-01T00:00:00]"/>
            <x15:cachedUniqueName index="8" name="[Calendar].[MMM-YYYY].&amp;[2023-09-01T00:00:00]"/>
            <x15:cachedUniqueName index="9" name="[Calendar].[MMM-YYYY].&amp;[2023-10-01T00:00:00]"/>
            <x15:cachedUniqueName index="10" name="[Calendar].[MMM-YYYY].&amp;[2023-11-01T00:00:00]"/>
            <x15:cachedUniqueName index="11" name="[Calendar].[MMM-YYYY].&amp;[2023-12-01T00:00:00]"/>
          </x15:cachedUniqueNames>
        </ext>
      </extLst>
    </cacheField>
    <cacheField name="[Measures].[Actual]" caption="Actual" numFmtId="0" hierarchy="36" level="32767"/>
    <cacheField name="[Department P L].[Department].[Department]" caption="Department" numFmtId="0" hierarchy="9"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 P L].[Department].&amp;[Customer Support]"/>
            <x15:cachedUniqueName index="1" name="[Department P L].[Department].&amp;[General &amp; Administrative]"/>
            <x15:cachedUniqueName index="2" name="[Department P L].[Department].&amp;[Research &amp; Development]"/>
            <x15:cachedUniqueName index="3" name="[Department P L].[Department].&amp;[Sales &amp; Marketing]"/>
          </x15:cachedUniqueNames>
        </ext>
      </extLst>
    </cacheField>
    <cacheField name="[Mapping].[Section].[Section]" caption="Section" numFmtId="0" hierarchy="18" level="1">
      <sharedItems containsSemiMixedTypes="0" containsNonDate="0" containsString="0"/>
    </cacheField>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7"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2" memberValueDatatype="130" unbalanced="0">
      <fieldsUsage count="2">
        <fieldUsage x="-1"/>
        <fieldUsage x="3"/>
      </fieldsUsage>
    </cacheHierarchy>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4"/>
      </fieldsUsage>
    </cacheHierarchy>
    <cacheHierarchy uniqueName="[Mapping].[Summary Grouping]" caption="Summary Grouping" attribute="1" defaultMemberUniqueName="[Mapping].[Summary Grouping].[All]" allUniqueName="[Mapping].[Summary Grouping].[All]" dimensionUniqueName="[Mapping]" displayFolder="" count="0" memberValueDatatype="13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2"/>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64004627" backgroundQuery="1" createdVersion="8" refreshedVersion="8" minRefreshableVersion="3" recordCount="0" supportSubquery="1" supportAdvancedDrill="1" xr:uid="{27D774E0-2064-49DC-8C0C-7EBAAFF8F58C}">
  <cacheSource type="external" connectionId="12"/>
  <cacheFields count="4">
    <cacheField name="[TableView].[Period].[Period]" caption="Period" numFmtId="0" hierarchy="22" level="1">
      <sharedItems containsSemiMixedTypes="0" containsNonDate="0" containsString="0"/>
    </cacheField>
    <cacheField name="[Measures].[Actual]" caption="Actual" numFmtId="0" hierarchy="36" level="32767"/>
    <cacheField name="[Mapping].[Section].[Section]" caption="Section" numFmtId="0" hierarchy="18" level="1">
      <sharedItems containsSemiMixedTypes="0" containsNonDate="0" containsString="0"/>
    </cacheField>
    <cacheField name="[Mapping].[Summary Grouping].[Summary Grouping]" caption="Summary Grouping" numFmtId="0" hierarchy="19" level="1">
      <sharedItems count="4">
        <s v="Advertising"/>
        <s v="Other G&amp;A"/>
        <s v="Payroll"/>
        <s v="Professional Fees"/>
      </sharedItems>
      <extLst>
        <ext xmlns:x15="http://schemas.microsoft.com/office/spreadsheetml/2010/11/main" uri="{4F2E5C28-24EA-4eb8-9CBF-B6C8F9C3D259}">
          <x15:cachedUniqueNames>
            <x15:cachedUniqueName index="0" name="[Mapping].[Summary Grouping].&amp;[Advertising]"/>
            <x15:cachedUniqueName index="1" name="[Mapping].[Summary Grouping].&amp;[Other G&amp;A]"/>
            <x15:cachedUniqueName index="2" name="[Mapping].[Summary Grouping].&amp;[Payroll]"/>
            <x15:cachedUniqueName index="3" name="[Mapping].[Summary Grouping].&amp;[Professional Fees]"/>
          </x15:cachedUniqueNames>
        </ext>
      </extLst>
    </cacheField>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2"/>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3"/>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1"/>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66550928" backgroundQuery="1" createdVersion="8" refreshedVersion="8" minRefreshableVersion="3" recordCount="0" supportSubquery="1" supportAdvancedDrill="1" xr:uid="{CDCF5FE3-FF02-4702-84CB-9C19504CEA43}">
  <cacheSource type="external" connectionId="12"/>
  <cacheFields count="6">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3">
        <s v="EBITDA"/>
        <s v="Gross Profit"/>
        <s v="Revenue"/>
      </sharedItems>
      <extLst>
        <ext xmlns:x15="http://schemas.microsoft.com/office/spreadsheetml/2010/11/main" uri="{4F2E5C28-24EA-4eb8-9CBF-B6C8F9C3D259}">
          <x15:cachedUniqueNames>
            <x15:cachedUniqueName index="0" name="[Mapping].[Summary Grouping].&amp;[EBITDA]"/>
            <x15:cachedUniqueName index="1" name="[Mapping].[Summary Grouping].&amp;[Gross Profit]"/>
            <x15:cachedUniqueName index="2" name="[Mapping].[Summary Grouping].&amp;[Revenue]"/>
          </x15:cachedUniqueNames>
        </ext>
      </extLst>
    </cacheField>
    <cacheField name="[Measures].[Budget]" caption="Budget" numFmtId="0" hierarchy="45" level="32767"/>
    <cacheField name="[Measures].[Actual]" caption="Actual" numFmtId="0" hierarchy="36" level="32767"/>
    <cacheField name="[Measures].[Var to Budget Income ($)]" caption="Var to Budget Income ($)" numFmtId="0" hierarchy="46" level="32767"/>
    <cacheField name="[Measures].[Var to Budget (%)]" caption="Var to Budget (%)" numFmtId="0" hierarchy="47"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3"/>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oneField="1">
      <fieldsUsage count="1">
        <fieldUsage x="2"/>
      </fieldsUsage>
    </cacheHierarchy>
    <cacheHierarchy uniqueName="[Measures].[Var to Budget Income ($)]" caption="Var to Budget Income ($)" measure="1" displayFolder="" measureGroup="Department P L" count="0" oneField="1">
      <fieldsUsage count="1">
        <fieldUsage x="4"/>
      </fieldsUsage>
    </cacheHierarchy>
    <cacheHierarchy uniqueName="[Measures].[Var to Budget (%)]" caption="Var to Budget (%)" measure="1" displayFolder="" measureGroup="Department P L" count="0" oneField="1">
      <fieldsUsage count="1">
        <fieldUsage x="5"/>
      </fieldsUsage>
    </cacheHierarchy>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69328707" backgroundQuery="1" createdVersion="8" refreshedVersion="8" minRefreshableVersion="3" recordCount="0" supportSubquery="1" supportAdvancedDrill="1" xr:uid="{A8E2E7FD-2B1C-4CD0-A887-74BF2C179CAF}">
  <cacheSource type="external" connectionId="12"/>
  <cacheFields count="6">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3">
        <s v="EBITDA"/>
        <s v="Gross Profit"/>
        <s v="Revenue"/>
      </sharedItems>
      <extLst>
        <ext xmlns:x15="http://schemas.microsoft.com/office/spreadsheetml/2010/11/main" uri="{4F2E5C28-24EA-4eb8-9CBF-B6C8F9C3D259}">
          <x15:cachedUniqueNames>
            <x15:cachedUniqueName index="0" name="[Mapping].[Summary Grouping].&amp;[EBITDA]"/>
            <x15:cachedUniqueName index="1" name="[Mapping].[Summary Grouping].&amp;[Gross Profit]"/>
            <x15:cachedUniqueName index="2" name="[Mapping].[Summary Grouping].&amp;[Revenue]"/>
          </x15:cachedUniqueNames>
        </ext>
      </extLst>
    </cacheField>
    <cacheField name="[Measures].[Var to Prior Period ($)]" caption="Var to Prior Period ($)" numFmtId="0" hierarchy="62" level="32767"/>
    <cacheField name="[Measures].[Var to Prior Period (%)]" caption="Var to Prior Period (%)" numFmtId="0" hierarchy="63" level="32767"/>
    <cacheField name="[Measures].[Prior Period]" caption="Prior Period" numFmtId="0" hierarchy="55" level="32767"/>
    <cacheField name="[Measures].[Actual]" caption="Actual" numFmtId="0" hierarchy="36"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5"/>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oneField="1">
      <fieldsUsage count="1">
        <fieldUsage x="4"/>
      </fieldsUsage>
    </cacheHierarchy>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oneField="1">
      <fieldsUsage count="1">
        <fieldUsage x="2"/>
      </fieldsUsage>
    </cacheHierarchy>
    <cacheHierarchy uniqueName="[Measures].[Var to Prior Period (%)]" caption="Var to Prior Period (%)" measure="1" displayFolder="" measureGroup="Department P L" count="0" oneField="1">
      <fieldsUsage count="1">
        <fieldUsage x="3"/>
      </fieldsUsage>
    </cacheHierarchy>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71643516" backgroundQuery="1" createdVersion="8" refreshedVersion="8" minRefreshableVersion="3" recordCount="0" supportSubquery="1" supportAdvancedDrill="1" xr:uid="{15C994B2-8B3F-4391-B43F-3CEFF7028F44}">
  <cacheSource type="external" connectionId="12"/>
  <cacheFields count="6">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3">
        <s v="EBITDA"/>
        <s v="Gross Profit"/>
        <s v="Revenue"/>
      </sharedItems>
      <extLst>
        <ext xmlns:x15="http://schemas.microsoft.com/office/spreadsheetml/2010/11/main" uri="{4F2E5C28-24EA-4eb8-9CBF-B6C8F9C3D259}">
          <x15:cachedUniqueNames>
            <x15:cachedUniqueName index="0" name="[Mapping].[Summary Grouping].&amp;[EBITDA]"/>
            <x15:cachedUniqueName index="1" name="[Mapping].[Summary Grouping].&amp;[Gross Profit]"/>
            <x15:cachedUniqueName index="2" name="[Mapping].[Summary Grouping].&amp;[Revenue]"/>
          </x15:cachedUniqueNames>
        </ext>
      </extLst>
    </cacheField>
    <cacheField name="[Measures].[Var to Prior Year ($)]" caption="Var to Prior Year ($)" numFmtId="0" hierarchy="64" level="32767"/>
    <cacheField name="[Measures].[Var to Prior Year (%)]" caption="Var to Prior Year (%)" numFmtId="0" hierarchy="65" level="32767"/>
    <cacheField name="[Measures].[Prior Year]" caption="Prior Year" numFmtId="0" hierarchy="61" level="32767"/>
    <cacheField name="[Measures].[Actual]" caption="Actual" numFmtId="0" hierarchy="36"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5"/>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oneField="1">
      <fieldsUsage count="1">
        <fieldUsage x="4"/>
      </fieldsUsage>
    </cacheHierarchy>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oneField="1">
      <fieldsUsage count="1">
        <fieldUsage x="2"/>
      </fieldsUsage>
    </cacheHierarchy>
    <cacheHierarchy uniqueName="[Measures].[Var to Prior Year (%)]" caption="Var to Prior Year (%)" measure="1" displayFolder="" measureGroup="Department P L" count="0" oneField="1">
      <fieldsUsage count="1">
        <fieldUsage x="3"/>
      </fieldsUsage>
    </cacheHierarchy>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74537034" backgroundQuery="1" createdVersion="8" refreshedVersion="8" minRefreshableVersion="3" recordCount="0" supportSubquery="1" supportAdvancedDrill="1" xr:uid="{9093814F-1C49-4C08-B57D-FCA2D4C8E3FF}">
  <cacheSource type="external" connectionId="12"/>
  <cacheFields count="8">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3">
        <s v="EBITDA"/>
        <s v="Gross Profit"/>
        <s v="Revenue"/>
      </sharedItems>
      <extLst>
        <ext xmlns:x15="http://schemas.microsoft.com/office/spreadsheetml/2010/11/main" uri="{4F2E5C28-24EA-4eb8-9CBF-B6C8F9C3D259}">
          <x15:cachedUniqueNames>
            <x15:cachedUniqueName index="0" name="[Mapping].[Summary Grouping].&amp;[EBITDA]"/>
            <x15:cachedUniqueName index="1" name="[Mapping].[Summary Grouping].&amp;[Gross Profit]"/>
            <x15:cachedUniqueName index="2" name="[Mapping].[Summary Grouping].&amp;[Revenue]"/>
          </x15:cachedUniqueNames>
        </ext>
      </extLst>
    </cacheField>
    <cacheField name="[Measures].[Budget]" caption="Budget" numFmtId="0" hierarchy="45" level="32767"/>
    <cacheField name="[Measures].[Actual]" caption="Actual" numFmtId="0" hierarchy="36" level="32767"/>
    <cacheField name="[Mapping].[Section].[Section]" caption="Section" numFmtId="0" hierarchy="18" level="1">
      <sharedItems containsSemiMixedTypes="0" containsNonDate="0" containsString="0"/>
    </cacheField>
    <cacheField name="[Departments].[Departments].[Departments]" caption="Departments" numFmtId="0" hierarchy="16"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Var to Budget Expense ($)]" caption="Var to Budget Expense ($)" numFmtId="0" hierarchy="48" level="32767"/>
    <cacheField name="[Measures].[Var to Budget Expense (%)]" caption="Var to Budget Expense (%)" numFmtId="0" hierarchy="49"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5"/>
      </fieldsUsage>
    </cacheHierarchy>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4"/>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3"/>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oneField="1">
      <fieldsUsage count="1">
        <fieldUsage x="2"/>
      </fieldsUsage>
    </cacheHierarchy>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oneField="1">
      <fieldsUsage count="1">
        <fieldUsage x="6"/>
      </fieldsUsage>
    </cacheHierarchy>
    <cacheHierarchy uniqueName="[Measures].[Var to Budget Expense (%)]" caption="Var to Budget Expense (%)" measure="1" displayFolder="" measureGroup="Department P L" count="0" oneField="1">
      <fieldsUsage count="1">
        <fieldUsage x="7"/>
      </fieldsUsage>
    </cacheHierarchy>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75925927" backgroundQuery="1" createdVersion="8" refreshedVersion="8" minRefreshableVersion="3" recordCount="0" supportSubquery="1" supportAdvancedDrill="1" xr:uid="{034B38BF-C553-4546-8FBB-09511F54D191}">
  <cacheSource type="external" connectionId="12"/>
  <cacheFields count="7">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4">
        <s v="Advertising"/>
        <s v="Other G&amp;A"/>
        <s v="Payroll"/>
        <s v="Professional Fees"/>
      </sharedItems>
      <extLst>
        <ext xmlns:x15="http://schemas.microsoft.com/office/spreadsheetml/2010/11/main" uri="{4F2E5C28-24EA-4eb8-9CBF-B6C8F9C3D259}">
          <x15:cachedUniqueNames>
            <x15:cachedUniqueName index="0" name="[Mapping].[Summary Grouping].&amp;[Advertising]"/>
            <x15:cachedUniqueName index="1" name="[Mapping].[Summary Grouping].&amp;[Other G&amp;A]"/>
            <x15:cachedUniqueName index="2" name="[Mapping].[Summary Grouping].&amp;[Payroll]"/>
            <x15:cachedUniqueName index="3" name="[Mapping].[Summary Grouping].&amp;[Professional Fees]"/>
          </x15:cachedUniqueNames>
        </ext>
      </extLst>
    </cacheField>
    <cacheField name="[Measures].[Budget]" caption="Budget" numFmtId="0" hierarchy="45" level="32767"/>
    <cacheField name="[Measures].[Actual]" caption="Actual" numFmtId="0" hierarchy="36" level="32767"/>
    <cacheField name="[Mapping].[Section].[Section]" caption="Section" numFmtId="0" hierarchy="18" level="1">
      <sharedItems containsSemiMixedTypes="0" containsNonDate="0" containsString="0"/>
    </cacheField>
    <cacheField name="[Measures].[Var to Budget Expense ($)]" caption="Var to Budget Expense ($)" numFmtId="0" hierarchy="48" level="32767"/>
    <cacheField name="[Measures].[Var to Budget Expense (%)]" caption="Var to Budget Expense (%)" numFmtId="0" hierarchy="49"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4"/>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3"/>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oneField="1">
      <fieldsUsage count="1">
        <fieldUsage x="2"/>
      </fieldsUsage>
    </cacheHierarchy>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oneField="1">
      <fieldsUsage count="1">
        <fieldUsage x="5"/>
      </fieldsUsage>
    </cacheHierarchy>
    <cacheHierarchy uniqueName="[Measures].[Var to Budget Expense (%)]" caption="Var to Budget Expense (%)" measure="1" displayFolder="" measureGroup="Department P L" count="0" oneField="1">
      <fieldsUsage count="1">
        <fieldUsage x="6"/>
      </fieldsUsage>
    </cacheHierarchy>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78240744" backgroundQuery="1" createdVersion="8" refreshedVersion="8" minRefreshableVersion="3" recordCount="0" supportSubquery="1" supportAdvancedDrill="1" xr:uid="{048928FB-2C61-4853-9D9F-0DDBEABE3906}">
  <cacheSource type="external" connectionId="12"/>
  <cacheFields count="8">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3">
        <s v="EBITDA"/>
        <s v="Gross Profit"/>
        <s v="Revenue"/>
      </sharedItems>
      <extLst>
        <ext xmlns:x15="http://schemas.microsoft.com/office/spreadsheetml/2010/11/main" uri="{4F2E5C28-24EA-4eb8-9CBF-B6C8F9C3D259}">
          <x15:cachedUniqueNames>
            <x15:cachedUniqueName index="0" name="[Mapping].[Summary Grouping].&amp;[EBITDA]"/>
            <x15:cachedUniqueName index="1" name="[Mapping].[Summary Grouping].&amp;[Gross Profit]"/>
            <x15:cachedUniqueName index="2" name="[Mapping].[Summary Grouping].&amp;[Revenue]"/>
          </x15:cachedUniqueNames>
        </ext>
      </extLst>
    </cacheField>
    <cacheField name="[Measures].[Actual]" caption="Actual" numFmtId="0" hierarchy="36" level="32767"/>
    <cacheField name="[Mapping].[Section].[Section]" caption="Section" numFmtId="0" hierarchy="18" level="1">
      <sharedItems containsSemiMixedTypes="0" containsNonDate="0" containsString="0"/>
    </cacheField>
    <cacheField name="[Departments].[Departments].[Departments]" caption="Departments" numFmtId="0" hierarchy="16"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Prior Period]" caption="Prior Period" numFmtId="0" hierarchy="55" level="32767"/>
    <cacheField name="[Measures].[Var to Prior Period ($)]" caption="Var to Prior Period ($)" numFmtId="0" hierarchy="62" level="32767"/>
    <cacheField name="[Measures].[Var to Prior Period (%)]" caption="Var to Prior Period (%)" numFmtId="0" hierarchy="63"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4"/>
      </fieldsUsage>
    </cacheHierarchy>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3"/>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2"/>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oneField="1">
      <fieldsUsage count="1">
        <fieldUsage x="5"/>
      </fieldsUsage>
    </cacheHierarchy>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oneField="1">
      <fieldsUsage count="1">
        <fieldUsage x="6"/>
      </fieldsUsage>
    </cacheHierarchy>
    <cacheHierarchy uniqueName="[Measures].[Var to Prior Period (%)]" caption="Var to Prior Period (%)" measure="1" displayFolder="" measureGroup="Department P L" count="0" oneField="1">
      <fieldsUsage count="1">
        <fieldUsage x="7"/>
      </fieldsUsage>
    </cacheHierarchy>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79513891" backgroundQuery="1" createdVersion="8" refreshedVersion="8" minRefreshableVersion="3" recordCount="0" supportSubquery="1" supportAdvancedDrill="1" xr:uid="{5D222955-495A-464B-BCEA-010B5BE2767E}">
  <cacheSource type="external" connectionId="12"/>
  <cacheFields count="7">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4">
        <s v="Advertising"/>
        <s v="Other G&amp;A"/>
        <s v="Payroll"/>
        <s v="Professional Fees"/>
      </sharedItems>
      <extLst>
        <ext xmlns:x15="http://schemas.microsoft.com/office/spreadsheetml/2010/11/main" uri="{4F2E5C28-24EA-4eb8-9CBF-B6C8F9C3D259}">
          <x15:cachedUniqueNames>
            <x15:cachedUniqueName index="0" name="[Mapping].[Summary Grouping].&amp;[Advertising]"/>
            <x15:cachedUniqueName index="1" name="[Mapping].[Summary Grouping].&amp;[Other G&amp;A]"/>
            <x15:cachedUniqueName index="2" name="[Mapping].[Summary Grouping].&amp;[Payroll]"/>
            <x15:cachedUniqueName index="3" name="[Mapping].[Summary Grouping].&amp;[Professional Fees]"/>
          </x15:cachedUniqueNames>
        </ext>
      </extLst>
    </cacheField>
    <cacheField name="[Measures].[Actual]" caption="Actual" numFmtId="0" hierarchy="36" level="32767"/>
    <cacheField name="[Mapping].[Section].[Section]" caption="Section" numFmtId="0" hierarchy="18" level="1">
      <sharedItems containsSemiMixedTypes="0" containsNonDate="0" containsString="0"/>
    </cacheField>
    <cacheField name="[Measures].[Var to Prior Period ($)]" caption="Var to Prior Period ($)" numFmtId="0" hierarchy="62" level="32767"/>
    <cacheField name="[Measures].[Var to Prior Period (%)]" caption="Var to Prior Period (%)" numFmtId="0" hierarchy="63" level="32767"/>
    <cacheField name="[Measures].[Prior Period]" caption="Prior Period" numFmtId="0" hierarchy="55"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3"/>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2"/>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oneField="1">
      <fieldsUsage count="1">
        <fieldUsage x="6"/>
      </fieldsUsage>
    </cacheHierarchy>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oneField="1">
      <fieldsUsage count="1">
        <fieldUsage x="4"/>
      </fieldsUsage>
    </cacheHierarchy>
    <cacheHierarchy uniqueName="[Measures].[Var to Prior Period (%)]" caption="Var to Prior Period (%)" measure="1" displayFolder="" measureGroup="Department P L" count="0" oneField="1">
      <fieldsUsage count="1">
        <fieldUsage x="5"/>
      </fieldsUsage>
    </cacheHierarchy>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82060185" backgroundQuery="1" createdVersion="8" refreshedVersion="8" minRefreshableVersion="3" recordCount="0" supportSubquery="1" supportAdvancedDrill="1" xr:uid="{9AB84D2F-A4C2-4DF1-AA7E-0B533FB655AA}">
  <cacheSource type="external" connectionId="12"/>
  <cacheFields count="8">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3">
        <s v="EBITDA"/>
        <s v="Gross Profit"/>
        <s v="Revenue"/>
      </sharedItems>
      <extLst>
        <ext xmlns:x15="http://schemas.microsoft.com/office/spreadsheetml/2010/11/main" uri="{4F2E5C28-24EA-4eb8-9CBF-B6C8F9C3D259}">
          <x15:cachedUniqueNames>
            <x15:cachedUniqueName index="0" name="[Mapping].[Summary Grouping].&amp;[EBITDA]"/>
            <x15:cachedUniqueName index="1" name="[Mapping].[Summary Grouping].&amp;[Gross Profit]"/>
            <x15:cachedUniqueName index="2" name="[Mapping].[Summary Grouping].&amp;[Revenue]"/>
          </x15:cachedUniqueNames>
        </ext>
      </extLst>
    </cacheField>
    <cacheField name="[Measures].[Actual]" caption="Actual" numFmtId="0" hierarchy="36" level="32767"/>
    <cacheField name="[Mapping].[Section].[Section]" caption="Section" numFmtId="0" hierarchy="18" level="1">
      <sharedItems containsSemiMixedTypes="0" containsNonDate="0" containsString="0"/>
    </cacheField>
    <cacheField name="[Departments].[Departments].[Departments]" caption="Departments" numFmtId="0" hierarchy="16"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Prior Year]" caption="Prior Year" numFmtId="0" hierarchy="61" level="32767"/>
    <cacheField name="[Measures].[Var to Prior Year ($)]" caption="Var to Prior Year ($)" numFmtId="0" hierarchy="64" level="32767"/>
    <cacheField name="[Measures].[Var to Prior Year (%)]" caption="Var to Prior Year (%)" numFmtId="0" hierarchy="65"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4"/>
      </fieldsUsage>
    </cacheHierarchy>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3"/>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2"/>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oneField="1">
      <fieldsUsage count="1">
        <fieldUsage x="5"/>
      </fieldsUsage>
    </cacheHierarchy>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oneField="1">
      <fieldsUsage count="1">
        <fieldUsage x="6"/>
      </fieldsUsage>
    </cacheHierarchy>
    <cacheHierarchy uniqueName="[Measures].[Var to Prior Year (%)]" caption="Var to Prior Year (%)" measure="1" displayFolder="" measureGroup="Department P L" count="0" oneField="1">
      <fieldsUsage count="1">
        <fieldUsage x="7"/>
      </fieldsUsage>
    </cacheHierarchy>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22283333332" backgroundQuery="1" createdVersion="8" refreshedVersion="8" minRefreshableVersion="3" recordCount="0" supportSubquery="1" supportAdvancedDrill="1" xr:uid="{0A229947-27B9-44F8-B5CB-77401221ED8C}">
  <cacheSource type="external" connectionId="12"/>
  <cacheFields count="7">
    <cacheField name="[TableView].[Period].[Period]" caption="Period" numFmtId="0" hierarchy="22" level="1">
      <sharedItems containsSemiMixedTypes="0" containsNonDate="0" containsString="0"/>
    </cacheField>
    <cacheField name="[Mapping].[Summary Grouping].[Summary Grouping]" caption="Summary Grouping" numFmtId="0" hierarchy="19" level="1">
      <sharedItems count="4">
        <s v="Advertising"/>
        <s v="Other G&amp;A"/>
        <s v="Payroll"/>
        <s v="Professional Fees"/>
      </sharedItems>
      <extLst>
        <ext xmlns:x15="http://schemas.microsoft.com/office/spreadsheetml/2010/11/main" uri="{4F2E5C28-24EA-4eb8-9CBF-B6C8F9C3D259}">
          <x15:cachedUniqueNames>
            <x15:cachedUniqueName index="0" name="[Mapping].[Summary Grouping].&amp;[Advertising]"/>
            <x15:cachedUniqueName index="1" name="[Mapping].[Summary Grouping].&amp;[Other G&amp;A]"/>
            <x15:cachedUniqueName index="2" name="[Mapping].[Summary Grouping].&amp;[Payroll]"/>
            <x15:cachedUniqueName index="3" name="[Mapping].[Summary Grouping].&amp;[Professional Fees]"/>
          </x15:cachedUniqueNames>
        </ext>
      </extLst>
    </cacheField>
    <cacheField name="[Measures].[Actual]" caption="Actual" numFmtId="0" hierarchy="36" level="32767"/>
    <cacheField name="[Mapping].[Section].[Section]" caption="Section" numFmtId="0" hierarchy="18" level="1">
      <sharedItems containsSemiMixedTypes="0" containsNonDate="0" containsString="0"/>
    </cacheField>
    <cacheField name="[Measures].[Prior Year]" caption="Prior Year" numFmtId="0" hierarchy="61" level="32767"/>
    <cacheField name="[Measures].[Var to Prior Year ($)]" caption="Var to Prior Year ($)" numFmtId="0" hierarchy="64" level="32767"/>
    <cacheField name="[Measures].[Var to Prior Year (%)]" caption="Var to Prior Year (%)" numFmtId="0" hierarchy="65" level="32767"/>
  </cacheFields>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2" memberValueDatatype="130" unbalanced="0">
      <fieldsUsage count="2">
        <fieldUsage x="-1"/>
        <fieldUsage x="3"/>
      </fieldsUsage>
    </cacheHierarchy>
    <cacheHierarchy uniqueName="[Mapping].[Summary Grouping]" caption="Summary Grouping" attribute="1" defaultMemberUniqueName="[Mapping].[Summary Grouping].[All]" allUniqueName="[Mapping].[Summary Grouping].[All]" dimensionUniqueName="[Mapping]" displayFolder="" count="2" memberValueDatatype="130" unbalanced="0">
      <fieldsUsage count="2">
        <fieldUsage x="-1"/>
        <fieldUsage x="1"/>
      </fieldsUsage>
    </cacheHierarchy>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oneField="1">
      <fieldsUsage count="1">
        <fieldUsage x="2"/>
      </fieldsUsage>
    </cacheHierarchy>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oneField="1">
      <fieldsUsage count="1">
        <fieldUsage x="4"/>
      </fieldsUsage>
    </cacheHierarchy>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oneField="1">
      <fieldsUsage count="1">
        <fieldUsage x="5"/>
      </fieldsUsage>
    </cacheHierarchy>
    <cacheHierarchy uniqueName="[Measures].[Var to Prior Year (%)]" caption="Var to Prior Year (%)" measure="1" displayFolder="" measureGroup="Department P L" count="0" oneField="1">
      <fieldsUsage count="1">
        <fieldUsage x="6"/>
      </fieldsUsage>
    </cacheHierarchy>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 P L" uniqueName="[Department P L]" caption="Department P L"/>
    <dimension name="Department P L_Budget" uniqueName="[Department P L_Budget]" caption="Department P L_Budget"/>
    <dimension name="Departments" uniqueName="[Departments]" caption="Departments"/>
    <dimension name="Mapping" uniqueName="[Mapping]" caption="Mapping"/>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 P L" caption="Department P L"/>
    <measureGroup name="Department P L_Budget" caption="Department P L_Budget"/>
    <measureGroup name="Departments" caption="Departments"/>
    <measureGroup name="Mapping" caption="Mapping"/>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13039699072" backgroundQuery="1" createdVersion="3" refreshedVersion="8" minRefreshableVersion="3" recordCount="0" supportSubquery="1" supportAdvancedDrill="1" xr:uid="{42A6DE0D-37AF-4ABF-AF6E-93917C745D4B}">
  <cacheSource type="external" connectionId="12">
    <extLst>
      <ext xmlns:x14="http://schemas.microsoft.com/office/spreadsheetml/2009/9/main" uri="{F057638F-6D5F-4e77-A914-E7F072B9BCA8}">
        <x14:sourceConnection name="ThisWorkbookDataModel"/>
      </ext>
    </extLst>
  </cacheSource>
  <cacheFields count="0"/>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0" memberValueDatatype="13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0930304"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13084837963" backgroundQuery="1" createdVersion="3" refreshedVersion="8" minRefreshableVersion="3" recordCount="0" supportSubquery="1" supportAdvancedDrill="1" xr:uid="{AE5244D8-2824-4EFB-BB3D-A8D9F93766C2}">
  <cacheSource type="external" connectionId="12">
    <extLst>
      <ext xmlns:x14="http://schemas.microsoft.com/office/spreadsheetml/2009/9/main" uri="{F057638F-6D5F-4e77-A914-E7F072B9BCA8}">
        <x14:sourceConnection name="ThisWorkbookDataModel"/>
      </ext>
    </extLst>
  </cacheSource>
  <cacheFields count="0"/>
  <cacheHierarchies count="77">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2"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0" memberValueDatatype="13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0" memberValueDatatype="130" unbalanced="0"/>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72515579"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Quyen Tran" refreshedDate="45739.513085185186" backgroundQuery="1" createdVersion="3" refreshedVersion="8" minRefreshableVersion="3" recordCount="0" supportSubquery="1" supportAdvancedDrill="1" xr:uid="{6E0DFE69-E6E1-4176-AD5F-472D9388477E}">
  <cacheSource type="external" connectionId="12">
    <extLst>
      <ext xmlns:x14="http://schemas.microsoft.com/office/spreadsheetml/2009/9/main" uri="{F057638F-6D5F-4e77-A914-E7F072B9BCA8}">
        <x14:sourceConnection name="ThisWorkbookDataModel"/>
      </ext>
    </extLst>
  </cacheSource>
  <cacheFields count="0"/>
  <cacheHierarchies count="77">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7"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Department P L].[Account]" caption="Account" attribute="1" defaultMemberUniqueName="[Department P L].[Account].[All]" allUniqueName="[Department P L].[Account].[All]" dimensionUniqueName="[Department P L]" displayFolder="" count="0" memberValueDatatype="130" unbalanced="0"/>
    <cacheHierarchy uniqueName="[Department P L].[Department]" caption="Department" attribute="1" defaultMemberUniqueName="[Department P L].[Department].[All]" allUniqueName="[Department P L].[Department].[All]" dimensionUniqueName="[Department P L]" displayFolder="" count="0" memberValueDatatype="130" unbalanced="0"/>
    <cacheHierarchy uniqueName="[Department P L].[Date]" caption="Date" attribute="1" time="1" defaultMemberUniqueName="[Department P L].[Date].[All]" allUniqueName="[Department P L].[Date].[All]" dimensionUniqueName="[Department P L]" displayFolder="" count="0" memberValueDatatype="7" unbalanced="0"/>
    <cacheHierarchy uniqueName="[Department P L].[Value]" caption="Value" attribute="1" defaultMemberUniqueName="[Department P L].[Value].[All]" allUniqueName="[Department P L].[Value].[All]" dimensionUniqueName="[Department P L]" displayFolder="" count="0" memberValueDatatype="5" unbalanced="0"/>
    <cacheHierarchy uniqueName="[Department P L_Budget].[Account]" caption="Account" attribute="1" defaultMemberUniqueName="[Department P L_Budget].[Account].[All]" allUniqueName="[Department P L_Budget].[Account].[All]" dimensionUniqueName="[Department P L_Budget]" displayFolder="" count="0" memberValueDatatype="130" unbalanced="0"/>
    <cacheHierarchy uniqueName="[Department P L_Budget].[Department]" caption="Department" attribute="1" defaultMemberUniqueName="[Department P L_Budget].[Department].[All]" allUniqueName="[Department P L_Budget].[Department].[All]" dimensionUniqueName="[Department P L_Budget]" displayFolder="" count="0" memberValueDatatype="130" unbalanced="0"/>
    <cacheHierarchy uniqueName="[Department P L_Budget].[Date]" caption="Date" attribute="1" time="1" defaultMemberUniqueName="[Department P L_Budget].[Date].[All]" allUniqueName="[Department P L_Budget].[Date].[All]" dimensionUniqueName="[Department P L_Budget]" displayFolder="" count="0" memberValueDatatype="7" unbalanced="0"/>
    <cacheHierarchy uniqueName="[Department P L_Budget].[Value]" caption="Value" attribute="1" defaultMemberUniqueName="[Department P L_Budget].[Value].[All]" allUniqueName="[Department P L_Budget].[Value].[All]" dimensionUniqueName="[Department P L_Budget]" displayFolder="" count="0" memberValueDatatype="5"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Account]" caption="Account" attribute="1" defaultMemberUniqueName="[Mapping].[Account].[All]" allUniqueName="[Mapping].[Account].[All]" dimensionUniqueName="[Mapping]" displayFolder="" count="0" memberValueDatatype="130" unbalanced="0"/>
    <cacheHierarchy uniqueName="[Mapping].[Section]" caption="Section" attribute="1" defaultMemberUniqueName="[Mapping].[Section].[All]" allUniqueName="[Mapping].[Section].[All]" dimensionUniqueName="[Mapping]" displayFolder="" count="0" memberValueDatatype="130" unbalanced="0"/>
    <cacheHierarchy uniqueName="[Mapping].[Summary Grouping]" caption="Summary Grouping" attribute="1" defaultMemberUniqueName="[Mapping].[Summary Grouping].[All]" allUniqueName="[Mapping].[Summary Grouping].[All]" dimensionUniqueName="[Mapping]" displayFolder="" count="0" memberValueDatatype="13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0" memberValueDatatype="130" unbalanced="0"/>
    <cacheHierarchy uniqueName="[Measures].[Count of Value]" caption="Count of Value" measure="1" displayFolder="" measureGroup="Department P L_Budget" count="0">
      <extLst>
        <ext xmlns:x15="http://schemas.microsoft.com/office/spreadsheetml/2010/11/main" uri="{B97F6D7D-B522-45F9-BDA1-12C45D357490}">
          <x15:cacheHierarchy aggregatedColumn="15"/>
        </ext>
      </extLst>
    </cacheHierarchy>
    <cacheHierarchy uniqueName="[Measures].[Sum of Value]" caption="Sum of Value" measure="1" displayFolder="" measureGroup="Department P L" count="0">
      <extLst>
        <ext xmlns:x15="http://schemas.microsoft.com/office/spreadsheetml/2010/11/main" uri="{B97F6D7D-B522-45F9-BDA1-12C45D357490}">
          <x15:cacheHierarchy aggregatedColumn="11"/>
        </ext>
      </extLst>
    </cacheHierarchy>
    <cacheHierarchy uniqueName="[Measures].[Sum of Value 2]" caption="Sum of Value 2" measure="1" displayFolder="" measureGroup="Department P L_Budget" count="0">
      <extLst>
        <ext xmlns:x15="http://schemas.microsoft.com/office/spreadsheetml/2010/11/main" uri="{B97F6D7D-B522-45F9-BDA1-12C45D357490}">
          <x15:cacheHierarchy aggregatedColumn="15"/>
        </ext>
      </extLst>
    </cacheHierarchy>
    <cacheHierarchy uniqueName="[Measures].[Count of Department]" caption="Count of Department" measure="1" displayFolder="" measureGroup="Department P L" count="0">
      <extLst>
        <ext xmlns:x15="http://schemas.microsoft.com/office/spreadsheetml/2010/11/main" uri="{B97F6D7D-B522-45F9-BDA1-12C45D357490}">
          <x15:cacheHierarchy aggregatedColumn="9"/>
        </ext>
      </extLst>
    </cacheHierarchy>
    <cacheHierarchy uniqueName="[Measures].[2023 Value]" caption="2023 Value" measure="1" displayFolder="" measureGroup="Department P L" count="0"/>
    <cacheHierarchy uniqueName="[Measures].[2024 Value]" caption="2024 Value" measure="1" displayFolder="" measureGroup="Department P L" count="0"/>
    <cacheHierarchy uniqueName="[Measures].[2025 value]" caption="2025 value" measure="1" displayFolder="" measureGroup="Department P L" count="0"/>
    <cacheHierarchy uniqueName="[Measures].[YTD value]" caption="YTD value" measure="1" displayFolder="" measureGroup="Department P L" count="0"/>
    <cacheHierarchy uniqueName="[Measures].[Current Month Value]" caption="Current Month Value" measure="1" displayFolder="" measureGroup="Department P L" count="0"/>
    <cacheHierarchy uniqueName="[Measures].[Trailing 3 Months Value]" caption="Trailing 3 Months Value" measure="1" displayFolder="" measureGroup="Department P L" count="0"/>
    <cacheHierarchy uniqueName="[Measures].[Trailing 6 Months Value]" caption="Trailing 6 Months Value" measure="1" displayFolder="" measureGroup="Department P L" count="0"/>
    <cacheHierarchy uniqueName="[Measures].[Trailing 12 Months Value]" caption="Trailing 12 Months Value" measure="1" displayFolder="" measureGroup="Department P L" count="0"/>
    <cacheHierarchy uniqueName="[Measures].[SelectedView]" caption="SelectedView" measure="1" displayFolder="" measureGroup="TableView" count="0"/>
    <cacheHierarchy uniqueName="[Measures].[Actual]" caption="Actual" measure="1" displayFolder="" measureGroup="Department P L" count="0"/>
    <cacheHierarchy uniqueName="[Measures].[2023 Value_Budget]" caption="2023 Value_Budget" measure="1" displayFolder="" measureGroup="Department P L_Budget" count="0"/>
    <cacheHierarchy uniqueName="[Measures].[2024 Value_Budget]" caption="2024 Value_Budget" measure="1" displayFolder="" measureGroup="Department P L_Budget" count="0"/>
    <cacheHierarchy uniqueName="[Measures].[2025 Value_Budget]" caption="2025 Value_Budget" measure="1" displayFolder="" measureGroup="Department P L_Budget" count="0"/>
    <cacheHierarchy uniqueName="[Measures].[YTD value_Budget]" caption="YTD value_Budget" measure="1" displayFolder="" measureGroup="Department P L_Budget" count="0"/>
    <cacheHierarchy uniqueName="[Measures].[Current Month Value_Budget]" caption="Current Month Value_Budget" measure="1" displayFolder="" measureGroup="Department P L_Budget" count="0"/>
    <cacheHierarchy uniqueName="[Measures].[Trailing 3 Months Value_Budget]" caption="Trailing 3 Months Value_Budget" measure="1" displayFolder="" measureGroup="Department P L_Budget" count="0"/>
    <cacheHierarchy uniqueName="[Measures].[Trailing 6 Months Value_Budget]" caption="Trailing 6 Months Value_Budget" measure="1" displayFolder="" measureGroup="Department P L_Budget" count="0"/>
    <cacheHierarchy uniqueName="[Measures].[Trailing 12 Months Value_Budget]" caption="Trailing 12 Months Value_Budget" measure="1" displayFolder="" measureGroup="Department P L_Budget" count="0"/>
    <cacheHierarchy uniqueName="[Measures].[Budget]" caption="Budget" measure="1" displayFolder="" measureGroup="Department P L_Budget" count="0"/>
    <cacheHierarchy uniqueName="[Measures].[Var to Budget Income ($)]" caption="Var to Budget Income ($)" measure="1" displayFolder="" measureGroup="Department P L" count="0"/>
    <cacheHierarchy uniqueName="[Measures].[Var to Budget (%)]" caption="Var to Budget (%)" measure="1" displayFolder="" measureGroup="Department P L" count="0"/>
    <cacheHierarchy uniqueName="[Measures].[Var to Budget Expense ($)]" caption="Var to Budget Expense ($)" measure="1" displayFolder="" measureGroup="Department P L" count="0"/>
    <cacheHierarchy uniqueName="[Measures].[Var to Budget Expense (%)]" caption="Var to Budget Expense (%)" measure="1" displayFolder="" measureGroup="Department P L" count="0"/>
    <cacheHierarchy uniqueName="[Measures].[Prior Period YTD Values]" caption="Prior Period YTD Values" measure="1" displayFolder="" measureGroup="Department P L" count="0"/>
    <cacheHierarchy uniqueName="[Measures].[Prior Period Current Months Values]" caption="Prior Period Current Months Values" measure="1" displayFolder="" measureGroup="Department P L" count="0"/>
    <cacheHierarchy uniqueName="[Measures].[Prior Period Trailing 3 Months Values]" caption="Prior Period Trailing 3 Months Values" measure="1" displayFolder="" measureGroup="Department P L" count="0"/>
    <cacheHierarchy uniqueName="[Measures].[Prior Period Trailing 6 Months Values]" caption="Prior Period Trailing 6 Months Values" measure="1" displayFolder="" measureGroup="Department P L" count="0"/>
    <cacheHierarchy uniqueName="[Measures].[Prior Period Trailing 12 Months Values]" caption="Prior Period Trailing 12 Months Values" measure="1" displayFolder="" measureGroup="Department P L" count="0"/>
    <cacheHierarchy uniqueName="[Measures].[Prior Period]" caption="Prior Period" measure="1" displayFolder="" measureGroup="Department P L" count="0"/>
    <cacheHierarchy uniqueName="[Measures].[Prior Year YTD Values]" caption="Prior Year YTD Values" measure="1" displayFolder="" measureGroup="Department P L" count="0"/>
    <cacheHierarchy uniqueName="[Measures].[Prior Year Current Months Values]" caption="Prior Year Current Months Values" measure="1" displayFolder="" measureGroup="Department P L" count="0"/>
    <cacheHierarchy uniqueName="[Measures].[Prior Year Trailing 3 Months Values]" caption="Prior Year Trailing 3 Months Values" measure="1" displayFolder="" measureGroup="Department P L" count="0"/>
    <cacheHierarchy uniqueName="[Measures].[Prior Year Trailing 6 Months Values]" caption="Prior Year Trailing 6 Months Values" measure="1" displayFolder="" measureGroup="Department P L" count="0"/>
    <cacheHierarchy uniqueName="[Measures].[Prior Year Trailing 12 Months Values]" caption="Prior Year Trailing 12 Months Values" measure="1" displayFolder="" measureGroup="Department P L" count="0"/>
    <cacheHierarchy uniqueName="[Measures].[Prior Year]" caption="Prior Year" measure="1" displayFolder="" measureGroup="Department P L" count="0"/>
    <cacheHierarchy uniqueName="[Measures].[Var to Prior Period ($)]" caption="Var to Prior Period ($)" measure="1" displayFolder="" measureGroup="Department P L" count="0"/>
    <cacheHierarchy uniqueName="[Measures].[Var to Prior Period (%)]" caption="Var to Prior Period (%)" measure="1" displayFolder="" measureGroup="Department P L" count="0"/>
    <cacheHierarchy uniqueName="[Measures].[Var to Prior Year ($)]" caption="Var to Prior Year ($)" measure="1" displayFolder="" measureGroup="Department P L" count="0"/>
    <cacheHierarchy uniqueName="[Measures].[Var to Prior Year (%)]" caption="Var to Prior Year (%)" measure="1" displayFolder="" measureGroup="Department P L" count="0"/>
    <cacheHierarchy uniqueName="[Measures].[Revenue]" caption="Revenue" measure="1" displayFolder="" measureGroup="Department P L" count="0"/>
    <cacheHierarchy uniqueName="[Measures].[Gross Profit]" caption="Gross Profit" measure="1" displayFolder="" measureGroup="Department P L" count="0"/>
    <cacheHierarchy uniqueName="[Measures].[Gross Margin]" caption="Gross Margin" measure="1" displayFolder="" measureGroup="Department P L" count="0"/>
    <cacheHierarchy uniqueName="[Measures].[__XL_Count Department P L]" caption="__XL_Count Department P L" measure="1" displayFolder="" measureGroup="Department P L" count="0" hidden="1"/>
    <cacheHierarchy uniqueName="[Measures].[__XL_Count Department P L_Budget]" caption="__XL_Count Department P L_Budget" measure="1" displayFolder="" measureGroup="Department P L_Budget" count="0" hidden="1"/>
    <cacheHierarchy uniqueName="[Measures].[__XL_Count Calendar]" caption="__XL_Count Calendar" measure="1" displayFolder="" measureGroup="Calendar" count="0" hidden="1"/>
    <cacheHierarchy uniqueName="[Measures].[__XL_Count Mapping]" caption="__XL_Count Mapping" measure="1" displayFolder="" measureGroup="Mapping" count="0" hidden="1"/>
    <cacheHierarchy uniqueName="[Measures].[__XL_Count Departments]" caption="__XL_Count Departments" measure="1" displayFolder="" measureGroup="Departments" count="0" hidden="1"/>
    <cacheHierarchy uniqueName="[Measures].[__XL_Count TableView]" caption="__XL_Count TableView" measure="1" displayFolder="" measureGroup="TableView"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7756346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5EB8B1-D209-481B-AC82-8E62C7CBFC1F}" name="PivotTable11" cacheId="1528" applyNumberFormats="0" applyBorderFormats="0" applyFontFormats="0" applyPatternFormats="0" applyAlignmentFormats="0" applyWidthHeightFormats="1" dataCaption="Values" tag="a03fa742-d5ec-4e79-8606-b2717c653080" updatedVersion="8" minRefreshableVersion="3" useAutoFormatting="1" subtotalHiddenItems="1" colGrandTotals="0" itemPrintTitles="1" createdVersion="8" indent="0" outline="1" outlineData="1" multipleFieldFilters="0" chartFormat="10" rowHeaderCaption="BvA: Rev, GP, EBITDA" colHeaderCaption="">
  <location ref="W55:AA60" firstHeaderRow="0" firstDataRow="1" firstDataCol="1" rowPageCount="1" colPageCount="1"/>
  <pivotFields count="7">
    <pivotField allDrilled="1" subtotalTop="0" showAll="0" dataSourceSort="1" defaultSubtotal="0" defaultAttributeDrillState="1"/>
    <pivotField axis="axisRow" allDrilled="1" subtotalTop="0" showAll="0"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1"/>
  </rowFields>
  <rowItems count="5">
    <i>
      <x/>
    </i>
    <i>
      <x v="1"/>
    </i>
    <i>
      <x v="2"/>
    </i>
    <i>
      <x v="3"/>
    </i>
    <i t="grand">
      <x/>
    </i>
  </rowItems>
  <colFields count="1">
    <field x="-2"/>
  </colFields>
  <colItems count="4">
    <i>
      <x/>
    </i>
    <i i="1">
      <x v="1"/>
    </i>
    <i i="2">
      <x v="2"/>
    </i>
    <i i="3">
      <x v="3"/>
    </i>
  </colItems>
  <pageFields count="1">
    <pageField fld="3" hier="18" name="[Mapping].[Section].&amp;[Expenses]" cap="Expenses"/>
  </pageFields>
  <dataFields count="4">
    <dataField fld="4" subtotal="count" baseField="0" baseItem="0"/>
    <dataField fld="2" subtotal="count" baseField="0" baseItem="0"/>
    <dataField fld="5" subtotal="count" baseField="0" baseItem="0"/>
    <dataField fld="6"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E5C875-F5BF-4467-90DD-DB409231762C}" name="PivotTable10" cacheId="1525" applyNumberFormats="0" applyBorderFormats="0" applyFontFormats="0" applyPatternFormats="0" applyAlignmentFormats="0" applyWidthHeightFormats="1" dataCaption="Values" tag="155bb8e9-59f3-43fc-851a-5db47f23bf68" updatedVersion="8" minRefreshableVersion="3" useAutoFormatting="1" subtotalHiddenItems="1" colGrandTotals="0" itemPrintTitles="1" createdVersion="8" indent="0" outline="1" outlineData="1" multipleFieldFilters="0" chartFormat="10" rowHeaderCaption="BvA: Rev, GP, EBITDA" colHeaderCaption="">
  <location ref="W46:AA51" firstHeaderRow="0" firstDataRow="1" firstDataCol="1" rowPageCount="1" colPageCount="1"/>
  <pivotFields count="8">
    <pivotField allDrilled="1" subtotalTop="0" showAll="0" dataSourceSort="1" defaultSubtotal="0" defaultAttributeDrillState="1"/>
    <pivotField allDrilled="1" subtotalTop="0" showAll="0" defaultSubtotal="0" defaultAttributeDrillState="1">
      <items count="3">
        <item s="1" x="2"/>
        <item s="1" x="1"/>
        <item s="1" x="0"/>
      </items>
    </pivotField>
    <pivotField dataField="1" subtotalTop="0" showAll="0" defaultSubtotal="0"/>
    <pivotField axis="axisPage" allDrilled="1" subtotalTop="0" showAll="0" dataSourceSort="1" defaultSubtotal="0" defaultAttributeDrillState="1"/>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4"/>
  </rowFields>
  <rowItems count="5">
    <i>
      <x/>
    </i>
    <i>
      <x v="1"/>
    </i>
    <i>
      <x v="2"/>
    </i>
    <i>
      <x v="3"/>
    </i>
    <i t="grand">
      <x/>
    </i>
  </rowItems>
  <colFields count="1">
    <field x="-2"/>
  </colFields>
  <colItems count="4">
    <i>
      <x/>
    </i>
    <i i="1">
      <x v="1"/>
    </i>
    <i i="2">
      <x v="2"/>
    </i>
    <i i="3">
      <x v="3"/>
    </i>
  </colItems>
  <pageFields count="1">
    <pageField fld="3" hier="18" name="[Mapping].[Section].&amp;[Expenses]" cap="Expenses"/>
  </pageFields>
  <dataFields count="4">
    <dataField fld="5" subtotal="count" baseField="0" baseItem="0"/>
    <dataField fld="2" subtotal="count" baseField="0" baseItem="0"/>
    <dataField fld="6" subtotal="count" baseField="0" baseItem="0"/>
    <dataField fld="7"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453692-A806-47C4-8D74-7BECB937E9C8}" name="PivotTable9" cacheId="1522" applyNumberFormats="0" applyBorderFormats="0" applyFontFormats="0" applyPatternFormats="0" applyAlignmentFormats="0" applyWidthHeightFormats="1" dataCaption="Values" tag="efa5058c-5c56-4492-8690-38a42e3847b9" updatedVersion="8" minRefreshableVersion="3" useAutoFormatting="1" subtotalHiddenItems="1" colGrandTotals="0" itemPrintTitles="1" createdVersion="8" indent="0" outline="1" outlineData="1" multipleFieldFilters="0" chartFormat="10" rowHeaderCaption="BvA: Rev, GP, EBITDA" colHeaderCaption="">
  <location ref="W36:AA41" firstHeaderRow="0" firstDataRow="1" firstDataCol="1" rowPageCount="1" colPageCount="1"/>
  <pivotFields count="7">
    <pivotField allDrilled="1" subtotalTop="0" showAll="0" dataSourceSort="1" defaultSubtotal="0" defaultAttributeDrillState="1"/>
    <pivotField axis="axisRow" allDrilled="1" subtotalTop="0" showAll="0"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1"/>
  </rowFields>
  <rowItems count="5">
    <i>
      <x/>
    </i>
    <i>
      <x v="1"/>
    </i>
    <i>
      <x v="2"/>
    </i>
    <i>
      <x v="3"/>
    </i>
    <i t="grand">
      <x/>
    </i>
  </rowItems>
  <colFields count="1">
    <field x="-2"/>
  </colFields>
  <colItems count="4">
    <i>
      <x/>
    </i>
    <i i="1">
      <x v="1"/>
    </i>
    <i i="2">
      <x v="2"/>
    </i>
    <i i="3">
      <x v="3"/>
    </i>
  </colItems>
  <pageFields count="1">
    <pageField fld="3" hier="18" name="[Mapping].[Section].&amp;[Expenses]" cap="Expenses"/>
  </pageFields>
  <dataFields count="4">
    <dataField fld="6" subtotal="count" baseField="0" baseItem="0"/>
    <dataField fld="2" subtotal="count" baseField="0" baseItem="0"/>
    <dataField fld="4" subtotal="count" baseField="0" baseItem="0"/>
    <dataField fld="5"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66DE23-1E74-4244-BC83-50EBF1185A1E}" name="PivotTable8" cacheId="1519" applyNumberFormats="0" applyBorderFormats="0" applyFontFormats="0" applyPatternFormats="0" applyAlignmentFormats="0" applyWidthHeightFormats="1" dataCaption="Values" tag="dfc95d0a-ba6e-43b7-996f-df7bdaa9aca9" updatedVersion="8" minRefreshableVersion="3" useAutoFormatting="1" subtotalHiddenItems="1" colGrandTotals="0" itemPrintTitles="1" createdVersion="8" indent="0" outline="1" outlineData="1" multipleFieldFilters="0" chartFormat="10" rowHeaderCaption="BvA: Rev, GP, EBITDA" colHeaderCaption="">
  <location ref="W26:AA31" firstHeaderRow="0" firstDataRow="1" firstDataCol="1" rowPageCount="1" colPageCount="1"/>
  <pivotFields count="8">
    <pivotField allDrilled="1" subtotalTop="0" showAll="0" dataSourceSort="1" defaultSubtotal="0" defaultAttributeDrillState="1"/>
    <pivotField allDrilled="1" subtotalTop="0" showAll="0" defaultSubtotal="0" defaultAttributeDrillState="1">
      <items count="3">
        <item s="1" x="2"/>
        <item s="1" x="1"/>
        <item s="1" x="0"/>
      </items>
    </pivotField>
    <pivotField dataField="1" subtotalTop="0" showAll="0" defaultSubtotal="0"/>
    <pivotField axis="axisPage" allDrilled="1" subtotalTop="0" showAll="0" dataSourceSort="1" defaultSubtotal="0" defaultAttributeDrillState="1"/>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4"/>
  </rowFields>
  <rowItems count="5">
    <i>
      <x/>
    </i>
    <i>
      <x v="1"/>
    </i>
    <i>
      <x v="2"/>
    </i>
    <i>
      <x v="3"/>
    </i>
    <i t="grand">
      <x/>
    </i>
  </rowItems>
  <colFields count="1">
    <field x="-2"/>
  </colFields>
  <colItems count="4">
    <i>
      <x/>
    </i>
    <i i="1">
      <x v="1"/>
    </i>
    <i i="2">
      <x v="2"/>
    </i>
    <i i="3">
      <x v="3"/>
    </i>
  </colItems>
  <pageFields count="1">
    <pageField fld="3" hier="18" name="[Mapping].[Section].&amp;[Expenses]" cap="Expenses"/>
  </pageFields>
  <dataFields count="4">
    <dataField fld="5" subtotal="count" baseField="0" baseItem="0"/>
    <dataField fld="2" subtotal="count" baseField="0" baseItem="0"/>
    <dataField fld="6" subtotal="count" baseField="0" baseItem="0"/>
    <dataField fld="7"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2B832F-A015-4449-B1EA-F1726367C485}" name="PivotTable4" cacheId="1516" applyNumberFormats="0" applyBorderFormats="0" applyFontFormats="0" applyPatternFormats="0" applyAlignmentFormats="0" applyWidthHeightFormats="1" dataCaption="Values" tag="23b2fec6-5fe5-463c-8dbc-6574504037a8" updatedVersion="8" minRefreshableVersion="3" useAutoFormatting="1" subtotalHiddenItems="1" colGrandTotals="0" itemPrintTitles="1" createdVersion="8" indent="0" outline="1" outlineData="1" multipleFieldFilters="0" chartFormat="10" rowHeaderCaption="BvA: Rev, GP, EBITDA" colHeaderCaption="">
  <location ref="W16:AA21" firstHeaderRow="0" firstDataRow="1" firstDataCol="1" rowPageCount="1" colPageCount="1"/>
  <pivotFields count="7">
    <pivotField allDrilled="1" subtotalTop="0" showAll="0" dataSourceSort="1" defaultSubtotal="0" defaultAttributeDrillState="1"/>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s>
  <rowFields count="1">
    <field x="1"/>
  </rowFields>
  <rowItems count="5">
    <i>
      <x/>
    </i>
    <i>
      <x v="1"/>
    </i>
    <i>
      <x v="2"/>
    </i>
    <i>
      <x v="3"/>
    </i>
    <i t="grand">
      <x/>
    </i>
  </rowItems>
  <colFields count="1">
    <field x="-2"/>
  </colFields>
  <colItems count="4">
    <i>
      <x/>
    </i>
    <i i="1">
      <x v="1"/>
    </i>
    <i i="2">
      <x v="2"/>
    </i>
    <i i="3">
      <x v="3"/>
    </i>
  </colItems>
  <pageFields count="1">
    <pageField fld="4" hier="18" name="[Mapping].[Section].&amp;[Expenses]" cap="Expenses"/>
  </pageFields>
  <dataFields count="4">
    <dataField fld="2" subtotal="count" baseField="0" baseItem="0"/>
    <dataField fld="3" subtotal="count" baseField="0" baseItem="0"/>
    <dataField fld="5" subtotal="count" baseField="0" baseItem="0"/>
    <dataField fld="6"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522E50-DBE9-456F-A035-D9091F95B2D8}" name="PivotTable7" cacheId="1501" applyNumberFormats="0" applyBorderFormats="0" applyFontFormats="0" applyPatternFormats="0" applyAlignmentFormats="0" applyWidthHeightFormats="1" dataCaption="Values" tag="93f4f80f-2fcb-4f76-8a06-5fbf29bcc5ee" updatedVersion="8" minRefreshableVersion="3" useAutoFormatting="1" colGrandTotals="0" itemPrintTitles="1" createdVersion="8" indent="0" outline="1" outlineData="1" multipleFieldFilters="0" chartFormat="10" rowHeaderCaption="" colHeaderCaption="">
  <location ref="L45:M50" firstHeaderRow="1" firstDataRow="1" firstDataCol="1" rowPageCount="1" colPageCount="1"/>
  <pivotFields count="4">
    <pivotField allDrilled="1" subtotalTop="0" showAll="0" dataSourceSort="1" defaultSubtotal="0" defaultAttributeDrillState="1"/>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Items count="1">
    <i/>
  </colItems>
  <pageFields count="1">
    <pageField fld="2" hier="18" name="[Mapping].[Section].&amp;[Expenses]" cap="Expenses"/>
  </pageFields>
  <dataFields count="1">
    <dataField name="Actual" fld="1" subtotal="count" baseField="3" baseItem="0" numFmtId="173"/>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453498-747E-48A8-89B1-A6D816BCA0DA}" name="RevenueAndGrossMargin" cacheId="1489" applyNumberFormats="0" applyBorderFormats="0" applyFontFormats="0" applyPatternFormats="0" applyAlignmentFormats="0" applyWidthHeightFormats="1" dataCaption="Values" tag="36c27e81-25fb-4da2-b769-cc8a072935f4" updatedVersion="8" minRefreshableVersion="3" useAutoFormatting="1" itemPrintTitles="1" createdVersion="8" indent="0" outline="1" outlineData="1" multipleFieldFilters="0" chartFormat="5" rowHeaderCaption="Revenue &amp; Gross Margin">
  <location ref="B25:D38" firstHeaderRow="0" firstDataRow="1" firstDataCol="1"/>
  <pivotFields count="4">
    <pivotField axis="axisRow" allDrilled="1" subtotalTop="0" showAll="0"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fld="3"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epartment P L]"/>
        <x15:activeTabTopLevelEntity name="[Calendar]"/>
        <x15:activeTabTopLevelEntity name="[TableView]"/>
        <x15:activeTabTopLevelEntity name="[Department P L_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782297-22BD-4933-B0DE-75D4D9492BD0}" name="PivotTable5" cacheId="1495" applyNumberFormats="0" applyBorderFormats="0" applyFontFormats="0" applyPatternFormats="0" applyAlignmentFormats="0" applyWidthHeightFormats="1" dataCaption="Values" tag="139a79e7-76e1-4cca-ab3a-91c52eb351e7" updatedVersion="8" minRefreshableVersion="3" useAutoFormatting="1" rowGrandTotals="0" colGrandTotals="0" itemPrintTitles="1" createdVersion="8" indent="0" outline="1" outlineData="1" multipleFieldFilters="0" chartFormat="4" rowHeaderCaption="" colHeaderCaption="">
  <location ref="F45:J58" firstHeaderRow="1" firstDataRow="2" firstDataCol="1" rowPageCount="1" colPageCount="1"/>
  <pivotFields count="5">
    <pivotField allDrilled="1" subtotalTop="0" showAll="0" dataSourceSort="1" defaultSubtotal="0" defaultAttributeDrillState="1"/>
    <pivotField axis="axisRow"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s>
  <rowFields count="1">
    <field x="1"/>
  </rowFields>
  <rowItems count="12">
    <i>
      <x/>
    </i>
    <i>
      <x v="1"/>
    </i>
    <i>
      <x v="2"/>
    </i>
    <i>
      <x v="3"/>
    </i>
    <i>
      <x v="4"/>
    </i>
    <i>
      <x v="5"/>
    </i>
    <i>
      <x v="6"/>
    </i>
    <i>
      <x v="7"/>
    </i>
    <i>
      <x v="8"/>
    </i>
    <i>
      <x v="9"/>
    </i>
    <i>
      <x v="10"/>
    </i>
    <i>
      <x v="11"/>
    </i>
  </rowItems>
  <colFields count="1">
    <field x="4"/>
  </colFields>
  <colItems count="4">
    <i>
      <x/>
    </i>
    <i>
      <x v="1"/>
    </i>
    <i>
      <x v="2"/>
    </i>
    <i>
      <x v="3"/>
    </i>
  </colItems>
  <pageFields count="1">
    <pageField fld="3" hier="18" name="[Mapping].[Section].&amp;[Expenses]" cap="Expenses"/>
  </pageFields>
  <dataFields count="1">
    <dataField name="Actuals By Cost" fld="2" subtotal="count" baseField="1" baseItem="0" numFmtId="173"/>
  </dataFields>
  <chartFormats count="8">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2">
          <reference field="4294967294" count="1" selected="0">
            <x v="0"/>
          </reference>
          <reference field="4" count="1" selected="0">
            <x v="2"/>
          </reference>
        </references>
      </pivotArea>
    </chartFormat>
    <chartFormat chart="2" format="7"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0"/>
          </reference>
        </references>
      </pivotArea>
    </chartFormat>
    <chartFormat chart="3" format="9" series="1">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2">
          <reference field="4294967294" count="1" selected="0">
            <x v="0"/>
          </reference>
          <reference field="4" count="1" selected="0">
            <x v="2"/>
          </reference>
        </references>
      </pivotArea>
    </chartFormat>
    <chartFormat chart="3" format="11" series="1">
      <pivotArea type="data" outline="0" fieldPosition="0">
        <references count="2">
          <reference field="4294967294" count="1" selected="0">
            <x v="0"/>
          </reference>
          <reference field="4" count="1" selected="0">
            <x v="3"/>
          </reference>
        </references>
      </pivotArea>
    </chartFormat>
  </chartFormat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6189C1-DC4B-40A6-9A2C-389AEDD7F9DB}" name="PivotTable6" cacheId="1498" applyNumberFormats="0" applyBorderFormats="0" applyFontFormats="0" applyPatternFormats="0" applyAlignmentFormats="0" applyWidthHeightFormats="1" dataCaption="Values" tag="ff71796c-22cf-447e-8800-0eabf7619660" updatedVersion="8" minRefreshableVersion="3" useAutoFormatting="1" colGrandTotals="0" itemPrintTitles="1" createdVersion="8" indent="0" outline="1" outlineData="1" multipleFieldFilters="0" chartFormat="7" rowHeaderCaption="" colHeaderCaption="">
  <location ref="L25:M30" firstHeaderRow="1" firstDataRow="1" firstDataCol="1" rowPageCount="1" colPageCount="1"/>
  <pivotFields count="5">
    <pivotField allDrilled="1" subtotalTop="0" showAll="0" dataSourceSort="1" defaultSubtotal="0" defaultAttributeDrillState="1"/>
    <pivotField name="MMM-YYYY"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defaultSubtotal="0" defaultAttributeDrillState="1">
      <items count="4">
        <item x="0"/>
        <item x="1"/>
        <item x="2"/>
        <item x="3"/>
      </items>
    </pivotField>
    <pivotField axis="axisPage" allDrilled="1" subtotalTop="0" showAll="0" dataSourceSort="1" defaultSubtotal="0" defaultAttributeDrillState="1"/>
  </pivotFields>
  <rowFields count="1">
    <field x="3"/>
  </rowFields>
  <rowItems count="5">
    <i>
      <x/>
    </i>
    <i>
      <x v="1"/>
    </i>
    <i>
      <x v="2"/>
    </i>
    <i>
      <x v="3"/>
    </i>
    <i t="grand">
      <x/>
    </i>
  </rowItems>
  <colItems count="1">
    <i/>
  </colItems>
  <pageFields count="1">
    <pageField fld="4" hier="18" name="[Mapping].[Section].&amp;[Expenses]" cap="Expenses"/>
  </pageFields>
  <dataFields count="1">
    <dataField name="Actuals By Department" fld="2" subtotal="count" baseField="1" baseItem="0" numFmtId="173"/>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Departme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544753-443D-4848-AAD6-A6F70345B8F4}" name="AvPY: Rev, GP, EBITDA" cacheId="1510" applyNumberFormats="0" applyBorderFormats="0" applyFontFormats="0" applyPatternFormats="0" applyAlignmentFormats="0" applyWidthHeightFormats="1" dataCaption="Values" tag="0d2a765b-bfad-4e08-b75f-b60d86d1cec2" updatedVersion="8" minRefreshableVersion="3" useAutoFormatting="1" subtotalHiddenItems="1" colGrandTotals="0" itemPrintTitles="1" createdVersion="8" indent="0" outline="1" outlineData="1" multipleFieldFilters="0" chartFormat="10" rowHeaderCaption="AvPY: Rev, GP, EBITDA" colHeaderCaption="">
  <location ref="P21:T25" firstHeaderRow="0" firstDataRow="1" firstDataCol="1"/>
  <pivotFields count="6">
    <pivotField allDrilled="1" subtotalTop="0" showAll="0" dataSourceSort="1" defaultSubtotal="0" defaultAttributeDrillState="1"/>
    <pivotField axis="axisRow" allDrilled="1" subtotalTop="0" showAll="0" defaultSubtotal="0" defaultAttributeDrillState="1">
      <items count="3">
        <item s="1" x="2"/>
        <item s="1" x="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4">
    <i>
      <x/>
    </i>
    <i>
      <x v="1"/>
    </i>
    <i>
      <x v="2"/>
    </i>
    <i t="grand">
      <x/>
    </i>
  </rowItems>
  <colFields count="1">
    <field x="-2"/>
  </colFields>
  <colItems count="4">
    <i>
      <x/>
    </i>
    <i i="1">
      <x v="1"/>
    </i>
    <i i="2">
      <x v="2"/>
    </i>
    <i i="3">
      <x v="3"/>
    </i>
  </colItems>
  <dataFields count="4">
    <dataField fld="4" subtotal="count" baseField="0" baseItem="0"/>
    <dataField fld="5" subtotal="count" baseField="0" baseItem="0"/>
    <dataField fld="2" subtotal="count" baseField="0" baseItem="0"/>
    <dataField fld="3"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686CD4-02EE-4B24-AE19-1E4E0F17601F}" name="PivotTable2" cacheId="1486" applyNumberFormats="0" applyBorderFormats="0" applyFontFormats="0" applyPatternFormats="0" applyAlignmentFormats="0" applyWidthHeightFormats="1" dataCaption="Values" tag="62203864-330d-4292-a680-01022ff799d4" updatedVersion="8" minRefreshableVersion="3" useAutoFormatting="1" itemPrintTitles="1" createdVersion="8" indent="0" outline="1" outlineData="1" multipleFieldFilters="0">
  <location ref="H4:M18" firstHeaderRow="1" firstDataRow="2" firstDataCol="1"/>
  <pivotFields count="4">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subtotalTop="0" showAll="0" defaultSubtotal="0"/>
  </pivotFields>
  <rowFields count="1">
    <field x="1"/>
  </rowFields>
  <rowItems count="13">
    <i>
      <x/>
    </i>
    <i>
      <x v="1"/>
    </i>
    <i>
      <x v="2"/>
    </i>
    <i>
      <x v="3"/>
    </i>
    <i>
      <x v="4"/>
    </i>
    <i>
      <x v="5"/>
    </i>
    <i>
      <x v="6"/>
    </i>
    <i>
      <x v="7"/>
    </i>
    <i>
      <x v="8"/>
    </i>
    <i>
      <x v="9"/>
    </i>
    <i>
      <x v="10"/>
    </i>
    <i>
      <x v="11"/>
    </i>
    <i t="grand">
      <x/>
    </i>
  </rowItems>
  <colFields count="1">
    <field x="0"/>
  </colFields>
  <colItems count="5">
    <i>
      <x/>
    </i>
    <i>
      <x v="1"/>
    </i>
    <i>
      <x v="2"/>
    </i>
    <i>
      <x v="3"/>
    </i>
    <i t="grand">
      <x/>
    </i>
  </colItems>
  <dataFields count="1">
    <dataField fld="3" subtotal="count" baseField="1" baseItem="0" numFmtId="171"/>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epartment P L]"/>
        <x15:activeTabTopLevelEntity name="[Calendar]"/>
        <x15:activeTabTopLevelEntity name="[TableView]"/>
        <x15:activeTabTopLevelEntity name="[Department P L_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19F5A31-7C2A-4B02-BA06-CCFD8216470A}" name="AvPP: Rev, GP, EBITDA" cacheId="1507" applyNumberFormats="0" applyBorderFormats="0" applyFontFormats="0" applyPatternFormats="0" applyAlignmentFormats="0" applyWidthHeightFormats="1" dataCaption="Values" tag="ceb8b8c5-c825-4e7e-a086-f48544f9d2c9" updatedVersion="8" minRefreshableVersion="3" useAutoFormatting="1" subtotalHiddenItems="1" colGrandTotals="0" itemPrintTitles="1" createdVersion="8" indent="0" outline="1" outlineData="1" multipleFieldFilters="0" chartFormat="10" rowHeaderCaption="AvPP: Rev, GP, EBITDA" colHeaderCaption="">
  <location ref="P14:T18" firstHeaderRow="0" firstDataRow="1" firstDataCol="1"/>
  <pivotFields count="6">
    <pivotField allDrilled="1" subtotalTop="0" showAll="0" dataSourceSort="1" defaultSubtotal="0" defaultAttributeDrillState="1"/>
    <pivotField axis="axisRow" allDrilled="1" subtotalTop="0" showAll="0" defaultSubtotal="0" defaultAttributeDrillState="1">
      <items count="3">
        <item s="1" x="2"/>
        <item s="1" x="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4">
    <i>
      <x/>
    </i>
    <i>
      <x v="1"/>
    </i>
    <i>
      <x v="2"/>
    </i>
    <i t="grand">
      <x/>
    </i>
  </rowItems>
  <colFields count="1">
    <field x="-2"/>
  </colFields>
  <colItems count="4">
    <i>
      <x/>
    </i>
    <i i="1">
      <x v="1"/>
    </i>
    <i i="2">
      <x v="2"/>
    </i>
    <i i="3">
      <x v="3"/>
    </i>
  </colItems>
  <dataFields count="4">
    <dataField fld="4" subtotal="count" baseField="0" baseItem="0"/>
    <dataField fld="5" subtotal="count" baseField="0" baseItem="0"/>
    <dataField fld="2" subtotal="count" baseField="0" baseItem="0"/>
    <dataField fld="3"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65CFDE-BDF9-4C9F-B9B2-D7FBCAFA4C64}" name="PivotTable13" cacheId="1513" applyNumberFormats="0" applyBorderFormats="0" applyFontFormats="0" applyPatternFormats="0" applyAlignmentFormats="0" applyWidthHeightFormats="1" dataCaption="Values" tag="e50da5d4-9899-4097-9f6e-5b107895a625" updatedVersion="8" minRefreshableVersion="3" useAutoFormatting="1" subtotalHiddenItems="1" colGrandTotals="0" itemPrintTitles="1" createdVersion="8" indent="0" outline="1" outlineData="1" multipleFieldFilters="0" chartFormat="10" rowHeaderCaption="BvA: Rev, GP, EBITDA" colHeaderCaption="">
  <location ref="W6:AA11" firstHeaderRow="0" firstDataRow="1" firstDataCol="1" rowPageCount="1" colPageCount="1"/>
  <pivotFields count="8">
    <pivotField allDrilled="1" subtotalTop="0" showAll="0" dataSourceSort="1" defaultSubtotal="0" defaultAttributeDrillState="1"/>
    <pivotField allDrilled="1" subtotalTop="0" showAll="0" defaultSubtotal="0" defaultAttributeDrillState="1">
      <items count="3">
        <item s="1" x="2"/>
        <item s="1" x="1"/>
        <item s="1" x="0"/>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s>
  <rowFields count="1">
    <field x="5"/>
  </rowFields>
  <rowItems count="5">
    <i>
      <x/>
    </i>
    <i>
      <x v="1"/>
    </i>
    <i>
      <x v="2"/>
    </i>
    <i>
      <x v="3"/>
    </i>
    <i t="grand">
      <x/>
    </i>
  </rowItems>
  <colFields count="1">
    <field x="-2"/>
  </colFields>
  <colItems count="4">
    <i>
      <x/>
    </i>
    <i i="1">
      <x v="1"/>
    </i>
    <i i="2">
      <x v="2"/>
    </i>
    <i i="3">
      <x v="3"/>
    </i>
  </colItems>
  <pageFields count="1">
    <pageField fld="4" hier="18" name="[Mapping].[Section].&amp;[Expenses]" cap="Expenses"/>
  </pageFields>
  <dataFields count="4">
    <dataField fld="2" subtotal="count" baseField="0" baseItem="0"/>
    <dataField fld="3" subtotal="count" baseField="0" baseItem="0"/>
    <dataField fld="6" subtotal="count" baseField="0" baseItem="0"/>
    <dataField fld="7"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activeTabTopLevelEntity name="[Departm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CD29AE3-69B3-4956-8C67-446157C71CA2}" name="Expenses_By_Department" cacheId="1492" applyNumberFormats="0" applyBorderFormats="0" applyFontFormats="0" applyPatternFormats="0" applyAlignmentFormats="0" applyWidthHeightFormats="1" dataCaption="Values" tag="a98c3b21-45a1-426c-baec-0598da8d286c" updatedVersion="8" minRefreshableVersion="3" useAutoFormatting="1" rowGrandTotals="0" colGrandTotals="0" itemPrintTitles="1" createdVersion="8" indent="0" outline="1" outlineData="1" multipleFieldFilters="0" chartFormat="12" rowHeaderCaption="" colHeaderCaption="">
  <location ref="F25:J38" firstHeaderRow="1" firstDataRow="2" firstDataCol="1" rowPageCount="1" colPageCount="1"/>
  <pivotFields count="5">
    <pivotField allDrilled="1" subtotalTop="0" showAll="0" dataSourceSort="1" defaultSubtotal="0" defaultAttributeDrillState="1"/>
    <pivotField name="MMM-YYYY" axis="axisRow"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3"/>
  </colFields>
  <colItems count="4">
    <i>
      <x/>
    </i>
    <i>
      <x v="1"/>
    </i>
    <i>
      <x v="2"/>
    </i>
    <i>
      <x v="3"/>
    </i>
  </colItems>
  <pageFields count="1">
    <pageField fld="4" hier="18" name="[Mapping].[Section].&amp;[Expenses]" cap="Expenses"/>
  </pageFields>
  <dataFields count="1">
    <dataField name="Actuals By Department" fld="2" subtotal="count" baseField="1" baseItem="0" numFmtId="173"/>
  </dataFields>
  <chartFormats count="4">
    <chartFormat chart="4" format="8" series="1">
      <pivotArea type="data" outline="0" fieldPosition="0">
        <references count="2">
          <reference field="4294967294" count="1" selected="0">
            <x v="0"/>
          </reference>
          <reference field="3" count="1" selected="0">
            <x v="0"/>
          </reference>
        </references>
      </pivotArea>
    </chartFormat>
    <chartFormat chart="4" format="9" series="1">
      <pivotArea type="data" outline="0" fieldPosition="0">
        <references count="2">
          <reference field="4294967294" count="1" selected="0">
            <x v="0"/>
          </reference>
          <reference field="3" count="1" selected="0">
            <x v="1"/>
          </reference>
        </references>
      </pivotArea>
    </chartFormat>
    <chartFormat chart="4" format="10" series="1">
      <pivotArea type="data" outline="0" fieldPosition="0">
        <references count="2">
          <reference field="4294967294" count="1" selected="0">
            <x v="0"/>
          </reference>
          <reference field="3" count="1" selected="0">
            <x v="2"/>
          </reference>
        </references>
      </pivotArea>
    </chartFormat>
    <chartFormat chart="4" format="11" series="1">
      <pivotArea type="data" outline="0" fieldPosition="0">
        <references count="2">
          <reference field="4294967294" count="1" selected="0">
            <x v="0"/>
          </reference>
          <reference field="3" count="1" selected="0">
            <x v="3"/>
          </reference>
        </references>
      </pivotArea>
    </chartFormat>
  </chartFormat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Departme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6860D4D-A19F-42DE-A3C4-297F03FCE8EE}" name="PivotTable1" cacheId="1336" applyNumberFormats="0" applyBorderFormats="0" applyFontFormats="0" applyPatternFormats="0" applyAlignmentFormats="0" applyWidthHeightFormats="1" dataCaption="Values" tag="453fb22c-d0ce-4bc7-8cf5-7ee078254132" updatedVersion="8" minRefreshableVersion="5" useAutoFormatting="1" subtotalHiddenItems="1" rowGrandTotals="0" itemPrintTitles="1" createdVersion="8" indent="0" outline="1" outlineData="1" multipleFieldFilters="0">
  <location ref="B10:D19" firstHeaderRow="0" firstDataRow="1" firstDataCol="1"/>
  <pivotFields count="6">
    <pivotField axis="axisRow" allDrilled="1" subtotalTop="0" showAll="0" defaultSubtotal="0">
      <items count="9">
        <item s="1" x="4" e="0"/>
        <item s="1" x="0" e="0"/>
        <item s="1" x="1" e="0"/>
        <item s="1" x="2" e="0"/>
        <item s="1" x="3" e="0"/>
        <item s="1" x="5" e="0"/>
        <item s="1" x="6" e="0"/>
        <item s="1" x="7" e="0"/>
        <item s="1" x="8" e="0"/>
      </items>
    </pivotField>
    <pivotField axis="axisRow" allDrilled="1" subtotalTop="0" showAll="0" dataSourceSort="1" defaultSubtotal="0" defaultAttributeDrillState="1">
      <items count="2">
        <item x="0"/>
        <item x="1"/>
      </items>
    </pivotField>
    <pivotField axis="axisRow" allDrilled="1" subtotalTop="0" showAll="0" dataSourceSort="1" defaultSubtotal="0">
      <items count="1">
        <item x="0" e="0"/>
      </items>
    </pivotField>
    <pivotField dataField="1" subtotalTop="0" showAll="0" defaultSubtotal="0"/>
    <pivotField dataField="1" subtotalTop="0" showAll="0" defaultSubtotal="0"/>
    <pivotField axis="axisRow" allDrilled="1" subtotalTop="0" showAll="0" dataSourceSort="1" defaultSubtotal="0" defaultAttributeDrillState="1"/>
  </pivotFields>
  <rowFields count="4">
    <field x="0"/>
    <field x="2"/>
    <field x="1"/>
    <field x="5"/>
  </rowFields>
  <rowItems count="9">
    <i>
      <x/>
    </i>
    <i>
      <x v="1"/>
    </i>
    <i>
      <x v="2"/>
    </i>
    <i>
      <x v="3"/>
    </i>
    <i>
      <x v="4"/>
    </i>
    <i>
      <x v="5"/>
    </i>
    <i>
      <x v="6"/>
    </i>
    <i>
      <x v="7"/>
    </i>
    <i>
      <x v="8"/>
    </i>
  </rowItems>
  <colFields count="1">
    <field x="-2"/>
  </colFields>
  <colItems count="2">
    <i>
      <x/>
    </i>
    <i i="1">
      <x v="1"/>
    </i>
  </colItems>
  <dataFields count="2">
    <dataField name="Budget" fld="4" baseField="0" baseItem="0" numFmtId="170"/>
    <dataField name="Actuals" fld="3" baseField="0" baseItem="0" numFmtId="170"/>
  </dataFields>
  <formats count="7">
    <format dxfId="6">
      <pivotArea outline="0" collapsedLevelsAreSubtotals="1" fieldPosition="0">
        <references count="1">
          <reference field="4294967294" count="1" selected="0">
            <x v="1"/>
          </reference>
        </references>
      </pivotArea>
    </format>
    <format dxfId="5">
      <pivotArea field="0" type="button" dataOnly="0" labelOnly="1" outline="0" axis="axisRow" fieldPosition="0"/>
    </format>
    <format dxfId="4">
      <pivotArea dataOnly="0" labelOnly="1" outline="0" fieldPosition="0">
        <references count="1">
          <reference field="4294967294" count="2">
            <x v="0"/>
            <x v="1"/>
          </reference>
        </references>
      </pivotArea>
    </format>
    <format dxfId="3">
      <pivotArea field="0" type="button" dataOnly="0" labelOnly="1" outline="0" axis="axisRow" fieldPosition="0"/>
    </format>
    <format dxfId="2">
      <pivotArea dataOnly="0" labelOnly="1" outline="0" fieldPosition="0">
        <references count="1">
          <reference field="4294967294" count="2">
            <x v="0"/>
            <x v="1"/>
          </reference>
        </references>
      </pivotArea>
    </format>
    <format dxfId="1">
      <pivotArea outline="0" fieldPosition="0">
        <references count="1">
          <reference field="4294967294" count="1">
            <x v="0"/>
          </reference>
        </references>
      </pivotArea>
    </format>
    <format dxfId="0">
      <pivotArea outline="0" fieldPosition="0">
        <references count="1">
          <reference field="4294967294" count="1">
            <x v="1"/>
          </reference>
        </references>
      </pivotArea>
    </format>
  </format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ctuals"/>
    <pivotHierarchy dragToData="1" caption="Budge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18"/>
    <rowHierarchyUsage hierarchyUsage="19"/>
    <rowHierarchyUsage hierarchyUsage="17"/>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pping]"/>
        <x15:activeTabTopLevelEntity name="[Department P L_Budget]"/>
        <x15:activeTabTopLevelEntity name="[Department P L]"/>
        <x15:activeTabTopLevelEntity name="[Departmen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9C672DB-0301-4971-AFCC-3F8B711C11CA}" name="BvA: Rev, GP, EBITDA" cacheId="1504" applyNumberFormats="0" applyBorderFormats="0" applyFontFormats="0" applyPatternFormats="0" applyAlignmentFormats="0" applyWidthHeightFormats="1" dataCaption="Values" tag="cf37875f-f065-4bcf-baee-9c13999942c4" updatedVersion="8" minRefreshableVersion="3" useAutoFormatting="1" subtotalHiddenItems="1" colGrandTotals="0" itemPrintTitles="1" createdVersion="8" indent="0" outline="1" outlineData="1" multipleFieldFilters="0" chartFormat="10" rowHeaderCaption="BvA: Rev, GP, EBITDA" colHeaderCaption="">
  <location ref="P6:T10" firstHeaderRow="0" firstDataRow="1" firstDataCol="1"/>
  <pivotFields count="6">
    <pivotField allDrilled="1" subtotalTop="0" showAll="0" dataSourceSort="1" defaultSubtotal="0" defaultAttributeDrillState="1"/>
    <pivotField axis="axisRow" allDrilled="1" subtotalTop="0" showAll="0" defaultSubtotal="0" defaultAttributeDrillState="1">
      <items count="3">
        <item s="1" x="2"/>
        <item s="1" x="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4">
    <i>
      <x/>
    </i>
    <i>
      <x v="1"/>
    </i>
    <i>
      <x v="2"/>
    </i>
    <i t="grand">
      <x/>
    </i>
  </rowItems>
  <colFields count="1">
    <field x="-2"/>
  </colFields>
  <colItems count="4">
    <i>
      <x/>
    </i>
    <i i="1">
      <x v="1"/>
    </i>
    <i i="2">
      <x v="2"/>
    </i>
    <i i="3">
      <x v="3"/>
    </i>
  </colItems>
  <dataFields count="4">
    <dataField fld="2" subtotal="count" baseField="0" baseItem="0"/>
    <dataField fld="3" subtotal="count" baseField="0" baseItem="0"/>
    <dataField fld="4" subtotal="count" baseField="0" baseItem="0"/>
    <dataField fld="5" subtotal="count" baseField="0" baseItem="0"/>
  </dataFields>
  <pivotHierarchies count="7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TableView].[Period].&amp;[2024]"/>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Actuals By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 P L]"/>
        <x15:activeTabTopLevelEntity name="[Calendar]"/>
        <x15:activeTabTopLevelEntity name="[TableView]"/>
        <x15:activeTabTopLevelEntity name="[Department P L_Budget]"/>
        <x15:activeTabTopLevelEntity name="[Mapping]"/>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7B503C82-B439-49BD-BFD4-2F69A8D2AEF5}" sourceName="[TableView].[Period]">
  <pivotTables>
    <pivotTable tabId="10" name="PivotTable2"/>
    <pivotTable tabId="10" name="RevenueAndGrossMargin"/>
    <pivotTable tabId="10" name="Expenses_By_Department"/>
    <pivotTable tabId="10" name="PivotTable5"/>
    <pivotTable tabId="10" name="PivotTable6"/>
    <pivotTable tabId="10" name="PivotTable7"/>
    <pivotTable tabId="10" name="BvA: Rev, GP, EBITDA"/>
    <pivotTable tabId="10" name="AvPP: Rev, GP, EBITDA"/>
    <pivotTable tabId="10" name="AvPY: Rev, GP, EBITDA"/>
    <pivotTable tabId="10" name="PivotTable13"/>
    <pivotTable tabId="10" name="PivotTable4"/>
    <pivotTable tabId="10" name="PivotTable8"/>
    <pivotTable tabId="10" name="PivotTable9"/>
    <pivotTable tabId="10" name="PivotTable10"/>
    <pivotTable tabId="10" name="PivotTable11"/>
  </pivotTables>
  <data>
    <olap pivotCacheId="1840930304">
      <levels count="2">
        <level uniqueName="[TableView].[Period].[(All)]" sourceCaption="(All)" count="0"/>
        <level uniqueName="[TableView].[Period].[Period]" sourceCaption="Period" count="8">
          <ranges>
            <range startItem="0">
              <i n="[TableView].[Period].&amp;[2023]" c="2023"/>
              <i n="[TableView].[Period].&amp;[2024]" c="2024"/>
              <i n="[TableView].[Period].&amp;[2025]" c="2025"/>
              <i n="[TableView].[Period].&amp;[Current Month]" c="Current Month"/>
              <i n="[TableView].[Period].&amp;[Trailing 12 Months]" c="Trailing 12 Months"/>
              <i n="[TableView].[Period].&amp;[Trailing 3 Months]" c="Trailing 3 Months"/>
              <i n="[TableView].[Period].&amp;[Trailing 6 Months]" c="Trailing 6 Months"/>
              <i n="[TableView].[Period].&amp;[YTD]" c="YTD"/>
            </range>
          </ranges>
        </level>
      </levels>
      <selections count="1">
        <selection n="[TableView].[Period].&amp;[202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s" xr10:uid="{3E491FB0-5E6B-4E42-A076-C0E25700E35B}" sourceName="[Departments].[Departments]">
  <pivotTables>
    <pivotTable tabId="10" name="PivotTable1"/>
  </pivotTables>
  <data>
    <olap pivotCacheId="1972515579">
      <levels count="2">
        <level uniqueName="[Departments].[Departments].[(All)]" sourceCaption="(All)" count="0"/>
        <level uniqueName="[Departments].[Departments].[Departments]" sourceCaption="Departments" count="4">
          <ranges>
            <range startItem="0">
              <i n="[Departments].[Departments].&amp;[Customer Support]" c="Customer Support"/>
              <i n="[Departments].[Departments].&amp;[General &amp; Administrative]" c="General &amp; Administrative"/>
              <i n="[Departments].[Departments].&amp;[Research &amp; Development]" c="Research &amp; Development"/>
              <i n="[Departments].[Departments].&amp;[Sales &amp; Marketing]" c="Sales &amp; Marketing"/>
            </range>
          </ranges>
        </level>
      </levels>
      <selections count="1">
        <selection n="[Departments].[Department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1" xr10:uid="{1EB87746-E4FD-469F-82D6-19F54733DCAD}" cache="Slicer_Period" caption="Period" columnCount="4" showCaption="0" level="1" style="SlicerStyleLight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xr10:uid="{2367628F-6BA8-4FA5-9DAD-F5462D036442}" cache="Slicer_Period" caption="Period" columnCount="5" level="1" rowHeight="234950"/>
  <slicer name="Departments" xr10:uid="{06F74018-4B87-45E3-91E7-0FF37B3571C5}" cache="Slicer_Departments" caption="Departments"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33797B-7138-49D5-B39B-770DC857FDDD}" name="Mapping" displayName="Mapping" ref="B2:D42" totalsRowShown="0" headerRowDxfId="16">
  <autoFilter ref="B2:D42" xr:uid="{9A33797B-7138-49D5-B39B-770DC857FDDD}"/>
  <tableColumns count="3">
    <tableColumn id="1" xr3:uid="{07D4DD33-BEEA-432E-ABD8-682A1742FB2B}" name="Account"/>
    <tableColumn id="2" xr3:uid="{CB0E3691-C747-424A-BF5B-975B89AD1129}" name="Section"/>
    <tableColumn id="3" xr3:uid="{F3A14D73-A452-437C-959C-2E38442382FD}" name="Summary Grouping"/>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301E6F-C0B9-4184-A0B5-89B33FB7228D}" name="Departments" displayName="Departments" ref="F2:F6" totalsRowShown="0" headerRowDxfId="15" dataDxfId="14" tableBorderDxfId="13">
  <autoFilter ref="F2:F6" xr:uid="{C7301E6F-C0B9-4184-A0B5-89B33FB7228D}"/>
  <tableColumns count="1">
    <tableColumn id="1" xr3:uid="{8BAE4D3D-473A-47B4-A770-BCA72C66D61F}" name="Departments" dataDxfId="1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642BC71-6677-4197-B665-4055433A975C}" name="TableView" displayName="TableView" ref="H2:H10" totalsRowShown="0" headerRowDxfId="11" dataDxfId="10">
  <autoFilter ref="H2:H10" xr:uid="{1642BC71-6677-4197-B665-4055433A975C}"/>
  <tableColumns count="1">
    <tableColumn id="1" xr3:uid="{11555354-C759-4AB7-A2B5-2AB2B18152DD}" name="Period" dataDxfId="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32DBD1-2A47-4722-BDEF-E181CBEA6B9B}" name="Predefined_Dates" displayName="Predefined_Dates" ref="J2:K38" totalsRowShown="0" headerRowDxfId="8">
  <autoFilter ref="J2:K38" xr:uid="{0432DBD1-2A47-4722-BDEF-E181CBEA6B9B}"/>
  <tableColumns count="2">
    <tableColumn id="1" xr3:uid="{6BCFECFF-1D4A-4BE4-9DEA-4232584580C1}" name="Period"/>
    <tableColumn id="2" xr3:uid="{0E9BE57B-29B5-4D92-B151-B7762DCB0446}" name="Date" dataDxfId="7"/>
  </tableColumns>
  <tableStyleInfo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A6959A7F-24BE-443A-9E0C-4DFB7F7DA523}" sourceName="[Calendar].[Date]">
  <pivotTables>
    <pivotTable tabId="10" name="PivotTable1"/>
  </pivotTables>
  <state minimalRefreshVersion="6" lastRefreshVersion="6" pivotCacheId="775634650"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2B4AE42-878B-4E91-A17D-11AE9A4581FF}" cache="Timeline_Date" caption="Date" level="2" selectionLevel="2" scrollPosition="2023-01-01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4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D56FDE5-3E60-4334-8741-284936726D45}">
  <we:reference id="wa200006775" version="1.0.0.4" store="en-US" storeType="OMEX"/>
  <we:alternateReferences>
    <we:reference id="wa200006775" version="1.0.0.4" store="wa20000677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11/relationships/timeline" Target="../timelines/timeline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7CE86-BF9D-488D-879C-CF676832D78A}">
  <dimension ref="A1:AD55"/>
  <sheetViews>
    <sheetView showGridLines="0" topLeftCell="A9" zoomScale="53" zoomScaleNormal="70" workbookViewId="0">
      <selection activeCell="O28" sqref="O28:R29"/>
    </sheetView>
  </sheetViews>
  <sheetFormatPr defaultRowHeight="14.4" x14ac:dyDescent="0.3"/>
  <cols>
    <col min="1" max="13" width="8.88671875" style="46"/>
    <col min="14" max="14" width="11.21875" style="46" customWidth="1"/>
    <col min="15" max="17" width="8.88671875" style="46"/>
    <col min="18" max="18" width="13.109375" style="46" customWidth="1"/>
    <col min="19" max="20" width="15.5546875" style="46" bestFit="1" customWidth="1"/>
    <col min="21" max="21" width="14.21875" style="46" bestFit="1" customWidth="1"/>
    <col min="22" max="22" width="10.33203125" style="46" bestFit="1" customWidth="1"/>
    <col min="23" max="26" width="8.88671875" style="46"/>
    <col min="27" max="27" width="14.5546875" style="46" customWidth="1"/>
    <col min="28" max="28" width="13.77734375" style="46" bestFit="1" customWidth="1"/>
    <col min="29" max="29" width="12.6640625" style="46" bestFit="1" customWidth="1"/>
    <col min="30" max="30" width="10.33203125" style="46" bestFit="1" customWidth="1"/>
    <col min="31" max="16384" width="8.88671875" style="46"/>
  </cols>
  <sheetData>
    <row r="1" spans="1:30" ht="67.2" customHeight="1" x14ac:dyDescent="0.3">
      <c r="A1" s="49"/>
      <c r="B1" s="50"/>
      <c r="C1" s="64" t="s">
        <v>99</v>
      </c>
      <c r="D1" s="64"/>
      <c r="E1" s="64"/>
      <c r="F1" s="64"/>
      <c r="G1" s="64"/>
      <c r="H1" s="64"/>
      <c r="I1" s="64"/>
      <c r="J1" s="64"/>
      <c r="K1" s="64"/>
      <c r="L1" s="50"/>
      <c r="M1" s="50"/>
      <c r="N1" s="50"/>
      <c r="O1" s="50"/>
      <c r="P1" s="50"/>
      <c r="Q1" s="50"/>
      <c r="R1" s="50"/>
      <c r="S1" s="50"/>
      <c r="T1" s="50"/>
      <c r="U1" s="50"/>
      <c r="V1" s="50"/>
      <c r="W1" s="50"/>
      <c r="X1" s="50"/>
      <c r="Y1" s="50"/>
      <c r="Z1" s="50"/>
      <c r="AA1" s="50"/>
      <c r="AB1" s="50"/>
      <c r="AC1" s="50"/>
      <c r="AD1" s="50"/>
    </row>
    <row r="2" spans="1:30" ht="49.2" customHeight="1" x14ac:dyDescent="0.3">
      <c r="A2" s="51"/>
      <c r="B2" s="51"/>
      <c r="C2" s="51"/>
      <c r="D2" s="51"/>
      <c r="E2" s="51"/>
      <c r="F2" s="51"/>
      <c r="G2" s="51"/>
      <c r="H2" s="51"/>
      <c r="I2" s="51"/>
      <c r="J2" s="51"/>
      <c r="K2" s="51"/>
      <c r="L2" s="51"/>
      <c r="M2" s="51"/>
      <c r="N2" s="51"/>
      <c r="O2" s="58" t="s">
        <v>100</v>
      </c>
      <c r="P2" s="51"/>
      <c r="Q2" s="51"/>
      <c r="R2" s="51"/>
      <c r="S2" s="51"/>
      <c r="T2" s="51"/>
      <c r="U2" s="51"/>
      <c r="V2" s="51"/>
      <c r="W2" s="58" t="s">
        <v>101</v>
      </c>
      <c r="X2" s="51"/>
      <c r="Y2" s="51"/>
      <c r="Z2" s="51"/>
      <c r="AA2" s="51"/>
      <c r="AB2" s="51"/>
      <c r="AC2" s="51"/>
      <c r="AD2" s="51"/>
    </row>
    <row r="3" spans="1:30" x14ac:dyDescent="0.3">
      <c r="A3" s="47"/>
      <c r="B3" s="47"/>
      <c r="C3" s="47"/>
      <c r="D3" s="47"/>
      <c r="E3" s="47"/>
      <c r="F3" s="47"/>
      <c r="G3" s="47"/>
      <c r="H3" s="47"/>
      <c r="I3" s="47"/>
      <c r="J3" s="47"/>
      <c r="K3" s="47"/>
      <c r="L3" s="47"/>
      <c r="M3" s="47"/>
      <c r="N3" s="47"/>
      <c r="O3" s="53"/>
      <c r="P3" s="47"/>
      <c r="Q3" s="47"/>
      <c r="R3" s="47"/>
      <c r="S3" s="47"/>
      <c r="T3" s="47"/>
      <c r="U3" s="47"/>
      <c r="V3" s="47"/>
      <c r="W3" s="53"/>
      <c r="X3" s="47"/>
      <c r="Y3" s="47"/>
      <c r="Z3" s="47"/>
      <c r="AA3" s="47"/>
      <c r="AB3" s="47"/>
      <c r="AC3" s="47"/>
      <c r="AD3" s="47"/>
    </row>
    <row r="4" spans="1:30" x14ac:dyDescent="0.3">
      <c r="A4" s="47"/>
      <c r="B4" s="47"/>
      <c r="C4" s="47"/>
      <c r="D4" s="47"/>
      <c r="E4" s="47"/>
      <c r="F4" s="47"/>
      <c r="G4" s="47"/>
      <c r="H4" s="47"/>
      <c r="I4" s="47"/>
      <c r="J4" s="47"/>
      <c r="K4" s="47"/>
      <c r="L4" s="47"/>
      <c r="M4" s="47"/>
      <c r="N4" s="47"/>
      <c r="O4" s="53"/>
      <c r="P4" s="47"/>
      <c r="Q4" s="47"/>
      <c r="R4" s="47"/>
      <c r="S4" s="47"/>
      <c r="T4" s="47"/>
      <c r="U4" s="47"/>
      <c r="V4" s="47"/>
      <c r="W4" s="53"/>
      <c r="X4" s="47"/>
      <c r="Y4" s="47"/>
      <c r="Z4" s="47"/>
      <c r="AA4" s="47"/>
      <c r="AB4" s="47"/>
      <c r="AC4" s="47"/>
      <c r="AD4" s="47"/>
    </row>
    <row r="5" spans="1:30" x14ac:dyDescent="0.3">
      <c r="A5" s="47"/>
      <c r="B5" s="47"/>
      <c r="C5" s="47"/>
      <c r="D5" s="47"/>
      <c r="E5" s="47"/>
      <c r="F5" s="47"/>
      <c r="G5" s="47"/>
      <c r="H5" s="47"/>
      <c r="I5" s="47"/>
      <c r="J5" s="47"/>
      <c r="K5" s="47"/>
      <c r="L5" s="47"/>
      <c r="M5" s="47"/>
      <c r="N5" s="47"/>
      <c r="O5" s="53"/>
      <c r="P5" s="47"/>
      <c r="Q5" s="47"/>
      <c r="R5" s="47"/>
      <c r="S5" s="47"/>
      <c r="T5" s="47"/>
      <c r="U5" s="47"/>
      <c r="V5" s="47"/>
      <c r="W5" s="53"/>
      <c r="X5" s="47"/>
      <c r="Y5" s="47"/>
      <c r="Z5" s="47"/>
      <c r="AA5" s="47"/>
      <c r="AB5" s="47"/>
      <c r="AC5" s="47"/>
      <c r="AD5" s="47"/>
    </row>
    <row r="6" spans="1:30" x14ac:dyDescent="0.3">
      <c r="A6" s="47"/>
      <c r="B6" s="47"/>
      <c r="C6" s="47"/>
      <c r="D6" s="47"/>
      <c r="E6" s="47"/>
      <c r="F6" s="47"/>
      <c r="G6" s="47"/>
      <c r="H6" s="47"/>
      <c r="I6" s="47"/>
      <c r="J6" s="47"/>
      <c r="K6" s="47"/>
      <c r="L6" s="47"/>
      <c r="M6" s="47"/>
      <c r="N6" s="47"/>
      <c r="O6" s="53"/>
      <c r="P6" s="47"/>
      <c r="Q6" s="47"/>
      <c r="R6" s="47"/>
      <c r="S6" s="47"/>
      <c r="T6" s="47"/>
      <c r="U6" s="47"/>
      <c r="V6" s="47"/>
      <c r="W6" s="53"/>
      <c r="X6" s="47"/>
      <c r="Y6" s="47"/>
      <c r="Z6" s="47"/>
      <c r="AA6" s="47"/>
      <c r="AB6" s="47"/>
      <c r="AC6" s="47"/>
      <c r="AD6" s="47"/>
    </row>
    <row r="7" spans="1:30" ht="14.4" customHeight="1" x14ac:dyDescent="0.3">
      <c r="A7" s="47"/>
      <c r="B7" s="47"/>
      <c r="C7" s="47"/>
      <c r="D7" s="47"/>
      <c r="E7" s="47"/>
      <c r="F7" s="47"/>
      <c r="G7" s="47"/>
      <c r="H7" s="47"/>
      <c r="I7" s="47"/>
      <c r="J7" s="47"/>
      <c r="K7" s="47"/>
      <c r="L7" s="47"/>
      <c r="M7" s="47"/>
      <c r="N7" s="47"/>
      <c r="O7" s="53"/>
      <c r="P7" s="47"/>
      <c r="Q7" s="47"/>
      <c r="R7" s="47"/>
      <c r="S7" s="47"/>
      <c r="T7" s="47"/>
      <c r="U7" s="47"/>
      <c r="V7" s="47"/>
      <c r="W7" s="53"/>
      <c r="X7" s="47"/>
      <c r="Y7" s="47"/>
      <c r="Z7" s="47"/>
      <c r="AA7" s="47"/>
      <c r="AB7" s="47"/>
      <c r="AC7" s="47"/>
      <c r="AD7" s="47"/>
    </row>
    <row r="8" spans="1:30" ht="14.4" customHeight="1" x14ac:dyDescent="0.3">
      <c r="A8" s="47"/>
      <c r="B8" s="47"/>
      <c r="C8" s="47"/>
      <c r="D8" s="47"/>
      <c r="E8" s="47"/>
      <c r="F8" s="47"/>
      <c r="G8" s="47"/>
      <c r="H8" s="47"/>
      <c r="I8" s="47"/>
      <c r="J8" s="47"/>
      <c r="K8" s="47"/>
      <c r="L8" s="47"/>
      <c r="M8" s="47"/>
      <c r="N8" s="47"/>
      <c r="O8" s="53"/>
      <c r="P8" s="47"/>
      <c r="Q8" s="47"/>
      <c r="R8" s="47"/>
      <c r="S8" s="47"/>
      <c r="T8" s="47"/>
      <c r="U8" s="47"/>
      <c r="V8" s="47"/>
      <c r="W8" s="53"/>
      <c r="X8" s="47"/>
      <c r="Y8" s="47"/>
      <c r="Z8" s="47"/>
      <c r="AA8" s="47"/>
      <c r="AB8" s="47"/>
      <c r="AC8" s="47"/>
      <c r="AD8" s="47"/>
    </row>
    <row r="9" spans="1:30" ht="14.4" customHeight="1" x14ac:dyDescent="0.3">
      <c r="A9" s="47"/>
      <c r="B9" s="47"/>
      <c r="C9" s="47"/>
      <c r="D9" s="47"/>
      <c r="E9" s="47"/>
      <c r="F9" s="47"/>
      <c r="G9" s="47"/>
      <c r="H9" s="47"/>
      <c r="I9" s="47"/>
      <c r="J9" s="47"/>
      <c r="K9" s="47"/>
      <c r="L9" s="47"/>
      <c r="M9" s="47"/>
      <c r="N9" s="47"/>
      <c r="O9" s="53"/>
      <c r="P9" s="47"/>
      <c r="Q9" s="47"/>
      <c r="R9" s="47"/>
      <c r="S9" s="47"/>
      <c r="T9" s="47"/>
      <c r="U9" s="47"/>
      <c r="V9" s="47"/>
      <c r="W9" s="53"/>
      <c r="X9" s="47"/>
      <c r="Y9" s="47"/>
      <c r="Z9" s="47"/>
      <c r="AA9" s="47"/>
      <c r="AB9" s="47"/>
      <c r="AC9" s="47"/>
      <c r="AD9" s="47"/>
    </row>
    <row r="10" spans="1:30" ht="14.4" customHeight="1" x14ac:dyDescent="0.3">
      <c r="A10" s="47"/>
      <c r="B10" s="47"/>
      <c r="C10" s="47"/>
      <c r="D10" s="47"/>
      <c r="E10" s="47"/>
      <c r="F10" s="47"/>
      <c r="G10" s="47"/>
      <c r="H10" s="47"/>
      <c r="I10" s="47"/>
      <c r="J10" s="47"/>
      <c r="K10" s="47"/>
      <c r="L10" s="47"/>
      <c r="M10" s="47"/>
      <c r="N10" s="47"/>
      <c r="O10" s="53"/>
      <c r="P10" s="47"/>
      <c r="Q10" s="47"/>
      <c r="R10" s="47"/>
      <c r="S10" s="47"/>
      <c r="T10" s="47"/>
      <c r="U10" s="47"/>
      <c r="V10" s="47"/>
      <c r="W10" s="53"/>
      <c r="X10" s="47"/>
      <c r="Y10" s="47"/>
      <c r="Z10" s="47"/>
      <c r="AA10" s="47"/>
      <c r="AB10" s="47"/>
      <c r="AC10" s="47"/>
      <c r="AD10" s="47"/>
    </row>
    <row r="11" spans="1:30" ht="14.4" customHeight="1" x14ac:dyDescent="0.3">
      <c r="A11" s="47"/>
      <c r="B11" s="47"/>
      <c r="C11" s="47"/>
      <c r="D11" s="47"/>
      <c r="E11" s="47"/>
      <c r="F11" s="47"/>
      <c r="G11" s="47"/>
      <c r="H11" s="47"/>
      <c r="I11" s="47"/>
      <c r="J11" s="47"/>
      <c r="K11" s="47"/>
      <c r="L11" s="47"/>
      <c r="M11" s="47"/>
      <c r="N11" s="47"/>
      <c r="O11" s="53"/>
      <c r="P11" s="47"/>
      <c r="Q11" s="47"/>
      <c r="R11" s="47"/>
      <c r="S11" s="47"/>
      <c r="T11" s="47"/>
      <c r="U11" s="47"/>
      <c r="V11" s="47"/>
      <c r="W11" s="53"/>
      <c r="X11" s="47"/>
      <c r="Y11" s="47"/>
      <c r="Z11" s="47"/>
      <c r="AA11" s="47"/>
      <c r="AB11" s="47"/>
      <c r="AC11" s="47"/>
      <c r="AD11" s="47"/>
    </row>
    <row r="12" spans="1:30" ht="14.4" customHeight="1" x14ac:dyDescent="0.3">
      <c r="A12" s="47"/>
      <c r="B12" s="47"/>
      <c r="C12" s="47"/>
      <c r="D12" s="47"/>
      <c r="E12" s="47"/>
      <c r="F12" s="47"/>
      <c r="G12" s="47"/>
      <c r="H12" s="47"/>
      <c r="I12" s="47"/>
      <c r="J12" s="47"/>
      <c r="K12" s="47"/>
      <c r="L12" s="47"/>
      <c r="M12" s="47"/>
      <c r="N12" s="47"/>
      <c r="O12" s="53"/>
      <c r="P12" s="47"/>
      <c r="Q12" s="47"/>
      <c r="R12" s="47"/>
      <c r="S12" s="47"/>
      <c r="T12" s="47"/>
      <c r="U12" s="47"/>
      <c r="V12" s="47"/>
      <c r="W12" s="53"/>
      <c r="X12" s="47"/>
      <c r="Y12" s="47"/>
      <c r="Z12" s="47"/>
      <c r="AA12" s="47"/>
      <c r="AB12" s="47"/>
      <c r="AC12" s="47"/>
      <c r="AD12" s="47"/>
    </row>
    <row r="13" spans="1:30" x14ac:dyDescent="0.3">
      <c r="A13" s="47"/>
      <c r="B13" s="47"/>
      <c r="C13" s="47"/>
      <c r="D13" s="47"/>
      <c r="E13" s="47"/>
      <c r="F13" s="47"/>
      <c r="G13" s="47"/>
      <c r="H13" s="47"/>
      <c r="I13" s="47"/>
      <c r="J13" s="47"/>
      <c r="K13" s="47"/>
      <c r="L13" s="47"/>
      <c r="M13" s="47"/>
      <c r="N13" s="47"/>
      <c r="O13" s="53"/>
      <c r="P13" s="47"/>
      <c r="Q13" s="47"/>
      <c r="R13" s="47"/>
      <c r="S13" s="47"/>
      <c r="T13" s="47"/>
      <c r="U13" s="47"/>
      <c r="V13" s="47"/>
      <c r="W13" s="53"/>
      <c r="X13" s="47"/>
      <c r="Y13" s="47"/>
      <c r="Z13" s="47"/>
      <c r="AA13" s="47"/>
      <c r="AB13" s="47"/>
      <c r="AC13" s="47"/>
      <c r="AD13" s="47"/>
    </row>
    <row r="14" spans="1:30" x14ac:dyDescent="0.3">
      <c r="A14" s="47"/>
      <c r="B14" s="47"/>
      <c r="C14" s="47"/>
      <c r="D14" s="47"/>
      <c r="E14" s="47"/>
      <c r="F14" s="47"/>
      <c r="G14" s="47"/>
      <c r="H14" s="47"/>
      <c r="I14" s="47"/>
      <c r="J14" s="47"/>
      <c r="K14" s="47"/>
      <c r="L14" s="47"/>
      <c r="M14" s="47"/>
      <c r="N14" s="47"/>
      <c r="O14" s="53"/>
      <c r="P14" s="47"/>
      <c r="Q14" s="47"/>
      <c r="R14" s="47"/>
      <c r="S14" s="47"/>
      <c r="T14" s="47"/>
      <c r="U14" s="47"/>
      <c r="V14" s="47"/>
      <c r="W14" s="53"/>
      <c r="X14" s="47"/>
      <c r="Y14" s="47"/>
      <c r="Z14" s="47"/>
      <c r="AA14" s="47"/>
      <c r="AB14" s="47"/>
      <c r="AC14" s="47"/>
      <c r="AD14" s="47"/>
    </row>
    <row r="15" spans="1:30" x14ac:dyDescent="0.3">
      <c r="A15" s="47"/>
      <c r="B15" s="47"/>
      <c r="C15" s="47"/>
      <c r="D15" s="47"/>
      <c r="E15" s="47"/>
      <c r="F15" s="47"/>
      <c r="G15" s="47"/>
      <c r="H15" s="47"/>
      <c r="I15" s="47"/>
      <c r="J15" s="47"/>
      <c r="K15" s="47"/>
      <c r="L15" s="47"/>
      <c r="M15" s="47"/>
      <c r="N15" s="47"/>
      <c r="O15" s="53"/>
      <c r="P15" s="47"/>
      <c r="Q15" s="47"/>
      <c r="R15" s="47"/>
      <c r="S15" s="47"/>
      <c r="T15" s="47"/>
      <c r="U15" s="47"/>
      <c r="V15" s="47"/>
      <c r="W15" s="53"/>
      <c r="X15" s="47"/>
      <c r="Y15" s="47"/>
      <c r="Z15" s="47"/>
      <c r="AA15" s="47"/>
      <c r="AB15" s="47"/>
      <c r="AC15" s="47"/>
      <c r="AD15" s="47"/>
    </row>
    <row r="16" spans="1:30" x14ac:dyDescent="0.3">
      <c r="A16" s="47"/>
      <c r="B16" s="47"/>
      <c r="C16" s="47"/>
      <c r="D16" s="47"/>
      <c r="E16" s="47"/>
      <c r="F16" s="47"/>
      <c r="G16" s="47"/>
      <c r="H16" s="47"/>
      <c r="I16" s="47"/>
      <c r="J16" s="47"/>
      <c r="K16" s="47"/>
      <c r="L16" s="47"/>
      <c r="M16" s="47"/>
      <c r="N16" s="47"/>
      <c r="O16" s="53"/>
      <c r="P16" s="47"/>
      <c r="Q16" s="47"/>
      <c r="R16" s="47"/>
      <c r="S16" s="47"/>
      <c r="T16" s="47"/>
      <c r="U16" s="47"/>
      <c r="V16" s="47"/>
      <c r="W16" s="53"/>
      <c r="X16" s="47"/>
      <c r="Y16" s="47"/>
      <c r="Z16" s="47"/>
      <c r="AA16" s="47"/>
      <c r="AB16" s="47"/>
      <c r="AC16" s="47"/>
      <c r="AD16" s="47"/>
    </row>
    <row r="17" spans="1:30" x14ac:dyDescent="0.3">
      <c r="A17" s="47"/>
      <c r="B17" s="47"/>
      <c r="C17" s="47"/>
      <c r="D17" s="47"/>
      <c r="E17" s="47"/>
      <c r="F17" s="47"/>
      <c r="G17" s="47"/>
      <c r="H17" s="47"/>
      <c r="I17" s="47"/>
      <c r="J17" s="47"/>
      <c r="K17" s="47"/>
      <c r="L17" s="47"/>
      <c r="M17" s="47"/>
      <c r="N17" s="47"/>
      <c r="O17" s="53"/>
      <c r="P17" s="47"/>
      <c r="Q17" s="47"/>
      <c r="R17" s="47"/>
      <c r="S17" s="47"/>
      <c r="T17" s="47"/>
      <c r="U17" s="47"/>
      <c r="V17" s="47"/>
      <c r="W17" s="53"/>
      <c r="X17" s="47"/>
      <c r="Y17" s="47"/>
      <c r="Z17" s="47"/>
      <c r="AA17" s="47"/>
      <c r="AB17" s="47"/>
      <c r="AC17" s="47"/>
      <c r="AD17" s="47"/>
    </row>
    <row r="18" spans="1:30" x14ac:dyDescent="0.3">
      <c r="A18" s="47"/>
      <c r="B18" s="47"/>
      <c r="C18" s="47"/>
      <c r="D18" s="47"/>
      <c r="E18" s="47"/>
      <c r="F18" s="47"/>
      <c r="G18" s="47"/>
      <c r="H18" s="47"/>
      <c r="I18" s="47"/>
      <c r="J18" s="47"/>
      <c r="K18" s="47"/>
      <c r="L18" s="47"/>
      <c r="M18" s="47"/>
      <c r="N18" s="47"/>
      <c r="O18" s="53"/>
      <c r="P18" s="47"/>
      <c r="Q18" s="47"/>
      <c r="R18" s="47"/>
      <c r="S18" s="47"/>
      <c r="T18" s="47"/>
      <c r="U18" s="47"/>
      <c r="V18" s="47"/>
      <c r="W18" s="53"/>
      <c r="X18" s="47"/>
      <c r="Y18" s="47"/>
      <c r="Z18" s="47"/>
      <c r="AA18" s="47"/>
      <c r="AB18" s="47"/>
      <c r="AC18" s="47"/>
      <c r="AD18" s="47"/>
    </row>
    <row r="19" spans="1:30" x14ac:dyDescent="0.3">
      <c r="A19" s="47"/>
      <c r="B19" s="47"/>
      <c r="C19" s="47"/>
      <c r="D19" s="47"/>
      <c r="E19" s="47"/>
      <c r="F19" s="47"/>
      <c r="G19" s="47"/>
      <c r="H19" s="47"/>
      <c r="I19" s="47"/>
      <c r="J19" s="47"/>
      <c r="K19" s="47"/>
      <c r="L19" s="47"/>
      <c r="M19" s="47"/>
      <c r="N19" s="47"/>
      <c r="O19" s="53"/>
      <c r="P19" s="47"/>
      <c r="Q19" s="47"/>
      <c r="R19" s="47"/>
      <c r="S19" s="47"/>
      <c r="T19" s="47"/>
      <c r="U19" s="47"/>
      <c r="V19" s="47"/>
      <c r="W19" s="53"/>
      <c r="X19" s="47"/>
      <c r="Y19" s="47"/>
      <c r="Z19" s="47"/>
      <c r="AA19" s="47"/>
      <c r="AB19" s="47"/>
      <c r="AC19" s="47"/>
      <c r="AD19" s="47"/>
    </row>
    <row r="20" spans="1:30" ht="6.6" customHeight="1" x14ac:dyDescent="0.3">
      <c r="A20" s="48"/>
      <c r="B20" s="48"/>
      <c r="C20" s="48"/>
      <c r="D20" s="48"/>
      <c r="E20" s="48"/>
      <c r="F20" s="48"/>
      <c r="G20" s="48"/>
      <c r="H20" s="48"/>
      <c r="I20" s="48"/>
      <c r="J20" s="48"/>
      <c r="K20" s="48"/>
      <c r="L20" s="48"/>
      <c r="M20" s="48"/>
      <c r="N20" s="48"/>
      <c r="O20" s="54"/>
      <c r="P20" s="48"/>
      <c r="Q20" s="48"/>
      <c r="R20" s="48"/>
      <c r="S20" s="48"/>
      <c r="T20" s="48"/>
      <c r="U20" s="48"/>
      <c r="V20" s="48"/>
      <c r="W20" s="54"/>
      <c r="X20" s="48"/>
      <c r="Y20" s="48"/>
      <c r="Z20" s="48"/>
      <c r="AA20" s="48"/>
      <c r="AB20" s="48"/>
      <c r="AC20" s="48"/>
      <c r="AD20" s="48"/>
    </row>
    <row r="21" spans="1:30" ht="46.2" customHeight="1" x14ac:dyDescent="0.4">
      <c r="A21" s="51"/>
      <c r="B21" s="52" t="s">
        <v>102</v>
      </c>
      <c r="C21" s="51"/>
      <c r="D21" s="51"/>
      <c r="E21" s="51"/>
      <c r="F21" s="51"/>
      <c r="G21" s="51"/>
      <c r="H21" s="51"/>
      <c r="I21" s="51"/>
      <c r="J21" s="51"/>
      <c r="K21" s="51"/>
      <c r="L21" s="51"/>
      <c r="M21" s="51"/>
      <c r="N21" s="51"/>
      <c r="O21" s="65" t="s">
        <v>100</v>
      </c>
      <c r="P21" s="66"/>
      <c r="Q21" s="66"/>
      <c r="R21" s="66"/>
      <c r="S21" s="67" t="s">
        <v>75</v>
      </c>
      <c r="T21" s="67" t="s">
        <v>95</v>
      </c>
      <c r="U21" s="67"/>
      <c r="V21" s="67" t="s">
        <v>105</v>
      </c>
      <c r="W21" s="65" t="s">
        <v>101</v>
      </c>
      <c r="X21" s="66"/>
      <c r="Y21" s="66"/>
      <c r="Z21" s="66"/>
      <c r="AA21" s="67" t="s">
        <v>75</v>
      </c>
      <c r="AB21" s="67" t="s">
        <v>95</v>
      </c>
      <c r="AC21" s="67"/>
      <c r="AD21" s="67" t="s">
        <v>105</v>
      </c>
    </row>
    <row r="22" spans="1:30" ht="14.4" customHeight="1" x14ac:dyDescent="0.3">
      <c r="A22" s="47"/>
      <c r="B22" s="47"/>
      <c r="C22" s="47"/>
      <c r="D22" s="47"/>
      <c r="E22" s="47"/>
      <c r="F22" s="47"/>
      <c r="G22" s="47"/>
      <c r="H22" s="47"/>
      <c r="I22" s="47"/>
      <c r="J22" s="47"/>
      <c r="K22" s="47"/>
      <c r="L22" s="47"/>
      <c r="M22" s="47"/>
      <c r="N22" s="47"/>
      <c r="O22" s="68" t="s">
        <v>54</v>
      </c>
      <c r="P22" s="69"/>
      <c r="Q22" s="69"/>
      <c r="R22" s="69"/>
      <c r="S22" s="70">
        <f>Data!X7</f>
        <v>278159.99912241177</v>
      </c>
      <c r="T22" s="70">
        <f>Data!Y7</f>
        <v>144906.91348926449</v>
      </c>
      <c r="U22" s="70">
        <f>Data!Z7</f>
        <v>133253.08563314728</v>
      </c>
      <c r="V22" s="71">
        <f>Data!AA7</f>
        <v>0.91957714386773826</v>
      </c>
      <c r="W22" s="72" t="s">
        <v>62</v>
      </c>
      <c r="X22" s="73"/>
      <c r="Y22" s="73"/>
      <c r="Z22" s="73"/>
      <c r="AA22" s="74">
        <f>Data!X17</f>
        <v>413968.40799563349</v>
      </c>
      <c r="AB22" s="74">
        <f>Data!Y17</f>
        <v>210225.39429401184</v>
      </c>
      <c r="AC22" s="74">
        <f>Data!Z17</f>
        <v>203743.01370162165</v>
      </c>
      <c r="AD22" s="75">
        <f>Data!AA17</f>
        <v>0.96916461679541799</v>
      </c>
    </row>
    <row r="23" spans="1:30" ht="14.4" customHeight="1" x14ac:dyDescent="0.3">
      <c r="A23" s="47"/>
      <c r="B23" s="47"/>
      <c r="C23" s="47"/>
      <c r="D23" s="47"/>
      <c r="E23" s="47"/>
      <c r="F23" s="47"/>
      <c r="G23" s="47"/>
      <c r="H23" s="47"/>
      <c r="I23" s="47"/>
      <c r="J23" s="47"/>
      <c r="K23" s="47"/>
      <c r="L23" s="47"/>
      <c r="M23" s="47"/>
      <c r="N23" s="47"/>
      <c r="O23" s="76"/>
      <c r="P23" s="77"/>
      <c r="Q23" s="77"/>
      <c r="R23" s="77"/>
      <c r="S23" s="78"/>
      <c r="T23" s="78"/>
      <c r="U23" s="78"/>
      <c r="V23" s="79"/>
      <c r="W23" s="80"/>
      <c r="X23" s="81"/>
      <c r="Y23" s="81"/>
      <c r="Z23" s="81"/>
      <c r="AA23" s="82"/>
      <c r="AB23" s="82"/>
      <c r="AC23" s="82"/>
      <c r="AD23" s="83"/>
    </row>
    <row r="24" spans="1:30" ht="14.4" customHeight="1" x14ac:dyDescent="0.3">
      <c r="A24" s="47"/>
      <c r="B24" s="47"/>
      <c r="C24" s="47"/>
      <c r="D24" s="47"/>
      <c r="E24" s="47"/>
      <c r="F24" s="47"/>
      <c r="G24" s="47"/>
      <c r="H24" s="47"/>
      <c r="I24" s="47"/>
      <c r="J24" s="47"/>
      <c r="K24" s="47"/>
      <c r="L24" s="47"/>
      <c r="M24" s="47"/>
      <c r="N24" s="47"/>
      <c r="O24" s="68" t="s">
        <v>67</v>
      </c>
      <c r="P24" s="69"/>
      <c r="Q24" s="69"/>
      <c r="R24" s="69"/>
      <c r="S24" s="70">
        <f>Data!X8</f>
        <v>428448.34394004731</v>
      </c>
      <c r="T24" s="70">
        <f>Data!Y8</f>
        <v>389415.09374378726</v>
      </c>
      <c r="U24" s="70">
        <f>Data!Z8</f>
        <v>39033.250196260051</v>
      </c>
      <c r="V24" s="71">
        <f>Data!AA8</f>
        <v>0.10023558619929017</v>
      </c>
      <c r="W24" s="72" t="s">
        <v>61</v>
      </c>
      <c r="X24" s="73"/>
      <c r="Y24" s="73"/>
      <c r="Z24" s="73"/>
      <c r="AA24" s="74">
        <f>Data!X18</f>
        <v>527776.00605433632</v>
      </c>
      <c r="AB24" s="74">
        <f>Data!Y18</f>
        <v>382029.05323770113</v>
      </c>
      <c r="AC24" s="74">
        <f>Data!Z18</f>
        <v>145746.9528166352</v>
      </c>
      <c r="AD24" s="75">
        <f>Data!AA18</f>
        <v>0.38150750991692362</v>
      </c>
    </row>
    <row r="25" spans="1:30" ht="14.4" customHeight="1" x14ac:dyDescent="0.3">
      <c r="A25" s="47"/>
      <c r="B25" s="47"/>
      <c r="C25" s="47"/>
      <c r="D25" s="47"/>
      <c r="E25" s="47"/>
      <c r="F25" s="47"/>
      <c r="G25" s="47"/>
      <c r="H25" s="47"/>
      <c r="I25" s="47"/>
      <c r="J25" s="47"/>
      <c r="K25" s="47"/>
      <c r="L25" s="47"/>
      <c r="M25" s="47"/>
      <c r="N25" s="47"/>
      <c r="O25" s="76"/>
      <c r="P25" s="77"/>
      <c r="Q25" s="77"/>
      <c r="R25" s="77"/>
      <c r="S25" s="78"/>
      <c r="T25" s="78"/>
      <c r="U25" s="78"/>
      <c r="V25" s="79"/>
      <c r="W25" s="80"/>
      <c r="X25" s="81"/>
      <c r="Y25" s="81"/>
      <c r="Z25" s="81"/>
      <c r="AA25" s="82"/>
      <c r="AB25" s="82"/>
      <c r="AC25" s="82"/>
      <c r="AD25" s="83"/>
    </row>
    <row r="26" spans="1:30" ht="14.4" customHeight="1" x14ac:dyDescent="0.3">
      <c r="A26" s="104">
        <f>Data!Q56</f>
        <v>-80223.206609874032</v>
      </c>
      <c r="B26" s="105"/>
      <c r="C26" s="105"/>
      <c r="D26" s="104">
        <f>Data!R56</f>
        <v>-277541.23629276454</v>
      </c>
      <c r="E26" s="105"/>
      <c r="F26" s="105"/>
      <c r="G26" s="104">
        <f>Data!S56</f>
        <v>146498.0798241304</v>
      </c>
      <c r="H26" s="105"/>
      <c r="I26" s="105"/>
      <c r="J26" s="47"/>
      <c r="K26" s="47"/>
      <c r="L26" s="47"/>
      <c r="M26" s="47"/>
      <c r="N26" s="47"/>
      <c r="O26" s="68" t="s">
        <v>53</v>
      </c>
      <c r="P26" s="69"/>
      <c r="Q26" s="69"/>
      <c r="R26" s="69"/>
      <c r="S26" s="70">
        <f>Data!X9</f>
        <v>323171.99721520301</v>
      </c>
      <c r="T26" s="70">
        <f>Data!Y9</f>
        <v>271971.48989913956</v>
      </c>
      <c r="U26" s="70">
        <f>Data!Z9</f>
        <v>51200.507316063449</v>
      </c>
      <c r="V26" s="71">
        <f>Data!AA9</f>
        <v>0.18825689168762183</v>
      </c>
      <c r="W26" s="72" t="s">
        <v>64</v>
      </c>
      <c r="X26" s="73"/>
      <c r="Y26" s="73"/>
      <c r="Z26" s="73"/>
      <c r="AA26" s="74">
        <f>Data!X19</f>
        <v>567758.801863709</v>
      </c>
      <c r="AB26" s="74">
        <f>Data!Y19</f>
        <v>443050.46766822907</v>
      </c>
      <c r="AC26" s="74">
        <f>Data!Z19</f>
        <v>124708.33419547993</v>
      </c>
      <c r="AD26" s="75">
        <f>Data!AA19</f>
        <v>0.2814765885516809</v>
      </c>
    </row>
    <row r="27" spans="1:30" ht="14.4" customHeight="1" x14ac:dyDescent="0.3">
      <c r="A27" s="105"/>
      <c r="B27" s="105"/>
      <c r="C27" s="105"/>
      <c r="D27" s="105"/>
      <c r="E27" s="105"/>
      <c r="F27" s="105"/>
      <c r="G27" s="105"/>
      <c r="H27" s="105"/>
      <c r="I27" s="105"/>
      <c r="J27" s="47"/>
      <c r="K27" s="47"/>
      <c r="L27" s="47"/>
      <c r="M27" s="47"/>
      <c r="N27" s="47"/>
      <c r="O27" s="76"/>
      <c r="P27" s="77"/>
      <c r="Q27" s="77"/>
      <c r="R27" s="77"/>
      <c r="S27" s="78"/>
      <c r="T27" s="78"/>
      <c r="U27" s="78"/>
      <c r="V27" s="79"/>
      <c r="W27" s="80"/>
      <c r="X27" s="81"/>
      <c r="Y27" s="81"/>
      <c r="Z27" s="81"/>
      <c r="AA27" s="82"/>
      <c r="AB27" s="82"/>
      <c r="AC27" s="82"/>
      <c r="AD27" s="83"/>
    </row>
    <row r="28" spans="1:30" ht="14.4" customHeight="1" x14ac:dyDescent="0.3">
      <c r="A28" s="105"/>
      <c r="B28" s="105"/>
      <c r="C28" s="105"/>
      <c r="D28" s="105"/>
      <c r="E28" s="105"/>
      <c r="F28" s="105"/>
      <c r="G28" s="105"/>
      <c r="H28" s="105"/>
      <c r="I28" s="105"/>
      <c r="J28" s="47"/>
      <c r="K28" s="47"/>
      <c r="L28" s="47"/>
      <c r="M28" s="47"/>
      <c r="N28" s="47"/>
      <c r="O28" s="68" t="s">
        <v>55</v>
      </c>
      <c r="P28" s="69"/>
      <c r="Q28" s="69"/>
      <c r="R28" s="69"/>
      <c r="S28" s="70">
        <f>Data!X10</f>
        <v>618794.49915932037</v>
      </c>
      <c r="T28" s="70">
        <f>Data!Y10</f>
        <v>418242.02618789673</v>
      </c>
      <c r="U28" s="70">
        <f>Data!Z10</f>
        <v>200552.47297142365</v>
      </c>
      <c r="V28" s="71">
        <f>Data!AA10</f>
        <v>0.47951296238538382</v>
      </c>
      <c r="W28" s="72" t="s">
        <v>63</v>
      </c>
      <c r="X28" s="73"/>
      <c r="Y28" s="73"/>
      <c r="Z28" s="73"/>
      <c r="AA28" s="74">
        <f>Data!X20</f>
        <v>139071.62352330255</v>
      </c>
      <c r="AB28" s="74">
        <f>Data!Y20</f>
        <v>189230.608120146</v>
      </c>
      <c r="AC28" s="74">
        <f>Data!Z20</f>
        <v>-50158.984596843453</v>
      </c>
      <c r="AD28" s="75">
        <f>Data!AA20</f>
        <v>-0.26506803045835264</v>
      </c>
    </row>
    <row r="29" spans="1:30" ht="14.4" customHeight="1" x14ac:dyDescent="0.3">
      <c r="A29" s="47"/>
      <c r="B29" s="47"/>
      <c r="C29" s="47"/>
      <c r="D29" s="47"/>
      <c r="E29" s="47"/>
      <c r="F29" s="47"/>
      <c r="G29" s="47"/>
      <c r="H29" s="47"/>
      <c r="I29" s="47"/>
      <c r="J29" s="47"/>
      <c r="K29" s="47"/>
      <c r="L29" s="47"/>
      <c r="M29" s="47"/>
      <c r="N29" s="47"/>
      <c r="O29" s="76"/>
      <c r="P29" s="77"/>
      <c r="Q29" s="77"/>
      <c r="R29" s="77"/>
      <c r="S29" s="78"/>
      <c r="T29" s="78"/>
      <c r="U29" s="78"/>
      <c r="V29" s="79"/>
      <c r="W29" s="80"/>
      <c r="X29" s="81"/>
      <c r="Y29" s="81"/>
      <c r="Z29" s="81"/>
      <c r="AA29" s="82"/>
      <c r="AB29" s="82"/>
      <c r="AC29" s="82"/>
      <c r="AD29" s="83"/>
    </row>
    <row r="30" spans="1:30" ht="14.4" customHeight="1" x14ac:dyDescent="0.3">
      <c r="A30" s="47"/>
      <c r="B30" s="47"/>
      <c r="C30" s="47"/>
      <c r="D30" s="47"/>
      <c r="E30" s="47"/>
      <c r="F30" s="47"/>
      <c r="G30" s="47"/>
      <c r="H30" s="47"/>
      <c r="I30" s="47"/>
      <c r="J30" s="47"/>
      <c r="K30" s="47"/>
      <c r="L30" s="47"/>
      <c r="M30" s="47"/>
      <c r="N30" s="47"/>
      <c r="O30" s="84" t="s">
        <v>108</v>
      </c>
      <c r="P30" s="85"/>
      <c r="Q30" s="85"/>
      <c r="R30" s="85"/>
      <c r="S30" s="86">
        <f>SUM(S22:S29)</f>
        <v>1648574.8394369823</v>
      </c>
      <c r="T30" s="86">
        <f t="shared" ref="T30:U30" si="0">SUM(T22:T29)</f>
        <v>1224535.5233200882</v>
      </c>
      <c r="U30" s="86">
        <f t="shared" si="0"/>
        <v>424039.31611689442</v>
      </c>
      <c r="V30" s="98">
        <f>IFERROR(U30/ABS(S30),0)</f>
        <v>0.25721569077307488</v>
      </c>
      <c r="W30" s="87" t="s">
        <v>108</v>
      </c>
      <c r="X30" s="88"/>
      <c r="Y30" s="88"/>
      <c r="Z30" s="88"/>
      <c r="AA30" s="89">
        <f>SUM(AA22:AA29)</f>
        <v>1648574.8394369814</v>
      </c>
      <c r="AB30" s="89">
        <f t="shared" ref="AB30:AC30" si="1">SUM(AB22:AB29)</f>
        <v>1224535.5233200879</v>
      </c>
      <c r="AC30" s="89">
        <f t="shared" si="1"/>
        <v>424039.31611689331</v>
      </c>
      <c r="AD30" s="90">
        <f>IFERROR(AC30/ABS(AA30),0)</f>
        <v>0.25721569077307438</v>
      </c>
    </row>
    <row r="31" spans="1:30" ht="14.4" customHeight="1" x14ac:dyDescent="0.3">
      <c r="A31" s="47"/>
      <c r="B31" s="47"/>
      <c r="C31" s="47"/>
      <c r="D31" s="47"/>
      <c r="E31" s="47"/>
      <c r="F31" s="47"/>
      <c r="G31" s="47"/>
      <c r="H31" s="47"/>
      <c r="I31" s="47"/>
      <c r="J31" s="47"/>
      <c r="K31" s="47"/>
      <c r="L31" s="47"/>
      <c r="M31" s="47"/>
      <c r="N31" s="47"/>
      <c r="O31" s="91"/>
      <c r="P31" s="92"/>
      <c r="Q31" s="92"/>
      <c r="R31" s="92"/>
      <c r="S31" s="93"/>
      <c r="T31" s="93"/>
      <c r="U31" s="93"/>
      <c r="V31" s="99"/>
      <c r="W31" s="94"/>
      <c r="X31" s="95"/>
      <c r="Y31" s="95"/>
      <c r="Z31" s="95"/>
      <c r="AA31" s="96"/>
      <c r="AB31" s="96"/>
      <c r="AC31" s="96"/>
      <c r="AD31" s="97"/>
    </row>
    <row r="32" spans="1:30" ht="7.8" customHeight="1" x14ac:dyDescent="0.3">
      <c r="A32" s="48"/>
      <c r="B32" s="48"/>
      <c r="C32" s="48"/>
      <c r="D32" s="48"/>
      <c r="E32" s="48"/>
      <c r="F32" s="48"/>
      <c r="G32" s="48"/>
      <c r="H32" s="48"/>
      <c r="I32" s="48"/>
      <c r="J32" s="48"/>
      <c r="K32" s="48"/>
      <c r="L32" s="48"/>
      <c r="M32" s="48"/>
      <c r="N32" s="48"/>
      <c r="O32" s="54"/>
      <c r="P32" s="48"/>
      <c r="Q32" s="48"/>
      <c r="R32" s="48"/>
      <c r="S32" s="48"/>
      <c r="T32" s="48"/>
      <c r="U32" s="48"/>
      <c r="V32" s="48"/>
      <c r="W32" s="54"/>
      <c r="X32" s="48"/>
      <c r="Y32" s="48"/>
      <c r="Z32" s="48"/>
      <c r="AA32" s="48"/>
      <c r="AB32" s="48"/>
      <c r="AC32" s="48"/>
      <c r="AD32" s="48"/>
    </row>
    <row r="33" spans="1:30" ht="35.4" customHeight="1" x14ac:dyDescent="0.4">
      <c r="A33" s="51"/>
      <c r="B33" s="52" t="s">
        <v>103</v>
      </c>
      <c r="C33" s="51"/>
      <c r="D33" s="51"/>
      <c r="E33" s="51"/>
      <c r="F33" s="51"/>
      <c r="G33" s="51"/>
      <c r="H33" s="51"/>
      <c r="I33" s="51"/>
      <c r="J33" s="51"/>
      <c r="K33" s="51"/>
      <c r="L33" s="51"/>
      <c r="M33" s="51"/>
      <c r="N33" s="51"/>
      <c r="O33" s="65" t="s">
        <v>100</v>
      </c>
      <c r="P33" s="66"/>
      <c r="Q33" s="66"/>
      <c r="R33" s="66"/>
      <c r="S33" s="67" t="s">
        <v>106</v>
      </c>
      <c r="T33" s="67" t="s">
        <v>95</v>
      </c>
      <c r="U33" s="67"/>
      <c r="V33" s="67" t="s">
        <v>105</v>
      </c>
      <c r="W33" s="65" t="s">
        <v>101</v>
      </c>
      <c r="X33" s="66"/>
      <c r="Y33" s="66"/>
      <c r="Z33" s="66"/>
      <c r="AA33" s="67" t="s">
        <v>106</v>
      </c>
      <c r="AB33" s="67" t="s">
        <v>95</v>
      </c>
      <c r="AC33" s="67"/>
      <c r="AD33" s="67" t="s">
        <v>105</v>
      </c>
    </row>
    <row r="34" spans="1:30" ht="14.4" customHeight="1" x14ac:dyDescent="0.3">
      <c r="A34" s="47"/>
      <c r="B34" s="47"/>
      <c r="C34" s="47"/>
      <c r="D34" s="47"/>
      <c r="E34" s="47"/>
      <c r="F34" s="47"/>
      <c r="G34" s="47"/>
      <c r="H34" s="47"/>
      <c r="I34" s="47"/>
      <c r="J34" s="47"/>
      <c r="K34" s="47"/>
      <c r="L34" s="47"/>
      <c r="M34" s="47"/>
      <c r="N34" s="47"/>
      <c r="O34" s="68" t="s">
        <v>54</v>
      </c>
      <c r="P34" s="69"/>
      <c r="Q34" s="69"/>
      <c r="R34" s="69"/>
      <c r="S34" s="70">
        <f>Data!X27</f>
        <v>127087.143428519</v>
      </c>
      <c r="T34" s="70">
        <f>Data!Y27</f>
        <v>144906.91348926449</v>
      </c>
      <c r="U34" s="70">
        <f>Data!Z27</f>
        <v>17819.77006074549</v>
      </c>
      <c r="V34" s="71">
        <f>Data!AA27</f>
        <v>0.14021693760681886</v>
      </c>
      <c r="W34" s="72" t="s">
        <v>62</v>
      </c>
      <c r="X34" s="73"/>
      <c r="Y34" s="73"/>
      <c r="Z34" s="73"/>
      <c r="AA34" s="100">
        <f>Data!X37</f>
        <v>248112.34962149826</v>
      </c>
      <c r="AB34" s="74">
        <f>Data!Y37</f>
        <v>210225.39429401184</v>
      </c>
      <c r="AC34" s="74">
        <f>Data!Z37</f>
        <v>-37886.955327486416</v>
      </c>
      <c r="AD34" s="75">
        <f>Data!AA37</f>
        <v>-0.15270080423358182</v>
      </c>
    </row>
    <row r="35" spans="1:30" ht="14.4" customHeight="1" x14ac:dyDescent="0.3">
      <c r="A35" s="47"/>
      <c r="B35" s="47"/>
      <c r="C35" s="47"/>
      <c r="D35" s="47"/>
      <c r="E35" s="47"/>
      <c r="F35" s="47"/>
      <c r="G35" s="47"/>
      <c r="H35" s="47"/>
      <c r="I35" s="47"/>
      <c r="J35" s="47"/>
      <c r="K35" s="47"/>
      <c r="L35" s="47"/>
      <c r="M35" s="47"/>
      <c r="N35" s="47"/>
      <c r="O35" s="76"/>
      <c r="P35" s="77"/>
      <c r="Q35" s="77"/>
      <c r="R35" s="77"/>
      <c r="S35" s="78"/>
      <c r="T35" s="78"/>
      <c r="U35" s="78"/>
      <c r="V35" s="79"/>
      <c r="W35" s="80"/>
      <c r="X35" s="81"/>
      <c r="Y35" s="81"/>
      <c r="Z35" s="81"/>
      <c r="AA35" s="101"/>
      <c r="AB35" s="82"/>
      <c r="AC35" s="82"/>
      <c r="AD35" s="83"/>
    </row>
    <row r="36" spans="1:30" ht="14.4" customHeight="1" x14ac:dyDescent="0.3">
      <c r="A36" s="47"/>
      <c r="B36" s="47"/>
      <c r="C36" s="47"/>
      <c r="D36" s="47"/>
      <c r="E36" s="47"/>
      <c r="F36" s="47"/>
      <c r="G36" s="47"/>
      <c r="H36" s="47"/>
      <c r="I36" s="47"/>
      <c r="J36" s="47"/>
      <c r="K36" s="47"/>
      <c r="L36" s="47"/>
      <c r="M36" s="47"/>
      <c r="N36" s="47"/>
      <c r="O36" s="68" t="s">
        <v>67</v>
      </c>
      <c r="P36" s="69"/>
      <c r="Q36" s="69"/>
      <c r="R36" s="69"/>
      <c r="S36" s="70">
        <f>Data!X28</f>
        <v>320100.30718825641</v>
      </c>
      <c r="T36" s="70">
        <f>Data!Y28</f>
        <v>389415.09374378726</v>
      </c>
      <c r="U36" s="70">
        <f>Data!Z28</f>
        <v>69314.786555530853</v>
      </c>
      <c r="V36" s="71">
        <f>Data!AA28</f>
        <v>0.2165408311050625</v>
      </c>
      <c r="W36" s="72" t="s">
        <v>61</v>
      </c>
      <c r="X36" s="73"/>
      <c r="Y36" s="73"/>
      <c r="Z36" s="73"/>
      <c r="AA36" s="100">
        <f>Data!X38</f>
        <v>305123.62636847416</v>
      </c>
      <c r="AB36" s="74">
        <f>Data!Y38</f>
        <v>382029.05323770113</v>
      </c>
      <c r="AC36" s="74">
        <f>Data!Z38</f>
        <v>76905.426869226969</v>
      </c>
      <c r="AD36" s="75">
        <f>Data!AA38</f>
        <v>0.25204677784064561</v>
      </c>
    </row>
    <row r="37" spans="1:30" ht="14.4" customHeight="1" x14ac:dyDescent="0.3">
      <c r="A37" s="47"/>
      <c r="B37" s="47"/>
      <c r="C37" s="47"/>
      <c r="D37" s="47"/>
      <c r="E37" s="47"/>
      <c r="F37" s="47"/>
      <c r="G37" s="47"/>
      <c r="H37" s="47"/>
      <c r="I37" s="47"/>
      <c r="J37" s="47"/>
      <c r="K37" s="47"/>
      <c r="L37" s="47"/>
      <c r="M37" s="47"/>
      <c r="N37" s="47"/>
      <c r="O37" s="76"/>
      <c r="P37" s="77"/>
      <c r="Q37" s="77"/>
      <c r="R37" s="77"/>
      <c r="S37" s="78"/>
      <c r="T37" s="78"/>
      <c r="U37" s="78"/>
      <c r="V37" s="79"/>
      <c r="W37" s="80"/>
      <c r="X37" s="81"/>
      <c r="Y37" s="81"/>
      <c r="Z37" s="81"/>
      <c r="AA37" s="101"/>
      <c r="AB37" s="82"/>
      <c r="AC37" s="82"/>
      <c r="AD37" s="83"/>
    </row>
    <row r="38" spans="1:30" ht="14.4" customHeight="1" x14ac:dyDescent="0.3">
      <c r="A38" s="104">
        <f>Data!Q57</f>
        <v>130826.15974198468</v>
      </c>
      <c r="B38" s="105"/>
      <c r="C38" s="105"/>
      <c r="D38" s="104">
        <f>Data!R57</f>
        <v>131879.43857463927</v>
      </c>
      <c r="E38" s="105"/>
      <c r="F38" s="105"/>
      <c r="G38" s="106">
        <f>Data!S57</f>
        <v>69557.734595782356</v>
      </c>
      <c r="H38" s="106"/>
      <c r="I38" s="106"/>
      <c r="J38" s="47"/>
      <c r="K38" s="47"/>
      <c r="L38" s="47"/>
      <c r="M38" s="47"/>
      <c r="N38" s="47"/>
      <c r="O38" s="68" t="s">
        <v>53</v>
      </c>
      <c r="P38" s="69"/>
      <c r="Q38" s="69"/>
      <c r="R38" s="69"/>
      <c r="S38" s="70">
        <f>Data!X29</f>
        <v>238713.94376815303</v>
      </c>
      <c r="T38" s="70">
        <f>Data!Y29</f>
        <v>271971.48989913956</v>
      </c>
      <c r="U38" s="70">
        <f>Data!Z29</f>
        <v>33257.546130986535</v>
      </c>
      <c r="V38" s="71">
        <f>Data!AA29</f>
        <v>0.13931966271432966</v>
      </c>
      <c r="W38" s="72" t="s">
        <v>64</v>
      </c>
      <c r="X38" s="73"/>
      <c r="Y38" s="73"/>
      <c r="Z38" s="73"/>
      <c r="AA38" s="100">
        <f>Data!X39</f>
        <v>446774.36424266454</v>
      </c>
      <c r="AB38" s="74">
        <f>Data!Y39</f>
        <v>443050.46766822907</v>
      </c>
      <c r="AC38" s="74">
        <f>Data!Z39</f>
        <v>-3723.8965744354646</v>
      </c>
      <c r="AD38" s="75">
        <f>Data!AA39</f>
        <v>-8.3350721806697888E-3</v>
      </c>
    </row>
    <row r="39" spans="1:30" ht="14.4" customHeight="1" x14ac:dyDescent="0.3">
      <c r="A39" s="105"/>
      <c r="B39" s="105"/>
      <c r="C39" s="105"/>
      <c r="D39" s="105"/>
      <c r="E39" s="105"/>
      <c r="F39" s="105"/>
      <c r="G39" s="106"/>
      <c r="H39" s="106"/>
      <c r="I39" s="106"/>
      <c r="J39" s="47"/>
      <c r="K39" s="47"/>
      <c r="L39" s="47"/>
      <c r="M39" s="47"/>
      <c r="N39" s="47"/>
      <c r="O39" s="76"/>
      <c r="P39" s="77"/>
      <c r="Q39" s="77"/>
      <c r="R39" s="77"/>
      <c r="S39" s="78"/>
      <c r="T39" s="78"/>
      <c r="U39" s="78"/>
      <c r="V39" s="79"/>
      <c r="W39" s="80"/>
      <c r="X39" s="81"/>
      <c r="Y39" s="81"/>
      <c r="Z39" s="81"/>
      <c r="AA39" s="101"/>
      <c r="AB39" s="82"/>
      <c r="AC39" s="82"/>
      <c r="AD39" s="83"/>
    </row>
    <row r="40" spans="1:30" ht="14.4" customHeight="1" x14ac:dyDescent="0.3">
      <c r="A40" s="105"/>
      <c r="B40" s="105"/>
      <c r="C40" s="105"/>
      <c r="D40" s="105"/>
      <c r="E40" s="105"/>
      <c r="F40" s="105"/>
      <c r="G40" s="106"/>
      <c r="H40" s="106"/>
      <c r="I40" s="106"/>
      <c r="J40" s="47"/>
      <c r="K40" s="47"/>
      <c r="L40" s="47"/>
      <c r="M40" s="47"/>
      <c r="N40" s="47"/>
      <c r="O40" s="68" t="s">
        <v>55</v>
      </c>
      <c r="P40" s="69"/>
      <c r="Q40" s="69"/>
      <c r="R40" s="69"/>
      <c r="S40" s="70">
        <f>Data!X30</f>
        <v>476312.42495630222</v>
      </c>
      <c r="T40" s="70">
        <f>Data!Y30</f>
        <v>418242.02618789673</v>
      </c>
      <c r="U40" s="70">
        <f>Data!Z30</f>
        <v>-58070.398768405488</v>
      </c>
      <c r="V40" s="71">
        <f>Data!AA30</f>
        <v>-0.12191661549398586</v>
      </c>
      <c r="W40" s="72" t="s">
        <v>63</v>
      </c>
      <c r="X40" s="73"/>
      <c r="Y40" s="73"/>
      <c r="Z40" s="73"/>
      <c r="AA40" s="100">
        <f>Data!X40</f>
        <v>162203.47910859369</v>
      </c>
      <c r="AB40" s="74">
        <f>Data!Y40</f>
        <v>189230.608120146</v>
      </c>
      <c r="AC40" s="74">
        <f>Data!Z40</f>
        <v>27027.129011552315</v>
      </c>
      <c r="AD40" s="75">
        <f>Data!AA40</f>
        <v>0.16662484158837251</v>
      </c>
    </row>
    <row r="41" spans="1:30" ht="14.4" customHeight="1" x14ac:dyDescent="0.3">
      <c r="A41" s="47"/>
      <c r="B41" s="47"/>
      <c r="C41" s="47"/>
      <c r="D41" s="47"/>
      <c r="E41" s="47"/>
      <c r="F41" s="47"/>
      <c r="G41" s="47"/>
      <c r="H41" s="47"/>
      <c r="I41" s="47"/>
      <c r="J41" s="47"/>
      <c r="K41" s="47"/>
      <c r="L41" s="47"/>
      <c r="M41" s="47"/>
      <c r="N41" s="47"/>
      <c r="O41" s="76"/>
      <c r="P41" s="77"/>
      <c r="Q41" s="77"/>
      <c r="R41" s="77"/>
      <c r="S41" s="78"/>
      <c r="T41" s="78"/>
      <c r="U41" s="78"/>
      <c r="V41" s="79"/>
      <c r="W41" s="80"/>
      <c r="X41" s="81"/>
      <c r="Y41" s="81"/>
      <c r="Z41" s="81"/>
      <c r="AA41" s="101"/>
      <c r="AB41" s="82"/>
      <c r="AC41" s="82"/>
      <c r="AD41" s="83"/>
    </row>
    <row r="42" spans="1:30" ht="14.4" customHeight="1" x14ac:dyDescent="0.3">
      <c r="A42" s="47"/>
      <c r="B42" s="47"/>
      <c r="C42" s="47"/>
      <c r="D42" s="47"/>
      <c r="E42" s="47"/>
      <c r="F42" s="47"/>
      <c r="G42" s="47"/>
      <c r="H42" s="47"/>
      <c r="I42" s="47"/>
      <c r="J42" s="47"/>
      <c r="K42" s="47"/>
      <c r="L42" s="47"/>
      <c r="M42" s="47"/>
      <c r="N42" s="47"/>
      <c r="O42" s="84" t="s">
        <v>108</v>
      </c>
      <c r="P42" s="85"/>
      <c r="Q42" s="85"/>
      <c r="R42" s="85"/>
      <c r="S42" s="86">
        <f>SUM(S34:S41)</f>
        <v>1162213.8193412307</v>
      </c>
      <c r="T42" s="86">
        <f t="shared" ref="T42:V42" si="2">SUM(T34:T41)</f>
        <v>1224535.5233200882</v>
      </c>
      <c r="U42" s="86">
        <f t="shared" si="2"/>
        <v>62321.703978857389</v>
      </c>
      <c r="V42" s="98">
        <f>IFERROR(U42/ABS(S42),0)</f>
        <v>5.3623268749448144E-2</v>
      </c>
      <c r="W42" s="87" t="s">
        <v>108</v>
      </c>
      <c r="X42" s="88"/>
      <c r="Y42" s="88"/>
      <c r="Z42" s="88"/>
      <c r="AA42" s="102">
        <f>SUM(AA34:AA41)</f>
        <v>1162213.8193412307</v>
      </c>
      <c r="AB42" s="89">
        <f t="shared" ref="AB42:AD42" si="3">SUM(AB34:AB41)</f>
        <v>1224535.5233200879</v>
      </c>
      <c r="AC42" s="89">
        <f t="shared" si="3"/>
        <v>62321.703978857404</v>
      </c>
      <c r="AD42" s="90">
        <f>IFERROR(AC42/ABS(AA42),0)</f>
        <v>5.3623268749448158E-2</v>
      </c>
    </row>
    <row r="43" spans="1:30" ht="14.4" customHeight="1" x14ac:dyDescent="0.3">
      <c r="A43" s="47"/>
      <c r="B43" s="47"/>
      <c r="C43" s="47"/>
      <c r="D43" s="47"/>
      <c r="E43" s="47"/>
      <c r="F43" s="47"/>
      <c r="G43" s="47"/>
      <c r="H43" s="47"/>
      <c r="I43" s="47"/>
      <c r="J43" s="47"/>
      <c r="K43" s="47"/>
      <c r="L43" s="47"/>
      <c r="M43" s="47"/>
      <c r="N43" s="47"/>
      <c r="O43" s="91"/>
      <c r="P43" s="92"/>
      <c r="Q43" s="92"/>
      <c r="R43" s="92"/>
      <c r="S43" s="93"/>
      <c r="T43" s="93"/>
      <c r="U43" s="93"/>
      <c r="V43" s="99"/>
      <c r="W43" s="94"/>
      <c r="X43" s="95"/>
      <c r="Y43" s="95"/>
      <c r="Z43" s="95"/>
      <c r="AA43" s="103"/>
      <c r="AB43" s="96"/>
      <c r="AC43" s="96"/>
      <c r="AD43" s="97"/>
    </row>
    <row r="44" spans="1:30" ht="7.8" customHeight="1" x14ac:dyDescent="0.3">
      <c r="A44" s="48"/>
      <c r="B44" s="48"/>
      <c r="C44" s="48"/>
      <c r="D44" s="48"/>
      <c r="E44" s="48"/>
      <c r="F44" s="48"/>
      <c r="G44" s="48"/>
      <c r="H44" s="48"/>
      <c r="I44" s="48"/>
      <c r="J44" s="48"/>
      <c r="K44" s="48"/>
      <c r="L44" s="48"/>
      <c r="M44" s="48"/>
      <c r="N44" s="48"/>
      <c r="O44" s="54"/>
      <c r="P44" s="48"/>
      <c r="Q44" s="48"/>
      <c r="R44" s="48"/>
      <c r="S44" s="48"/>
      <c r="T44" s="48"/>
      <c r="U44" s="48"/>
      <c r="V44" s="48"/>
      <c r="W44" s="54"/>
      <c r="X44" s="48"/>
      <c r="Y44" s="48"/>
      <c r="Z44" s="48"/>
      <c r="AA44" s="48"/>
      <c r="AB44" s="48"/>
      <c r="AC44" s="48"/>
      <c r="AD44" s="48"/>
    </row>
    <row r="45" spans="1:30" ht="52.8" customHeight="1" x14ac:dyDescent="0.4">
      <c r="A45" s="51"/>
      <c r="B45" s="52" t="s">
        <v>104</v>
      </c>
      <c r="C45" s="51"/>
      <c r="D45" s="51"/>
      <c r="E45" s="51"/>
      <c r="F45" s="51"/>
      <c r="G45" s="51"/>
      <c r="H45" s="51"/>
      <c r="I45" s="51"/>
      <c r="J45" s="51"/>
      <c r="K45" s="51"/>
      <c r="L45" s="51"/>
      <c r="M45" s="51"/>
      <c r="N45" s="51"/>
      <c r="O45" s="65" t="s">
        <v>100</v>
      </c>
      <c r="P45" s="66"/>
      <c r="Q45" s="66"/>
      <c r="R45" s="66"/>
      <c r="S45" s="67" t="s">
        <v>107</v>
      </c>
      <c r="T45" s="67" t="s">
        <v>95</v>
      </c>
      <c r="U45" s="67"/>
      <c r="V45" s="67" t="s">
        <v>105</v>
      </c>
      <c r="W45" s="65" t="s">
        <v>101</v>
      </c>
      <c r="X45" s="66"/>
      <c r="Y45" s="66"/>
      <c r="Z45" s="66"/>
      <c r="AA45" s="67" t="s">
        <v>107</v>
      </c>
      <c r="AB45" s="67" t="s">
        <v>95</v>
      </c>
      <c r="AC45" s="67"/>
      <c r="AD45" s="67" t="s">
        <v>105</v>
      </c>
    </row>
    <row r="46" spans="1:30" ht="14.4" customHeight="1" x14ac:dyDescent="0.3">
      <c r="A46" s="47"/>
      <c r="B46" s="47"/>
      <c r="C46" s="47"/>
      <c r="D46" s="47"/>
      <c r="E46" s="47"/>
      <c r="F46" s="47"/>
      <c r="G46" s="47"/>
      <c r="H46" s="47"/>
      <c r="I46" s="47"/>
      <c r="J46" s="47"/>
      <c r="K46" s="47"/>
      <c r="L46" s="47"/>
      <c r="M46" s="47"/>
      <c r="N46" s="47"/>
      <c r="O46" s="68" t="s">
        <v>54</v>
      </c>
      <c r="P46" s="69"/>
      <c r="Q46" s="69"/>
      <c r="R46" s="69"/>
      <c r="S46" s="70">
        <f>Data!X47</f>
        <v>127087.143428519</v>
      </c>
      <c r="T46" s="70">
        <f>Data!Y47</f>
        <v>144906.91348926449</v>
      </c>
      <c r="U46" s="70">
        <f>Data!Z47</f>
        <v>17819.77006074549</v>
      </c>
      <c r="V46" s="71">
        <f>Data!AA47</f>
        <v>0.14021693760681886</v>
      </c>
      <c r="W46" s="72" t="s">
        <v>62</v>
      </c>
      <c r="X46" s="73"/>
      <c r="Y46" s="73"/>
      <c r="Z46" s="73"/>
      <c r="AA46" s="100">
        <f>Data!X56</f>
        <v>248112.34962149826</v>
      </c>
      <c r="AB46" s="74">
        <f>Data!Y56</f>
        <v>210225.39429401184</v>
      </c>
      <c r="AC46" s="74">
        <f>Data!Z56</f>
        <v>-37886.955327486416</v>
      </c>
      <c r="AD46" s="75">
        <f>Data!AA56</f>
        <v>-0.15270080423358182</v>
      </c>
    </row>
    <row r="47" spans="1:30" ht="14.4" customHeight="1" x14ac:dyDescent="0.3">
      <c r="A47" s="47"/>
      <c r="B47" s="47"/>
      <c r="C47" s="47"/>
      <c r="D47" s="47"/>
      <c r="E47" s="47"/>
      <c r="F47" s="47"/>
      <c r="G47" s="47"/>
      <c r="H47" s="47"/>
      <c r="I47" s="47"/>
      <c r="J47" s="47"/>
      <c r="K47" s="47"/>
      <c r="L47" s="47"/>
      <c r="M47" s="47"/>
      <c r="N47" s="47"/>
      <c r="O47" s="76"/>
      <c r="P47" s="77"/>
      <c r="Q47" s="77"/>
      <c r="R47" s="77"/>
      <c r="S47" s="78"/>
      <c r="T47" s="78"/>
      <c r="U47" s="78"/>
      <c r="V47" s="79"/>
      <c r="W47" s="80"/>
      <c r="X47" s="81"/>
      <c r="Y47" s="81"/>
      <c r="Z47" s="81"/>
      <c r="AA47" s="101"/>
      <c r="AB47" s="82"/>
      <c r="AC47" s="82"/>
      <c r="AD47" s="83"/>
    </row>
    <row r="48" spans="1:30" ht="14.4" customHeight="1" x14ac:dyDescent="0.3">
      <c r="A48" s="47"/>
      <c r="B48" s="47"/>
      <c r="C48" s="47"/>
      <c r="D48" s="47"/>
      <c r="E48" s="47"/>
      <c r="F48" s="47"/>
      <c r="G48" s="47"/>
      <c r="H48" s="47"/>
      <c r="I48" s="47"/>
      <c r="J48" s="47"/>
      <c r="K48" s="47"/>
      <c r="L48" s="47"/>
      <c r="M48" s="47"/>
      <c r="N48" s="47"/>
      <c r="O48" s="68" t="s">
        <v>67</v>
      </c>
      <c r="P48" s="69"/>
      <c r="Q48" s="69"/>
      <c r="R48" s="69"/>
      <c r="S48" s="70">
        <f>Data!X48</f>
        <v>320100.30718825641</v>
      </c>
      <c r="T48" s="70">
        <f>Data!Y48</f>
        <v>389415.09374378726</v>
      </c>
      <c r="U48" s="70">
        <f>Data!Z48</f>
        <v>69314.786555530853</v>
      </c>
      <c r="V48" s="71">
        <f>Data!AA48</f>
        <v>0.2165408311050625</v>
      </c>
      <c r="W48" s="72" t="s">
        <v>61</v>
      </c>
      <c r="X48" s="73"/>
      <c r="Y48" s="73"/>
      <c r="Z48" s="73"/>
      <c r="AA48" s="100">
        <f>Data!X57</f>
        <v>305123.62636847416</v>
      </c>
      <c r="AB48" s="74">
        <f>Data!Y57</f>
        <v>382029.05323770113</v>
      </c>
      <c r="AC48" s="74">
        <f>Data!Z57</f>
        <v>76905.426869226969</v>
      </c>
      <c r="AD48" s="75">
        <f>Data!AA57</f>
        <v>0.25204677784064561</v>
      </c>
    </row>
    <row r="49" spans="1:30" ht="14.4" customHeight="1" x14ac:dyDescent="0.3">
      <c r="A49" s="47"/>
      <c r="B49" s="47"/>
      <c r="C49" s="47"/>
      <c r="D49" s="47"/>
      <c r="E49" s="47"/>
      <c r="F49" s="47"/>
      <c r="G49" s="47"/>
      <c r="H49" s="47"/>
      <c r="I49" s="47"/>
      <c r="J49" s="47"/>
      <c r="K49" s="47"/>
      <c r="L49" s="47"/>
      <c r="M49" s="47"/>
      <c r="N49" s="47"/>
      <c r="O49" s="76"/>
      <c r="P49" s="77"/>
      <c r="Q49" s="77"/>
      <c r="R49" s="77"/>
      <c r="S49" s="78"/>
      <c r="T49" s="78"/>
      <c r="U49" s="78"/>
      <c r="V49" s="79"/>
      <c r="W49" s="80"/>
      <c r="X49" s="81"/>
      <c r="Y49" s="81"/>
      <c r="Z49" s="81"/>
      <c r="AA49" s="101"/>
      <c r="AB49" s="82"/>
      <c r="AC49" s="82"/>
      <c r="AD49" s="83"/>
    </row>
    <row r="50" spans="1:30" ht="14.4" customHeight="1" x14ac:dyDescent="0.3">
      <c r="A50" s="104">
        <f>Data!Q58</f>
        <v>130826.15974198468</v>
      </c>
      <c r="B50" s="105"/>
      <c r="C50" s="105"/>
      <c r="D50" s="104">
        <f>Data!R58</f>
        <v>131879.43857463927</v>
      </c>
      <c r="E50" s="105"/>
      <c r="F50" s="105"/>
      <c r="G50" s="106">
        <f>Data!S58</f>
        <v>69557.734595782356</v>
      </c>
      <c r="H50" s="106"/>
      <c r="I50" s="106"/>
      <c r="J50" s="47"/>
      <c r="K50" s="47"/>
      <c r="L50" s="47"/>
      <c r="M50" s="47"/>
      <c r="N50" s="47"/>
      <c r="O50" s="68" t="s">
        <v>53</v>
      </c>
      <c r="P50" s="69"/>
      <c r="Q50" s="69"/>
      <c r="R50" s="69"/>
      <c r="S50" s="70">
        <f>Data!X49</f>
        <v>238713.94376815303</v>
      </c>
      <c r="T50" s="70">
        <f>Data!Y49</f>
        <v>271971.48989913956</v>
      </c>
      <c r="U50" s="70">
        <f>Data!Z49</f>
        <v>33257.546130986535</v>
      </c>
      <c r="V50" s="71">
        <f>Data!AA49</f>
        <v>0.13931966271432966</v>
      </c>
      <c r="W50" s="72" t="s">
        <v>64</v>
      </c>
      <c r="X50" s="73"/>
      <c r="Y50" s="73"/>
      <c r="Z50" s="73"/>
      <c r="AA50" s="100">
        <f>Data!X58</f>
        <v>446774.36424266454</v>
      </c>
      <c r="AB50" s="74">
        <f>Data!Y58</f>
        <v>443050.46766822907</v>
      </c>
      <c r="AC50" s="74">
        <f>Data!Z58</f>
        <v>-3723.8965744354646</v>
      </c>
      <c r="AD50" s="75">
        <f>Data!AA58</f>
        <v>-8.3350721806697888E-3</v>
      </c>
    </row>
    <row r="51" spans="1:30" ht="14.4" customHeight="1" x14ac:dyDescent="0.3">
      <c r="A51" s="105"/>
      <c r="B51" s="105"/>
      <c r="C51" s="105"/>
      <c r="D51" s="105"/>
      <c r="E51" s="105"/>
      <c r="F51" s="105"/>
      <c r="G51" s="106"/>
      <c r="H51" s="106"/>
      <c r="I51" s="106"/>
      <c r="J51" s="47"/>
      <c r="K51" s="47"/>
      <c r="L51" s="47"/>
      <c r="M51" s="47"/>
      <c r="N51" s="47"/>
      <c r="O51" s="76"/>
      <c r="P51" s="77"/>
      <c r="Q51" s="77"/>
      <c r="R51" s="77"/>
      <c r="S51" s="78"/>
      <c r="T51" s="78"/>
      <c r="U51" s="78"/>
      <c r="V51" s="79"/>
      <c r="W51" s="80"/>
      <c r="X51" s="81"/>
      <c r="Y51" s="81"/>
      <c r="Z51" s="81"/>
      <c r="AA51" s="101"/>
      <c r="AB51" s="82"/>
      <c r="AC51" s="82"/>
      <c r="AD51" s="83"/>
    </row>
    <row r="52" spans="1:30" ht="14.4" customHeight="1" x14ac:dyDescent="0.3">
      <c r="A52" s="105"/>
      <c r="B52" s="105"/>
      <c r="C52" s="105"/>
      <c r="D52" s="105"/>
      <c r="E52" s="105"/>
      <c r="F52" s="105"/>
      <c r="G52" s="106"/>
      <c r="H52" s="106"/>
      <c r="I52" s="106"/>
      <c r="J52" s="47"/>
      <c r="K52" s="47"/>
      <c r="L52" s="47"/>
      <c r="M52" s="47"/>
      <c r="N52" s="47"/>
      <c r="O52" s="68" t="s">
        <v>55</v>
      </c>
      <c r="P52" s="69"/>
      <c r="Q52" s="69"/>
      <c r="R52" s="69"/>
      <c r="S52" s="70">
        <f>Data!X50</f>
        <v>476312.42495630222</v>
      </c>
      <c r="T52" s="70">
        <f>Data!Y50</f>
        <v>418242.02618789673</v>
      </c>
      <c r="U52" s="70">
        <f>Data!Z50</f>
        <v>-58070.398768405488</v>
      </c>
      <c r="V52" s="71">
        <f>Data!AA50</f>
        <v>-0.12191661549398586</v>
      </c>
      <c r="W52" s="72" t="s">
        <v>63</v>
      </c>
      <c r="X52" s="73"/>
      <c r="Y52" s="73"/>
      <c r="Z52" s="73"/>
      <c r="AA52" s="100">
        <f>Data!X59</f>
        <v>162203.47910859369</v>
      </c>
      <c r="AB52" s="74">
        <f>Data!Y59</f>
        <v>189230.608120146</v>
      </c>
      <c r="AC52" s="74">
        <f>Data!Z59</f>
        <v>27027.129011552315</v>
      </c>
      <c r="AD52" s="75">
        <f>Data!AA59</f>
        <v>0.16662484158837251</v>
      </c>
    </row>
    <row r="53" spans="1:30" ht="14.4" customHeight="1" x14ac:dyDescent="0.3">
      <c r="A53" s="47"/>
      <c r="B53" s="47"/>
      <c r="C53" s="47"/>
      <c r="D53" s="47"/>
      <c r="E53" s="47"/>
      <c r="F53" s="47"/>
      <c r="G53" s="47"/>
      <c r="H53" s="47"/>
      <c r="I53" s="47"/>
      <c r="J53" s="47"/>
      <c r="K53" s="47"/>
      <c r="L53" s="47"/>
      <c r="M53" s="47"/>
      <c r="N53" s="47"/>
      <c r="O53" s="76"/>
      <c r="P53" s="77"/>
      <c r="Q53" s="77"/>
      <c r="R53" s="77"/>
      <c r="S53" s="78"/>
      <c r="T53" s="78"/>
      <c r="U53" s="78"/>
      <c r="V53" s="79"/>
      <c r="W53" s="80"/>
      <c r="X53" s="81"/>
      <c r="Y53" s="81"/>
      <c r="Z53" s="81"/>
      <c r="AA53" s="101"/>
      <c r="AB53" s="82"/>
      <c r="AC53" s="82"/>
      <c r="AD53" s="83"/>
    </row>
    <row r="54" spans="1:30" ht="14.4" customHeight="1" x14ac:dyDescent="0.3">
      <c r="A54" s="47"/>
      <c r="B54" s="47"/>
      <c r="C54" s="47"/>
      <c r="D54" s="47"/>
      <c r="E54" s="47"/>
      <c r="F54" s="47"/>
      <c r="G54" s="47"/>
      <c r="H54" s="47"/>
      <c r="I54" s="47"/>
      <c r="J54" s="47"/>
      <c r="K54" s="47"/>
      <c r="L54" s="47"/>
      <c r="M54" s="47"/>
      <c r="N54" s="47"/>
      <c r="O54" s="84" t="s">
        <v>108</v>
      </c>
      <c r="P54" s="85"/>
      <c r="Q54" s="85"/>
      <c r="R54" s="85"/>
      <c r="S54" s="86">
        <f>SUM(S46:S53)</f>
        <v>1162213.8193412307</v>
      </c>
      <c r="T54" s="86">
        <f t="shared" ref="T54:V54" si="4">SUM(T46:T53)</f>
        <v>1224535.5233200882</v>
      </c>
      <c r="U54" s="86">
        <f t="shared" si="4"/>
        <v>62321.703978857389</v>
      </c>
      <c r="V54" s="98">
        <f>IFERROR(U54/ABS(S54),0)</f>
        <v>5.3623268749448144E-2</v>
      </c>
      <c r="W54" s="87" t="s">
        <v>108</v>
      </c>
      <c r="X54" s="88"/>
      <c r="Y54" s="88"/>
      <c r="Z54" s="88"/>
      <c r="AA54" s="102">
        <f>SUM(AA46:AA53)</f>
        <v>1162213.8193412307</v>
      </c>
      <c r="AB54" s="89">
        <f t="shared" ref="AB54:AD54" si="5">SUM(AB46:AB53)</f>
        <v>1224535.5233200879</v>
      </c>
      <c r="AC54" s="89">
        <f t="shared" si="5"/>
        <v>62321.703978857404</v>
      </c>
      <c r="AD54" s="90">
        <f>IFERROR(AC54/ABS(AA54),0)</f>
        <v>5.3623268749448158E-2</v>
      </c>
    </row>
    <row r="55" spans="1:30" ht="14.4" customHeight="1" x14ac:dyDescent="0.3">
      <c r="A55" s="47"/>
      <c r="B55" s="47"/>
      <c r="C55" s="47"/>
      <c r="D55" s="47"/>
      <c r="E55" s="47"/>
      <c r="F55" s="47"/>
      <c r="G55" s="47"/>
      <c r="H55" s="47"/>
      <c r="I55" s="47"/>
      <c r="J55" s="47"/>
      <c r="K55" s="47"/>
      <c r="L55" s="47"/>
      <c r="M55" s="47"/>
      <c r="N55" s="47"/>
      <c r="O55" s="91"/>
      <c r="P55" s="92"/>
      <c r="Q55" s="92"/>
      <c r="R55" s="92"/>
      <c r="S55" s="93"/>
      <c r="T55" s="93"/>
      <c r="U55" s="93"/>
      <c r="V55" s="99"/>
      <c r="W55" s="94"/>
      <c r="X55" s="95"/>
      <c r="Y55" s="95"/>
      <c r="Z55" s="95"/>
      <c r="AA55" s="103"/>
      <c r="AB55" s="96"/>
      <c r="AC55" s="96"/>
      <c r="AD55" s="97"/>
    </row>
  </sheetData>
  <mergeCells count="160">
    <mergeCell ref="AA52:AA53"/>
    <mergeCell ref="AB52:AB53"/>
    <mergeCell ref="AC52:AC53"/>
    <mergeCell ref="AD52:AD53"/>
    <mergeCell ref="AA54:AA55"/>
    <mergeCell ref="AB54:AB55"/>
    <mergeCell ref="AC54:AC55"/>
    <mergeCell ref="AD54:AD55"/>
    <mergeCell ref="AA48:AA49"/>
    <mergeCell ref="AB48:AB49"/>
    <mergeCell ref="AC48:AC49"/>
    <mergeCell ref="AD48:AD49"/>
    <mergeCell ref="AA50:AA51"/>
    <mergeCell ref="AB50:AB51"/>
    <mergeCell ref="AC50:AC51"/>
    <mergeCell ref="AD50:AD51"/>
    <mergeCell ref="AA42:AA43"/>
    <mergeCell ref="AB42:AB43"/>
    <mergeCell ref="AC42:AC43"/>
    <mergeCell ref="AD42:AD43"/>
    <mergeCell ref="AA46:AA47"/>
    <mergeCell ref="AB46:AB47"/>
    <mergeCell ref="AC46:AC47"/>
    <mergeCell ref="AD46:AD47"/>
    <mergeCell ref="AA38:AA39"/>
    <mergeCell ref="AB38:AB39"/>
    <mergeCell ref="AC38:AC39"/>
    <mergeCell ref="AD38:AD39"/>
    <mergeCell ref="AA40:AA41"/>
    <mergeCell ref="AB40:AB41"/>
    <mergeCell ref="AC40:AC41"/>
    <mergeCell ref="AD40:AD41"/>
    <mergeCell ref="AA34:AA35"/>
    <mergeCell ref="AB34:AB35"/>
    <mergeCell ref="AC34:AC35"/>
    <mergeCell ref="AD34:AD35"/>
    <mergeCell ref="AA36:AA37"/>
    <mergeCell ref="AB36:AB37"/>
    <mergeCell ref="AC36:AC37"/>
    <mergeCell ref="AD36:AD37"/>
    <mergeCell ref="S52:S53"/>
    <mergeCell ref="T52:T53"/>
    <mergeCell ref="U52:U53"/>
    <mergeCell ref="V52:V53"/>
    <mergeCell ref="S54:S55"/>
    <mergeCell ref="T54:T55"/>
    <mergeCell ref="U54:U55"/>
    <mergeCell ref="V54:V55"/>
    <mergeCell ref="U38:U39"/>
    <mergeCell ref="V38:V39"/>
    <mergeCell ref="S40:S41"/>
    <mergeCell ref="T40:T41"/>
    <mergeCell ref="U40:U41"/>
    <mergeCell ref="V40:V41"/>
    <mergeCell ref="AA30:AA31"/>
    <mergeCell ref="AB30:AB31"/>
    <mergeCell ref="AC30:AC31"/>
    <mergeCell ref="AD22:AD23"/>
    <mergeCell ref="AD24:AD25"/>
    <mergeCell ref="AD26:AD27"/>
    <mergeCell ref="AD28:AD29"/>
    <mergeCell ref="AD30:AD31"/>
    <mergeCell ref="AA26:AA27"/>
    <mergeCell ref="AB26:AB27"/>
    <mergeCell ref="AC26:AC27"/>
    <mergeCell ref="AA28:AA29"/>
    <mergeCell ref="AB28:AB29"/>
    <mergeCell ref="AC28:AC29"/>
    <mergeCell ref="AA22:AA23"/>
    <mergeCell ref="AB22:AB23"/>
    <mergeCell ref="AC22:AC23"/>
    <mergeCell ref="AA24:AA25"/>
    <mergeCell ref="AB24:AB25"/>
    <mergeCell ref="AC24:AC25"/>
    <mergeCell ref="U22:U23"/>
    <mergeCell ref="U24:U25"/>
    <mergeCell ref="V22:V23"/>
    <mergeCell ref="V24:V25"/>
    <mergeCell ref="V30:V31"/>
    <mergeCell ref="U30:U31"/>
    <mergeCell ref="U26:U27"/>
    <mergeCell ref="V26:V27"/>
    <mergeCell ref="T28:T29"/>
    <mergeCell ref="U28:U29"/>
    <mergeCell ref="V28:V29"/>
    <mergeCell ref="S26:S27"/>
    <mergeCell ref="S28:S29"/>
    <mergeCell ref="S30:S31"/>
    <mergeCell ref="T24:T25"/>
    <mergeCell ref="T26:T27"/>
    <mergeCell ref="T30:T31"/>
    <mergeCell ref="S22:S23"/>
    <mergeCell ref="T22:T23"/>
    <mergeCell ref="S24:S25"/>
    <mergeCell ref="A38:C40"/>
    <mergeCell ref="D38:F40"/>
    <mergeCell ref="G38:I40"/>
    <mergeCell ref="A50:C52"/>
    <mergeCell ref="D50:F52"/>
    <mergeCell ref="G50:I52"/>
    <mergeCell ref="O30:R31"/>
    <mergeCell ref="C1:K1"/>
    <mergeCell ref="O22:R23"/>
    <mergeCell ref="O24:R25"/>
    <mergeCell ref="O26:R27"/>
    <mergeCell ref="O28:R29"/>
    <mergeCell ref="A26:C28"/>
    <mergeCell ref="D26:F28"/>
    <mergeCell ref="G26:I28"/>
    <mergeCell ref="W22:Z23"/>
    <mergeCell ref="W24:Z25"/>
    <mergeCell ref="W26:Z27"/>
    <mergeCell ref="W28:Z29"/>
    <mergeCell ref="W30:Z31"/>
    <mergeCell ref="O34:R35"/>
    <mergeCell ref="W34:Z35"/>
    <mergeCell ref="O36:R37"/>
    <mergeCell ref="W36:Z37"/>
    <mergeCell ref="O38:R39"/>
    <mergeCell ref="W38:Z39"/>
    <mergeCell ref="S34:S35"/>
    <mergeCell ref="T34:T35"/>
    <mergeCell ref="U34:U35"/>
    <mergeCell ref="V34:V35"/>
    <mergeCell ref="S36:S37"/>
    <mergeCell ref="T36:T37"/>
    <mergeCell ref="U36:U37"/>
    <mergeCell ref="V36:V37"/>
    <mergeCell ref="S38:S39"/>
    <mergeCell ref="T38:T39"/>
    <mergeCell ref="O40:R41"/>
    <mergeCell ref="W40:Z41"/>
    <mergeCell ref="O42:R43"/>
    <mergeCell ref="W42:Z43"/>
    <mergeCell ref="O46:R47"/>
    <mergeCell ref="W46:Z47"/>
    <mergeCell ref="S42:S43"/>
    <mergeCell ref="T42:T43"/>
    <mergeCell ref="U42:U43"/>
    <mergeCell ref="V42:V43"/>
    <mergeCell ref="S46:S47"/>
    <mergeCell ref="T46:T47"/>
    <mergeCell ref="U46:U47"/>
    <mergeCell ref="V46:V47"/>
    <mergeCell ref="O54:R55"/>
    <mergeCell ref="W54:Z55"/>
    <mergeCell ref="O48:R49"/>
    <mergeCell ref="W48:Z49"/>
    <mergeCell ref="O50:R51"/>
    <mergeCell ref="W50:Z51"/>
    <mergeCell ref="O52:R53"/>
    <mergeCell ref="W52:Z53"/>
    <mergeCell ref="S48:S49"/>
    <mergeCell ref="T48:T49"/>
    <mergeCell ref="U48:U49"/>
    <mergeCell ref="V48:V49"/>
    <mergeCell ref="S50:S51"/>
    <mergeCell ref="T50:T51"/>
    <mergeCell ref="U50:U51"/>
    <mergeCell ref="V50:V5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42"/>
  <sheetViews>
    <sheetView topLeftCell="D1" zoomScaleNormal="100" workbookViewId="0">
      <selection activeCell="F22" sqref="F22"/>
    </sheetView>
  </sheetViews>
  <sheetFormatPr defaultRowHeight="14.4" x14ac:dyDescent="0.3"/>
  <cols>
    <col min="2" max="2" width="26.109375" bestFit="1" customWidth="1"/>
    <col min="3" max="3" width="16.5546875" bestFit="1" customWidth="1"/>
    <col min="4" max="4" width="19.21875" customWidth="1"/>
    <col min="5" max="5" width="4.88671875" customWidth="1"/>
    <col min="6" max="6" width="23.33203125" customWidth="1"/>
    <col min="7" max="7" width="3.33203125" customWidth="1"/>
    <col min="8" max="8" width="19.88671875" customWidth="1"/>
    <col min="10" max="10" width="27.77734375" bestFit="1" customWidth="1"/>
    <col min="11" max="11" width="12.77734375" customWidth="1"/>
    <col min="13" max="13" width="12.109375" customWidth="1"/>
    <col min="14" max="14" width="10.5546875" bestFit="1" customWidth="1"/>
  </cols>
  <sheetData>
    <row r="2" spans="2:14" x14ac:dyDescent="0.3">
      <c r="B2" s="33" t="s">
        <v>56</v>
      </c>
      <c r="C2" s="33" t="s">
        <v>57</v>
      </c>
      <c r="D2" s="33" t="s">
        <v>58</v>
      </c>
      <c r="F2" s="33" t="s">
        <v>66</v>
      </c>
      <c r="H2" s="33" t="s">
        <v>68</v>
      </c>
      <c r="J2" s="42" t="s">
        <v>68</v>
      </c>
      <c r="K2" s="42" t="s">
        <v>77</v>
      </c>
      <c r="M2" t="s">
        <v>93</v>
      </c>
      <c r="N2" t="s">
        <v>94</v>
      </c>
    </row>
    <row r="3" spans="2:14" x14ac:dyDescent="0.3">
      <c r="B3" t="s">
        <v>2</v>
      </c>
      <c r="C3" t="s">
        <v>59</v>
      </c>
      <c r="D3" t="s">
        <v>2</v>
      </c>
      <c r="F3" s="34" t="s">
        <v>54</v>
      </c>
      <c r="H3" s="2">
        <v>2023</v>
      </c>
      <c r="J3" t="s">
        <v>78</v>
      </c>
      <c r="K3" s="41">
        <v>44927</v>
      </c>
      <c r="M3" t="s">
        <v>70</v>
      </c>
      <c r="N3" s="41">
        <v>45747</v>
      </c>
    </row>
    <row r="4" spans="2:14" x14ac:dyDescent="0.3">
      <c r="B4" t="s">
        <v>3</v>
      </c>
      <c r="C4" t="s">
        <v>59</v>
      </c>
      <c r="D4" t="s">
        <v>2</v>
      </c>
      <c r="F4" s="34" t="s">
        <v>67</v>
      </c>
      <c r="H4" s="2">
        <v>2024</v>
      </c>
      <c r="J4" t="s">
        <v>79</v>
      </c>
      <c r="K4" s="41">
        <v>45291</v>
      </c>
    </row>
    <row r="5" spans="2:14" x14ac:dyDescent="0.3">
      <c r="B5" t="s">
        <v>5</v>
      </c>
      <c r="C5" t="s">
        <v>5</v>
      </c>
      <c r="D5" t="s">
        <v>60</v>
      </c>
      <c r="F5" s="34" t="s">
        <v>53</v>
      </c>
      <c r="H5" s="2">
        <v>2025</v>
      </c>
      <c r="J5" t="s">
        <v>80</v>
      </c>
      <c r="K5" s="39">
        <f>EDATE(K3,12)</f>
        <v>45292</v>
      </c>
    </row>
    <row r="6" spans="2:14" x14ac:dyDescent="0.3">
      <c r="B6" t="s">
        <v>6</v>
      </c>
      <c r="C6" t="s">
        <v>5</v>
      </c>
      <c r="D6" t="s">
        <v>60</v>
      </c>
      <c r="F6" s="35" t="s">
        <v>55</v>
      </c>
      <c r="H6" s="2" t="s">
        <v>69</v>
      </c>
      <c r="J6" t="s">
        <v>81</v>
      </c>
      <c r="K6" s="39">
        <f t="shared" ref="K6" si="0">EDATE(K4,12)</f>
        <v>45657</v>
      </c>
    </row>
    <row r="7" spans="2:14" x14ac:dyDescent="0.3">
      <c r="B7" t="s">
        <v>7</v>
      </c>
      <c r="C7" t="s">
        <v>5</v>
      </c>
      <c r="D7" t="s">
        <v>60</v>
      </c>
      <c r="H7" s="2" t="s">
        <v>70</v>
      </c>
      <c r="J7" t="s">
        <v>82</v>
      </c>
      <c r="K7" s="39">
        <f>EDATE(K5,12)</f>
        <v>45658</v>
      </c>
    </row>
    <row r="8" spans="2:14" x14ac:dyDescent="0.3">
      <c r="B8" t="s">
        <v>9</v>
      </c>
      <c r="C8" t="s">
        <v>9</v>
      </c>
      <c r="D8" t="s">
        <v>9</v>
      </c>
      <c r="H8" s="2" t="s">
        <v>71</v>
      </c>
      <c r="J8" t="s">
        <v>83</v>
      </c>
      <c r="K8" s="39">
        <f>EDATE(K6,12)</f>
        <v>46022</v>
      </c>
    </row>
    <row r="9" spans="2:14" x14ac:dyDescent="0.3">
      <c r="B9" t="s">
        <v>10</v>
      </c>
      <c r="C9" t="s">
        <v>10</v>
      </c>
      <c r="D9" t="s">
        <v>61</v>
      </c>
      <c r="H9" s="2" t="s">
        <v>72</v>
      </c>
      <c r="J9" t="s">
        <v>84</v>
      </c>
      <c r="K9" s="39">
        <f>EOMONTH(CurrentMonth,-1)+1</f>
        <v>45717</v>
      </c>
    </row>
    <row r="10" spans="2:14" x14ac:dyDescent="0.3">
      <c r="B10" t="s">
        <v>11</v>
      </c>
      <c r="C10" t="s">
        <v>10</v>
      </c>
      <c r="D10" t="s">
        <v>62</v>
      </c>
      <c r="H10" s="2" t="s">
        <v>73</v>
      </c>
      <c r="J10" t="s">
        <v>85</v>
      </c>
      <c r="K10" s="40">
        <f>CurrentMonth</f>
        <v>45747</v>
      </c>
    </row>
    <row r="11" spans="2:14" x14ac:dyDescent="0.3">
      <c r="B11" t="s">
        <v>12</v>
      </c>
      <c r="C11" t="s">
        <v>10</v>
      </c>
      <c r="D11" t="s">
        <v>61</v>
      </c>
      <c r="J11" t="s">
        <v>86</v>
      </c>
      <c r="K11" s="39">
        <f>EOMONTH(CurrentMonth,-3)+1</f>
        <v>45658</v>
      </c>
    </row>
    <row r="12" spans="2:14" x14ac:dyDescent="0.3">
      <c r="B12" t="s">
        <v>13</v>
      </c>
      <c r="C12" t="s">
        <v>10</v>
      </c>
      <c r="D12" t="s">
        <v>62</v>
      </c>
      <c r="J12" t="s">
        <v>98</v>
      </c>
      <c r="K12" s="39">
        <f>EOMONTH(K11,2)</f>
        <v>45747</v>
      </c>
    </row>
    <row r="13" spans="2:14" x14ac:dyDescent="0.3">
      <c r="B13" t="s">
        <v>14</v>
      </c>
      <c r="C13" t="s">
        <v>10</v>
      </c>
      <c r="D13" t="s">
        <v>61</v>
      </c>
      <c r="J13" t="s">
        <v>87</v>
      </c>
      <c r="K13" s="39">
        <f>EOMONTH(K11,-4)+1</f>
        <v>45566</v>
      </c>
    </row>
    <row r="14" spans="2:14" x14ac:dyDescent="0.3">
      <c r="B14" t="s">
        <v>15</v>
      </c>
      <c r="C14" t="s">
        <v>10</v>
      </c>
      <c r="D14" t="s">
        <v>61</v>
      </c>
      <c r="J14" t="s">
        <v>88</v>
      </c>
      <c r="K14" s="39">
        <f>EOMONTH(K13,5)</f>
        <v>45747</v>
      </c>
    </row>
    <row r="15" spans="2:14" x14ac:dyDescent="0.3">
      <c r="B15" t="s">
        <v>16</v>
      </c>
      <c r="C15" t="s">
        <v>10</v>
      </c>
      <c r="D15" t="s">
        <v>61</v>
      </c>
      <c r="J15" t="s">
        <v>89</v>
      </c>
      <c r="K15" s="39">
        <f>EDATE(K9,-11)</f>
        <v>45383</v>
      </c>
    </row>
    <row r="16" spans="2:14" x14ac:dyDescent="0.3">
      <c r="B16" t="s">
        <v>17</v>
      </c>
      <c r="C16" t="s">
        <v>10</v>
      </c>
      <c r="D16" t="s">
        <v>61</v>
      </c>
      <c r="J16" t="s">
        <v>90</v>
      </c>
      <c r="K16" s="39">
        <f>EOMONTH(K15,11)</f>
        <v>45747</v>
      </c>
    </row>
    <row r="17" spans="2:11" x14ac:dyDescent="0.3">
      <c r="B17" t="s">
        <v>18</v>
      </c>
      <c r="C17" t="s">
        <v>10</v>
      </c>
      <c r="D17" t="s">
        <v>61</v>
      </c>
      <c r="J17" t="s">
        <v>91</v>
      </c>
      <c r="K17" s="39">
        <f>DATE(YEAR(CurrentMonth),1,1)</f>
        <v>45658</v>
      </c>
    </row>
    <row r="18" spans="2:11" x14ac:dyDescent="0.3">
      <c r="B18" t="s">
        <v>19</v>
      </c>
      <c r="C18" t="s">
        <v>10</v>
      </c>
      <c r="D18" t="s">
        <v>61</v>
      </c>
      <c r="J18" t="s">
        <v>92</v>
      </c>
      <c r="K18" s="39">
        <f>CurrentMonth</f>
        <v>45747</v>
      </c>
    </row>
    <row r="19" spans="2:11" x14ac:dyDescent="0.3">
      <c r="B19" t="s">
        <v>21</v>
      </c>
      <c r="C19" t="s">
        <v>10</v>
      </c>
      <c r="D19" t="s">
        <v>63</v>
      </c>
      <c r="J19" t="str">
        <f t="shared" ref="J19:J28" si="1">"Prior Period "&amp;J9</f>
        <v>Prior Period Current Month Start</v>
      </c>
      <c r="K19" s="39">
        <f>EDATE(K9,-1)</f>
        <v>45689</v>
      </c>
    </row>
    <row r="20" spans="2:11" x14ac:dyDescent="0.3">
      <c r="B20" t="s">
        <v>22</v>
      </c>
      <c r="C20" t="s">
        <v>10</v>
      </c>
      <c r="D20" t="s">
        <v>63</v>
      </c>
      <c r="J20" t="str">
        <f t="shared" si="1"/>
        <v>Prior Period Current Month End</v>
      </c>
      <c r="K20" s="39">
        <f>EDATE(CurrentMonth,-1)</f>
        <v>45716</v>
      </c>
    </row>
    <row r="21" spans="2:11" x14ac:dyDescent="0.3">
      <c r="B21" t="s">
        <v>23</v>
      </c>
      <c r="C21" t="s">
        <v>10</v>
      </c>
      <c r="D21" t="s">
        <v>63</v>
      </c>
      <c r="J21" t="str">
        <f t="shared" si="1"/>
        <v>Prior Period Trailing 3 Mo Start</v>
      </c>
      <c r="K21" s="39">
        <f>EDATE(K11,-3)</f>
        <v>45566</v>
      </c>
    </row>
    <row r="22" spans="2:11" x14ac:dyDescent="0.3">
      <c r="B22" t="s">
        <v>24</v>
      </c>
      <c r="C22" t="s">
        <v>10</v>
      </c>
      <c r="D22" t="s">
        <v>63</v>
      </c>
      <c r="J22" t="str">
        <f t="shared" si="1"/>
        <v>Prior Period Trailing 3 Mo End</v>
      </c>
      <c r="K22" s="39">
        <f>EDATE(K12,-3)</f>
        <v>45657</v>
      </c>
    </row>
    <row r="23" spans="2:11" x14ac:dyDescent="0.3">
      <c r="B23" t="s">
        <v>25</v>
      </c>
      <c r="C23" t="s">
        <v>10</v>
      </c>
      <c r="D23" t="s">
        <v>63</v>
      </c>
      <c r="J23" t="str">
        <f t="shared" si="1"/>
        <v>Prior Period Trailing 6 Mo Start</v>
      </c>
      <c r="K23" s="39">
        <f>EDATE(K13,-6)</f>
        <v>45383</v>
      </c>
    </row>
    <row r="24" spans="2:11" x14ac:dyDescent="0.3">
      <c r="B24" t="s">
        <v>27</v>
      </c>
      <c r="C24" t="s">
        <v>10</v>
      </c>
      <c r="D24" t="s">
        <v>64</v>
      </c>
      <c r="J24" t="str">
        <f t="shared" si="1"/>
        <v>Prior Period Trailing 6 Mo End</v>
      </c>
      <c r="K24" s="39">
        <f>EDATE(K14,-6)</f>
        <v>45565</v>
      </c>
    </row>
    <row r="25" spans="2:11" x14ac:dyDescent="0.3">
      <c r="B25" t="s">
        <v>28</v>
      </c>
      <c r="C25" t="s">
        <v>10</v>
      </c>
      <c r="D25" t="s">
        <v>64</v>
      </c>
      <c r="J25" t="str">
        <f t="shared" si="1"/>
        <v>Prior Period Trailing 12 Mo Start</v>
      </c>
      <c r="K25" s="39">
        <f>EDATE(K15,-12)</f>
        <v>45017</v>
      </c>
    </row>
    <row r="26" spans="2:11" x14ac:dyDescent="0.3">
      <c r="B26" t="s">
        <v>29</v>
      </c>
      <c r="C26" t="s">
        <v>10</v>
      </c>
      <c r="D26" t="s">
        <v>64</v>
      </c>
      <c r="J26" t="str">
        <f t="shared" si="1"/>
        <v>Prior Period Trailing 12 Mo End</v>
      </c>
      <c r="K26" s="39">
        <f>EDATE(K16,-12)</f>
        <v>45382</v>
      </c>
    </row>
    <row r="27" spans="2:11" x14ac:dyDescent="0.3">
      <c r="B27" t="s">
        <v>30</v>
      </c>
      <c r="C27" t="s">
        <v>10</v>
      </c>
      <c r="D27" t="s">
        <v>64</v>
      </c>
      <c r="J27" t="str">
        <f t="shared" si="1"/>
        <v>Prior Period YTD Start</v>
      </c>
      <c r="K27" s="39">
        <f>EOMONTH(K28,-(MONTH(K18)-MONTH(K17)+1))+1</f>
        <v>45566</v>
      </c>
    </row>
    <row r="28" spans="2:11" x14ac:dyDescent="0.3">
      <c r="B28" t="s">
        <v>31</v>
      </c>
      <c r="C28" t="s">
        <v>10</v>
      </c>
      <c r="D28" t="s">
        <v>64</v>
      </c>
      <c r="J28" t="str">
        <f t="shared" si="1"/>
        <v>Prior Period YTD End</v>
      </c>
      <c r="K28" s="39">
        <f>EOMONTH(K17,-1)</f>
        <v>45657</v>
      </c>
    </row>
    <row r="29" spans="2:11" x14ac:dyDescent="0.3">
      <c r="B29" t="s">
        <v>32</v>
      </c>
      <c r="C29" t="s">
        <v>10</v>
      </c>
      <c r="D29" t="s">
        <v>64</v>
      </c>
      <c r="J29" t="str">
        <f>"Prior Year "&amp;J9</f>
        <v>Prior Year Current Month Start</v>
      </c>
      <c r="K29" s="39">
        <f>EDATE(K9,-12)</f>
        <v>45352</v>
      </c>
    </row>
    <row r="30" spans="2:11" x14ac:dyDescent="0.3">
      <c r="B30" t="s">
        <v>34</v>
      </c>
      <c r="C30" t="s">
        <v>10</v>
      </c>
      <c r="D30" t="s">
        <v>61</v>
      </c>
      <c r="J30" t="str">
        <f t="shared" ref="J30:J38" si="2">"Prior Year "&amp;J10</f>
        <v>Prior Year Current Month End</v>
      </c>
      <c r="K30" s="39">
        <f>EDATE(CurrentMonth,-12)</f>
        <v>45382</v>
      </c>
    </row>
    <row r="31" spans="2:11" x14ac:dyDescent="0.3">
      <c r="B31" t="s">
        <v>35</v>
      </c>
      <c r="C31" t="s">
        <v>10</v>
      </c>
      <c r="D31" t="s">
        <v>61</v>
      </c>
      <c r="J31" t="str">
        <f t="shared" si="2"/>
        <v>Prior Year Trailing 3 Mo Start</v>
      </c>
      <c r="K31" s="39">
        <f t="shared" ref="K31:K38" si="3">EDATE(K11,-12)</f>
        <v>45292</v>
      </c>
    </row>
    <row r="32" spans="2:11" x14ac:dyDescent="0.3">
      <c r="B32" t="s">
        <v>36</v>
      </c>
      <c r="C32" t="s">
        <v>10</v>
      </c>
      <c r="D32" t="s">
        <v>61</v>
      </c>
      <c r="J32" t="str">
        <f t="shared" si="2"/>
        <v>Prior Year Trailing 3 Mo End</v>
      </c>
      <c r="K32" s="39">
        <f t="shared" si="3"/>
        <v>45382</v>
      </c>
    </row>
    <row r="33" spans="2:11" x14ac:dyDescent="0.3">
      <c r="B33" t="s">
        <v>37</v>
      </c>
      <c r="C33" t="s">
        <v>10</v>
      </c>
      <c r="D33" t="s">
        <v>61</v>
      </c>
      <c r="J33" t="str">
        <f t="shared" si="2"/>
        <v>Prior Year Trailing 6 Mo Start</v>
      </c>
      <c r="K33" s="39">
        <f t="shared" si="3"/>
        <v>45200</v>
      </c>
    </row>
    <row r="34" spans="2:11" x14ac:dyDescent="0.3">
      <c r="B34" t="s">
        <v>38</v>
      </c>
      <c r="C34" t="s">
        <v>10</v>
      </c>
      <c r="D34" t="s">
        <v>61</v>
      </c>
      <c r="J34" t="str">
        <f t="shared" si="2"/>
        <v>Prior Year Trailing 6 Mo End</v>
      </c>
      <c r="K34" s="39">
        <f t="shared" si="3"/>
        <v>45382</v>
      </c>
    </row>
    <row r="35" spans="2:11" x14ac:dyDescent="0.3">
      <c r="B35" t="s">
        <v>41</v>
      </c>
      <c r="C35" t="s">
        <v>65</v>
      </c>
      <c r="D35" t="s">
        <v>65</v>
      </c>
      <c r="J35" t="str">
        <f t="shared" si="2"/>
        <v>Prior Year Trailing 12 Mo Start</v>
      </c>
      <c r="K35" s="39">
        <f t="shared" si="3"/>
        <v>45017</v>
      </c>
    </row>
    <row r="36" spans="2:11" x14ac:dyDescent="0.3">
      <c r="B36" t="s">
        <v>42</v>
      </c>
      <c r="C36" t="s">
        <v>42</v>
      </c>
      <c r="D36" t="s">
        <v>42</v>
      </c>
      <c r="J36" t="str">
        <f t="shared" si="2"/>
        <v>Prior Year Trailing 12 Mo End</v>
      </c>
      <c r="K36" s="39">
        <f t="shared" si="3"/>
        <v>45382</v>
      </c>
    </row>
    <row r="37" spans="2:11" x14ac:dyDescent="0.3">
      <c r="B37" t="s">
        <v>43</v>
      </c>
      <c r="C37" t="s">
        <v>42</v>
      </c>
      <c r="D37" t="s">
        <v>42</v>
      </c>
      <c r="J37" t="str">
        <f t="shared" si="2"/>
        <v>Prior Year YTD Start</v>
      </c>
      <c r="K37" s="39">
        <f t="shared" si="3"/>
        <v>45292</v>
      </c>
    </row>
    <row r="38" spans="2:11" x14ac:dyDescent="0.3">
      <c r="B38" t="s">
        <v>45</v>
      </c>
      <c r="C38" t="s">
        <v>45</v>
      </c>
      <c r="D38" t="s">
        <v>45</v>
      </c>
      <c r="J38" t="str">
        <f t="shared" si="2"/>
        <v>Prior Year YTD End</v>
      </c>
      <c r="K38" s="39">
        <f t="shared" si="3"/>
        <v>45382</v>
      </c>
    </row>
    <row r="39" spans="2:11" x14ac:dyDescent="0.3">
      <c r="B39" t="s">
        <v>46</v>
      </c>
      <c r="C39" t="s">
        <v>45</v>
      </c>
      <c r="D39" t="s">
        <v>45</v>
      </c>
    </row>
    <row r="40" spans="2:11" x14ac:dyDescent="0.3">
      <c r="B40" t="s">
        <v>47</v>
      </c>
      <c r="C40" t="s">
        <v>45</v>
      </c>
      <c r="D40" t="s">
        <v>45</v>
      </c>
    </row>
    <row r="41" spans="2:11" x14ac:dyDescent="0.3">
      <c r="B41" t="s">
        <v>49</v>
      </c>
      <c r="C41" t="s">
        <v>49</v>
      </c>
      <c r="D41" t="s">
        <v>49</v>
      </c>
    </row>
    <row r="42" spans="2:11" x14ac:dyDescent="0.3">
      <c r="B42" t="s">
        <v>50</v>
      </c>
      <c r="C42" t="s">
        <v>50</v>
      </c>
      <c r="D42" t="s">
        <v>50</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CC8F1-E080-47E3-9484-5DFF1D5BF6DE}">
  <dimension ref="B4:AA60"/>
  <sheetViews>
    <sheetView showGridLines="0" tabSelected="1" zoomScale="115" zoomScaleNormal="115" workbookViewId="0">
      <selection activeCell="E20" sqref="E20"/>
    </sheetView>
  </sheetViews>
  <sheetFormatPr defaultRowHeight="14.4" x14ac:dyDescent="0.3"/>
  <cols>
    <col min="2" max="2" width="24.21875" bestFit="1" customWidth="1"/>
    <col min="3" max="3" width="12.33203125" bestFit="1" customWidth="1"/>
    <col min="4" max="4" width="13.44140625" bestFit="1" customWidth="1"/>
    <col min="5" max="5" width="12.6640625" bestFit="1" customWidth="1"/>
    <col min="6" max="6" width="13.88671875" bestFit="1" customWidth="1"/>
    <col min="7" max="7" width="10.6640625" bestFit="1" customWidth="1"/>
    <col min="8" max="8" width="22.44140625" bestFit="1" customWidth="1"/>
    <col min="9" max="9" width="6.77734375" bestFit="1" customWidth="1"/>
    <col min="10" max="10" width="15.44140625" bestFit="1" customWidth="1"/>
    <col min="11" max="11" width="22.6640625" bestFit="1" customWidth="1"/>
    <col min="12" max="12" width="15.21875" bestFit="1" customWidth="1"/>
    <col min="13" max="13" width="10.6640625" bestFit="1" customWidth="1"/>
    <col min="14" max="14" width="6.88671875" customWidth="1"/>
    <col min="15" max="15" width="5.21875" customWidth="1"/>
    <col min="16" max="16" width="22.33203125" bestFit="1" customWidth="1"/>
    <col min="17" max="17" width="9.33203125" bestFit="1" customWidth="1"/>
    <col min="18" max="18" width="13.88671875" bestFit="1" customWidth="1"/>
    <col min="19" max="19" width="17.6640625" bestFit="1" customWidth="1"/>
    <col min="20" max="20" width="18.109375" bestFit="1" customWidth="1"/>
    <col min="21" max="21" width="4.6640625" customWidth="1"/>
    <col min="22" max="22" width="7.44140625" customWidth="1"/>
    <col min="23" max="23" width="21.33203125" bestFit="1" customWidth="1"/>
    <col min="24" max="24" width="10.6640625" bestFit="1" customWidth="1"/>
    <col min="25" max="25" width="13.88671875" bestFit="1" customWidth="1"/>
    <col min="26" max="26" width="17.6640625" bestFit="1" customWidth="1"/>
    <col min="27" max="27" width="18.109375" bestFit="1" customWidth="1"/>
    <col min="28" max="28" width="23.44140625" bestFit="1" customWidth="1"/>
    <col min="29" max="31" width="13.88671875" bestFit="1" customWidth="1"/>
    <col min="32" max="32" width="11.6640625" bestFit="1" customWidth="1"/>
    <col min="33" max="37" width="13.88671875" bestFit="1" customWidth="1"/>
    <col min="38" max="38" width="12.77734375" bestFit="1" customWidth="1"/>
    <col min="39" max="40" width="13.88671875" bestFit="1" customWidth="1"/>
    <col min="41" max="41" width="12.77734375" bestFit="1" customWidth="1"/>
    <col min="42" max="60" width="13.88671875" bestFit="1" customWidth="1"/>
    <col min="61" max="61" width="12.77734375" bestFit="1" customWidth="1"/>
    <col min="62" max="64" width="13.88671875" bestFit="1" customWidth="1"/>
    <col min="65" max="65" width="12.77734375" bestFit="1" customWidth="1"/>
    <col min="66" max="69" width="13.88671875" bestFit="1" customWidth="1"/>
    <col min="70" max="70" width="11.6640625" bestFit="1" customWidth="1"/>
    <col min="71" max="96" width="13.88671875" bestFit="1" customWidth="1"/>
    <col min="97" max="97" width="9.44140625" bestFit="1" customWidth="1"/>
    <col min="98" max="98" width="13.88671875" bestFit="1" customWidth="1"/>
    <col min="99" max="99" width="7.21875" bestFit="1" customWidth="1"/>
    <col min="100" max="102" width="13.88671875" bestFit="1" customWidth="1"/>
    <col min="103" max="103" width="11.6640625" bestFit="1" customWidth="1"/>
    <col min="104" max="105" width="13.88671875" bestFit="1" customWidth="1"/>
    <col min="106" max="107" width="12.77734375" bestFit="1" customWidth="1"/>
    <col min="108" max="113" width="13.88671875" bestFit="1" customWidth="1"/>
    <col min="114" max="114" width="12.77734375" bestFit="1" customWidth="1"/>
    <col min="115" max="119" width="13.88671875" bestFit="1" customWidth="1"/>
    <col min="120" max="120" width="12.77734375" bestFit="1" customWidth="1"/>
    <col min="121" max="124" width="13.88671875" bestFit="1" customWidth="1"/>
    <col min="125" max="125" width="11.6640625" bestFit="1" customWidth="1"/>
    <col min="126" max="133" width="13.88671875" bestFit="1" customWidth="1"/>
    <col min="134" max="134" width="12.77734375" bestFit="1" customWidth="1"/>
    <col min="135" max="136" width="13.88671875" bestFit="1" customWidth="1"/>
    <col min="137" max="137" width="12.77734375" bestFit="1" customWidth="1"/>
    <col min="138" max="140" width="13.88671875" bestFit="1" customWidth="1"/>
    <col min="141" max="141" width="10.5546875" bestFit="1" customWidth="1"/>
    <col min="142" max="142" width="7.21875" bestFit="1" customWidth="1"/>
    <col min="143" max="148" width="13.88671875" bestFit="1" customWidth="1"/>
    <col min="149" max="149" width="12.77734375" bestFit="1" customWidth="1"/>
    <col min="150" max="160" width="13.88671875" bestFit="1" customWidth="1"/>
    <col min="161" max="161" width="2.21875" bestFit="1" customWidth="1"/>
    <col min="162" max="162" width="3.33203125" bestFit="1" customWidth="1"/>
    <col min="163" max="163" width="6.6640625" bestFit="1" customWidth="1"/>
    <col min="164" max="164" width="8.88671875" bestFit="1" customWidth="1"/>
    <col min="165" max="165" width="11.109375" bestFit="1" customWidth="1"/>
    <col min="166" max="166" width="6.6640625" bestFit="1" customWidth="1"/>
    <col min="167" max="167" width="13.33203125" bestFit="1" customWidth="1"/>
    <col min="168" max="168" width="8.88671875" bestFit="1" customWidth="1"/>
    <col min="169" max="169" width="13.33203125" bestFit="1" customWidth="1"/>
    <col min="170" max="170" width="11.109375" bestFit="1" customWidth="1"/>
    <col min="171" max="171" width="13.33203125" bestFit="1" customWidth="1"/>
    <col min="172" max="172" width="3.33203125" bestFit="1" customWidth="1"/>
    <col min="173" max="174" width="13.33203125" bestFit="1" customWidth="1"/>
    <col min="175" max="175" width="5.5546875" bestFit="1" customWidth="1"/>
    <col min="176" max="179" width="13.33203125" bestFit="1" customWidth="1"/>
    <col min="180" max="180" width="12.21875" bestFit="1" customWidth="1"/>
    <col min="181" max="183" width="13.33203125" bestFit="1" customWidth="1"/>
    <col min="184" max="184" width="12.21875" bestFit="1" customWidth="1"/>
    <col min="185" max="187" width="13.33203125" bestFit="1" customWidth="1"/>
    <col min="188" max="189" width="12.21875" bestFit="1" customWidth="1"/>
    <col min="190" max="211" width="13.33203125" bestFit="1" customWidth="1"/>
    <col min="212" max="212" width="12.21875" bestFit="1" customWidth="1"/>
    <col min="213" max="221" width="13.33203125" bestFit="1" customWidth="1"/>
    <col min="222" max="222" width="3.33203125" bestFit="1" customWidth="1"/>
    <col min="223" max="223" width="13.33203125" bestFit="1" customWidth="1"/>
    <col min="224" max="224" width="6.6640625" bestFit="1" customWidth="1"/>
    <col min="225" max="225" width="5.5546875" bestFit="1" customWidth="1"/>
    <col min="226" max="226" width="13.33203125" bestFit="1" customWidth="1"/>
    <col min="227" max="227" width="5.5546875" bestFit="1" customWidth="1"/>
    <col min="228" max="228" width="7.77734375" bestFit="1" customWidth="1"/>
    <col min="229" max="229" width="13.33203125" bestFit="1" customWidth="1"/>
    <col min="230" max="230" width="8.88671875" bestFit="1" customWidth="1"/>
    <col min="231" max="231" width="10" bestFit="1" customWidth="1"/>
    <col min="232" max="232" width="13.33203125" bestFit="1" customWidth="1"/>
    <col min="233" max="234" width="12.21875" bestFit="1" customWidth="1"/>
    <col min="235" max="235" width="11.109375" bestFit="1" customWidth="1"/>
    <col min="236" max="255" width="13.33203125" bestFit="1" customWidth="1"/>
    <col min="256" max="256" width="12.21875" bestFit="1" customWidth="1"/>
    <col min="257" max="274" width="13.33203125" bestFit="1" customWidth="1"/>
    <col min="275" max="275" width="12.21875" bestFit="1" customWidth="1"/>
    <col min="276" max="277" width="13.33203125" bestFit="1" customWidth="1"/>
    <col min="278" max="278" width="12.21875" bestFit="1" customWidth="1"/>
    <col min="279" max="280" width="13.33203125" bestFit="1" customWidth="1"/>
    <col min="281" max="281" width="12.21875" bestFit="1" customWidth="1"/>
    <col min="282" max="286" width="13.33203125" bestFit="1" customWidth="1"/>
    <col min="287" max="287" width="11.109375" bestFit="1" customWidth="1"/>
    <col min="288" max="312" width="13.33203125" bestFit="1" customWidth="1"/>
    <col min="313" max="313" width="12.21875" bestFit="1" customWidth="1"/>
    <col min="314" max="314" width="4.44140625" bestFit="1" customWidth="1"/>
    <col min="315" max="315" width="7.77734375" bestFit="1" customWidth="1"/>
    <col min="316" max="316" width="6.6640625" bestFit="1" customWidth="1"/>
    <col min="317" max="317" width="10" bestFit="1" customWidth="1"/>
    <col min="318" max="318" width="6.6640625" bestFit="1" customWidth="1"/>
    <col min="319" max="319" width="8.88671875" bestFit="1" customWidth="1"/>
    <col min="320" max="320" width="12.21875" bestFit="1" customWidth="1"/>
    <col min="321" max="321" width="10" bestFit="1" customWidth="1"/>
    <col min="322" max="322" width="13.33203125" bestFit="1" customWidth="1"/>
    <col min="323" max="323" width="11.109375" bestFit="1" customWidth="1"/>
    <col min="324" max="326" width="13.33203125" bestFit="1" customWidth="1"/>
    <col min="327" max="327" width="7.77734375" bestFit="1" customWidth="1"/>
    <col min="328" max="328" width="12.21875" bestFit="1" customWidth="1"/>
    <col min="329" max="336" width="13.33203125" bestFit="1" customWidth="1"/>
    <col min="337" max="337" width="4.44140625" bestFit="1" customWidth="1"/>
    <col min="338" max="342" width="13.33203125" bestFit="1" customWidth="1"/>
    <col min="343" max="343" width="12.21875" bestFit="1" customWidth="1"/>
    <col min="344" max="347" width="13.33203125" bestFit="1" customWidth="1"/>
    <col min="348" max="348" width="4.44140625" bestFit="1" customWidth="1"/>
    <col min="349" max="350" width="13.33203125" bestFit="1" customWidth="1"/>
    <col min="351" max="351" width="4.44140625" bestFit="1" customWidth="1"/>
    <col min="352" max="354" width="13.33203125" bestFit="1" customWidth="1"/>
    <col min="355" max="355" width="7.77734375" bestFit="1" customWidth="1"/>
    <col min="356" max="356" width="12.21875" bestFit="1" customWidth="1"/>
    <col min="357" max="359" width="13.33203125" bestFit="1" customWidth="1"/>
    <col min="360" max="360" width="8.88671875" bestFit="1" customWidth="1"/>
    <col min="361" max="361" width="10" bestFit="1" customWidth="1"/>
    <col min="362" max="362" width="13.33203125" bestFit="1" customWidth="1"/>
    <col min="363" max="363" width="12.21875" bestFit="1" customWidth="1"/>
    <col min="364" max="364" width="13.33203125" bestFit="1" customWidth="1"/>
    <col min="365" max="365" width="11.109375" bestFit="1" customWidth="1"/>
    <col min="366" max="367" width="12.21875" bestFit="1" customWidth="1"/>
    <col min="368" max="373" width="13.33203125" bestFit="1" customWidth="1"/>
    <col min="374" max="374" width="12.21875" bestFit="1" customWidth="1"/>
    <col min="375" max="375" width="6.6640625" bestFit="1" customWidth="1"/>
    <col min="376" max="386" width="13.33203125" bestFit="1" customWidth="1"/>
    <col min="387" max="387" width="4.44140625" bestFit="1" customWidth="1"/>
    <col min="388" max="388" width="7.77734375" bestFit="1" customWidth="1"/>
    <col min="389" max="393" width="13.33203125" bestFit="1" customWidth="1"/>
    <col min="394" max="394" width="6.6640625" bestFit="1" customWidth="1"/>
    <col min="395" max="395" width="10" bestFit="1" customWidth="1"/>
    <col min="396" max="398" width="13.33203125" bestFit="1" customWidth="1"/>
    <col min="399" max="399" width="12.21875" bestFit="1" customWidth="1"/>
    <col min="400" max="402" width="13.33203125" bestFit="1" customWidth="1"/>
    <col min="403" max="403" width="8.88671875" bestFit="1" customWidth="1"/>
    <col min="404" max="404" width="12.21875" bestFit="1" customWidth="1"/>
    <col min="405" max="410" width="13.33203125" bestFit="1" customWidth="1"/>
    <col min="411" max="411" width="11.109375" bestFit="1" customWidth="1"/>
    <col min="412" max="412" width="4.44140625" bestFit="1" customWidth="1"/>
    <col min="413" max="418" width="13.33203125" bestFit="1" customWidth="1"/>
    <col min="419" max="419" width="12.21875" bestFit="1" customWidth="1"/>
    <col min="420" max="431" width="13.33203125" bestFit="1" customWidth="1"/>
    <col min="432" max="432" width="12.21875" bestFit="1" customWidth="1"/>
    <col min="433" max="438" width="13.33203125" bestFit="1" customWidth="1"/>
    <col min="439" max="439" width="4.44140625" bestFit="1" customWidth="1"/>
    <col min="440" max="442" width="13.33203125" bestFit="1" customWidth="1"/>
    <col min="443" max="443" width="6.6640625" bestFit="1" customWidth="1"/>
    <col min="444" max="444" width="12.21875" bestFit="1" customWidth="1"/>
    <col min="445" max="445" width="7.77734375" bestFit="1" customWidth="1"/>
    <col min="446" max="446" width="12.21875" bestFit="1" customWidth="1"/>
    <col min="447" max="447" width="13.33203125" bestFit="1" customWidth="1"/>
    <col min="448" max="448" width="12.21875" bestFit="1" customWidth="1"/>
    <col min="449" max="450" width="13.33203125" bestFit="1" customWidth="1"/>
    <col min="451" max="451" width="4.44140625" bestFit="1" customWidth="1"/>
    <col min="452" max="455" width="13.33203125" bestFit="1" customWidth="1"/>
    <col min="456" max="456" width="10" bestFit="1" customWidth="1"/>
    <col min="457" max="461" width="13.33203125" bestFit="1" customWidth="1"/>
    <col min="462" max="462" width="7.77734375" bestFit="1" customWidth="1"/>
    <col min="463" max="466" width="13.33203125" bestFit="1" customWidth="1"/>
    <col min="467" max="467" width="12.21875" bestFit="1" customWidth="1"/>
    <col min="468" max="472" width="13.33203125" bestFit="1" customWidth="1"/>
    <col min="473" max="473" width="12.21875" bestFit="1" customWidth="1"/>
    <col min="474" max="474" width="10" bestFit="1" customWidth="1"/>
    <col min="475" max="478" width="13.33203125" bestFit="1" customWidth="1"/>
    <col min="479" max="479" width="7.77734375" bestFit="1" customWidth="1"/>
    <col min="480" max="485" width="13.33203125" bestFit="1" customWidth="1"/>
    <col min="486" max="486" width="12.21875" bestFit="1" customWidth="1"/>
    <col min="487" max="488" width="13.33203125" bestFit="1" customWidth="1"/>
    <col min="489" max="489" width="12.21875" bestFit="1" customWidth="1"/>
    <col min="490" max="498" width="13.33203125" bestFit="1" customWidth="1"/>
    <col min="499" max="499" width="12.21875" bestFit="1" customWidth="1"/>
    <col min="500" max="500" width="4.44140625" bestFit="1" customWidth="1"/>
    <col min="501" max="504" width="13.33203125" bestFit="1" customWidth="1"/>
    <col min="505" max="505" width="7.77734375" bestFit="1" customWidth="1"/>
    <col min="506" max="512" width="13.33203125" bestFit="1" customWidth="1"/>
    <col min="513" max="513" width="12.21875" bestFit="1" customWidth="1"/>
    <col min="514" max="514" width="13.33203125" bestFit="1" customWidth="1"/>
    <col min="515" max="515" width="12.21875" bestFit="1" customWidth="1"/>
    <col min="516" max="516" width="13.33203125" bestFit="1" customWidth="1"/>
    <col min="517" max="517" width="6.6640625" bestFit="1" customWidth="1"/>
    <col min="518" max="520" width="13.33203125" bestFit="1" customWidth="1"/>
    <col min="521" max="521" width="10" bestFit="1" customWidth="1"/>
    <col min="522" max="523" width="13.33203125" bestFit="1" customWidth="1"/>
    <col min="524" max="524" width="8.88671875" bestFit="1" customWidth="1"/>
    <col min="525" max="529" width="13.33203125" bestFit="1" customWidth="1"/>
    <col min="530" max="530" width="12.21875" bestFit="1" customWidth="1"/>
    <col min="531" max="532" width="13.33203125" bestFit="1" customWidth="1"/>
    <col min="533" max="533" width="8.88671875" bestFit="1" customWidth="1"/>
    <col min="534" max="535" width="13.33203125" bestFit="1" customWidth="1"/>
    <col min="536" max="536" width="12.21875" bestFit="1" customWidth="1"/>
    <col min="537" max="543" width="13.33203125" bestFit="1" customWidth="1"/>
    <col min="544" max="544" width="11.109375" bestFit="1" customWidth="1"/>
    <col min="545" max="547" width="13.33203125" bestFit="1" customWidth="1"/>
    <col min="548" max="548" width="12.21875" bestFit="1" customWidth="1"/>
    <col min="549" max="564" width="13.33203125" bestFit="1" customWidth="1"/>
    <col min="565" max="565" width="4.44140625" bestFit="1" customWidth="1"/>
    <col min="566" max="567" width="13.33203125" bestFit="1" customWidth="1"/>
    <col min="568" max="568" width="12.21875" bestFit="1" customWidth="1"/>
    <col min="569" max="569" width="13.33203125" bestFit="1" customWidth="1"/>
    <col min="570" max="570" width="10" bestFit="1" customWidth="1"/>
    <col min="571" max="573" width="13.33203125" bestFit="1" customWidth="1"/>
    <col min="574" max="574" width="12.21875" bestFit="1" customWidth="1"/>
    <col min="575" max="578" width="13.33203125" bestFit="1" customWidth="1"/>
    <col min="579" max="579" width="6.6640625" bestFit="1" customWidth="1"/>
    <col min="580" max="580" width="4.44140625" bestFit="1" customWidth="1"/>
    <col min="581" max="588" width="13.33203125" bestFit="1" customWidth="1"/>
    <col min="589" max="589" width="4.44140625" bestFit="1" customWidth="1"/>
    <col min="590" max="592" width="13.33203125" bestFit="1" customWidth="1"/>
    <col min="593" max="593" width="7.77734375" bestFit="1" customWidth="1"/>
    <col min="594" max="604" width="13.33203125" bestFit="1" customWidth="1"/>
    <col min="605" max="605" width="7.77734375" bestFit="1" customWidth="1"/>
    <col min="606" max="607" width="13.33203125" bestFit="1" customWidth="1"/>
    <col min="608" max="608" width="10" bestFit="1" customWidth="1"/>
    <col min="609" max="610" width="13.33203125" bestFit="1" customWidth="1"/>
    <col min="611" max="611" width="12.21875" bestFit="1" customWidth="1"/>
    <col min="612" max="612" width="13.33203125" bestFit="1" customWidth="1"/>
    <col min="613" max="613" width="11.109375" bestFit="1" customWidth="1"/>
    <col min="614" max="616" width="13.33203125" bestFit="1" customWidth="1"/>
    <col min="617" max="617" width="11.109375" bestFit="1" customWidth="1"/>
    <col min="618" max="618" width="7.77734375" bestFit="1" customWidth="1"/>
    <col min="619" max="619" width="13.33203125" bestFit="1" customWidth="1"/>
    <col min="620" max="620" width="4.44140625" bestFit="1" customWidth="1"/>
    <col min="621" max="621" width="12.21875" bestFit="1" customWidth="1"/>
    <col min="622" max="624" width="13.33203125" bestFit="1" customWidth="1"/>
    <col min="625" max="625" width="8.88671875" bestFit="1" customWidth="1"/>
    <col min="626" max="626" width="7.77734375" bestFit="1" customWidth="1"/>
    <col min="627" max="630" width="13.33203125" bestFit="1" customWidth="1"/>
    <col min="631" max="631" width="10" bestFit="1" customWidth="1"/>
    <col min="632" max="632" width="12.21875" bestFit="1" customWidth="1"/>
    <col min="633" max="633" width="13.33203125" bestFit="1" customWidth="1"/>
    <col min="634" max="634" width="6.6640625" bestFit="1" customWidth="1"/>
    <col min="635" max="637" width="13.33203125" bestFit="1" customWidth="1"/>
    <col min="638" max="638" width="12.21875" bestFit="1" customWidth="1"/>
    <col min="639" max="639" width="13.33203125" bestFit="1" customWidth="1"/>
    <col min="640" max="640" width="12.21875" bestFit="1" customWidth="1"/>
    <col min="641" max="641" width="10" bestFit="1" customWidth="1"/>
    <col min="642" max="646" width="13.33203125" bestFit="1" customWidth="1"/>
    <col min="647" max="647" width="12.21875" bestFit="1" customWidth="1"/>
    <col min="648" max="652" width="13.33203125" bestFit="1" customWidth="1"/>
    <col min="653" max="653" width="4.44140625" bestFit="1" customWidth="1"/>
    <col min="654" max="654" width="13.33203125" bestFit="1" customWidth="1"/>
    <col min="655" max="656" width="12.21875" bestFit="1" customWidth="1"/>
    <col min="657" max="661" width="13.33203125" bestFit="1" customWidth="1"/>
    <col min="662" max="662" width="12.21875" bestFit="1" customWidth="1"/>
    <col min="663" max="668" width="13.33203125" bestFit="1" customWidth="1"/>
    <col min="669" max="669" width="6.6640625" bestFit="1" customWidth="1"/>
    <col min="670" max="674" width="13.33203125" bestFit="1" customWidth="1"/>
    <col min="675" max="675" width="4.44140625" bestFit="1" customWidth="1"/>
    <col min="676" max="681" width="13.33203125" bestFit="1" customWidth="1"/>
    <col min="682" max="682" width="6.6640625" bestFit="1" customWidth="1"/>
    <col min="683" max="693" width="13.33203125" bestFit="1" customWidth="1"/>
    <col min="694" max="694" width="4.44140625" bestFit="1" customWidth="1"/>
    <col min="695" max="698" width="13.33203125" bestFit="1" customWidth="1"/>
    <col min="699" max="699" width="8.88671875" bestFit="1" customWidth="1"/>
    <col min="700" max="705" width="13.33203125" bestFit="1" customWidth="1"/>
    <col min="706" max="706" width="12.21875" bestFit="1" customWidth="1"/>
    <col min="707" max="709" width="13.33203125" bestFit="1" customWidth="1"/>
    <col min="710" max="710" width="7.77734375" bestFit="1" customWidth="1"/>
    <col min="711" max="714" width="13.33203125" bestFit="1" customWidth="1"/>
    <col min="715" max="715" width="11.109375" bestFit="1" customWidth="1"/>
    <col min="716" max="728" width="13.33203125" bestFit="1" customWidth="1"/>
    <col min="729" max="729" width="10" bestFit="1" customWidth="1"/>
    <col min="730" max="749" width="13.33203125" bestFit="1" customWidth="1"/>
    <col min="750" max="750" width="12.21875" bestFit="1" customWidth="1"/>
    <col min="751" max="765" width="13.33203125" bestFit="1" customWidth="1"/>
    <col min="766" max="766" width="12.21875" bestFit="1" customWidth="1"/>
    <col min="767" max="776" width="13.33203125" bestFit="1" customWidth="1"/>
    <col min="777" max="777" width="12.21875" bestFit="1" customWidth="1"/>
    <col min="778" max="788" width="13.33203125" bestFit="1" customWidth="1"/>
    <col min="789" max="789" width="12.21875" bestFit="1" customWidth="1"/>
    <col min="790" max="790" width="4.44140625" bestFit="1" customWidth="1"/>
    <col min="791" max="791" width="13.33203125" bestFit="1" customWidth="1"/>
    <col min="792" max="792" width="12.21875" bestFit="1" customWidth="1"/>
    <col min="793" max="801" width="13.33203125" bestFit="1" customWidth="1"/>
    <col min="802" max="802" width="12.21875" bestFit="1" customWidth="1"/>
    <col min="803" max="808" width="13.33203125" bestFit="1" customWidth="1"/>
    <col min="809" max="809" width="4.44140625" bestFit="1" customWidth="1"/>
    <col min="810" max="810" width="12.21875" bestFit="1" customWidth="1"/>
    <col min="811" max="820" width="13.33203125" bestFit="1" customWidth="1"/>
    <col min="821" max="821" width="12.21875" bestFit="1" customWidth="1"/>
    <col min="822" max="826" width="13.33203125" bestFit="1" customWidth="1"/>
    <col min="827" max="827" width="10" bestFit="1" customWidth="1"/>
    <col min="828" max="828" width="7.77734375" bestFit="1" customWidth="1"/>
    <col min="829" max="830" width="13.33203125" bestFit="1" customWidth="1"/>
    <col min="831" max="831" width="12.21875" bestFit="1" customWidth="1"/>
    <col min="832" max="840" width="13.33203125" bestFit="1" customWidth="1"/>
    <col min="841" max="841" width="12.21875" bestFit="1" customWidth="1"/>
    <col min="842" max="842" width="13.33203125" bestFit="1" customWidth="1"/>
    <col min="843" max="843" width="4.44140625" bestFit="1" customWidth="1"/>
    <col min="844" max="849" width="13.33203125" bestFit="1" customWidth="1"/>
    <col min="850" max="850" width="12.21875" bestFit="1" customWidth="1"/>
    <col min="851" max="851" width="10" bestFit="1" customWidth="1"/>
    <col min="852" max="856" width="13.33203125" bestFit="1" customWidth="1"/>
    <col min="857" max="857" width="12.21875" bestFit="1" customWidth="1"/>
    <col min="858" max="862" width="13.33203125" bestFit="1" customWidth="1"/>
    <col min="863" max="863" width="6.6640625" bestFit="1" customWidth="1"/>
    <col min="864" max="864" width="13.33203125" bestFit="1" customWidth="1"/>
    <col min="865" max="865" width="11.109375" bestFit="1" customWidth="1"/>
    <col min="866" max="869" width="13.33203125" bestFit="1" customWidth="1"/>
    <col min="870" max="870" width="12.21875" bestFit="1" customWidth="1"/>
    <col min="871" max="879" width="13.33203125" bestFit="1" customWidth="1"/>
    <col min="880" max="880" width="8.88671875" bestFit="1" customWidth="1"/>
    <col min="881" max="888" width="13.33203125" bestFit="1" customWidth="1"/>
    <col min="889" max="889" width="4.44140625" bestFit="1" customWidth="1"/>
    <col min="890" max="898" width="13.33203125" bestFit="1" customWidth="1"/>
    <col min="899" max="899" width="11.109375" bestFit="1" customWidth="1"/>
    <col min="900" max="900" width="13.33203125" bestFit="1" customWidth="1"/>
    <col min="901" max="901" width="12.21875" bestFit="1" customWidth="1"/>
    <col min="902" max="913" width="13.33203125" bestFit="1" customWidth="1"/>
    <col min="914" max="914" width="12.21875" bestFit="1" customWidth="1"/>
    <col min="915" max="925" width="13.33203125" bestFit="1" customWidth="1"/>
    <col min="926" max="926" width="12.21875" bestFit="1" customWidth="1"/>
    <col min="927" max="933" width="13.33203125" bestFit="1" customWidth="1"/>
    <col min="934" max="934" width="12.21875" bestFit="1" customWidth="1"/>
    <col min="935" max="944" width="13.33203125" bestFit="1" customWidth="1"/>
    <col min="945" max="945" width="12.21875" bestFit="1" customWidth="1"/>
    <col min="946" max="949" width="13.33203125" bestFit="1" customWidth="1"/>
    <col min="950" max="950" width="12.21875" bestFit="1" customWidth="1"/>
    <col min="951" max="952" width="13.33203125" bestFit="1" customWidth="1"/>
    <col min="953" max="953" width="12.21875" bestFit="1" customWidth="1"/>
    <col min="954" max="970" width="13.33203125" bestFit="1" customWidth="1"/>
    <col min="971" max="971" width="4.44140625" bestFit="1" customWidth="1"/>
    <col min="972" max="982" width="13.33203125" bestFit="1" customWidth="1"/>
    <col min="983" max="983" width="6.6640625" bestFit="1" customWidth="1"/>
    <col min="984" max="990" width="13.33203125" bestFit="1" customWidth="1"/>
    <col min="991" max="991" width="12.21875" bestFit="1" customWidth="1"/>
    <col min="992" max="992" width="13.33203125" bestFit="1" customWidth="1"/>
    <col min="993" max="993" width="4.44140625" bestFit="1" customWidth="1"/>
    <col min="994" max="995" width="13.33203125" bestFit="1" customWidth="1"/>
    <col min="996" max="996" width="12.21875" bestFit="1" customWidth="1"/>
    <col min="997" max="997" width="13.33203125" bestFit="1" customWidth="1"/>
    <col min="998" max="998" width="12.21875" bestFit="1" customWidth="1"/>
    <col min="999" max="999" width="13.33203125" bestFit="1" customWidth="1"/>
    <col min="1000" max="1000" width="4.44140625" bestFit="1" customWidth="1"/>
    <col min="1001" max="1002" width="13.33203125" bestFit="1" customWidth="1"/>
    <col min="1003" max="1003" width="12.21875" bestFit="1" customWidth="1"/>
    <col min="1004" max="1004" width="13.33203125" bestFit="1" customWidth="1"/>
    <col min="1005" max="1005" width="7.77734375" bestFit="1" customWidth="1"/>
    <col min="1006" max="1008" width="13.33203125" bestFit="1" customWidth="1"/>
    <col min="1009" max="1009" width="12.21875" bestFit="1" customWidth="1"/>
    <col min="1010" max="1010" width="13.33203125" bestFit="1" customWidth="1"/>
    <col min="1011" max="1011" width="6.6640625" bestFit="1" customWidth="1"/>
    <col min="1012" max="1014" width="13.33203125" bestFit="1" customWidth="1"/>
    <col min="1015" max="1015" width="11.109375" bestFit="1" customWidth="1"/>
    <col min="1016" max="1016" width="12.21875" bestFit="1" customWidth="1"/>
    <col min="1017" max="1017" width="4.44140625" bestFit="1" customWidth="1"/>
    <col min="1018" max="1019" width="13.33203125" bestFit="1" customWidth="1"/>
    <col min="1020" max="1020" width="8.88671875" bestFit="1" customWidth="1"/>
    <col min="1021" max="1023" width="13.33203125" bestFit="1" customWidth="1"/>
    <col min="1024" max="1024" width="8.88671875" bestFit="1" customWidth="1"/>
    <col min="1025" max="1030" width="13.33203125" bestFit="1" customWidth="1"/>
    <col min="1031" max="1031" width="11.109375" bestFit="1" customWidth="1"/>
    <col min="1032" max="1033" width="13.33203125" bestFit="1" customWidth="1"/>
    <col min="1034" max="1034" width="12.21875" bestFit="1" customWidth="1"/>
    <col min="1035" max="1035" width="11.109375" bestFit="1" customWidth="1"/>
    <col min="1036" max="1036" width="4.44140625" bestFit="1" customWidth="1"/>
    <col min="1037" max="1037" width="12.21875" bestFit="1" customWidth="1"/>
    <col min="1038" max="1038" width="13.33203125" bestFit="1" customWidth="1"/>
    <col min="1039" max="1039" width="12.21875" bestFit="1" customWidth="1"/>
    <col min="1040" max="1048" width="13.33203125" bestFit="1" customWidth="1"/>
    <col min="1049" max="1049" width="7.77734375" bestFit="1" customWidth="1"/>
    <col min="1050" max="1051" width="13.33203125" bestFit="1" customWidth="1"/>
    <col min="1052" max="1052" width="10" bestFit="1" customWidth="1"/>
    <col min="1053" max="1054" width="13.33203125" bestFit="1" customWidth="1"/>
    <col min="1055" max="1055" width="12.21875" bestFit="1" customWidth="1"/>
    <col min="1056" max="1059" width="13.33203125" bestFit="1" customWidth="1"/>
    <col min="1060" max="1060" width="12.21875" bestFit="1" customWidth="1"/>
    <col min="1061" max="1061" width="6.6640625" bestFit="1" customWidth="1"/>
    <col min="1062" max="1062" width="5.5546875" bestFit="1" customWidth="1"/>
    <col min="1063" max="1063" width="13.33203125" bestFit="1" customWidth="1"/>
    <col min="1064" max="1064" width="12.21875" bestFit="1" customWidth="1"/>
    <col min="1065" max="1065" width="13.33203125" bestFit="1" customWidth="1"/>
    <col min="1066" max="1066" width="7.77734375" bestFit="1" customWidth="1"/>
    <col min="1067" max="1067" width="11.109375" bestFit="1" customWidth="1"/>
    <col min="1068" max="1069" width="13.33203125" bestFit="1" customWidth="1"/>
    <col min="1070" max="1070" width="12.21875" bestFit="1" customWidth="1"/>
    <col min="1071" max="1074" width="13.33203125" bestFit="1" customWidth="1"/>
    <col min="1075" max="1075" width="10" bestFit="1" customWidth="1"/>
    <col min="1076" max="1076" width="5.5546875" bestFit="1" customWidth="1"/>
    <col min="1077" max="1078" width="13.33203125" bestFit="1" customWidth="1"/>
    <col min="1079" max="1079" width="5.5546875" bestFit="1" customWidth="1"/>
    <col min="1080" max="1080" width="13.33203125" bestFit="1" customWidth="1"/>
    <col min="1081" max="1081" width="12.21875" bestFit="1" customWidth="1"/>
    <col min="1082" max="1083" width="13.33203125" bestFit="1" customWidth="1"/>
    <col min="1084" max="1084" width="10" bestFit="1" customWidth="1"/>
    <col min="1085" max="1085" width="12.21875" bestFit="1" customWidth="1"/>
    <col min="1086" max="1086" width="5.5546875" bestFit="1" customWidth="1"/>
    <col min="1087" max="1096" width="13.33203125" bestFit="1" customWidth="1"/>
    <col min="1097" max="1097" width="12.21875" bestFit="1" customWidth="1"/>
    <col min="1098" max="1098" width="13.33203125" bestFit="1" customWidth="1"/>
    <col min="1099" max="1099" width="7.77734375" bestFit="1" customWidth="1"/>
    <col min="1100" max="1100" width="13.33203125" bestFit="1" customWidth="1"/>
    <col min="1101" max="1102" width="12.21875" bestFit="1" customWidth="1"/>
    <col min="1103" max="1111" width="13.33203125" bestFit="1" customWidth="1"/>
    <col min="1112" max="1112" width="10" bestFit="1" customWidth="1"/>
    <col min="1113" max="1117" width="13.33203125" bestFit="1" customWidth="1"/>
    <col min="1118" max="1118" width="12.21875" bestFit="1" customWidth="1"/>
    <col min="1119" max="1127" width="13.33203125" bestFit="1" customWidth="1"/>
    <col min="1128" max="1128" width="12.21875" bestFit="1" customWidth="1"/>
    <col min="1129" max="1139" width="13.33203125" bestFit="1" customWidth="1"/>
    <col min="1140" max="1140" width="12.21875" bestFit="1" customWidth="1"/>
    <col min="1141" max="1147" width="13.33203125" bestFit="1" customWidth="1"/>
    <col min="1148" max="1148" width="12.21875" bestFit="1" customWidth="1"/>
    <col min="1149" max="1150" width="13.33203125" bestFit="1" customWidth="1"/>
    <col min="1151" max="1151" width="12.21875" bestFit="1" customWidth="1"/>
    <col min="1152" max="1173" width="13.33203125" bestFit="1" customWidth="1"/>
    <col min="1174" max="1174" width="12.21875" bestFit="1" customWidth="1"/>
    <col min="1175" max="1183" width="13.33203125" bestFit="1" customWidth="1"/>
    <col min="1184" max="1184" width="12.21875" bestFit="1" customWidth="1"/>
    <col min="1185" max="1213" width="13.33203125" bestFit="1" customWidth="1"/>
    <col min="1214" max="1214" width="12.21875" bestFit="1" customWidth="1"/>
    <col min="1215" max="1229" width="13.33203125" bestFit="1" customWidth="1"/>
    <col min="1230" max="1230" width="12.21875" bestFit="1" customWidth="1"/>
    <col min="1231" max="1234" width="13.33203125" bestFit="1" customWidth="1"/>
    <col min="1235" max="1235" width="11.109375" bestFit="1" customWidth="1"/>
    <col min="1236" max="1236" width="12.21875" bestFit="1" customWidth="1"/>
    <col min="1237" max="1263" width="13.33203125" bestFit="1" customWidth="1"/>
    <col min="1264" max="1264" width="5.5546875" bestFit="1" customWidth="1"/>
    <col min="1265" max="1267" width="13.33203125" bestFit="1" customWidth="1"/>
    <col min="1268" max="1268" width="12.21875" bestFit="1" customWidth="1"/>
    <col min="1269" max="1269" width="13.33203125" bestFit="1" customWidth="1"/>
    <col min="1270" max="1270" width="12.21875" bestFit="1" customWidth="1"/>
    <col min="1271" max="1275" width="13.33203125" bestFit="1" customWidth="1"/>
    <col min="1276" max="1276" width="7.77734375" bestFit="1" customWidth="1"/>
    <col min="1277" max="1277" width="5.5546875" bestFit="1" customWidth="1"/>
    <col min="1278" max="1279" width="13.33203125" bestFit="1" customWidth="1"/>
    <col min="1280" max="1280" width="7.77734375" bestFit="1" customWidth="1"/>
    <col min="1281" max="1283" width="13.33203125" bestFit="1" customWidth="1"/>
    <col min="1284" max="1284" width="12.21875" bestFit="1" customWidth="1"/>
    <col min="1285" max="1288" width="13.33203125" bestFit="1" customWidth="1"/>
    <col min="1289" max="1289" width="10" bestFit="1" customWidth="1"/>
    <col min="1290" max="1290" width="5.5546875" bestFit="1" customWidth="1"/>
    <col min="1291" max="1295" width="13.33203125" bestFit="1" customWidth="1"/>
    <col min="1296" max="1296" width="10" bestFit="1" customWidth="1"/>
    <col min="1297" max="1304" width="13.33203125" bestFit="1" customWidth="1"/>
    <col min="1305" max="1305" width="12.21875" bestFit="1" customWidth="1"/>
    <col min="1306" max="1306" width="8.88671875" bestFit="1" customWidth="1"/>
    <col min="1307" max="1308" width="13.33203125" bestFit="1" customWidth="1"/>
    <col min="1309" max="1310" width="12.21875" bestFit="1" customWidth="1"/>
    <col min="1311" max="1319" width="13.33203125" bestFit="1" customWidth="1"/>
    <col min="1320" max="1320" width="11.109375" bestFit="1" customWidth="1"/>
    <col min="1321" max="1332" width="13.33203125" bestFit="1" customWidth="1"/>
    <col min="1333" max="1333" width="5.5546875" bestFit="1" customWidth="1"/>
    <col min="1334" max="1334" width="10" bestFit="1" customWidth="1"/>
    <col min="1335" max="1336" width="13.33203125" bestFit="1" customWidth="1"/>
    <col min="1337" max="1337" width="12.21875" bestFit="1" customWidth="1"/>
    <col min="1338" max="1342" width="13.33203125" bestFit="1" customWidth="1"/>
    <col min="1343" max="1343" width="12.21875" bestFit="1" customWidth="1"/>
    <col min="1344" max="1344" width="13.33203125" bestFit="1" customWidth="1"/>
    <col min="1345" max="1346" width="12.21875" bestFit="1" customWidth="1"/>
    <col min="1347" max="1347" width="11.109375" bestFit="1" customWidth="1"/>
    <col min="1348" max="1363" width="13.33203125" bestFit="1" customWidth="1"/>
    <col min="1364" max="1364" width="12.21875" bestFit="1" customWidth="1"/>
    <col min="1365" max="1373" width="13.33203125" bestFit="1" customWidth="1"/>
    <col min="1374" max="1374" width="11.109375" bestFit="1" customWidth="1"/>
    <col min="1375" max="1379" width="13.33203125" bestFit="1" customWidth="1"/>
    <col min="1380" max="1380" width="11.109375" bestFit="1" customWidth="1"/>
    <col min="1381" max="1381" width="5.5546875" bestFit="1" customWidth="1"/>
    <col min="1382" max="1382" width="13.33203125" bestFit="1" customWidth="1"/>
    <col min="1383" max="1383" width="12.21875" bestFit="1" customWidth="1"/>
    <col min="1384" max="1385" width="13.33203125" bestFit="1" customWidth="1"/>
    <col min="1386" max="1386" width="7.77734375" bestFit="1" customWidth="1"/>
    <col min="1387" max="1394" width="13.33203125" bestFit="1" customWidth="1"/>
    <col min="1395" max="1395" width="5.5546875" bestFit="1" customWidth="1"/>
    <col min="1396" max="1401" width="13.33203125" bestFit="1" customWidth="1"/>
    <col min="1402" max="1402" width="10" bestFit="1" customWidth="1"/>
    <col min="1403" max="1406" width="13.33203125" bestFit="1" customWidth="1"/>
    <col min="1407" max="1408" width="12.21875" bestFit="1" customWidth="1"/>
    <col min="1409" max="1413" width="13.33203125" bestFit="1" customWidth="1"/>
    <col min="1414" max="1414" width="7.77734375" bestFit="1" customWidth="1"/>
    <col min="1415" max="1422" width="13.33203125" bestFit="1" customWidth="1"/>
    <col min="1423" max="1423" width="12.21875" bestFit="1" customWidth="1"/>
    <col min="1424" max="1432" width="13.33203125" bestFit="1" customWidth="1"/>
    <col min="1433" max="1433" width="12.21875" bestFit="1" customWidth="1"/>
    <col min="1434" max="1434" width="10" bestFit="1" customWidth="1"/>
    <col min="1435" max="1438" width="13.33203125" bestFit="1" customWidth="1"/>
    <col min="1439" max="1439" width="12.21875" bestFit="1" customWidth="1"/>
    <col min="1440" max="1442" width="13.33203125" bestFit="1" customWidth="1"/>
    <col min="1443" max="1443" width="12.21875" bestFit="1" customWidth="1"/>
    <col min="1444" max="1450" width="13.33203125" bestFit="1" customWidth="1"/>
    <col min="1451" max="1451" width="12.21875" bestFit="1" customWidth="1"/>
    <col min="1452" max="1452" width="13.33203125" bestFit="1" customWidth="1"/>
    <col min="1453" max="1453" width="12.21875" bestFit="1" customWidth="1"/>
    <col min="1454" max="1460" width="13.33203125" bestFit="1" customWidth="1"/>
    <col min="1461" max="1461" width="12.21875" bestFit="1" customWidth="1"/>
    <col min="1462" max="1467" width="13.33203125" bestFit="1" customWidth="1"/>
    <col min="1468" max="1468" width="12.21875" bestFit="1" customWidth="1"/>
    <col min="1469" max="1474" width="13.33203125" bestFit="1" customWidth="1"/>
    <col min="1475" max="1475" width="7.77734375" bestFit="1" customWidth="1"/>
    <col min="1476" max="1478" width="13.33203125" bestFit="1" customWidth="1"/>
    <col min="1479" max="1479" width="12.21875" bestFit="1" customWidth="1"/>
    <col min="1480" max="1482" width="13.33203125" bestFit="1" customWidth="1"/>
    <col min="1483" max="1483" width="8.88671875" bestFit="1" customWidth="1"/>
    <col min="1484" max="1495" width="13.33203125" bestFit="1" customWidth="1"/>
    <col min="1496" max="1496" width="10" bestFit="1" customWidth="1"/>
    <col min="1497" max="1504" width="13.33203125" bestFit="1" customWidth="1"/>
    <col min="1505" max="1505" width="7.77734375" bestFit="1" customWidth="1"/>
    <col min="1506" max="1506" width="11.109375" bestFit="1" customWidth="1"/>
    <col min="1507" max="1510" width="13.33203125" bestFit="1" customWidth="1"/>
    <col min="1511" max="1511" width="12.21875" bestFit="1" customWidth="1"/>
    <col min="1512" max="1513" width="13.33203125" bestFit="1" customWidth="1"/>
    <col min="1514" max="1514" width="12.21875" bestFit="1" customWidth="1"/>
    <col min="1515" max="1518" width="13.33203125" bestFit="1" customWidth="1"/>
    <col min="1519" max="1519" width="11.109375" bestFit="1" customWidth="1"/>
    <col min="1520" max="1521" width="13.33203125" bestFit="1" customWidth="1"/>
    <col min="1522" max="1522" width="10" bestFit="1" customWidth="1"/>
    <col min="1523" max="1524" width="13.33203125" bestFit="1" customWidth="1"/>
    <col min="1525" max="1525" width="5.5546875" bestFit="1" customWidth="1"/>
    <col min="1526" max="1526" width="13.33203125" bestFit="1" customWidth="1"/>
    <col min="1527" max="1527" width="11.109375" bestFit="1" customWidth="1"/>
    <col min="1528" max="1529" width="13.33203125" bestFit="1" customWidth="1"/>
    <col min="1530" max="1530" width="7.77734375" bestFit="1" customWidth="1"/>
    <col min="1531" max="1538" width="13.33203125" bestFit="1" customWidth="1"/>
    <col min="1539" max="1539" width="12.21875" bestFit="1" customWidth="1"/>
    <col min="1540" max="1540" width="13.33203125" bestFit="1" customWidth="1"/>
    <col min="1541" max="1541" width="12.21875" bestFit="1" customWidth="1"/>
    <col min="1542" max="1544" width="13.33203125" bestFit="1" customWidth="1"/>
    <col min="1545" max="1545" width="5.5546875" bestFit="1" customWidth="1"/>
    <col min="1546" max="1547" width="13.33203125" bestFit="1" customWidth="1"/>
    <col min="1548" max="1548" width="10" bestFit="1" customWidth="1"/>
    <col min="1549" max="1549" width="5.5546875" bestFit="1" customWidth="1"/>
    <col min="1550" max="1557" width="13.33203125" bestFit="1" customWidth="1"/>
    <col min="1558" max="1558" width="12.21875" bestFit="1" customWidth="1"/>
    <col min="1559" max="1559" width="8.88671875" bestFit="1" customWidth="1"/>
    <col min="1560" max="1562" width="13.33203125" bestFit="1" customWidth="1"/>
    <col min="1563" max="1563" width="12.21875" bestFit="1" customWidth="1"/>
    <col min="1564" max="1564" width="5.5546875" bestFit="1" customWidth="1"/>
    <col min="1565" max="1573" width="13.33203125" bestFit="1" customWidth="1"/>
    <col min="1574" max="1574" width="11.109375" bestFit="1" customWidth="1"/>
    <col min="1575" max="1575" width="13.33203125" bestFit="1" customWidth="1"/>
    <col min="1576" max="1576" width="12.21875" bestFit="1" customWidth="1"/>
    <col min="1577" max="1577" width="5.5546875" bestFit="1" customWidth="1"/>
    <col min="1578" max="1593" width="13.33203125" bestFit="1" customWidth="1"/>
    <col min="1594" max="1594" width="12.21875" bestFit="1" customWidth="1"/>
    <col min="1595" max="1603" width="13.33203125" bestFit="1" customWidth="1"/>
    <col min="1604" max="1604" width="12.21875" bestFit="1" customWidth="1"/>
    <col min="1605" max="1613" width="13.33203125" bestFit="1" customWidth="1"/>
    <col min="1614" max="1614" width="12.21875" bestFit="1" customWidth="1"/>
    <col min="1615" max="1626" width="13.33203125" bestFit="1" customWidth="1"/>
    <col min="1627" max="1627" width="5.5546875" bestFit="1" customWidth="1"/>
    <col min="1628" max="1629" width="13.33203125" bestFit="1" customWidth="1"/>
    <col min="1630" max="1630" width="12.21875" bestFit="1" customWidth="1"/>
    <col min="1631" max="1642" width="13.33203125" bestFit="1" customWidth="1"/>
    <col min="1643" max="1644" width="12.21875" bestFit="1" customWidth="1"/>
    <col min="1645" max="1661" width="13.33203125" bestFit="1" customWidth="1"/>
    <col min="1662" max="1662" width="12.21875" bestFit="1" customWidth="1"/>
    <col min="1663" max="1669" width="13.33203125" bestFit="1" customWidth="1"/>
    <col min="1670" max="1670" width="12.21875" bestFit="1" customWidth="1"/>
    <col min="1671" max="1671" width="13.33203125" bestFit="1" customWidth="1"/>
    <col min="1672" max="1672" width="7.77734375" bestFit="1" customWidth="1"/>
    <col min="1673" max="1676" width="13.33203125" bestFit="1" customWidth="1"/>
    <col min="1677" max="1677" width="12.21875" bestFit="1" customWidth="1"/>
    <col min="1678" max="1684" width="13.33203125" bestFit="1" customWidth="1"/>
    <col min="1685" max="1685" width="10" bestFit="1" customWidth="1"/>
    <col min="1686" max="1699" width="13.33203125" bestFit="1" customWidth="1"/>
    <col min="1700" max="1700" width="5.5546875" bestFit="1" customWidth="1"/>
    <col min="1701" max="1701" width="12.21875" bestFit="1" customWidth="1"/>
    <col min="1702" max="1706" width="13.33203125" bestFit="1" customWidth="1"/>
    <col min="1707" max="1707" width="7.77734375" bestFit="1" customWidth="1"/>
    <col min="1708" max="1712" width="13.33203125" bestFit="1" customWidth="1"/>
    <col min="1713" max="1713" width="12.21875" bestFit="1" customWidth="1"/>
    <col min="1714" max="1716" width="13.33203125" bestFit="1" customWidth="1"/>
    <col min="1717" max="1717" width="5.5546875" bestFit="1" customWidth="1"/>
    <col min="1718" max="1720" width="13.33203125" bestFit="1" customWidth="1"/>
    <col min="1721" max="1721" width="10" bestFit="1" customWidth="1"/>
    <col min="1722" max="1722" width="13.33203125" bestFit="1" customWidth="1"/>
    <col min="1723" max="1723" width="8.88671875" bestFit="1" customWidth="1"/>
    <col min="1724" max="1725" width="13.33203125" bestFit="1" customWidth="1"/>
    <col min="1726" max="1726" width="12.21875" bestFit="1" customWidth="1"/>
    <col min="1727" max="1728" width="13.33203125" bestFit="1" customWidth="1"/>
    <col min="1729" max="1729" width="12.21875" bestFit="1" customWidth="1"/>
    <col min="1730" max="1730" width="13.33203125" bestFit="1" customWidth="1"/>
    <col min="1731" max="1731" width="8.88671875" bestFit="1" customWidth="1"/>
    <col min="1732" max="1732" width="13.33203125" bestFit="1" customWidth="1"/>
    <col min="1733" max="1734" width="12.21875" bestFit="1" customWidth="1"/>
    <col min="1735" max="1735" width="10" bestFit="1" customWidth="1"/>
    <col min="1736" max="1750" width="13.33203125" bestFit="1" customWidth="1"/>
    <col min="1751" max="1751" width="12.21875" bestFit="1" customWidth="1"/>
    <col min="1752" max="1756" width="13.33203125" bestFit="1" customWidth="1"/>
    <col min="1757" max="1757" width="5.5546875" bestFit="1" customWidth="1"/>
    <col min="1758" max="1758" width="13.33203125" bestFit="1" customWidth="1"/>
    <col min="1759" max="1760" width="12.21875" bestFit="1" customWidth="1"/>
    <col min="1761" max="1761" width="13.33203125" bestFit="1" customWidth="1"/>
    <col min="1762" max="1762" width="10" bestFit="1" customWidth="1"/>
    <col min="1763" max="1769" width="13.33203125" bestFit="1" customWidth="1"/>
    <col min="1770" max="1770" width="5.5546875" bestFit="1" customWidth="1"/>
    <col min="1771" max="1774" width="13.33203125" bestFit="1" customWidth="1"/>
    <col min="1775" max="1775" width="8.88671875" bestFit="1" customWidth="1"/>
    <col min="1776" max="1776" width="13.33203125" bestFit="1" customWidth="1"/>
    <col min="1777" max="1777" width="5.5546875" bestFit="1" customWidth="1"/>
    <col min="1778" max="1778" width="12.21875" bestFit="1" customWidth="1"/>
    <col min="1779" max="1783" width="13.33203125" bestFit="1" customWidth="1"/>
    <col min="1784" max="1784" width="5.5546875" bestFit="1" customWidth="1"/>
    <col min="1785" max="1788" width="13.33203125" bestFit="1" customWidth="1"/>
    <col min="1789" max="1789" width="7.77734375" bestFit="1" customWidth="1"/>
    <col min="1790" max="1794" width="13.33203125" bestFit="1" customWidth="1"/>
    <col min="1795" max="1795" width="12.21875" bestFit="1" customWidth="1"/>
    <col min="1796" max="1796" width="8.88671875" bestFit="1" customWidth="1"/>
    <col min="1797" max="1799" width="13.33203125" bestFit="1" customWidth="1"/>
    <col min="1800" max="1800" width="12.21875" bestFit="1" customWidth="1"/>
    <col min="1801" max="1801" width="11.109375" bestFit="1" customWidth="1"/>
    <col min="1802" max="1802" width="13.33203125" bestFit="1" customWidth="1"/>
    <col min="1803" max="1803" width="11.109375" bestFit="1" customWidth="1"/>
    <col min="1804" max="1804" width="12.21875" bestFit="1" customWidth="1"/>
    <col min="1805" max="1808" width="13.33203125" bestFit="1" customWidth="1"/>
    <col min="1809" max="1809" width="11.109375" bestFit="1" customWidth="1"/>
    <col min="1810" max="1812" width="13.33203125" bestFit="1" customWidth="1"/>
    <col min="1813" max="1813" width="8.88671875" bestFit="1" customWidth="1"/>
    <col min="1814" max="1819" width="13.33203125" bestFit="1" customWidth="1"/>
    <col min="1820" max="1820" width="12.21875" bestFit="1" customWidth="1"/>
    <col min="1821" max="1821" width="13.33203125" bestFit="1" customWidth="1"/>
    <col min="1822" max="1822" width="7.77734375" bestFit="1" customWidth="1"/>
    <col min="1823" max="1824" width="13.33203125" bestFit="1" customWidth="1"/>
    <col min="1825" max="1825" width="5.5546875" bestFit="1" customWidth="1"/>
    <col min="1826" max="1826" width="12.21875" bestFit="1" customWidth="1"/>
    <col min="1827" max="1831" width="13.33203125" bestFit="1" customWidth="1"/>
    <col min="1832" max="1832" width="8.88671875" bestFit="1" customWidth="1"/>
    <col min="1833" max="1834" width="13.33203125" bestFit="1" customWidth="1"/>
    <col min="1835" max="1835" width="8.88671875" bestFit="1" customWidth="1"/>
    <col min="1836" max="1836" width="13.33203125" bestFit="1" customWidth="1"/>
    <col min="1837" max="1837" width="12.21875" bestFit="1" customWidth="1"/>
    <col min="1838" max="1841" width="13.33203125" bestFit="1" customWidth="1"/>
    <col min="1842" max="1842" width="7.77734375" bestFit="1" customWidth="1"/>
    <col min="1843" max="1844" width="13.33203125" bestFit="1" customWidth="1"/>
    <col min="1845" max="1845" width="12.21875" bestFit="1" customWidth="1"/>
    <col min="1846" max="1846" width="13.33203125" bestFit="1" customWidth="1"/>
    <col min="1847" max="1847" width="11.109375" bestFit="1" customWidth="1"/>
    <col min="1848" max="1848" width="13.33203125" bestFit="1" customWidth="1"/>
    <col min="1849" max="1849" width="12.21875" bestFit="1" customWidth="1"/>
    <col min="1850" max="1854" width="13.33203125" bestFit="1" customWidth="1"/>
    <col min="1855" max="1855" width="11.109375" bestFit="1" customWidth="1"/>
    <col min="1856" max="1861" width="13.33203125" bestFit="1" customWidth="1"/>
    <col min="1862" max="1862" width="5.5546875" bestFit="1" customWidth="1"/>
    <col min="1863" max="1871" width="13.33203125" bestFit="1" customWidth="1"/>
    <col min="1872" max="1872" width="12.21875" bestFit="1" customWidth="1"/>
    <col min="1873" max="1875" width="13.33203125" bestFit="1" customWidth="1"/>
    <col min="1876" max="1876" width="12.21875" bestFit="1" customWidth="1"/>
    <col min="1877" max="1877" width="13.33203125" bestFit="1" customWidth="1"/>
    <col min="1878" max="1878" width="5.5546875" bestFit="1" customWidth="1"/>
    <col min="1879" max="1879" width="13.33203125" bestFit="1" customWidth="1"/>
    <col min="1880" max="1880" width="5.5546875" bestFit="1" customWidth="1"/>
    <col min="1881" max="1885" width="13.33203125" bestFit="1" customWidth="1"/>
    <col min="1886" max="1886" width="5.5546875" bestFit="1" customWidth="1"/>
    <col min="1887" max="1892" width="13.33203125" bestFit="1" customWidth="1"/>
    <col min="1893" max="1893" width="7.77734375" bestFit="1" customWidth="1"/>
    <col min="1894" max="1910" width="13.33203125" bestFit="1" customWidth="1"/>
    <col min="1911" max="1911" width="5.5546875" bestFit="1" customWidth="1"/>
    <col min="1912" max="1914" width="13.33203125" bestFit="1" customWidth="1"/>
    <col min="1915" max="1915" width="12.21875" bestFit="1" customWidth="1"/>
    <col min="1916" max="1919" width="13.33203125" bestFit="1" customWidth="1"/>
    <col min="1920" max="1920" width="11.109375" bestFit="1" customWidth="1"/>
    <col min="1921" max="1924" width="13.33203125" bestFit="1" customWidth="1"/>
    <col min="1925" max="1925" width="8.88671875" bestFit="1" customWidth="1"/>
    <col min="1926" max="1932" width="13.33203125" bestFit="1" customWidth="1"/>
    <col min="1933" max="1933" width="12.21875" bestFit="1" customWidth="1"/>
    <col min="1934" max="1935" width="13.33203125" bestFit="1" customWidth="1"/>
    <col min="1936" max="1936" width="11.109375" bestFit="1" customWidth="1"/>
    <col min="1937" max="1939" width="13.33203125" bestFit="1" customWidth="1"/>
    <col min="1940" max="1940" width="5.5546875" bestFit="1" customWidth="1"/>
    <col min="1941" max="1945" width="13.33203125" bestFit="1" customWidth="1"/>
    <col min="1946" max="1946" width="12.21875" bestFit="1" customWidth="1"/>
    <col min="1947" max="1948" width="13.33203125" bestFit="1" customWidth="1"/>
    <col min="1949" max="1949" width="8.88671875" bestFit="1" customWidth="1"/>
    <col min="1950" max="1950" width="13.33203125" bestFit="1" customWidth="1"/>
    <col min="1951" max="1951" width="12.21875" bestFit="1" customWidth="1"/>
    <col min="1952" max="1952" width="5.5546875" bestFit="1" customWidth="1"/>
    <col min="1953" max="1953" width="12.21875" bestFit="1" customWidth="1"/>
    <col min="1954" max="1956" width="13.33203125" bestFit="1" customWidth="1"/>
    <col min="1957" max="1957" width="5.5546875" bestFit="1" customWidth="1"/>
    <col min="1958" max="1965" width="13.33203125" bestFit="1" customWidth="1"/>
    <col min="1966" max="1966" width="12.21875" bestFit="1" customWidth="1"/>
    <col min="1967" max="1971" width="13.33203125" bestFit="1" customWidth="1"/>
    <col min="1972" max="1973" width="12.21875" bestFit="1" customWidth="1"/>
    <col min="1974" max="1976" width="13.33203125" bestFit="1" customWidth="1"/>
    <col min="1977" max="1978" width="12.21875" bestFit="1" customWidth="1"/>
    <col min="1979" max="1981" width="13.33203125" bestFit="1" customWidth="1"/>
    <col min="1982" max="1982" width="12.21875" bestFit="1" customWidth="1"/>
    <col min="1983" max="1986" width="13.33203125" bestFit="1" customWidth="1"/>
    <col min="1987" max="1988" width="12.21875" bestFit="1" customWidth="1"/>
    <col min="1989" max="1989" width="13.33203125" bestFit="1" customWidth="1"/>
    <col min="1990" max="1990" width="5.5546875" bestFit="1" customWidth="1"/>
    <col min="1991" max="1995" width="13.33203125" bestFit="1" customWidth="1"/>
    <col min="1996" max="1996" width="5.5546875" bestFit="1" customWidth="1"/>
    <col min="1997" max="1997" width="12.21875" bestFit="1" customWidth="1"/>
    <col min="1998" max="2003" width="13.33203125" bestFit="1" customWidth="1"/>
    <col min="2004" max="2004" width="5.5546875" bestFit="1" customWidth="1"/>
    <col min="2005" max="2006" width="13.33203125" bestFit="1" customWidth="1"/>
    <col min="2007" max="2007" width="10" bestFit="1" customWidth="1"/>
    <col min="2008" max="2010" width="13.33203125" bestFit="1" customWidth="1"/>
    <col min="2011" max="2011" width="12.21875" bestFit="1" customWidth="1"/>
    <col min="2012" max="2014" width="13.33203125" bestFit="1" customWidth="1"/>
    <col min="2015" max="2015" width="12.21875" bestFit="1" customWidth="1"/>
    <col min="2016" max="2016" width="11.109375" bestFit="1" customWidth="1"/>
    <col min="2017" max="2022" width="13.33203125" bestFit="1" customWidth="1"/>
    <col min="2023" max="2023" width="12.21875" bestFit="1" customWidth="1"/>
    <col min="2024" max="2024" width="13.33203125" bestFit="1" customWidth="1"/>
    <col min="2025" max="2025" width="12.21875" bestFit="1" customWidth="1"/>
    <col min="2026" max="2028" width="13.33203125" bestFit="1" customWidth="1"/>
    <col min="2029" max="2030" width="12.21875" bestFit="1" customWidth="1"/>
    <col min="2031" max="2034" width="13.33203125" bestFit="1" customWidth="1"/>
    <col min="2035" max="2035" width="12.21875" bestFit="1" customWidth="1"/>
    <col min="2036" max="2047" width="13.33203125" bestFit="1" customWidth="1"/>
    <col min="2048" max="2048" width="12.21875" bestFit="1" customWidth="1"/>
    <col min="2049" max="2053" width="13.33203125" bestFit="1" customWidth="1"/>
    <col min="2054" max="2054" width="12.21875" bestFit="1" customWidth="1"/>
    <col min="2055" max="2055" width="11.109375" bestFit="1" customWidth="1"/>
    <col min="2056" max="2067" width="13.33203125" bestFit="1" customWidth="1"/>
    <col min="2068" max="2068" width="12.21875" bestFit="1" customWidth="1"/>
    <col min="2069" max="2072" width="13.33203125" bestFit="1" customWidth="1"/>
    <col min="2073" max="2073" width="12.21875" bestFit="1" customWidth="1"/>
    <col min="2074" max="2085" width="13.33203125" bestFit="1" customWidth="1"/>
    <col min="2086" max="2086" width="12.21875" bestFit="1" customWidth="1"/>
    <col min="2087" max="2098" width="13.33203125" bestFit="1" customWidth="1"/>
    <col min="2099" max="2099" width="12.21875" bestFit="1" customWidth="1"/>
    <col min="2100" max="2100" width="13.33203125" bestFit="1" customWidth="1"/>
    <col min="2101" max="2101" width="11.109375" bestFit="1" customWidth="1"/>
    <col min="2102" max="2104" width="13.33203125" bestFit="1" customWidth="1"/>
    <col min="2105" max="2105" width="6.6640625" bestFit="1" customWidth="1"/>
    <col min="2106" max="2106" width="13.33203125" bestFit="1" customWidth="1"/>
    <col min="2107" max="2107" width="12.21875" bestFit="1" customWidth="1"/>
    <col min="2108" max="2113" width="13.33203125" bestFit="1" customWidth="1"/>
    <col min="2114" max="2114" width="10" bestFit="1" customWidth="1"/>
    <col min="2115" max="2115" width="13.33203125" bestFit="1" customWidth="1"/>
    <col min="2116" max="2116" width="12.21875" bestFit="1" customWidth="1"/>
    <col min="2117" max="2120" width="13.33203125" bestFit="1" customWidth="1"/>
    <col min="2121" max="2121" width="12.21875" bestFit="1" customWidth="1"/>
    <col min="2122" max="2125" width="13.33203125" bestFit="1" customWidth="1"/>
    <col min="2126" max="2126" width="6.6640625" bestFit="1" customWidth="1"/>
    <col min="2127" max="2127" width="13.33203125" bestFit="1" customWidth="1"/>
    <col min="2128" max="2128" width="12.21875" bestFit="1" customWidth="1"/>
    <col min="2129" max="2134" width="13.33203125" bestFit="1" customWidth="1"/>
    <col min="2135" max="2135" width="10" bestFit="1" customWidth="1"/>
    <col min="2136" max="2141" width="13.33203125" bestFit="1" customWidth="1"/>
    <col min="2142" max="2142" width="12.21875" bestFit="1" customWidth="1"/>
    <col min="2143" max="2145" width="13.33203125" bestFit="1" customWidth="1"/>
    <col min="2146" max="2146" width="10" bestFit="1" customWidth="1"/>
    <col min="2147" max="2158" width="13.33203125" bestFit="1" customWidth="1"/>
    <col min="2159" max="2159" width="12.21875" bestFit="1" customWidth="1"/>
    <col min="2160" max="2163" width="13.33203125" bestFit="1" customWidth="1"/>
    <col min="2164" max="2164" width="11.109375" bestFit="1" customWidth="1"/>
    <col min="2165" max="2165" width="12.21875" bestFit="1" customWidth="1"/>
    <col min="2166" max="2169" width="13.33203125" bestFit="1" customWidth="1"/>
    <col min="2170" max="2170" width="12.21875" bestFit="1" customWidth="1"/>
    <col min="2171" max="2173" width="13.33203125" bestFit="1" customWidth="1"/>
    <col min="2174" max="2174" width="12.21875" bestFit="1" customWidth="1"/>
    <col min="2175" max="2175" width="6.6640625" bestFit="1" customWidth="1"/>
    <col min="2176" max="2185" width="13.33203125" bestFit="1" customWidth="1"/>
    <col min="2186" max="2186" width="6.6640625" bestFit="1" customWidth="1"/>
    <col min="2187" max="2187" width="13.33203125" bestFit="1" customWidth="1"/>
    <col min="2188" max="2188" width="12.21875" bestFit="1" customWidth="1"/>
    <col min="2189" max="2189" width="8.88671875" bestFit="1" customWidth="1"/>
    <col min="2190" max="2193" width="13.33203125" bestFit="1" customWidth="1"/>
    <col min="2194" max="2195" width="12.21875" bestFit="1" customWidth="1"/>
    <col min="2196" max="2197" width="13.33203125" bestFit="1" customWidth="1"/>
    <col min="2198" max="2198" width="8.88671875" bestFit="1" customWidth="1"/>
    <col min="2199" max="2208" width="13.33203125" bestFit="1" customWidth="1"/>
    <col min="2209" max="2209" width="11.109375" bestFit="1" customWidth="1"/>
    <col min="2210" max="2218" width="13.33203125" bestFit="1" customWidth="1"/>
    <col min="2220" max="2220" width="8.88671875" bestFit="1" customWidth="1"/>
    <col min="2221" max="2228" width="13.33203125" bestFit="1" customWidth="1"/>
    <col min="2229" max="2229" width="8.88671875" bestFit="1" customWidth="1"/>
    <col min="2230" max="2233" width="13.33203125" bestFit="1" customWidth="1"/>
    <col min="2234" max="2234" width="11.109375" bestFit="1" customWidth="1"/>
    <col min="2235" max="2236" width="13.33203125" bestFit="1" customWidth="1"/>
    <col min="2237" max="2237" width="12.21875" bestFit="1" customWidth="1"/>
    <col min="2238" max="2245" width="13.33203125" bestFit="1" customWidth="1"/>
    <col min="2246" max="2246" width="6.6640625" bestFit="1" customWidth="1"/>
    <col min="2247" max="2247" width="12.21875" bestFit="1" customWidth="1"/>
    <col min="2248" max="2249" width="13.33203125" bestFit="1" customWidth="1"/>
    <col min="2250" max="2250" width="12.21875" bestFit="1" customWidth="1"/>
    <col min="2251" max="2258" width="13.33203125" bestFit="1" customWidth="1"/>
    <col min="2259" max="2259" width="6.6640625" bestFit="1" customWidth="1"/>
    <col min="2260" max="2264" width="13.33203125" bestFit="1" customWidth="1"/>
    <col min="2265" max="2265" width="12.21875" bestFit="1" customWidth="1"/>
    <col min="2266" max="2276" width="13.33203125" bestFit="1" customWidth="1"/>
    <col min="2277" max="2277" width="12.21875" bestFit="1" customWidth="1"/>
    <col min="2278" max="2278" width="6.6640625" bestFit="1" customWidth="1"/>
    <col min="2279" max="2279" width="11.109375" bestFit="1" customWidth="1"/>
    <col min="2280" max="2282" width="13.33203125" bestFit="1" customWidth="1"/>
    <col min="2283" max="2283" width="6.6640625" bestFit="1" customWidth="1"/>
    <col min="2284" max="2287" width="13.33203125" bestFit="1" customWidth="1"/>
    <col min="2288" max="2288" width="6.6640625" bestFit="1" customWidth="1"/>
    <col min="2289" max="2289" width="13.33203125" bestFit="1" customWidth="1"/>
    <col min="2290" max="2290" width="8.88671875" bestFit="1" customWidth="1"/>
    <col min="2291" max="2291" width="13.33203125" bestFit="1" customWidth="1"/>
    <col min="2292" max="2292" width="12.21875" bestFit="1" customWidth="1"/>
    <col min="2293" max="2294" width="13.33203125" bestFit="1" customWidth="1"/>
    <col min="2295" max="2295" width="12.21875" bestFit="1" customWidth="1"/>
    <col min="2296" max="2296" width="13.33203125" bestFit="1" customWidth="1"/>
    <col min="2297" max="2297" width="12.21875" bestFit="1" customWidth="1"/>
    <col min="2298" max="2337" width="13.33203125" bestFit="1" customWidth="1"/>
    <col min="2338" max="2338" width="11.109375" bestFit="1" customWidth="1"/>
    <col min="2339" max="2339" width="13.33203125" bestFit="1" customWidth="1"/>
    <col min="2340" max="2340" width="11.109375" bestFit="1" customWidth="1"/>
    <col min="2341" max="2345" width="13.33203125" bestFit="1" customWidth="1"/>
    <col min="2346" max="2346" width="6.6640625" bestFit="1" customWidth="1"/>
    <col min="2347" max="2347" width="13.33203125" bestFit="1" customWidth="1"/>
    <col min="2348" max="2349" width="6.6640625" bestFit="1" customWidth="1"/>
    <col min="2350" max="2350" width="13.33203125" bestFit="1" customWidth="1"/>
    <col min="2351" max="2351" width="12.21875" bestFit="1" customWidth="1"/>
    <col min="2352" max="2353" width="13.33203125" bestFit="1" customWidth="1"/>
    <col min="2354" max="2354" width="10" bestFit="1" customWidth="1"/>
    <col min="2355" max="2355" width="13.33203125" bestFit="1" customWidth="1"/>
    <col min="2356" max="2356" width="12.21875" bestFit="1" customWidth="1"/>
    <col min="2357" max="2359" width="13.33203125" bestFit="1" customWidth="1"/>
    <col min="2360" max="2360" width="6.6640625" bestFit="1" customWidth="1"/>
    <col min="2361" max="2367" width="13.33203125" bestFit="1" customWidth="1"/>
    <col min="2368" max="2368" width="11.109375" bestFit="1" customWidth="1"/>
    <col min="2369" max="2370" width="13.33203125" bestFit="1" customWidth="1"/>
    <col min="2371" max="2371" width="11.109375" bestFit="1" customWidth="1"/>
    <col min="2372" max="2372" width="12.21875" bestFit="1" customWidth="1"/>
    <col min="2373" max="2389" width="13.33203125" bestFit="1" customWidth="1"/>
    <col min="2390" max="2390" width="6.6640625" bestFit="1" customWidth="1"/>
    <col min="2391" max="2391" width="13.33203125" bestFit="1" customWidth="1"/>
    <col min="2392" max="2392" width="6.6640625" bestFit="1" customWidth="1"/>
    <col min="2393" max="2394" width="13.33203125" bestFit="1" customWidth="1"/>
    <col min="2395" max="2395" width="12.21875" bestFit="1" customWidth="1"/>
    <col min="2396" max="2411" width="13.33203125" bestFit="1" customWidth="1"/>
    <col min="2412" max="2412" width="12.21875" bestFit="1" customWidth="1"/>
    <col min="2413" max="2415" width="13.33203125" bestFit="1" customWidth="1"/>
    <col min="2416" max="2416" width="12.21875" bestFit="1" customWidth="1"/>
    <col min="2417" max="2419" width="13.33203125" bestFit="1" customWidth="1"/>
    <col min="2420" max="2421" width="12.21875" bestFit="1" customWidth="1"/>
    <col min="2422" max="2428" width="13.33203125" bestFit="1" customWidth="1"/>
    <col min="2429" max="2429" width="12.21875" bestFit="1" customWidth="1"/>
    <col min="2430" max="2434" width="13.33203125" bestFit="1" customWidth="1"/>
    <col min="2435" max="2435" width="12.21875" bestFit="1" customWidth="1"/>
    <col min="2436" max="2442" width="13.33203125" bestFit="1" customWidth="1"/>
    <col min="2443" max="2443" width="11.109375" bestFit="1" customWidth="1"/>
    <col min="2444" max="2457" width="13.33203125" bestFit="1" customWidth="1"/>
    <col min="2458" max="2458" width="12.21875" bestFit="1" customWidth="1"/>
    <col min="2459" max="2459" width="8.88671875" bestFit="1" customWidth="1"/>
    <col min="2460" max="2463" width="13.33203125" bestFit="1" customWidth="1"/>
    <col min="2464" max="2464" width="6.6640625" bestFit="1" customWidth="1"/>
    <col min="2465" max="2469" width="13.33203125" bestFit="1" customWidth="1"/>
    <col min="2470" max="2470" width="6.6640625" bestFit="1" customWidth="1"/>
    <col min="2471" max="2471" width="13.33203125" bestFit="1" customWidth="1"/>
    <col min="2472" max="2472" width="12.21875" bestFit="1" customWidth="1"/>
    <col min="2473" max="2475" width="13.33203125" bestFit="1" customWidth="1"/>
    <col min="2476" max="2476" width="12.21875" bestFit="1" customWidth="1"/>
    <col min="2477" max="2477" width="13.33203125" bestFit="1" customWidth="1"/>
    <col min="2478" max="2478" width="6.6640625" bestFit="1" customWidth="1"/>
    <col min="2479" max="2502" width="13.33203125" bestFit="1" customWidth="1"/>
    <col min="2503" max="2503" width="11.109375" bestFit="1" customWidth="1"/>
    <col min="2504" max="2505" width="13.33203125" bestFit="1" customWidth="1"/>
    <col min="2506" max="2506" width="10" bestFit="1" customWidth="1"/>
    <col min="2507" max="2509" width="13.33203125" bestFit="1" customWidth="1"/>
    <col min="2510" max="2511" width="12.21875" bestFit="1" customWidth="1"/>
    <col min="2512" max="2522" width="13.33203125" bestFit="1" customWidth="1"/>
    <col min="2523" max="2523" width="12.21875" bestFit="1" customWidth="1"/>
    <col min="2524" max="2527" width="13.33203125" bestFit="1" customWidth="1"/>
    <col min="2528" max="2528" width="12.21875" bestFit="1" customWidth="1"/>
    <col min="2529" max="2529" width="13.33203125" bestFit="1" customWidth="1"/>
    <col min="2530" max="2530" width="6.6640625" bestFit="1" customWidth="1"/>
    <col min="2531" max="2531" width="13.33203125" bestFit="1" customWidth="1"/>
    <col min="2532" max="2532" width="6.6640625" bestFit="1" customWidth="1"/>
    <col min="2533" max="2533" width="11.109375" bestFit="1" customWidth="1"/>
    <col min="2534" max="2534" width="13.33203125" bestFit="1" customWidth="1"/>
    <col min="2535" max="2536" width="12.21875" bestFit="1" customWidth="1"/>
    <col min="2537" max="2538" width="13.33203125" bestFit="1" customWidth="1"/>
    <col min="2539" max="2539" width="8.88671875" bestFit="1" customWidth="1"/>
    <col min="2540" max="2542" width="13.33203125" bestFit="1" customWidth="1"/>
    <col min="2543" max="2543" width="12.21875" bestFit="1" customWidth="1"/>
    <col min="2544" max="2549" width="13.33203125" bestFit="1" customWidth="1"/>
    <col min="2550" max="2550" width="12.21875" bestFit="1" customWidth="1"/>
    <col min="2551" max="2551" width="13.33203125" bestFit="1" customWidth="1"/>
    <col min="2552" max="2552" width="12.21875" bestFit="1" customWidth="1"/>
    <col min="2553" max="2559" width="13.33203125" bestFit="1" customWidth="1"/>
    <col min="2560" max="2560" width="12.21875" bestFit="1" customWidth="1"/>
    <col min="2561" max="2561" width="13.33203125" bestFit="1" customWidth="1"/>
    <col min="2562" max="2562" width="11.109375" bestFit="1" customWidth="1"/>
    <col min="2563" max="2563" width="6.6640625" bestFit="1" customWidth="1"/>
    <col min="2564" max="2564" width="7.77734375" bestFit="1" customWidth="1"/>
    <col min="2565" max="2571" width="13.33203125" bestFit="1" customWidth="1"/>
    <col min="2572" max="2572" width="10" bestFit="1" customWidth="1"/>
    <col min="2573" max="2573" width="7.77734375" bestFit="1" customWidth="1"/>
    <col min="2574" max="2575" width="13.33203125" bestFit="1" customWidth="1"/>
    <col min="2576" max="2576" width="12.21875" bestFit="1" customWidth="1"/>
    <col min="2577" max="2582" width="13.33203125" bestFit="1" customWidth="1"/>
    <col min="2583" max="2583" width="12.21875" bestFit="1" customWidth="1"/>
    <col min="2584" max="2596" width="13.33203125" bestFit="1" customWidth="1"/>
    <col min="2597" max="2597" width="11.109375" bestFit="1" customWidth="1"/>
    <col min="2598" max="2598" width="12.21875" bestFit="1" customWidth="1"/>
    <col min="2599" max="2600" width="13.33203125" bestFit="1" customWidth="1"/>
    <col min="2601" max="2601" width="7.77734375" bestFit="1" customWidth="1"/>
    <col min="2602" max="2604" width="13.33203125" bestFit="1" customWidth="1"/>
  </cols>
  <sheetData>
    <row r="4" spans="2:27" x14ac:dyDescent="0.3">
      <c r="H4" s="43" t="s">
        <v>95</v>
      </c>
      <c r="I4" s="43" t="s">
        <v>96</v>
      </c>
      <c r="W4" s="43" t="s">
        <v>57</v>
      </c>
      <c r="X4" t="s" vm="1">
        <v>10</v>
      </c>
    </row>
    <row r="5" spans="2:27" x14ac:dyDescent="0.3">
      <c r="H5" s="43" t="s">
        <v>74</v>
      </c>
      <c r="I5" t="s">
        <v>54</v>
      </c>
      <c r="J5" t="s">
        <v>67</v>
      </c>
      <c r="K5" t="s">
        <v>53</v>
      </c>
      <c r="L5" t="s">
        <v>55</v>
      </c>
      <c r="M5" t="s">
        <v>97</v>
      </c>
    </row>
    <row r="6" spans="2:27" x14ac:dyDescent="0.3">
      <c r="H6" s="44">
        <v>45322</v>
      </c>
      <c r="I6" s="45">
        <v>7606.1110641656469</v>
      </c>
      <c r="J6" s="45">
        <v>568743.59251072956</v>
      </c>
      <c r="K6" s="45">
        <v>17978.368396230966</v>
      </c>
      <c r="L6" s="45">
        <v>15764.25961896556</v>
      </c>
      <c r="M6" s="45">
        <v>610092.33159009158</v>
      </c>
      <c r="P6" s="43" t="s">
        <v>127</v>
      </c>
      <c r="Q6" t="s">
        <v>75</v>
      </c>
      <c r="R6" t="s">
        <v>112</v>
      </c>
      <c r="S6" t="s">
        <v>114</v>
      </c>
      <c r="T6" t="s">
        <v>115</v>
      </c>
      <c r="W6" s="43" t="s">
        <v>127</v>
      </c>
      <c r="X6" t="s">
        <v>75</v>
      </c>
      <c r="Y6" t="s">
        <v>112</v>
      </c>
      <c r="Z6" t="s">
        <v>131</v>
      </c>
      <c r="AA6" t="s">
        <v>132</v>
      </c>
    </row>
    <row r="7" spans="2:27" x14ac:dyDescent="0.3">
      <c r="H7" s="44">
        <v>45351</v>
      </c>
      <c r="I7" s="45">
        <v>7813.2943960906068</v>
      </c>
      <c r="J7" s="45">
        <v>577741.6135566684</v>
      </c>
      <c r="K7" s="45">
        <v>18490.719448117899</v>
      </c>
      <c r="L7" s="45">
        <v>16024.232044659759</v>
      </c>
      <c r="M7" s="45">
        <v>620069.85944553663</v>
      </c>
      <c r="P7" s="2" t="s">
        <v>2</v>
      </c>
      <c r="Q7" s="55">
        <v>1464031.5648786791</v>
      </c>
      <c r="R7" s="55">
        <v>1383808.3582688051</v>
      </c>
      <c r="S7" s="55">
        <v>-80223.206609874032</v>
      </c>
      <c r="T7" s="59">
        <v>-5.7972772118703053E-2</v>
      </c>
      <c r="W7" s="2" t="s">
        <v>54</v>
      </c>
      <c r="X7" s="55">
        <v>278159.99912241177</v>
      </c>
      <c r="Y7" s="55">
        <v>144906.91348926449</v>
      </c>
      <c r="Z7" s="55">
        <v>133253.08563314728</v>
      </c>
      <c r="AA7" s="59">
        <v>0.91957714386773826</v>
      </c>
    </row>
    <row r="8" spans="2:27" x14ac:dyDescent="0.3">
      <c r="H8" s="44">
        <v>45382</v>
      </c>
      <c r="I8" s="45">
        <v>8026.6932279733373</v>
      </c>
      <c r="J8" s="45">
        <v>565424.34304614807</v>
      </c>
      <c r="K8" s="45">
        <v>19018.441031561448</v>
      </c>
      <c r="L8" s="45">
        <v>16453.959005999553</v>
      </c>
      <c r="M8" s="45">
        <v>608923.43631168245</v>
      </c>
      <c r="P8" s="2" t="s">
        <v>9</v>
      </c>
      <c r="Q8" s="55">
        <v>1419526.4873611908</v>
      </c>
      <c r="R8" s="55">
        <v>1141985.2510684263</v>
      </c>
      <c r="S8" s="55">
        <v>-277541.23629276454</v>
      </c>
      <c r="T8" s="59">
        <v>-0.24303399368170528</v>
      </c>
      <c r="W8" s="2" t="s">
        <v>67</v>
      </c>
      <c r="X8" s="55">
        <v>428448.34394004731</v>
      </c>
      <c r="Y8" s="55">
        <v>389415.09374378726</v>
      </c>
      <c r="Z8" s="55">
        <v>39033.250196260051</v>
      </c>
      <c r="AA8" s="59">
        <v>0.10023558619929017</v>
      </c>
    </row>
    <row r="9" spans="2:27" x14ac:dyDescent="0.3">
      <c r="H9" s="44">
        <v>45412</v>
      </c>
      <c r="I9" s="45">
        <v>8246.4940248125349</v>
      </c>
      <c r="J9" s="45">
        <v>570178.45813193661</v>
      </c>
      <c r="K9" s="45">
        <v>19561.994262508277</v>
      </c>
      <c r="L9" s="45">
        <v>16896.577776179547</v>
      </c>
      <c r="M9" s="45">
        <v>614883.52419543709</v>
      </c>
      <c r="P9" s="2" t="s">
        <v>65</v>
      </c>
      <c r="Q9" s="55">
        <v>-229048.35207579192</v>
      </c>
      <c r="R9" s="55">
        <v>-82550.272251661518</v>
      </c>
      <c r="S9" s="55">
        <v>146498.0798241304</v>
      </c>
      <c r="T9" s="59">
        <v>1.7746528972977649</v>
      </c>
      <c r="W9" s="2" t="s">
        <v>53</v>
      </c>
      <c r="X9" s="55">
        <v>323171.99721520301</v>
      </c>
      <c r="Y9" s="55">
        <v>271971.48989913956</v>
      </c>
      <c r="Z9" s="55">
        <v>51200.507316063449</v>
      </c>
      <c r="AA9" s="59">
        <v>0.18825689168762183</v>
      </c>
    </row>
    <row r="10" spans="2:27" x14ac:dyDescent="0.3">
      <c r="B10" s="36" t="s">
        <v>74</v>
      </c>
      <c r="C10" s="37" t="s">
        <v>75</v>
      </c>
      <c r="D10" s="37" t="s">
        <v>76</v>
      </c>
      <c r="H10" s="44">
        <v>45443</v>
      </c>
      <c r="I10" s="45">
        <v>8472.8888455569104</v>
      </c>
      <c r="J10" s="45">
        <v>562129.22919722751</v>
      </c>
      <c r="K10" s="45">
        <v>19812.580890330617</v>
      </c>
      <c r="L10" s="45">
        <v>16651.962500142836</v>
      </c>
      <c r="M10" s="45">
        <v>607066.66143325798</v>
      </c>
      <c r="P10" s="2" t="s">
        <v>97</v>
      </c>
      <c r="Q10" s="55">
        <v>2654509.7001640783</v>
      </c>
      <c r="R10" s="55">
        <v>2443243.3370855697</v>
      </c>
      <c r="S10" s="55">
        <v>-211266.36307850853</v>
      </c>
      <c r="T10" s="59">
        <v>-8.6469636434379174E-2</v>
      </c>
      <c r="W10" s="2" t="s">
        <v>55</v>
      </c>
      <c r="X10" s="55">
        <v>618794.49915932037</v>
      </c>
      <c r="Y10" s="55">
        <v>418242.02618789673</v>
      </c>
      <c r="Z10" s="55">
        <v>200552.47297142365</v>
      </c>
      <c r="AA10" s="59">
        <v>0.47951296238538382</v>
      </c>
    </row>
    <row r="11" spans="2:27" x14ac:dyDescent="0.3">
      <c r="B11" s="2" t="s">
        <v>59</v>
      </c>
      <c r="C11" s="38">
        <v>4423559.6836726535</v>
      </c>
      <c r="D11" s="38">
        <v>4197766.3738890393</v>
      </c>
      <c r="H11" s="44">
        <v>45473</v>
      </c>
      <c r="I11" s="45">
        <v>8265.8166225234563</v>
      </c>
      <c r="J11" s="45">
        <v>575511.32930968096</v>
      </c>
      <c r="K11" s="45">
        <v>20379.958317040553</v>
      </c>
      <c r="L11" s="45">
        <v>17100.521375147131</v>
      </c>
      <c r="M11" s="45">
        <v>621257.62562439218</v>
      </c>
      <c r="W11" s="2" t="s">
        <v>97</v>
      </c>
      <c r="X11" s="55">
        <v>1648574.8394369851</v>
      </c>
      <c r="Y11" s="55">
        <v>1224535.5233200882</v>
      </c>
      <c r="Z11" s="55">
        <v>424039.31611689692</v>
      </c>
      <c r="AA11" s="59">
        <v>0.3462858431147815</v>
      </c>
    </row>
    <row r="12" spans="2:27" x14ac:dyDescent="0.3">
      <c r="B12" s="2" t="s">
        <v>5</v>
      </c>
      <c r="C12" s="38">
        <v>143556.88062159435</v>
      </c>
      <c r="D12" s="38">
        <v>868845.31154459121</v>
      </c>
      <c r="H12" s="44">
        <v>45504</v>
      </c>
      <c r="I12" s="45">
        <v>8087.7529438710008</v>
      </c>
      <c r="J12" s="45">
        <v>599859.53127524897</v>
      </c>
      <c r="K12" s="45">
        <v>18912.041914761314</v>
      </c>
      <c r="L12" s="45">
        <v>17562.537016401533</v>
      </c>
      <c r="M12" s="45">
        <v>644421.86315028288</v>
      </c>
    </row>
    <row r="13" spans="2:27" x14ac:dyDescent="0.3">
      <c r="B13" s="2" t="s">
        <v>65</v>
      </c>
      <c r="C13" s="38">
        <v>-656796.98016637855</v>
      </c>
      <c r="D13" s="38">
        <v>-290349.3435439181</v>
      </c>
      <c r="H13" s="44">
        <v>45535</v>
      </c>
      <c r="I13" s="45">
        <v>8309.3855321871361</v>
      </c>
      <c r="J13" s="45">
        <v>572738.65713703469</v>
      </c>
      <c r="K13" s="45">
        <v>19452.403172204173</v>
      </c>
      <c r="L13" s="45">
        <v>13881.678161031887</v>
      </c>
      <c r="M13" s="45">
        <v>614382.12400245783</v>
      </c>
    </row>
    <row r="14" spans="2:27" x14ac:dyDescent="0.3">
      <c r="B14" s="2" t="s">
        <v>10</v>
      </c>
      <c r="C14" s="38">
        <v>4936799.7832174329</v>
      </c>
      <c r="D14" s="38">
        <v>3619270.4058883651</v>
      </c>
      <c r="H14" s="44">
        <v>45565</v>
      </c>
      <c r="I14" s="45">
        <v>8537.6670981527495</v>
      </c>
      <c r="J14" s="45">
        <v>565684.76855540881</v>
      </c>
      <c r="K14" s="45">
        <v>20008.975267370286</v>
      </c>
      <c r="L14" s="45">
        <v>13983.755259192552</v>
      </c>
      <c r="M14" s="45">
        <v>608215.16618012451</v>
      </c>
      <c r="P14" s="43" t="s">
        <v>128</v>
      </c>
      <c r="Q14" t="s">
        <v>106</v>
      </c>
      <c r="R14" t="s">
        <v>112</v>
      </c>
      <c r="S14" t="s">
        <v>116</v>
      </c>
      <c r="T14" t="s">
        <v>117</v>
      </c>
      <c r="W14" s="43" t="s">
        <v>57</v>
      </c>
      <c r="X14" t="s" vm="1">
        <v>10</v>
      </c>
    </row>
    <row r="15" spans="2:27" x14ac:dyDescent="0.3">
      <c r="B15" s="2" t="s">
        <v>9</v>
      </c>
      <c r="C15" s="38">
        <v>4280002.8030510573</v>
      </c>
      <c r="D15" s="38">
        <v>3328921.0623444482</v>
      </c>
      <c r="H15" s="44">
        <v>45596</v>
      </c>
      <c r="I15" s="45">
        <v>8489.6455353400797</v>
      </c>
      <c r="J15" s="45">
        <v>585392.43773861194</v>
      </c>
      <c r="K15" s="45">
        <v>20582.24452539139</v>
      </c>
      <c r="L15" s="45">
        <v>14352.267916968325</v>
      </c>
      <c r="M15" s="45">
        <v>628816.59571631183</v>
      </c>
      <c r="P15" s="2" t="s">
        <v>2</v>
      </c>
      <c r="Q15" s="55">
        <v>1252982.1985268204</v>
      </c>
      <c r="R15" s="55">
        <v>1383808.3582688051</v>
      </c>
      <c r="S15" s="55">
        <v>130826.15974198468</v>
      </c>
      <c r="T15" s="59">
        <v>0.10441182635779028</v>
      </c>
    </row>
    <row r="16" spans="2:27" x14ac:dyDescent="0.3">
      <c r="B16" s="2" t="s">
        <v>50</v>
      </c>
      <c r="C16" s="38">
        <v>-856181.536585261</v>
      </c>
      <c r="D16" s="38">
        <v>-1058939.0516801812</v>
      </c>
      <c r="H16" s="44">
        <v>45626</v>
      </c>
      <c r="I16" s="45">
        <v>8055.6469914981226</v>
      </c>
      <c r="J16" s="45">
        <v>592800.61618470843</v>
      </c>
      <c r="K16" s="45">
        <v>21172.71186115313</v>
      </c>
      <c r="L16" s="45">
        <v>14547.191767088356</v>
      </c>
      <c r="M16" s="45">
        <v>636576.166804448</v>
      </c>
      <c r="P16" s="2" t="s">
        <v>9</v>
      </c>
      <c r="Q16" s="55">
        <v>1010105.812493787</v>
      </c>
      <c r="R16" s="55">
        <v>1141985.2510684263</v>
      </c>
      <c r="S16" s="55">
        <v>131879.43857463927</v>
      </c>
      <c r="T16" s="59">
        <v>0.13056002345838438</v>
      </c>
      <c r="W16" s="43" t="s">
        <v>127</v>
      </c>
      <c r="X16" t="s">
        <v>75</v>
      </c>
      <c r="Y16" t="s">
        <v>112</v>
      </c>
      <c r="Z16" t="s">
        <v>131</v>
      </c>
      <c r="AA16" t="s">
        <v>132</v>
      </c>
    </row>
    <row r="17" spans="2:27" x14ac:dyDescent="0.3">
      <c r="B17" s="2" t="s">
        <v>49</v>
      </c>
      <c r="C17" s="38">
        <v>-199384.55641888094</v>
      </c>
      <c r="D17" s="38">
        <v>-768589.70813626202</v>
      </c>
      <c r="H17" s="44">
        <v>45657</v>
      </c>
      <c r="I17" s="45">
        <v>7901.7030178540354</v>
      </c>
      <c r="J17" s="45">
        <v>612685.95917703619</v>
      </c>
      <c r="K17" s="45">
        <v>21448.533679687505</v>
      </c>
      <c r="L17" s="45">
        <v>14932.607520101024</v>
      </c>
      <c r="M17" s="45">
        <v>656968.80339467875</v>
      </c>
      <c r="P17" s="2" t="s">
        <v>65</v>
      </c>
      <c r="Q17" s="55">
        <v>-152108.00684744387</v>
      </c>
      <c r="R17" s="55">
        <v>-82550.272251661518</v>
      </c>
      <c r="S17" s="55">
        <v>69557.734595782356</v>
      </c>
      <c r="T17" s="59">
        <v>0.45729173655891114</v>
      </c>
      <c r="W17" s="2" t="s">
        <v>62</v>
      </c>
      <c r="X17" s="55">
        <v>413968.40799563349</v>
      </c>
      <c r="Y17" s="55">
        <v>210225.39429401184</v>
      </c>
      <c r="Z17" s="55">
        <v>203743.01370162165</v>
      </c>
      <c r="AA17" s="59">
        <v>0.96916461679541799</v>
      </c>
    </row>
    <row r="18" spans="2:27" x14ac:dyDescent="0.3">
      <c r="B18" s="2" t="s">
        <v>45</v>
      </c>
      <c r="C18" s="38">
        <v>199384.55641888094</v>
      </c>
      <c r="D18" s="38">
        <v>768589.70813626214</v>
      </c>
      <c r="H18" s="2" t="s">
        <v>97</v>
      </c>
      <c r="I18" s="45">
        <v>97813.0993000257</v>
      </c>
      <c r="J18" s="45">
        <v>6948890.5358204395</v>
      </c>
      <c r="K18" s="45">
        <v>236818.97276635727</v>
      </c>
      <c r="L18" s="45">
        <v>188151.54996187804</v>
      </c>
      <c r="M18" s="45">
        <v>7471674.1578487009</v>
      </c>
      <c r="P18" s="2" t="s">
        <v>97</v>
      </c>
      <c r="Q18" s="55">
        <v>2110980.0041731633</v>
      </c>
      <c r="R18" s="55">
        <v>2443243.3370855697</v>
      </c>
      <c r="S18" s="55">
        <v>332263.33291240642</v>
      </c>
      <c r="T18" s="59">
        <v>0.15739766944999964</v>
      </c>
      <c r="W18" s="2" t="s">
        <v>61</v>
      </c>
      <c r="X18" s="55">
        <v>527776.00605433632</v>
      </c>
      <c r="Y18" s="55">
        <v>382029.05323770113</v>
      </c>
      <c r="Z18" s="55">
        <v>145746.9528166352</v>
      </c>
      <c r="AA18" s="59">
        <v>0.38150750991692362</v>
      </c>
    </row>
    <row r="19" spans="2:27" x14ac:dyDescent="0.3">
      <c r="B19" s="2" t="s">
        <v>42</v>
      </c>
      <c r="C19" s="38">
        <v>0</v>
      </c>
      <c r="D19" s="38">
        <v>0</v>
      </c>
      <c r="W19" s="2" t="s">
        <v>64</v>
      </c>
      <c r="X19" s="55">
        <v>567758.801863709</v>
      </c>
      <c r="Y19" s="55">
        <v>443050.46766822907</v>
      </c>
      <c r="Z19" s="55">
        <v>124708.33419547993</v>
      </c>
      <c r="AA19" s="59">
        <v>0.2814765885516809</v>
      </c>
    </row>
    <row r="20" spans="2:27" x14ac:dyDescent="0.3">
      <c r="W20" s="2" t="s">
        <v>63</v>
      </c>
      <c r="X20" s="55">
        <v>139071.62352330255</v>
      </c>
      <c r="Y20" s="55">
        <v>189230.608120146</v>
      </c>
      <c r="Z20" s="55">
        <v>-50158.984596843453</v>
      </c>
      <c r="AA20" s="59">
        <v>-0.26506803045835264</v>
      </c>
    </row>
    <row r="21" spans="2:27" x14ac:dyDescent="0.3">
      <c r="P21" s="43" t="s">
        <v>129</v>
      </c>
      <c r="Q21" t="s">
        <v>107</v>
      </c>
      <c r="R21" t="s">
        <v>112</v>
      </c>
      <c r="S21" t="s">
        <v>118</v>
      </c>
      <c r="T21" t="s">
        <v>119</v>
      </c>
      <c r="W21" s="2" t="s">
        <v>97</v>
      </c>
      <c r="X21" s="55">
        <v>1648574.8394369851</v>
      </c>
      <c r="Y21" s="55">
        <v>1224535.5233200882</v>
      </c>
      <c r="Z21" s="55">
        <v>424039.31611689692</v>
      </c>
      <c r="AA21" s="59">
        <v>0.3462858431147815</v>
      </c>
    </row>
    <row r="22" spans="2:27" x14ac:dyDescent="0.3">
      <c r="P22" s="2" t="s">
        <v>2</v>
      </c>
      <c r="Q22" s="55">
        <v>1252982.1985268204</v>
      </c>
      <c r="R22" s="55">
        <v>1383808.3582688051</v>
      </c>
      <c r="S22" s="55">
        <v>130826.15974198468</v>
      </c>
      <c r="T22" s="59">
        <v>0.10441182635779028</v>
      </c>
    </row>
    <row r="23" spans="2:27" x14ac:dyDescent="0.3">
      <c r="F23" s="43" t="s">
        <v>57</v>
      </c>
      <c r="G23" t="s" vm="1">
        <v>10</v>
      </c>
      <c r="L23" s="43" t="s">
        <v>57</v>
      </c>
      <c r="M23" t="s" vm="1">
        <v>10</v>
      </c>
      <c r="P23" s="2" t="s">
        <v>9</v>
      </c>
      <c r="Q23" s="55">
        <v>1010105.812493787</v>
      </c>
      <c r="R23" s="55">
        <v>1141985.2510684263</v>
      </c>
      <c r="S23" s="55">
        <v>131879.43857463927</v>
      </c>
      <c r="T23" s="59">
        <v>0.13056002345838438</v>
      </c>
    </row>
    <row r="24" spans="2:27" x14ac:dyDescent="0.3">
      <c r="P24" s="2" t="s">
        <v>65</v>
      </c>
      <c r="Q24" s="55">
        <v>-152108.00684744387</v>
      </c>
      <c r="R24" s="55">
        <v>-82550.272251661518</v>
      </c>
      <c r="S24" s="55">
        <v>69557.734595782356</v>
      </c>
      <c r="T24" s="59">
        <v>0.45729173655891114</v>
      </c>
      <c r="W24" s="43" t="s">
        <v>57</v>
      </c>
      <c r="X24" t="s" vm="1">
        <v>10</v>
      </c>
    </row>
    <row r="25" spans="2:27" x14ac:dyDescent="0.3">
      <c r="B25" s="43" t="s">
        <v>109</v>
      </c>
      <c r="C25" t="s">
        <v>2</v>
      </c>
      <c r="D25" t="s">
        <v>110</v>
      </c>
      <c r="F25" s="43" t="s">
        <v>113</v>
      </c>
      <c r="G25" s="43" t="s">
        <v>111</v>
      </c>
      <c r="L25" s="43" t="s">
        <v>111</v>
      </c>
      <c r="M25" t="s">
        <v>113</v>
      </c>
      <c r="P25" s="2" t="s">
        <v>97</v>
      </c>
      <c r="Q25" s="55">
        <v>2110980.0041731633</v>
      </c>
      <c r="R25" s="55">
        <v>2443243.3370855697</v>
      </c>
      <c r="S25" s="55">
        <v>332263.33291240642</v>
      </c>
      <c r="T25" s="59">
        <v>0.15739766944999964</v>
      </c>
    </row>
    <row r="26" spans="2:27" x14ac:dyDescent="0.3">
      <c r="B26" s="44">
        <v>45322</v>
      </c>
      <c r="C26" s="55">
        <v>112146.24449755717</v>
      </c>
      <c r="D26" s="56">
        <v>0.87300371494653717</v>
      </c>
      <c r="F26" s="43" t="s">
        <v>111</v>
      </c>
      <c r="G26" t="s">
        <v>54</v>
      </c>
      <c r="H26" t="s">
        <v>67</v>
      </c>
      <c r="I26" t="s">
        <v>53</v>
      </c>
      <c r="J26" t="s">
        <v>55</v>
      </c>
      <c r="L26" s="2" t="s">
        <v>54</v>
      </c>
      <c r="M26" s="57">
        <v>144906.91348926449</v>
      </c>
      <c r="W26" s="43" t="s">
        <v>127</v>
      </c>
      <c r="X26" t="s">
        <v>106</v>
      </c>
      <c r="Y26" t="s">
        <v>112</v>
      </c>
      <c r="Z26" t="s">
        <v>116</v>
      </c>
      <c r="AA26" t="s">
        <v>117</v>
      </c>
    </row>
    <row r="27" spans="2:27" x14ac:dyDescent="0.3">
      <c r="B27" s="44">
        <v>45351</v>
      </c>
      <c r="C27" s="55">
        <v>115510.63183248389</v>
      </c>
      <c r="D27" s="56">
        <v>0.8125282392632921</v>
      </c>
      <c r="F27" s="44">
        <v>45292</v>
      </c>
      <c r="G27" s="57">
        <v>11405.289845734786</v>
      </c>
      <c r="H27" s="57">
        <v>30761.504775093545</v>
      </c>
      <c r="I27" s="57">
        <v>21048.484420049408</v>
      </c>
      <c r="J27" s="57">
        <v>36671.752603906629</v>
      </c>
      <c r="L27" s="2" t="s">
        <v>67</v>
      </c>
      <c r="M27" s="57">
        <v>389415.09374378726</v>
      </c>
      <c r="W27" s="2" t="s">
        <v>54</v>
      </c>
      <c r="X27" s="55">
        <v>127087.143428519</v>
      </c>
      <c r="Y27" s="55">
        <v>144906.91348926449</v>
      </c>
      <c r="Z27" s="55">
        <v>17819.77006074549</v>
      </c>
      <c r="AA27" s="59">
        <v>0.14021693760681886</v>
      </c>
    </row>
    <row r="28" spans="2:27" x14ac:dyDescent="0.3">
      <c r="B28" s="44">
        <v>45382</v>
      </c>
      <c r="C28" s="55">
        <v>112045.31287750938</v>
      </c>
      <c r="D28" s="56">
        <v>0.85152686926765087</v>
      </c>
      <c r="F28" s="44">
        <v>45323</v>
      </c>
      <c r="G28" s="57">
        <v>11747.448541106831</v>
      </c>
      <c r="H28" s="57">
        <v>30146.274679591683</v>
      </c>
      <c r="I28" s="57">
        <v>21358.440230608991</v>
      </c>
      <c r="J28" s="57">
        <v>37609.949819149071</v>
      </c>
      <c r="L28" s="2" t="s">
        <v>53</v>
      </c>
      <c r="M28" s="57">
        <v>271971.48989913956</v>
      </c>
      <c r="W28" s="2" t="s">
        <v>67</v>
      </c>
      <c r="X28" s="55">
        <v>320100.30718825641</v>
      </c>
      <c r="Y28" s="55">
        <v>389415.09374378726</v>
      </c>
      <c r="Z28" s="55">
        <v>69314.786555530853</v>
      </c>
      <c r="AA28" s="59">
        <v>0.2165408311050625</v>
      </c>
    </row>
    <row r="29" spans="2:27" x14ac:dyDescent="0.3">
      <c r="B29" s="44">
        <v>45412</v>
      </c>
      <c r="C29" s="55">
        <v>115406.67226383467</v>
      </c>
      <c r="D29" s="56">
        <v>0.75095102543147185</v>
      </c>
      <c r="F29" s="44">
        <v>45352</v>
      </c>
      <c r="G29" s="57">
        <v>11777.677721590215</v>
      </c>
      <c r="H29" s="57">
        <v>30578.688960530817</v>
      </c>
      <c r="I29" s="57">
        <v>21709.844587689557</v>
      </c>
      <c r="J29" s="57">
        <v>37645.049614318901</v>
      </c>
      <c r="L29" s="2" t="s">
        <v>55</v>
      </c>
      <c r="M29" s="57">
        <v>418242.02618789673</v>
      </c>
      <c r="W29" s="2" t="s">
        <v>53</v>
      </c>
      <c r="X29" s="55">
        <v>238713.94376815303</v>
      </c>
      <c r="Y29" s="55">
        <v>271971.48989913956</v>
      </c>
      <c r="Z29" s="55">
        <v>33257.546130986535</v>
      </c>
      <c r="AA29" s="59">
        <v>0.13931966271432966</v>
      </c>
    </row>
    <row r="30" spans="2:27" x14ac:dyDescent="0.3">
      <c r="B30" s="44">
        <v>45443</v>
      </c>
      <c r="C30" s="55">
        <v>111944.47209591963</v>
      </c>
      <c r="D30" s="56">
        <v>0.81973827626249374</v>
      </c>
      <c r="F30" s="44">
        <v>45383</v>
      </c>
      <c r="G30" s="57">
        <v>11834.58931954808</v>
      </c>
      <c r="H30" s="57">
        <v>31094.818706838301</v>
      </c>
      <c r="I30" s="57">
        <v>22361.139925320243</v>
      </c>
      <c r="J30" s="57">
        <v>38118.481883105698</v>
      </c>
      <c r="L30" s="2" t="s">
        <v>97</v>
      </c>
      <c r="M30" s="57">
        <v>1224535.5233200882</v>
      </c>
      <c r="W30" s="2" t="s">
        <v>55</v>
      </c>
      <c r="X30" s="55">
        <v>476312.42495630222</v>
      </c>
      <c r="Y30" s="55">
        <v>418242.02618789673</v>
      </c>
      <c r="Z30" s="55">
        <v>-58070.398768405488</v>
      </c>
      <c r="AA30" s="59">
        <v>-0.12191661549398586</v>
      </c>
    </row>
    <row r="31" spans="2:27" x14ac:dyDescent="0.3">
      <c r="B31" s="44">
        <v>45473</v>
      </c>
      <c r="C31" s="55">
        <v>115302.80625879722</v>
      </c>
      <c r="D31" s="56">
        <v>0.79904087756188646</v>
      </c>
      <c r="F31" s="44">
        <v>45413</v>
      </c>
      <c r="G31" s="57">
        <v>12189.626999134529</v>
      </c>
      <c r="H31" s="57">
        <v>32277.813474329087</v>
      </c>
      <c r="I31" s="57">
        <v>22722.700923026958</v>
      </c>
      <c r="J31" s="57">
        <v>36197.416137763859</v>
      </c>
      <c r="P31" s="60" t="s">
        <v>75</v>
      </c>
      <c r="Q31" s="60" t="s">
        <v>120</v>
      </c>
      <c r="R31" s="60" t="s">
        <v>121</v>
      </c>
      <c r="S31" s="60" t="s">
        <v>65</v>
      </c>
      <c r="W31" s="2" t="s">
        <v>97</v>
      </c>
      <c r="X31" s="55">
        <v>1162213.8193412311</v>
      </c>
      <c r="Y31" s="55">
        <v>1224535.5233200882</v>
      </c>
      <c r="Z31" s="55">
        <v>62321.703978857026</v>
      </c>
      <c r="AA31" s="59">
        <v>5.3623268749447811E-2</v>
      </c>
    </row>
    <row r="32" spans="2:27" x14ac:dyDescent="0.3">
      <c r="B32" s="44">
        <v>45504</v>
      </c>
      <c r="C32" s="55">
        <v>118761.89044656114</v>
      </c>
      <c r="D32" s="56">
        <v>0.85829608283308279</v>
      </c>
      <c r="F32" s="44">
        <v>45444</v>
      </c>
      <c r="G32" s="57">
        <v>12023.518620775505</v>
      </c>
      <c r="H32" s="57">
        <v>31632.257204842495</v>
      </c>
      <c r="I32" s="57">
        <v>23128.108775404224</v>
      </c>
      <c r="J32" s="57">
        <v>35273.847168260814</v>
      </c>
      <c r="P32" s="61" t="s">
        <v>122</v>
      </c>
      <c r="Q32" s="62">
        <f>MIN(IF($T7&gt;0,$T7,0),1)</f>
        <v>0</v>
      </c>
      <c r="R32" s="62">
        <f>MIN(IF(T8&gt;0,T8,0),1)</f>
        <v>0</v>
      </c>
      <c r="S32" s="62">
        <f>MIN(IF(T9&gt;0,T9,0),1)</f>
        <v>1</v>
      </c>
    </row>
    <row r="33" spans="2:27" x14ac:dyDescent="0.3">
      <c r="B33" s="44">
        <v>45535</v>
      </c>
      <c r="C33" s="55">
        <v>115199.03373316431</v>
      </c>
      <c r="D33" s="56">
        <v>0.76672751661483607</v>
      </c>
      <c r="F33" s="44">
        <v>45474</v>
      </c>
      <c r="G33" s="57">
        <v>11894.970766132357</v>
      </c>
      <c r="H33" s="57">
        <v>32838.838861917866</v>
      </c>
      <c r="I33" s="57">
        <v>21769.636886875916</v>
      </c>
      <c r="J33" s="57">
        <v>36332.062583308631</v>
      </c>
      <c r="P33" s="61" t="s">
        <v>123</v>
      </c>
      <c r="Q33" s="62">
        <f>MAX(IF(T7&gt;0,1-Q32,0),0)</f>
        <v>0</v>
      </c>
      <c r="R33" s="62">
        <f>MAX(IF(T8&gt;0,1-R32,0),0)</f>
        <v>0</v>
      </c>
      <c r="S33" s="62">
        <f>MAX(IF(T9&gt;0,1-S32,0),0)</f>
        <v>0</v>
      </c>
    </row>
    <row r="34" spans="2:27" x14ac:dyDescent="0.3">
      <c r="B34" s="44">
        <v>45565</v>
      </c>
      <c r="C34" s="55">
        <v>111743.06272116938</v>
      </c>
      <c r="D34" s="56">
        <v>0.85494873018177286</v>
      </c>
      <c r="F34" s="44">
        <v>45505</v>
      </c>
      <c r="G34" s="57">
        <v>12251.819889116328</v>
      </c>
      <c r="H34" s="57">
        <v>34094.709676089311</v>
      </c>
      <c r="I34" s="57">
        <v>22422.725993482192</v>
      </c>
      <c r="J34" s="57">
        <v>32251.101487757747</v>
      </c>
      <c r="P34" s="61" t="s">
        <v>124</v>
      </c>
      <c r="Q34" s="62">
        <f>ABS(MIN(IF(T7&lt;0,T7,0),1))</f>
        <v>5.7972772118703053E-2</v>
      </c>
      <c r="R34" s="62">
        <f>ABS(MIN(IF(T8&lt;0,T8,0),1))</f>
        <v>0.24303399368170528</v>
      </c>
      <c r="S34" s="62">
        <f>ABS(MIN(IF(T9&lt;0,T9,0),1))</f>
        <v>0</v>
      </c>
      <c r="W34" s="43" t="s">
        <v>57</v>
      </c>
      <c r="X34" t="s" vm="1">
        <v>10</v>
      </c>
    </row>
    <row r="35" spans="2:27" x14ac:dyDescent="0.3">
      <c r="B35" s="44">
        <v>45596</v>
      </c>
      <c r="C35" s="55">
        <v>115095.35460280447</v>
      </c>
      <c r="D35" s="56">
        <v>0.88392582834946609</v>
      </c>
      <c r="F35" s="44">
        <v>45536</v>
      </c>
      <c r="G35" s="57">
        <v>12619.374485789818</v>
      </c>
      <c r="H35" s="57">
        <v>33412.815482567523</v>
      </c>
      <c r="I35" s="57">
        <v>23095.407773286661</v>
      </c>
      <c r="J35" s="57">
        <v>32042.492079250555</v>
      </c>
      <c r="P35" s="61" t="s">
        <v>125</v>
      </c>
      <c r="Q35" s="62">
        <f>IF(T7&lt;0,MIN(1-Q34,1),0)</f>
        <v>0.94202722788129689</v>
      </c>
      <c r="R35" s="62">
        <f>IF(T8&lt;0,MIN(1-R34,1),0)</f>
        <v>0.75696600631829469</v>
      </c>
      <c r="S35" s="62">
        <f>IF(T9&lt;0,MIN(1-S34,1),0)</f>
        <v>0</v>
      </c>
    </row>
    <row r="36" spans="2:27" x14ac:dyDescent="0.3">
      <c r="B36" s="44">
        <v>45626</v>
      </c>
      <c r="C36" s="55">
        <v>118548.2152408886</v>
      </c>
      <c r="D36" s="56">
        <v>0.80283340891690558</v>
      </c>
      <c r="F36" s="44">
        <v>45566</v>
      </c>
      <c r="G36" s="57">
        <v>12632.607716303912</v>
      </c>
      <c r="H36" s="57">
        <v>34041.889936105057</v>
      </c>
      <c r="I36" s="57">
        <v>23516.567964248505</v>
      </c>
      <c r="J36" s="57">
        <v>33003.766841628072</v>
      </c>
      <c r="P36" s="61" t="s">
        <v>126</v>
      </c>
      <c r="Q36" s="61" t="str">
        <f>IF(Q32&gt;0,TEXT(Q32,"0%")&amp; " hit",IF(Q34&gt;0,TEXT(Q34,"0%")&amp;" miss",""))</f>
        <v>6% miss</v>
      </c>
      <c r="R36" s="61" t="str">
        <f>IF(R32&gt;0,TEXT(R32,"0%")&amp; " hit",IF(R34&gt;0,TEXT(R34,"0%")&amp;" miss",""))</f>
        <v>24% miss</v>
      </c>
      <c r="S36" s="61" t="str">
        <f t="shared" ref="S36" si="0">IF(S32&gt;0,TEXT(S32,"0%")&amp; " hit",IF(S34&gt;0,TEXT(S34,"0%")&amp;" miss",""))</f>
        <v>100% hit</v>
      </c>
      <c r="W36" s="43" t="s">
        <v>127</v>
      </c>
      <c r="X36" t="s">
        <v>106</v>
      </c>
      <c r="Y36" t="s">
        <v>112</v>
      </c>
      <c r="Z36" t="s">
        <v>116</v>
      </c>
      <c r="AA36" t="s">
        <v>117</v>
      </c>
    </row>
    <row r="37" spans="2:27" x14ac:dyDescent="0.3">
      <c r="B37" s="44">
        <v>45657</v>
      </c>
      <c r="C37" s="55">
        <v>122104.66169811526</v>
      </c>
      <c r="D37" s="56">
        <v>0.83166674738698654</v>
      </c>
      <c r="F37" s="44">
        <v>45597</v>
      </c>
      <c r="G37" s="57">
        <v>12268.277323852715</v>
      </c>
      <c r="H37" s="57">
        <v>34756.150578634668</v>
      </c>
      <c r="I37" s="57">
        <v>24222.065003175961</v>
      </c>
      <c r="J37" s="57">
        <v>31886.790375003955</v>
      </c>
      <c r="W37" s="2" t="s">
        <v>62</v>
      </c>
      <c r="X37" s="55">
        <v>248112.34962149826</v>
      </c>
      <c r="Y37" s="55">
        <v>210225.39429401184</v>
      </c>
      <c r="Z37" s="55">
        <v>-37886.955327486416</v>
      </c>
      <c r="AA37" s="59">
        <v>-0.15270080423358182</v>
      </c>
    </row>
    <row r="38" spans="2:27" x14ac:dyDescent="0.3">
      <c r="B38" s="2" t="s">
        <v>97</v>
      </c>
      <c r="C38" s="55">
        <v>1383808.3582688051</v>
      </c>
      <c r="D38" s="56">
        <v>0.82524812358923139</v>
      </c>
      <c r="F38" s="44">
        <v>45627</v>
      </c>
      <c r="G38" s="57">
        <v>12261.712260179256</v>
      </c>
      <c r="H38" s="57">
        <v>33779.331407246937</v>
      </c>
      <c r="I38" s="57">
        <v>24616.367415971006</v>
      </c>
      <c r="J38" s="57">
        <v>31209.315594442724</v>
      </c>
      <c r="W38" s="2" t="s">
        <v>61</v>
      </c>
      <c r="X38" s="55">
        <v>305123.62636847416</v>
      </c>
      <c r="Y38" s="55">
        <v>382029.05323770113</v>
      </c>
      <c r="Z38" s="55">
        <v>76905.426869226969</v>
      </c>
      <c r="AA38" s="59">
        <v>0.25204677784064561</v>
      </c>
    </row>
    <row r="39" spans="2:27" x14ac:dyDescent="0.3">
      <c r="P39" s="60" t="s">
        <v>106</v>
      </c>
      <c r="Q39" s="60" t="s">
        <v>120</v>
      </c>
      <c r="R39" s="60" t="s">
        <v>121</v>
      </c>
      <c r="S39" s="60" t="s">
        <v>65</v>
      </c>
      <c r="W39" s="2" t="s">
        <v>64</v>
      </c>
      <c r="X39" s="55">
        <v>446774.36424266454</v>
      </c>
      <c r="Y39" s="55">
        <v>443050.46766822907</v>
      </c>
      <c r="Z39" s="55">
        <v>-3723.8965744354646</v>
      </c>
      <c r="AA39" s="59">
        <v>-8.3350721806697888E-3</v>
      </c>
    </row>
    <row r="40" spans="2:27" x14ac:dyDescent="0.3">
      <c r="P40" s="61" t="s">
        <v>122</v>
      </c>
      <c r="Q40" s="62">
        <f>MIN(IF($T15&gt;0,$T15,0),1)</f>
        <v>0.10441182635779028</v>
      </c>
      <c r="R40" s="62">
        <f>MIN(IF(T16&gt;0,T16,0),1)</f>
        <v>0.13056002345838438</v>
      </c>
      <c r="S40" s="62">
        <f>MIN(IF(T17&gt;0,T17,0),1)</f>
        <v>0.45729173655891114</v>
      </c>
      <c r="W40" s="2" t="s">
        <v>63</v>
      </c>
      <c r="X40" s="55">
        <v>162203.47910859369</v>
      </c>
      <c r="Y40" s="55">
        <v>189230.608120146</v>
      </c>
      <c r="Z40" s="55">
        <v>27027.129011552315</v>
      </c>
      <c r="AA40" s="59">
        <v>0.16662484158837251</v>
      </c>
    </row>
    <row r="41" spans="2:27" x14ac:dyDescent="0.3">
      <c r="P41" s="61" t="s">
        <v>123</v>
      </c>
      <c r="Q41" s="62">
        <f>MAX(IF(T15&gt;0,1-Q40,0),0)</f>
        <v>0.89558817364220977</v>
      </c>
      <c r="R41" s="62">
        <f>MAX(IF(T16&gt;0,1-R40,0),0)</f>
        <v>0.86943997654161564</v>
      </c>
      <c r="S41" s="62">
        <f>MAX(IF(T17&gt;0,1-S40,0),0)</f>
        <v>0.54270826344108891</v>
      </c>
      <c r="W41" s="2" t="s">
        <v>97</v>
      </c>
      <c r="X41" s="55">
        <v>1162213.8193412311</v>
      </c>
      <c r="Y41" s="55">
        <v>1224535.5233200882</v>
      </c>
      <c r="Z41" s="55">
        <v>62321.703978857026</v>
      </c>
      <c r="AA41" s="59">
        <v>5.3623268749447811E-2</v>
      </c>
    </row>
    <row r="42" spans="2:27" x14ac:dyDescent="0.3">
      <c r="P42" s="61" t="s">
        <v>124</v>
      </c>
      <c r="Q42" s="62">
        <f>ABS(MIN(IF(T15&lt;0,T15,0),1))</f>
        <v>0</v>
      </c>
      <c r="R42" s="62">
        <f>ABS(MIN(IF(T16&lt;0,T16,0),1))</f>
        <v>0</v>
      </c>
      <c r="S42" s="62">
        <f>ABS(MIN(IF(T17&lt;0,T17,0),1))</f>
        <v>0</v>
      </c>
    </row>
    <row r="43" spans="2:27" x14ac:dyDescent="0.3">
      <c r="F43" s="43" t="s">
        <v>57</v>
      </c>
      <c r="G43" t="s" vm="1">
        <v>10</v>
      </c>
      <c r="L43" s="43" t="s">
        <v>57</v>
      </c>
      <c r="M43" t="s" vm="1">
        <v>10</v>
      </c>
      <c r="P43" s="61" t="s">
        <v>125</v>
      </c>
      <c r="Q43" s="62">
        <f>IF(T15&lt;0,MIN(1-Q42,1),0)</f>
        <v>0</v>
      </c>
      <c r="R43" s="62">
        <f>IF(T16&lt;0,MIN(1-R42,1),0)</f>
        <v>0</v>
      </c>
      <c r="S43" s="62">
        <f>IF(T17&lt;0,MIN(1-S42,1),0)</f>
        <v>0</v>
      </c>
    </row>
    <row r="44" spans="2:27" x14ac:dyDescent="0.3">
      <c r="P44" s="61" t="s">
        <v>126</v>
      </c>
      <c r="Q44" s="61" t="str">
        <f>IF(Q40&gt;0,TEXT(Q40,"0%")&amp; " hit",IF(Q42&gt;0,TEXT(Q42,"0%")&amp;" miss",""))</f>
        <v>10% hit</v>
      </c>
      <c r="R44" s="61" t="str">
        <f>IF(R40&gt;0,TEXT(R40,"0%")&amp; " hit",IF(R42&gt;0,TEXT(R42,"0%")&amp;" miss",""))</f>
        <v>13% hit</v>
      </c>
      <c r="S44" s="61" t="str">
        <f t="shared" ref="S44" si="1">IF(S40&gt;0,TEXT(S40,"0%")&amp; " hit",IF(S42&gt;0,TEXT(S42,"0%")&amp;" miss",""))</f>
        <v>46% hit</v>
      </c>
      <c r="W44" s="43" t="s">
        <v>57</v>
      </c>
      <c r="X44" t="s" vm="1">
        <v>10</v>
      </c>
    </row>
    <row r="45" spans="2:27" x14ac:dyDescent="0.3">
      <c r="F45" s="43" t="s">
        <v>112</v>
      </c>
      <c r="G45" s="43" t="s">
        <v>111</v>
      </c>
      <c r="L45" s="43" t="s">
        <v>111</v>
      </c>
      <c r="M45" t="s">
        <v>95</v>
      </c>
    </row>
    <row r="46" spans="2:27" x14ac:dyDescent="0.3">
      <c r="F46" s="43" t="s">
        <v>111</v>
      </c>
      <c r="G46" t="s">
        <v>62</v>
      </c>
      <c r="H46" t="s">
        <v>61</v>
      </c>
      <c r="I46" t="s">
        <v>64</v>
      </c>
      <c r="J46" t="s">
        <v>63</v>
      </c>
      <c r="L46" s="2" t="s">
        <v>62</v>
      </c>
      <c r="M46" s="57">
        <v>210225.39429401184</v>
      </c>
      <c r="W46" s="43" t="s">
        <v>127</v>
      </c>
      <c r="X46" t="s">
        <v>107</v>
      </c>
      <c r="Y46" t="s">
        <v>112</v>
      </c>
      <c r="Z46" t="s">
        <v>118</v>
      </c>
      <c r="AA46" t="s">
        <v>119</v>
      </c>
    </row>
    <row r="47" spans="2:27" x14ac:dyDescent="0.3">
      <c r="F47" s="44">
        <v>45292</v>
      </c>
      <c r="G47" s="57">
        <v>19431.89164257532</v>
      </c>
      <c r="H47" s="57">
        <v>29529.336285449597</v>
      </c>
      <c r="I47" s="57">
        <v>36264.881753753172</v>
      </c>
      <c r="J47" s="57">
        <v>14660.921963006282</v>
      </c>
      <c r="L47" s="2" t="s">
        <v>61</v>
      </c>
      <c r="M47" s="57">
        <v>382029.05323770113</v>
      </c>
      <c r="P47" s="60" t="s">
        <v>107</v>
      </c>
      <c r="Q47" s="60" t="s">
        <v>120</v>
      </c>
      <c r="R47" s="60" t="s">
        <v>121</v>
      </c>
      <c r="S47" s="60" t="s">
        <v>65</v>
      </c>
      <c r="W47" s="2" t="s">
        <v>54</v>
      </c>
      <c r="X47" s="55">
        <v>127087.143428519</v>
      </c>
      <c r="Y47" s="55">
        <v>144906.91348926449</v>
      </c>
      <c r="Z47" s="55">
        <v>17819.77006074549</v>
      </c>
      <c r="AA47" s="59">
        <v>0.14021693760681886</v>
      </c>
    </row>
    <row r="48" spans="2:27" x14ac:dyDescent="0.3">
      <c r="F48" s="44">
        <v>45323</v>
      </c>
      <c r="G48" s="57">
        <v>19953.33570194335</v>
      </c>
      <c r="H48" s="57">
        <v>29350.079416848508</v>
      </c>
      <c r="I48" s="57">
        <v>37044.557095615732</v>
      </c>
      <c r="J48" s="57">
        <v>14514.141056048988</v>
      </c>
      <c r="L48" s="2" t="s">
        <v>64</v>
      </c>
      <c r="M48" s="57">
        <v>443050.46766822907</v>
      </c>
      <c r="P48" s="61" t="s">
        <v>122</v>
      </c>
      <c r="Q48" s="62">
        <f>MIN(IF($T23&gt;0,$T23,0),1)</f>
        <v>0.13056002345838438</v>
      </c>
      <c r="R48" s="62">
        <f>MIN(IF(T24&gt;0,T24,0),1)</f>
        <v>0.45729173655891114</v>
      </c>
      <c r="S48" s="62">
        <f>MIN(IF(T25&gt;0,T25,0),1)</f>
        <v>0.15739766944999964</v>
      </c>
      <c r="W48" s="2" t="s">
        <v>67</v>
      </c>
      <c r="X48" s="55">
        <v>320100.30718825641</v>
      </c>
      <c r="Y48" s="55">
        <v>389415.09374378726</v>
      </c>
      <c r="Z48" s="55">
        <v>69314.786555530853</v>
      </c>
      <c r="AA48" s="59">
        <v>0.2165408311050625</v>
      </c>
    </row>
    <row r="49" spans="6:27" x14ac:dyDescent="0.3">
      <c r="F49" s="44">
        <v>45352</v>
      </c>
      <c r="G49" s="57">
        <v>19835.193127287439</v>
      </c>
      <c r="H49" s="57">
        <v>29407.744952775938</v>
      </c>
      <c r="I49" s="57">
        <v>37529.780669671163</v>
      </c>
      <c r="J49" s="57">
        <v>14938.542134394958</v>
      </c>
      <c r="L49" s="2" t="s">
        <v>63</v>
      </c>
      <c r="M49" s="57">
        <v>189230.608120146</v>
      </c>
      <c r="P49" s="61" t="s">
        <v>123</v>
      </c>
      <c r="Q49" s="62">
        <f>MAX(IF(T23&gt;0,1-Q48,0),0)</f>
        <v>0.86943997654161564</v>
      </c>
      <c r="R49" s="62">
        <f>MAX(IF(T24&gt;0,1-R48,0),0)</f>
        <v>0.54270826344108891</v>
      </c>
      <c r="S49" s="62">
        <f>MAX(IF(T25&gt;0,1-S48,0),0)</f>
        <v>0.84260233055000033</v>
      </c>
      <c r="W49" s="2" t="s">
        <v>53</v>
      </c>
      <c r="X49" s="55">
        <v>238713.94376815303</v>
      </c>
      <c r="Y49" s="55">
        <v>271971.48989913956</v>
      </c>
      <c r="Z49" s="55">
        <v>33257.546130986535</v>
      </c>
      <c r="AA49" s="59">
        <v>0.13931966271432966</v>
      </c>
    </row>
    <row r="50" spans="6:27" x14ac:dyDescent="0.3">
      <c r="F50" s="44">
        <v>45383</v>
      </c>
      <c r="G50" s="57">
        <v>19786.86844817438</v>
      </c>
      <c r="H50" s="57">
        <v>30154.319705420978</v>
      </c>
      <c r="I50" s="57">
        <v>38092.386899192374</v>
      </c>
      <c r="J50" s="57">
        <v>15375.454782024601</v>
      </c>
      <c r="L50" s="2" t="s">
        <v>97</v>
      </c>
      <c r="M50" s="57">
        <v>1224535.5233200882</v>
      </c>
      <c r="P50" s="61" t="s">
        <v>124</v>
      </c>
      <c r="Q50" s="62">
        <f>ABS(MIN(IF(T23&lt;0,T23,0),1))</f>
        <v>0</v>
      </c>
      <c r="R50" s="62">
        <f>ABS(MIN(IF(T24&lt;0,T24,0),1))</f>
        <v>0</v>
      </c>
      <c r="S50" s="62">
        <f>ABS(MIN(IF(T25&lt;0,T25,0),1))</f>
        <v>0</v>
      </c>
      <c r="W50" s="2" t="s">
        <v>55</v>
      </c>
      <c r="X50" s="55">
        <v>476312.42495630222</v>
      </c>
      <c r="Y50" s="55">
        <v>418242.02618789673</v>
      </c>
      <c r="Z50" s="55">
        <v>-58070.398768405488</v>
      </c>
      <c r="AA50" s="59">
        <v>-0.12191661549398586</v>
      </c>
    </row>
    <row r="51" spans="6:27" x14ac:dyDescent="0.3">
      <c r="F51" s="44">
        <v>45413</v>
      </c>
      <c r="G51" s="57">
        <v>18029.407205686242</v>
      </c>
      <c r="H51" s="57">
        <v>31227.748491222792</v>
      </c>
      <c r="I51" s="57">
        <v>38614.425100643202</v>
      </c>
      <c r="J51" s="57">
        <v>15515.976736702187</v>
      </c>
      <c r="P51" s="61" t="s">
        <v>125</v>
      </c>
      <c r="Q51" s="62">
        <f>IF(T23&lt;0,MIN(1-Q50,1),0)</f>
        <v>0</v>
      </c>
      <c r="R51" s="62">
        <f>IF(T24&lt;0,MIN(1-R50,1),0)</f>
        <v>0</v>
      </c>
      <c r="S51" s="62">
        <f>IF(T25&lt;0,MIN(1-S50,1),0)</f>
        <v>0</v>
      </c>
      <c r="W51" s="2" t="s">
        <v>97</v>
      </c>
      <c r="X51" s="55">
        <v>1162213.8193412311</v>
      </c>
      <c r="Y51" s="55">
        <v>1224535.5233200882</v>
      </c>
      <c r="Z51" s="55">
        <v>62321.703978857026</v>
      </c>
      <c r="AA51" s="59">
        <v>5.3623268749447811E-2</v>
      </c>
    </row>
    <row r="52" spans="6:27" x14ac:dyDescent="0.3">
      <c r="F52" s="44">
        <v>45444</v>
      </c>
      <c r="G52" s="57">
        <v>16401.450126074356</v>
      </c>
      <c r="H52" s="57">
        <v>31067.125406550505</v>
      </c>
      <c r="I52" s="57">
        <v>39060.712424119301</v>
      </c>
      <c r="J52" s="57">
        <v>15528.443812538881</v>
      </c>
      <c r="P52" s="61" t="s">
        <v>126</v>
      </c>
      <c r="Q52" s="61" t="str">
        <f>IF(Q48&gt;0,TEXT(Q48,"0%")&amp; " hit",IF(Q50&gt;0,TEXT(Q50,"0%")&amp;" miss",""))</f>
        <v>13% hit</v>
      </c>
      <c r="R52" s="61" t="str">
        <f>IF(R48&gt;0,TEXT(R48,"0%")&amp; " hit",IF(R50&gt;0,TEXT(R50,"0%")&amp;" miss",""))</f>
        <v>46% hit</v>
      </c>
      <c r="S52" s="61" t="str">
        <f t="shared" ref="S52" si="2">IF(S48&gt;0,TEXT(S48,"0%")&amp; " hit",IF(S50&gt;0,TEXT(S50,"0%")&amp;" miss",""))</f>
        <v>16% hit</v>
      </c>
    </row>
    <row r="53" spans="6:27" x14ac:dyDescent="0.3">
      <c r="F53" s="44">
        <v>45474</v>
      </c>
      <c r="G53" s="57">
        <v>16822.569064192194</v>
      </c>
      <c r="H53" s="57">
        <v>32172.833540030737</v>
      </c>
      <c r="I53" s="57">
        <v>37857.273268431563</v>
      </c>
      <c r="J53" s="57">
        <v>15982.833225580287</v>
      </c>
      <c r="W53" s="43" t="s">
        <v>57</v>
      </c>
      <c r="X53" t="s" vm="1">
        <v>10</v>
      </c>
    </row>
    <row r="54" spans="6:27" x14ac:dyDescent="0.3">
      <c r="F54" s="44">
        <v>45505</v>
      </c>
      <c r="G54" s="57">
        <v>16696.001856192448</v>
      </c>
      <c r="H54" s="57">
        <v>32951.276205901428</v>
      </c>
      <c r="I54" s="57">
        <v>34922.453941365464</v>
      </c>
      <c r="J54" s="57">
        <v>16450.625042986245</v>
      </c>
    </row>
    <row r="55" spans="6:27" x14ac:dyDescent="0.3">
      <c r="F55" s="44">
        <v>45536</v>
      </c>
      <c r="G55" s="57">
        <v>16544.446047727837</v>
      </c>
      <c r="H55" s="57">
        <v>32735.772467637176</v>
      </c>
      <c r="I55" s="57">
        <v>35415.541118793903</v>
      </c>
      <c r="J55" s="57">
        <v>16474.330186735646</v>
      </c>
      <c r="P55" s="60" t="s">
        <v>130</v>
      </c>
      <c r="Q55" s="60" t="s">
        <v>120</v>
      </c>
      <c r="R55" s="60" t="s">
        <v>121</v>
      </c>
      <c r="S55" s="60" t="s">
        <v>65</v>
      </c>
      <c r="W55" s="43" t="s">
        <v>127</v>
      </c>
      <c r="X55" t="s">
        <v>107</v>
      </c>
      <c r="Y55" t="s">
        <v>112</v>
      </c>
      <c r="Z55" t="s">
        <v>118</v>
      </c>
      <c r="AA55" t="s">
        <v>119</v>
      </c>
    </row>
    <row r="56" spans="6:27" x14ac:dyDescent="0.3">
      <c r="F56" s="44">
        <v>45566</v>
      </c>
      <c r="G56" s="57">
        <v>16972.670686046178</v>
      </c>
      <c r="H56" s="57">
        <v>33633.811682883032</v>
      </c>
      <c r="I56" s="57">
        <v>35914.630074865592</v>
      </c>
      <c r="J56" s="57">
        <v>16673.720014490755</v>
      </c>
      <c r="P56" s="61" t="s">
        <v>75</v>
      </c>
      <c r="Q56" s="63">
        <f>S7</f>
        <v>-80223.206609874032</v>
      </c>
      <c r="R56" s="63">
        <f>S8</f>
        <v>-277541.23629276454</v>
      </c>
      <c r="S56" s="63">
        <f>S9</f>
        <v>146498.0798241304</v>
      </c>
      <c r="W56" s="2" t="s">
        <v>62</v>
      </c>
      <c r="X56" s="55">
        <v>248112.34962149826</v>
      </c>
      <c r="Y56" s="55">
        <v>210225.39429401184</v>
      </c>
      <c r="Z56" s="55">
        <v>-37886.955327486416</v>
      </c>
      <c r="AA56" s="59">
        <v>-0.15270080423358182</v>
      </c>
    </row>
    <row r="57" spans="6:27" x14ac:dyDescent="0.3">
      <c r="F57" s="44">
        <v>45597</v>
      </c>
      <c r="G57" s="57">
        <v>15498.436000701864</v>
      </c>
      <c r="H57" s="57">
        <v>34839.877520995695</v>
      </c>
      <c r="I57" s="57">
        <v>36078.104053261464</v>
      </c>
      <c r="J57" s="57">
        <v>16716.865705708278</v>
      </c>
      <c r="P57" s="61" t="s">
        <v>106</v>
      </c>
      <c r="Q57" s="63">
        <f>S15</f>
        <v>130826.15974198468</v>
      </c>
      <c r="R57" s="63">
        <f>S16</f>
        <v>131879.43857463927</v>
      </c>
      <c r="S57" s="63">
        <f>S17</f>
        <v>69557.734595782356</v>
      </c>
      <c r="W57" s="2" t="s">
        <v>61</v>
      </c>
      <c r="X57" s="55">
        <v>305123.62636847416</v>
      </c>
      <c r="Y57" s="55">
        <v>382029.05323770113</v>
      </c>
      <c r="Z57" s="55">
        <v>76905.426869226969</v>
      </c>
      <c r="AA57" s="59">
        <v>0.25204677784064561</v>
      </c>
    </row>
    <row r="58" spans="6:27" x14ac:dyDescent="0.3">
      <c r="F58" s="44">
        <v>45627</v>
      </c>
      <c r="G58" s="57">
        <v>14253.124387410255</v>
      </c>
      <c r="H58" s="57">
        <v>34959.127561984642</v>
      </c>
      <c r="I58" s="57">
        <v>36255.721268516121</v>
      </c>
      <c r="J58" s="57">
        <v>16398.753459928896</v>
      </c>
      <c r="P58" s="61" t="s">
        <v>107</v>
      </c>
      <c r="Q58" s="63">
        <f>S22</f>
        <v>130826.15974198468</v>
      </c>
      <c r="R58" s="63">
        <f>S23</f>
        <v>131879.43857463927</v>
      </c>
      <c r="S58" s="63">
        <f>S24</f>
        <v>69557.734595782356</v>
      </c>
      <c r="W58" s="2" t="s">
        <v>64</v>
      </c>
      <c r="X58" s="55">
        <v>446774.36424266454</v>
      </c>
      <c r="Y58" s="55">
        <v>443050.46766822907</v>
      </c>
      <c r="Z58" s="55">
        <v>-3723.8965744354646</v>
      </c>
      <c r="AA58" s="59">
        <v>-8.3350721806697888E-3</v>
      </c>
    </row>
    <row r="59" spans="6:27" x14ac:dyDescent="0.3">
      <c r="W59" s="2" t="s">
        <v>63</v>
      </c>
      <c r="X59" s="55">
        <v>162203.47910859369</v>
      </c>
      <c r="Y59" s="55">
        <v>189230.608120146</v>
      </c>
      <c r="Z59" s="55">
        <v>27027.129011552315</v>
      </c>
      <c r="AA59" s="59">
        <v>0.16662484158837251</v>
      </c>
    </row>
    <row r="60" spans="6:27" x14ac:dyDescent="0.3">
      <c r="W60" s="2" t="s">
        <v>97</v>
      </c>
      <c r="X60" s="55">
        <v>1162213.8193412311</v>
      </c>
      <c r="Y60" s="55">
        <v>1224535.5233200882</v>
      </c>
      <c r="Z60" s="55">
        <v>62321.703978857026</v>
      </c>
      <c r="AA60" s="59">
        <v>5.3623268749447811E-2</v>
      </c>
    </row>
  </sheetData>
  <pageMargins left="0.7" right="0.7" top="0.75" bottom="0.75" header="0.3" footer="0.3"/>
  <drawing r:id="rId17"/>
  <extLst>
    <ext xmlns:x14="http://schemas.microsoft.com/office/spreadsheetml/2009/9/main" uri="{A8765BA9-456A-4dab-B4F3-ACF838C121DE}">
      <x14:slicerList>
        <x14:slicer r:id="rId18"/>
      </x14:slicerList>
    </ext>
    <ext xmlns:x15="http://schemas.microsoft.com/office/spreadsheetml/2010/11/main" uri="{7E03D99C-DC04-49d9-9315-930204A7B6E9}">
      <x15:timelineRefs>
        <x15:timelineRef r:id="rId19"/>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DBE83-C3B3-4234-B818-A4630EAA624E}">
  <sheetPr>
    <tabColor theme="5" tint="0.79998168889431442"/>
    <outlinePr summaryBelow="0" summaryRight="0"/>
  </sheetPr>
  <dimension ref="A1:NTP304"/>
  <sheetViews>
    <sheetView showGridLines="0" zoomScaleNormal="100" workbookViewId="0">
      <pane xSplit="3" ySplit="4" topLeftCell="D39" activePane="bottomRight" state="frozen"/>
      <selection activeCell="B8" sqref="B8"/>
      <selection pane="topRight" activeCell="B8" sqref="B8"/>
      <selection pane="bottomLeft" activeCell="B8" sqref="B8"/>
      <selection pane="bottomRight" activeCell="D53" sqref="D53"/>
    </sheetView>
  </sheetViews>
  <sheetFormatPr defaultColWidth="9.109375" defaultRowHeight="14.4" x14ac:dyDescent="0.3"/>
  <cols>
    <col min="1" max="1" width="2.5546875" customWidth="1"/>
    <col min="2" max="2" width="42.33203125" style="2" customWidth="1"/>
    <col min="3" max="3" width="2.6640625" customWidth="1"/>
    <col min="4" max="4" width="12.44140625" style="27" customWidth="1"/>
    <col min="5"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1</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100000</v>
      </c>
      <c r="E6" s="14">
        <v>103000</v>
      </c>
      <c r="F6" s="14">
        <f>E6*(0.97)</f>
        <v>99910</v>
      </c>
      <c r="G6" s="14">
        <v>102907.3</v>
      </c>
      <c r="H6" s="14">
        <f>G6*(0.97)</f>
        <v>99820.081000000006</v>
      </c>
      <c r="I6" s="14">
        <v>102814.68343</v>
      </c>
      <c r="J6" s="14">
        <v>105899.12393290001</v>
      </c>
      <c r="K6" s="14">
        <f>J6*(0.97)</f>
        <v>102722.15021491301</v>
      </c>
      <c r="L6" s="14">
        <v>105803.81472136041</v>
      </c>
      <c r="M6" s="14">
        <v>108977.92916300123</v>
      </c>
      <c r="N6" s="14">
        <v>112247.26703789127</v>
      </c>
      <c r="O6" s="14">
        <f>N6*(0.97)</f>
        <v>108879.84902675453</v>
      </c>
      <c r="P6" s="14">
        <v>112146.24449755717</v>
      </c>
      <c r="Q6" s="14">
        <v>115510.63183248389</v>
      </c>
      <c r="R6" s="14">
        <f>Q6*(0.97)</f>
        <v>112045.31287750938</v>
      </c>
      <c r="S6" s="14">
        <v>115406.67226383467</v>
      </c>
      <c r="T6" s="14">
        <f>S6*(0.97)</f>
        <v>111944.47209591963</v>
      </c>
      <c r="U6" s="14">
        <v>115302.80625879722</v>
      </c>
      <c r="V6" s="14">
        <v>118761.89044656114</v>
      </c>
      <c r="W6" s="14">
        <f t="shared" ref="W6:X6" si="1">V6*(0.97)</f>
        <v>115199.03373316431</v>
      </c>
      <c r="X6" s="14">
        <f t="shared" si="1"/>
        <v>111743.06272116938</v>
      </c>
      <c r="Y6" s="14">
        <v>115095.35460280447</v>
      </c>
      <c r="Z6" s="14">
        <v>118548.2152408886</v>
      </c>
      <c r="AA6" s="14">
        <v>122104.66169811526</v>
      </c>
      <c r="AB6" s="14">
        <f>AA6*(0.97)</f>
        <v>118441.5218471718</v>
      </c>
      <c r="AC6" s="14">
        <v>121994.76750258695</v>
      </c>
      <c r="AD6" s="14">
        <v>125654.61052766457</v>
      </c>
      <c r="AE6" s="14">
        <v>129424.24884349451</v>
      </c>
      <c r="AF6" s="14">
        <f>AE6*(0.97)</f>
        <v>125541.52137818967</v>
      </c>
      <c r="AG6" s="14">
        <v>129307.76701953537</v>
      </c>
      <c r="AH6" s="14">
        <v>133187.00003012145</v>
      </c>
      <c r="AI6" s="14">
        <f>AH6*(0.97)</f>
        <v>129191.3900292178</v>
      </c>
      <c r="AJ6" s="14">
        <v>133067.13173009435</v>
      </c>
      <c r="AK6" s="14">
        <v>137059.14568199718</v>
      </c>
      <c r="AL6" s="14">
        <v>141170.92005245711</v>
      </c>
      <c r="AM6" s="14">
        <f>AL6*(0.97)</f>
        <v>136935.7924508834</v>
      </c>
    </row>
    <row r="7" spans="1:39" s="12" customFormat="1" ht="21" customHeight="1" x14ac:dyDescent="0.3">
      <c r="A7" s="8"/>
      <c r="B7" s="15" t="s">
        <v>4</v>
      </c>
      <c r="C7" s="10"/>
      <c r="D7" s="16">
        <f t="shared" ref="D7" si="2">SUM(D6 + D5)</f>
        <v>100000</v>
      </c>
      <c r="E7" s="16">
        <f t="shared" ref="E7:AM7" si="3">SUM(E6 + E5)</f>
        <v>103000</v>
      </c>
      <c r="F7" s="16">
        <f t="shared" si="3"/>
        <v>99910</v>
      </c>
      <c r="G7" s="16">
        <f t="shared" si="3"/>
        <v>102907.3</v>
      </c>
      <c r="H7" s="16">
        <f t="shared" si="3"/>
        <v>99820.081000000006</v>
      </c>
      <c r="I7" s="16">
        <f t="shared" si="3"/>
        <v>102814.68343</v>
      </c>
      <c r="J7" s="16">
        <f t="shared" si="3"/>
        <v>105899.12393290001</v>
      </c>
      <c r="K7" s="16">
        <f t="shared" si="3"/>
        <v>102722.15021491301</v>
      </c>
      <c r="L7" s="16">
        <f t="shared" si="3"/>
        <v>105803.81472136041</v>
      </c>
      <c r="M7" s="16">
        <f t="shared" si="3"/>
        <v>108977.92916300123</v>
      </c>
      <c r="N7" s="16">
        <f t="shared" si="3"/>
        <v>112247.26703789127</v>
      </c>
      <c r="O7" s="16">
        <f t="shared" si="3"/>
        <v>108879.84902675453</v>
      </c>
      <c r="P7" s="16">
        <f t="shared" si="3"/>
        <v>112146.24449755717</v>
      </c>
      <c r="Q7" s="16">
        <f t="shared" si="3"/>
        <v>115510.63183248389</v>
      </c>
      <c r="R7" s="16">
        <f t="shared" si="3"/>
        <v>112045.31287750938</v>
      </c>
      <c r="S7" s="16">
        <f t="shared" si="3"/>
        <v>115406.67226383467</v>
      </c>
      <c r="T7" s="16">
        <f t="shared" si="3"/>
        <v>111944.47209591963</v>
      </c>
      <c r="U7" s="16">
        <f t="shared" si="3"/>
        <v>115302.80625879722</v>
      </c>
      <c r="V7" s="16">
        <f t="shared" si="3"/>
        <v>118761.89044656114</v>
      </c>
      <c r="W7" s="16">
        <f t="shared" si="3"/>
        <v>115199.03373316431</v>
      </c>
      <c r="X7" s="16">
        <f t="shared" si="3"/>
        <v>111743.06272116938</v>
      </c>
      <c r="Y7" s="16">
        <f t="shared" si="3"/>
        <v>115095.35460280447</v>
      </c>
      <c r="Z7" s="16">
        <f t="shared" si="3"/>
        <v>118548.2152408886</v>
      </c>
      <c r="AA7" s="16">
        <f t="shared" si="3"/>
        <v>122104.66169811526</v>
      </c>
      <c r="AB7" s="16">
        <f t="shared" si="3"/>
        <v>118441.5218471718</v>
      </c>
      <c r="AC7" s="16">
        <f t="shared" si="3"/>
        <v>121994.76750258695</v>
      </c>
      <c r="AD7" s="16">
        <f t="shared" si="3"/>
        <v>125654.61052766457</v>
      </c>
      <c r="AE7" s="16">
        <f t="shared" si="3"/>
        <v>129424.24884349451</v>
      </c>
      <c r="AF7" s="16">
        <f t="shared" si="3"/>
        <v>125541.52137818967</v>
      </c>
      <c r="AG7" s="16">
        <f t="shared" si="3"/>
        <v>129307.76701953537</v>
      </c>
      <c r="AH7" s="16">
        <f t="shared" si="3"/>
        <v>133187.00003012145</v>
      </c>
      <c r="AI7" s="16">
        <f t="shared" si="3"/>
        <v>129191.3900292178</v>
      </c>
      <c r="AJ7" s="16">
        <f t="shared" si="3"/>
        <v>133067.13173009435</v>
      </c>
      <c r="AK7" s="16">
        <f t="shared" si="3"/>
        <v>137059.14568199718</v>
      </c>
      <c r="AL7" s="16">
        <f t="shared" si="3"/>
        <v>141170.92005245711</v>
      </c>
      <c r="AM7" s="16">
        <f t="shared" si="3"/>
        <v>136935.7924508834</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25000</v>
      </c>
      <c r="E9" s="14">
        <v>30900</v>
      </c>
      <c r="F9" s="14">
        <v>13987.4</v>
      </c>
      <c r="G9" s="14">
        <v>27784.971000000001</v>
      </c>
      <c r="H9" s="14">
        <v>19964.016200000002</v>
      </c>
      <c r="I9" s="14">
        <v>13365.908845900001</v>
      </c>
      <c r="J9" s="14">
        <v>22238.816025909004</v>
      </c>
      <c r="K9" s="14">
        <v>12326.658025789562</v>
      </c>
      <c r="L9" s="14">
        <v>17986.648502631269</v>
      </c>
      <c r="M9" s="14">
        <v>20705.806540970236</v>
      </c>
      <c r="N9" s="14">
        <v>20204.508066820432</v>
      </c>
      <c r="O9" s="14">
        <v>13065.581883210545</v>
      </c>
      <c r="P9" s="14">
        <v>13457.54933970686</v>
      </c>
      <c r="Q9" s="14">
        <v>20791.913729847103</v>
      </c>
      <c r="R9" s="14">
        <v>15686.343802851312</v>
      </c>
      <c r="S9" s="14">
        <v>27697.601343320319</v>
      </c>
      <c r="T9" s="14">
        <v>19030.560256306337</v>
      </c>
      <c r="U9" s="14">
        <v>21907.533189171474</v>
      </c>
      <c r="V9" s="14">
        <v>15439.045758052947</v>
      </c>
      <c r="W9" s="14">
        <v>25343.787421296147</v>
      </c>
      <c r="X9" s="14">
        <v>14526.598153752018</v>
      </c>
      <c r="Y9" s="14">
        <v>11509.535460280445</v>
      </c>
      <c r="Z9" s="14">
        <v>21338.678743359949</v>
      </c>
      <c r="AA9" s="14">
        <v>18315.699254717289</v>
      </c>
      <c r="AB9" s="14">
        <v>15397.397840132333</v>
      </c>
      <c r="AC9" s="14">
        <v>25618.901175543262</v>
      </c>
      <c r="AD9" s="14">
        <v>23874.376000256267</v>
      </c>
      <c r="AE9" s="14">
        <v>38827.274653048349</v>
      </c>
      <c r="AF9" s="14">
        <v>37662.456413456901</v>
      </c>
      <c r="AG9" s="14">
        <v>28447.708744297783</v>
      </c>
      <c r="AH9" s="14">
        <v>38624.23000873522</v>
      </c>
      <c r="AI9" s="14">
        <v>25838.27800584356</v>
      </c>
      <c r="AJ9" s="14">
        <v>25282.755028717929</v>
      </c>
      <c r="AK9" s="14">
        <v>34264.786420499295</v>
      </c>
      <c r="AL9" s="14">
        <v>22587.347208393137</v>
      </c>
      <c r="AM9" s="14">
        <v>15062.937169597175</v>
      </c>
    </row>
    <row r="10" spans="1:39" s="12" customFormat="1" ht="21" customHeight="1" x14ac:dyDescent="0.3">
      <c r="A10" s="8"/>
      <c r="B10" s="13" t="s">
        <v>7</v>
      </c>
      <c r="C10" s="10"/>
      <c r="D10" s="14">
        <v>250</v>
      </c>
      <c r="E10" s="14">
        <v>275</v>
      </c>
      <c r="F10" s="14">
        <v>302.5</v>
      </c>
      <c r="G10" s="14">
        <v>332.75</v>
      </c>
      <c r="H10" s="14">
        <v>366.02500000000003</v>
      </c>
      <c r="I10" s="14">
        <v>402.62750000000005</v>
      </c>
      <c r="J10" s="14">
        <v>442.89025000000009</v>
      </c>
      <c r="K10" s="14">
        <v>487.17927500000013</v>
      </c>
      <c r="L10" s="14">
        <v>535.89720250000016</v>
      </c>
      <c r="M10" s="14">
        <v>589.48692275000019</v>
      </c>
      <c r="N10" s="14">
        <v>648.43561502500029</v>
      </c>
      <c r="O10" s="14">
        <v>713.27917652750034</v>
      </c>
      <c r="P10" s="14">
        <v>784.60709418025044</v>
      </c>
      <c r="Q10" s="14">
        <v>863.06780359827553</v>
      </c>
      <c r="R10" s="14">
        <v>949.37458395810313</v>
      </c>
      <c r="S10" s="14">
        <v>1044.3120423539135</v>
      </c>
      <c r="T10" s="14">
        <v>1148.743246589305</v>
      </c>
      <c r="U10" s="14">
        <v>1263.6175712482357</v>
      </c>
      <c r="V10" s="14">
        <v>1389.9793283730594</v>
      </c>
      <c r="W10" s="14">
        <v>1528.9772612103654</v>
      </c>
      <c r="X10" s="14">
        <v>1681.8749873314021</v>
      </c>
      <c r="Y10" s="14">
        <v>1850.0624860645423</v>
      </c>
      <c r="Z10" s="14">
        <v>2035.0687346709967</v>
      </c>
      <c r="AA10" s="14">
        <v>2238.5756081380964</v>
      </c>
      <c r="AB10" s="14">
        <v>2462.4331689519063</v>
      </c>
      <c r="AC10" s="14">
        <v>2708.676485847097</v>
      </c>
      <c r="AD10" s="14">
        <v>2979.5441344318069</v>
      </c>
      <c r="AE10" s="14">
        <v>3277.4985478749877</v>
      </c>
      <c r="AF10" s="14">
        <v>3605.2484026624866</v>
      </c>
      <c r="AG10" s="14">
        <v>3965.7732429287357</v>
      </c>
      <c r="AH10" s="14">
        <v>4362.3505672216097</v>
      </c>
      <c r="AI10" s="14">
        <v>4798.5856239437708</v>
      </c>
      <c r="AJ10" s="14">
        <v>5278.444186338148</v>
      </c>
      <c r="AK10" s="14">
        <v>5806.2886049719637</v>
      </c>
      <c r="AL10" s="14">
        <v>6386.9174654691606</v>
      </c>
      <c r="AM10" s="14">
        <v>7025.6092120160774</v>
      </c>
    </row>
    <row r="11" spans="1:39" s="12" customFormat="1" ht="21" customHeight="1" x14ac:dyDescent="0.3">
      <c r="A11" s="8"/>
      <c r="B11" s="15" t="s">
        <v>8</v>
      </c>
      <c r="C11" s="10"/>
      <c r="D11" s="16">
        <f t="shared" ref="D11:AM11" si="4">SUM(D10, D9 + D8)</f>
        <v>25250</v>
      </c>
      <c r="E11" s="16">
        <f t="shared" si="4"/>
        <v>31175</v>
      </c>
      <c r="F11" s="16">
        <f t="shared" si="4"/>
        <v>14289.9</v>
      </c>
      <c r="G11" s="16">
        <f t="shared" si="4"/>
        <v>28117.721000000001</v>
      </c>
      <c r="H11" s="16">
        <f t="shared" si="4"/>
        <v>20330.041200000003</v>
      </c>
      <c r="I11" s="16">
        <f t="shared" si="4"/>
        <v>13768.536345900002</v>
      </c>
      <c r="J11" s="16">
        <f t="shared" si="4"/>
        <v>22681.706275909004</v>
      </c>
      <c r="K11" s="16">
        <f t="shared" si="4"/>
        <v>12813.837300789563</v>
      </c>
      <c r="L11" s="16">
        <f t="shared" si="4"/>
        <v>18522.54570513127</v>
      </c>
      <c r="M11" s="16">
        <f t="shared" si="4"/>
        <v>21295.293463720234</v>
      </c>
      <c r="N11" s="16">
        <f t="shared" si="4"/>
        <v>20852.943681845431</v>
      </c>
      <c r="O11" s="16">
        <f t="shared" si="4"/>
        <v>13778.861059738045</v>
      </c>
      <c r="P11" s="16">
        <f t="shared" si="4"/>
        <v>14242.15643388711</v>
      </c>
      <c r="Q11" s="16">
        <f t="shared" si="4"/>
        <v>21654.981533445378</v>
      </c>
      <c r="R11" s="16">
        <f t="shared" si="4"/>
        <v>16635.718386809414</v>
      </c>
      <c r="S11" s="16">
        <f t="shared" si="4"/>
        <v>28741.913385674234</v>
      </c>
      <c r="T11" s="16">
        <f t="shared" si="4"/>
        <v>20179.30350289564</v>
      </c>
      <c r="U11" s="16">
        <f t="shared" si="4"/>
        <v>23171.15076041971</v>
      </c>
      <c r="V11" s="16">
        <f t="shared" si="4"/>
        <v>16829.025086426005</v>
      </c>
      <c r="W11" s="16">
        <f t="shared" si="4"/>
        <v>26872.764682506513</v>
      </c>
      <c r="X11" s="16">
        <f t="shared" si="4"/>
        <v>16208.473141083421</v>
      </c>
      <c r="Y11" s="16">
        <f t="shared" si="4"/>
        <v>13359.597946344988</v>
      </c>
      <c r="Z11" s="16">
        <f t="shared" si="4"/>
        <v>23373.747478030946</v>
      </c>
      <c r="AA11" s="16">
        <f t="shared" si="4"/>
        <v>20554.274862855385</v>
      </c>
      <c r="AB11" s="16">
        <f t="shared" si="4"/>
        <v>17859.831009084239</v>
      </c>
      <c r="AC11" s="16">
        <f t="shared" si="4"/>
        <v>28327.577661390358</v>
      </c>
      <c r="AD11" s="16">
        <f t="shared" si="4"/>
        <v>26853.920134688073</v>
      </c>
      <c r="AE11" s="16">
        <f t="shared" si="4"/>
        <v>42104.773200923337</v>
      </c>
      <c r="AF11" s="16">
        <f t="shared" si="4"/>
        <v>41267.704816119389</v>
      </c>
      <c r="AG11" s="16">
        <f t="shared" si="4"/>
        <v>32413.481987226518</v>
      </c>
      <c r="AH11" s="16">
        <f t="shared" si="4"/>
        <v>42986.580575956832</v>
      </c>
      <c r="AI11" s="16">
        <f t="shared" si="4"/>
        <v>30636.863629787331</v>
      </c>
      <c r="AJ11" s="16">
        <f t="shared" si="4"/>
        <v>30561.199215056076</v>
      </c>
      <c r="AK11" s="16">
        <f t="shared" si="4"/>
        <v>40071.075025471262</v>
      </c>
      <c r="AL11" s="16">
        <f t="shared" si="4"/>
        <v>28974.264673862297</v>
      </c>
      <c r="AM11" s="16">
        <f t="shared" si="4"/>
        <v>22088.546381613254</v>
      </c>
    </row>
    <row r="12" spans="1:39" s="18" customFormat="1" ht="21" customHeight="1" x14ac:dyDescent="0.3">
      <c r="B12" s="15" t="s">
        <v>9</v>
      </c>
      <c r="C12" s="19"/>
      <c r="D12" s="20">
        <f t="shared" ref="D12:AM12" si="5">D7-D11</f>
        <v>74750</v>
      </c>
      <c r="E12" s="20">
        <f t="shared" si="5"/>
        <v>71825</v>
      </c>
      <c r="F12" s="20">
        <f t="shared" si="5"/>
        <v>85620.1</v>
      </c>
      <c r="G12" s="20">
        <f t="shared" si="5"/>
        <v>74789.578999999998</v>
      </c>
      <c r="H12" s="20">
        <f t="shared" si="5"/>
        <v>79490.039799999999</v>
      </c>
      <c r="I12" s="20">
        <f t="shared" si="5"/>
        <v>89046.147084099997</v>
      </c>
      <c r="J12" s="20">
        <f t="shared" si="5"/>
        <v>83217.417656991005</v>
      </c>
      <c r="K12" s="20">
        <f t="shared" si="5"/>
        <v>89908.312914123453</v>
      </c>
      <c r="L12" s="20">
        <f t="shared" si="5"/>
        <v>87281.26901622914</v>
      </c>
      <c r="M12" s="20">
        <f t="shared" si="5"/>
        <v>87682.635699281003</v>
      </c>
      <c r="N12" s="20">
        <f t="shared" si="5"/>
        <v>91394.323356045847</v>
      </c>
      <c r="O12" s="20">
        <f t="shared" si="5"/>
        <v>95100.987967016481</v>
      </c>
      <c r="P12" s="20">
        <f t="shared" si="5"/>
        <v>97904.08806367006</v>
      </c>
      <c r="Q12" s="20">
        <f t="shared" si="5"/>
        <v>93855.65029903852</v>
      </c>
      <c r="R12" s="20">
        <f t="shared" si="5"/>
        <v>95409.594490699965</v>
      </c>
      <c r="S12" s="20">
        <f t="shared" si="5"/>
        <v>86664.758878160443</v>
      </c>
      <c r="T12" s="20">
        <f t="shared" si="5"/>
        <v>91765.168593023991</v>
      </c>
      <c r="U12" s="20">
        <f t="shared" si="5"/>
        <v>92131.655498377513</v>
      </c>
      <c r="V12" s="20">
        <f t="shared" si="5"/>
        <v>101932.86536013514</v>
      </c>
      <c r="W12" s="20">
        <f t="shared" si="5"/>
        <v>88326.269050657793</v>
      </c>
      <c r="X12" s="20">
        <f t="shared" si="5"/>
        <v>95534.589580085958</v>
      </c>
      <c r="Y12" s="20">
        <f t="shared" si="5"/>
        <v>101735.75665645947</v>
      </c>
      <c r="Z12" s="20">
        <f t="shared" si="5"/>
        <v>95174.467762857661</v>
      </c>
      <c r="AA12" s="20">
        <f t="shared" si="5"/>
        <v>101550.38683525988</v>
      </c>
      <c r="AB12" s="20">
        <f t="shared" si="5"/>
        <v>100581.69083808755</v>
      </c>
      <c r="AC12" s="20">
        <f t="shared" si="5"/>
        <v>93667.189841196596</v>
      </c>
      <c r="AD12" s="20">
        <f t="shared" si="5"/>
        <v>98800.690392976496</v>
      </c>
      <c r="AE12" s="20">
        <f t="shared" si="5"/>
        <v>87319.475642571168</v>
      </c>
      <c r="AF12" s="20">
        <f t="shared" si="5"/>
        <v>84273.816562070278</v>
      </c>
      <c r="AG12" s="20">
        <f t="shared" si="5"/>
        <v>96894.28503230885</v>
      </c>
      <c r="AH12" s="20">
        <f t="shared" si="5"/>
        <v>90200.419454164614</v>
      </c>
      <c r="AI12" s="20">
        <f t="shared" si="5"/>
        <v>98554.52639943047</v>
      </c>
      <c r="AJ12" s="20">
        <f t="shared" si="5"/>
        <v>102505.93251503826</v>
      </c>
      <c r="AK12" s="20">
        <f t="shared" si="5"/>
        <v>96988.070656525917</v>
      </c>
      <c r="AL12" s="20">
        <f t="shared" si="5"/>
        <v>112196.65537859481</v>
      </c>
      <c r="AM12" s="20">
        <f t="shared" si="5"/>
        <v>114847.24606927014</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0</v>
      </c>
      <c r="E14" s="14">
        <v>0</v>
      </c>
      <c r="F14" s="14">
        <v>0</v>
      </c>
      <c r="G14" s="14">
        <v>0</v>
      </c>
      <c r="H14" s="14">
        <v>0</v>
      </c>
      <c r="I14" s="14">
        <v>0</v>
      </c>
      <c r="J14" s="14">
        <v>0</v>
      </c>
      <c r="K14" s="14">
        <v>0</v>
      </c>
      <c r="L14" s="14">
        <v>0</v>
      </c>
      <c r="M14" s="14">
        <v>0</v>
      </c>
      <c r="N14" s="14">
        <v>0</v>
      </c>
      <c r="O14" s="14">
        <v>0</v>
      </c>
      <c r="P14" s="14">
        <v>0</v>
      </c>
      <c r="Q14" s="14">
        <v>0</v>
      </c>
      <c r="R14" s="14">
        <v>0</v>
      </c>
      <c r="S14" s="14">
        <v>0</v>
      </c>
      <c r="T14" s="14">
        <v>0</v>
      </c>
      <c r="U14" s="14">
        <v>0</v>
      </c>
      <c r="V14" s="14">
        <v>0</v>
      </c>
      <c r="W14" s="14">
        <v>0</v>
      </c>
      <c r="X14" s="14">
        <v>0</v>
      </c>
      <c r="Y14" s="14">
        <v>0</v>
      </c>
      <c r="Z14" s="14">
        <v>0</v>
      </c>
      <c r="AA14" s="14">
        <v>0</v>
      </c>
      <c r="AB14" s="14">
        <v>0</v>
      </c>
      <c r="AC14" s="14">
        <v>0</v>
      </c>
      <c r="AD14" s="14">
        <v>0</v>
      </c>
      <c r="AE14" s="14">
        <v>0</v>
      </c>
      <c r="AF14" s="14">
        <v>0</v>
      </c>
      <c r="AG14" s="14">
        <v>0</v>
      </c>
      <c r="AH14" s="14">
        <v>0</v>
      </c>
      <c r="AI14" s="14">
        <v>0</v>
      </c>
      <c r="AJ14" s="14">
        <v>0</v>
      </c>
      <c r="AK14" s="14">
        <v>0</v>
      </c>
      <c r="AL14" s="14">
        <v>0</v>
      </c>
      <c r="AM14" s="14">
        <v>0</v>
      </c>
    </row>
    <row r="15" spans="1:39" s="12" customFormat="1" ht="21" customHeight="1" x14ac:dyDescent="0.3">
      <c r="B15" s="13" t="s">
        <v>12</v>
      </c>
      <c r="C15" s="10"/>
      <c r="D15" s="14">
        <v>350</v>
      </c>
      <c r="E15" s="14">
        <v>360.5</v>
      </c>
      <c r="F15" s="14">
        <f>E15*(0.98)</f>
        <v>353.29</v>
      </c>
      <c r="G15" s="14">
        <v>363.88870000000003</v>
      </c>
      <c r="H15" s="14">
        <v>374.80536100000006</v>
      </c>
      <c r="I15" s="14">
        <f>H15*(0.98)</f>
        <v>367.30925378000006</v>
      </c>
      <c r="J15" s="14">
        <v>378.32853139340006</v>
      </c>
      <c r="K15" s="14">
        <v>389.67838733520205</v>
      </c>
      <c r="L15" s="14">
        <v>401.3687389552581</v>
      </c>
      <c r="M15" s="14">
        <f>L15*(0.98)</f>
        <v>393.34136417615292</v>
      </c>
      <c r="N15" s="14">
        <v>405.14160510143751</v>
      </c>
      <c r="O15" s="14">
        <v>417.29585325448062</v>
      </c>
      <c r="P15" s="14">
        <v>429.81472885211502</v>
      </c>
      <c r="Q15" s="14">
        <f>P15*(0.98)</f>
        <v>421.2184342750727</v>
      </c>
      <c r="R15" s="14">
        <v>433.85498730332489</v>
      </c>
      <c r="S15" s="14">
        <v>446.87063692242464</v>
      </c>
      <c r="T15" s="14">
        <v>460.27675603009737</v>
      </c>
      <c r="U15" s="14">
        <f>T15*(0.98)</f>
        <v>451.07122090949542</v>
      </c>
      <c r="V15" s="14">
        <v>464.60335753678032</v>
      </c>
      <c r="W15" s="14">
        <v>478.54145826288374</v>
      </c>
      <c r="X15" s="14">
        <f>W15*(0.98)</f>
        <v>468.97062909762604</v>
      </c>
      <c r="Y15" s="14">
        <v>483.03974797055486</v>
      </c>
      <c r="Z15" s="14">
        <v>497.53094040967153</v>
      </c>
      <c r="AA15" s="14">
        <f>Z15*(0.98)</f>
        <v>487.58032160147809</v>
      </c>
      <c r="AB15" s="14">
        <v>502.20773124952245</v>
      </c>
      <c r="AC15" s="14">
        <f>AB15*(0.98)</f>
        <v>492.16357662453197</v>
      </c>
      <c r="AD15" s="14">
        <v>506.92848392326795</v>
      </c>
      <c r="AE15" s="14">
        <f>AD15*(0.98)</f>
        <v>496.78991424480256</v>
      </c>
      <c r="AF15" s="14">
        <v>511.69361167214663</v>
      </c>
      <c r="AG15" s="14">
        <f>AF15*(0.98)</f>
        <v>501.45973943870371</v>
      </c>
      <c r="AH15" s="14">
        <v>516.50353162186479</v>
      </c>
      <c r="AI15" s="14">
        <v>531.99863757052071</v>
      </c>
      <c r="AJ15" s="14">
        <v>547.95859669763638</v>
      </c>
      <c r="AK15" s="14">
        <f>AJ15*(0.98)</f>
        <v>536.99942476368369</v>
      </c>
      <c r="AL15" s="14">
        <v>553.10940750659427</v>
      </c>
      <c r="AM15" s="14">
        <v>569.70268973179213</v>
      </c>
    </row>
    <row r="16" spans="1:39" s="12" customFormat="1" ht="21" customHeight="1" x14ac:dyDescent="0.3">
      <c r="B16" s="13" t="s">
        <v>13</v>
      </c>
      <c r="C16" s="10"/>
      <c r="D16" s="14">
        <v>1000</v>
      </c>
      <c r="E16" s="14">
        <v>1040</v>
      </c>
      <c r="F16" s="14">
        <f>E16*(0.9)</f>
        <v>936</v>
      </c>
      <c r="G16" s="14">
        <v>973.44</v>
      </c>
      <c r="H16" s="14">
        <v>1012.3776000000001</v>
      </c>
      <c r="I16" s="14">
        <f t="shared" ref="I16:I22" si="6">H16*(0.98)</f>
        <v>992.1300480000001</v>
      </c>
      <c r="J16" s="14">
        <v>1031.81524992</v>
      </c>
      <c r="K16" s="14">
        <v>1073.0878599168</v>
      </c>
      <c r="L16" s="14">
        <v>1116.0113743134721</v>
      </c>
      <c r="M16" s="14">
        <f t="shared" ref="M16:M22" si="7">L16*(0.98)</f>
        <v>1093.6911468272026</v>
      </c>
      <c r="N16" s="14">
        <v>1137.4387927002908</v>
      </c>
      <c r="O16" s="14">
        <v>1182.9363444083026</v>
      </c>
      <c r="P16" s="14">
        <v>1230.2537981846347</v>
      </c>
      <c r="Q16" s="14">
        <f t="shared" ref="Q16:Q22" si="8">P16*(0.98)</f>
        <v>1205.6487222209419</v>
      </c>
      <c r="R16" s="14">
        <v>1253.8746711097797</v>
      </c>
      <c r="S16" s="14">
        <v>1304.0296579541709</v>
      </c>
      <c r="T16" s="14">
        <v>1356.1908442723379</v>
      </c>
      <c r="U16" s="14">
        <f t="shared" ref="U16:U22" si="9">T16*(0.98)</f>
        <v>1329.0670273868911</v>
      </c>
      <c r="V16" s="14">
        <v>1382.2297084823667</v>
      </c>
      <c r="W16" s="14">
        <v>1437.5188968216614</v>
      </c>
      <c r="X16" s="14">
        <f t="shared" ref="X16:X22" si="10">W16*(0.98)</f>
        <v>1408.7685188852281</v>
      </c>
      <c r="Y16" s="14">
        <v>1465.1192596406372</v>
      </c>
      <c r="Z16" s="14">
        <v>1523.7240300262627</v>
      </c>
      <c r="AA16" s="14">
        <f t="shared" ref="AA16:AA22" si="11">Z16*(0.98)</f>
        <v>1493.2495494257373</v>
      </c>
      <c r="AB16" s="14">
        <v>1552.979531402767</v>
      </c>
      <c r="AC16" s="14">
        <f t="shared" ref="AC16:AC22" si="12">AB16*(0.98)</f>
        <v>1521.9199407747117</v>
      </c>
      <c r="AD16" s="14">
        <v>1582.7967384057001</v>
      </c>
      <c r="AE16" s="14">
        <f t="shared" ref="AE16:AE22" si="13">AD16*(0.98)</f>
        <v>1551.140803637586</v>
      </c>
      <c r="AF16" s="14">
        <v>1613.1864357830896</v>
      </c>
      <c r="AG16" s="14">
        <f t="shared" ref="AG16:AG22" si="14">AF16*(0.98)</f>
        <v>1580.9227070674278</v>
      </c>
      <c r="AH16" s="14">
        <v>1644.159615350125</v>
      </c>
      <c r="AI16" s="14">
        <v>1709.9259999641301</v>
      </c>
      <c r="AJ16" s="14">
        <v>1778.3230399626955</v>
      </c>
      <c r="AK16" s="14">
        <f t="shared" ref="AK16:AK22" si="15">AJ16*(0.98)</f>
        <v>1742.7565791634415</v>
      </c>
      <c r="AL16" s="14">
        <v>1812.4668423299793</v>
      </c>
      <c r="AM16" s="14">
        <v>1884.9655160231785</v>
      </c>
    </row>
    <row r="17" spans="2:39" s="12" customFormat="1" ht="21" customHeight="1" x14ac:dyDescent="0.3">
      <c r="B17" s="13" t="s">
        <v>14</v>
      </c>
      <c r="C17" s="10"/>
      <c r="D17" s="14">
        <v>4000</v>
      </c>
      <c r="E17" s="14">
        <v>4200</v>
      </c>
      <c r="F17" s="14">
        <f t="shared" ref="F17:F22" si="16">E17*(0.98)</f>
        <v>4116</v>
      </c>
      <c r="G17" s="14">
        <v>4321.8</v>
      </c>
      <c r="H17" s="14">
        <v>4537.8900000000003</v>
      </c>
      <c r="I17" s="14">
        <f t="shared" si="6"/>
        <v>4447.1322</v>
      </c>
      <c r="J17" s="14">
        <v>4669.4888099999998</v>
      </c>
      <c r="K17" s="14">
        <v>4902.9632505</v>
      </c>
      <c r="L17" s="14">
        <v>5148.1114130249998</v>
      </c>
      <c r="M17" s="14">
        <f t="shared" si="7"/>
        <v>5045.1491847644993</v>
      </c>
      <c r="N17" s="14">
        <v>5297.4066440027245</v>
      </c>
      <c r="O17" s="14">
        <v>5562.2769762028611</v>
      </c>
      <c r="P17" s="14">
        <v>5840.3908250130044</v>
      </c>
      <c r="Q17" s="14">
        <f t="shared" si="8"/>
        <v>5723.5830085127445</v>
      </c>
      <c r="R17" s="14">
        <v>6009.7621589383816</v>
      </c>
      <c r="S17" s="14">
        <v>6310.2502668853012</v>
      </c>
      <c r="T17" s="14">
        <v>6625.7627802295665</v>
      </c>
      <c r="U17" s="14">
        <f t="shared" si="9"/>
        <v>6493.2475246249751</v>
      </c>
      <c r="V17" s="14">
        <v>6817.9099008562243</v>
      </c>
      <c r="W17" s="14">
        <v>7158.8053958990358</v>
      </c>
      <c r="X17" s="14">
        <f t="shared" si="10"/>
        <v>7015.6292879810553</v>
      </c>
      <c r="Y17" s="14">
        <v>7366.4107523801085</v>
      </c>
      <c r="Z17" s="14">
        <v>7734.7312899991139</v>
      </c>
      <c r="AA17" s="14">
        <f t="shared" si="11"/>
        <v>7580.0366641991313</v>
      </c>
      <c r="AB17" s="14">
        <v>7959.0384974090884</v>
      </c>
      <c r="AC17" s="14">
        <f t="shared" si="12"/>
        <v>7799.857727460907</v>
      </c>
      <c r="AD17" s="14">
        <v>8189.8506138339526</v>
      </c>
      <c r="AE17" s="14">
        <f t="shared" si="13"/>
        <v>8026.0536015572734</v>
      </c>
      <c r="AF17" s="14">
        <v>8427.3562816351368</v>
      </c>
      <c r="AG17" s="14">
        <f t="shared" si="14"/>
        <v>8258.8091560024332</v>
      </c>
      <c r="AH17" s="14">
        <v>8671.7496138025544</v>
      </c>
      <c r="AI17" s="14">
        <v>9105.3370944926828</v>
      </c>
      <c r="AJ17" s="14">
        <v>9560.6039492173168</v>
      </c>
      <c r="AK17" s="14">
        <f t="shared" si="15"/>
        <v>9369.3918702329702</v>
      </c>
      <c r="AL17" s="14">
        <v>9837.861463744619</v>
      </c>
      <c r="AM17" s="14">
        <v>10329.75453693185</v>
      </c>
    </row>
    <row r="18" spans="2:39" s="12" customFormat="1" ht="21" customHeight="1" x14ac:dyDescent="0.3">
      <c r="B18" s="13" t="s">
        <v>15</v>
      </c>
      <c r="C18" s="10"/>
      <c r="D18" s="14">
        <v>250</v>
      </c>
      <c r="E18" s="14">
        <v>257.5</v>
      </c>
      <c r="F18" s="14">
        <f t="shared" si="16"/>
        <v>252.35</v>
      </c>
      <c r="G18" s="14">
        <v>259.9205</v>
      </c>
      <c r="H18" s="14">
        <v>267.71811500000001</v>
      </c>
      <c r="I18" s="14">
        <f t="shared" si="6"/>
        <v>262.36375270000002</v>
      </c>
      <c r="J18" s="14">
        <v>270.23466528100005</v>
      </c>
      <c r="K18" s="14">
        <v>278.34170523943004</v>
      </c>
      <c r="L18" s="14">
        <v>286.69195639661297</v>
      </c>
      <c r="M18" s="14">
        <f t="shared" si="7"/>
        <v>280.95811726868072</v>
      </c>
      <c r="N18" s="14">
        <v>289.38686078674118</v>
      </c>
      <c r="O18" s="14">
        <v>298.06846661034342</v>
      </c>
      <c r="P18" s="14">
        <v>307.01052060865374</v>
      </c>
      <c r="Q18" s="14">
        <f t="shared" si="8"/>
        <v>300.87031019648066</v>
      </c>
      <c r="R18" s="14">
        <v>309.89641950237507</v>
      </c>
      <c r="S18" s="14">
        <v>319.19331208744632</v>
      </c>
      <c r="T18" s="14">
        <v>328.76911145006972</v>
      </c>
      <c r="U18" s="14">
        <f t="shared" si="9"/>
        <v>322.19372922106834</v>
      </c>
      <c r="V18" s="14">
        <v>331.8595410977004</v>
      </c>
      <c r="W18" s="14">
        <v>341.81532733063142</v>
      </c>
      <c r="X18" s="14">
        <f t="shared" si="10"/>
        <v>334.97902078401876</v>
      </c>
      <c r="Y18" s="14">
        <v>345.02839140753935</v>
      </c>
      <c r="Z18" s="14">
        <v>355.37924314976556</v>
      </c>
      <c r="AA18" s="14">
        <f t="shared" si="11"/>
        <v>348.27165828677022</v>
      </c>
      <c r="AB18" s="14">
        <v>358.71980803537332</v>
      </c>
      <c r="AC18" s="14">
        <f t="shared" si="12"/>
        <v>351.54541187466583</v>
      </c>
      <c r="AD18" s="14">
        <v>362.0917742309058</v>
      </c>
      <c r="AE18" s="14">
        <f t="shared" si="13"/>
        <v>354.84993874628765</v>
      </c>
      <c r="AF18" s="14">
        <v>365.49543690867631</v>
      </c>
      <c r="AG18" s="14">
        <f t="shared" si="14"/>
        <v>358.18552817050278</v>
      </c>
      <c r="AH18" s="14">
        <v>368.93109401561787</v>
      </c>
      <c r="AI18" s="14">
        <v>379.99902683608644</v>
      </c>
      <c r="AJ18" s="14">
        <v>391.39899764116905</v>
      </c>
      <c r="AK18" s="14">
        <f t="shared" si="15"/>
        <v>383.57101768834565</v>
      </c>
      <c r="AL18" s="14">
        <v>395.07814821899603</v>
      </c>
      <c r="AM18" s="14">
        <v>406.93049266556591</v>
      </c>
    </row>
    <row r="19" spans="2:39" s="18" customFormat="1" ht="21" customHeight="1" x14ac:dyDescent="0.3">
      <c r="B19" s="21" t="s">
        <v>16</v>
      </c>
      <c r="C19" s="19"/>
      <c r="D19" s="14">
        <v>0</v>
      </c>
      <c r="E19" s="14">
        <v>0</v>
      </c>
      <c r="F19" s="14">
        <f t="shared" si="16"/>
        <v>0</v>
      </c>
      <c r="G19" s="14">
        <v>0</v>
      </c>
      <c r="H19" s="14">
        <v>0</v>
      </c>
      <c r="I19" s="14">
        <f t="shared" si="6"/>
        <v>0</v>
      </c>
      <c r="J19" s="14">
        <v>0</v>
      </c>
      <c r="K19" s="14">
        <v>0</v>
      </c>
      <c r="L19" s="14">
        <v>0</v>
      </c>
      <c r="M19" s="14">
        <f t="shared" si="7"/>
        <v>0</v>
      </c>
      <c r="N19" s="14">
        <v>0</v>
      </c>
      <c r="O19" s="14">
        <v>0</v>
      </c>
      <c r="P19" s="14">
        <v>0</v>
      </c>
      <c r="Q19" s="14">
        <f t="shared" si="8"/>
        <v>0</v>
      </c>
      <c r="R19" s="14">
        <v>0</v>
      </c>
      <c r="S19" s="14">
        <v>0</v>
      </c>
      <c r="T19" s="14">
        <v>0</v>
      </c>
      <c r="U19" s="14">
        <f t="shared" si="9"/>
        <v>0</v>
      </c>
      <c r="V19" s="14">
        <v>0</v>
      </c>
      <c r="W19" s="14">
        <v>0</v>
      </c>
      <c r="X19" s="14">
        <f t="shared" si="10"/>
        <v>0</v>
      </c>
      <c r="Y19" s="14">
        <v>0</v>
      </c>
      <c r="Z19" s="14">
        <v>0</v>
      </c>
      <c r="AA19" s="14">
        <f t="shared" si="11"/>
        <v>0</v>
      </c>
      <c r="AB19" s="14">
        <v>0</v>
      </c>
      <c r="AC19" s="14">
        <f t="shared" si="12"/>
        <v>0</v>
      </c>
      <c r="AD19" s="14">
        <v>0</v>
      </c>
      <c r="AE19" s="14">
        <f t="shared" si="13"/>
        <v>0</v>
      </c>
      <c r="AF19" s="14">
        <v>0</v>
      </c>
      <c r="AG19" s="14">
        <f t="shared" si="14"/>
        <v>0</v>
      </c>
      <c r="AH19" s="14">
        <v>0</v>
      </c>
      <c r="AI19" s="14">
        <v>0</v>
      </c>
      <c r="AJ19" s="14">
        <v>0</v>
      </c>
      <c r="AK19" s="14">
        <f t="shared" si="15"/>
        <v>0</v>
      </c>
      <c r="AL19" s="14">
        <v>0</v>
      </c>
      <c r="AM19" s="14">
        <v>0</v>
      </c>
    </row>
    <row r="20" spans="2:39" s="12" customFormat="1" ht="21" customHeight="1" x14ac:dyDescent="0.3">
      <c r="B20" s="22" t="s">
        <v>17</v>
      </c>
      <c r="C20" s="10"/>
      <c r="D20" s="14">
        <v>800</v>
      </c>
      <c r="E20" s="14">
        <v>840</v>
      </c>
      <c r="F20" s="14">
        <f t="shared" si="16"/>
        <v>823.19999999999993</v>
      </c>
      <c r="G20" s="14">
        <v>864.36</v>
      </c>
      <c r="H20" s="14">
        <v>907.57800000000009</v>
      </c>
      <c r="I20" s="14">
        <f t="shared" si="6"/>
        <v>889.42644000000007</v>
      </c>
      <c r="J20" s="14">
        <v>933.89776200000006</v>
      </c>
      <c r="K20" s="14">
        <v>980.59265010000013</v>
      </c>
      <c r="L20" s="14">
        <v>1029.6222826050002</v>
      </c>
      <c r="M20" s="14">
        <f t="shared" si="7"/>
        <v>1009.0298369529003</v>
      </c>
      <c r="N20" s="14">
        <v>1059.4813288005453</v>
      </c>
      <c r="O20" s="14">
        <v>1112.4553952405727</v>
      </c>
      <c r="P20" s="14">
        <v>1168.0781650026013</v>
      </c>
      <c r="Q20" s="14">
        <f t="shared" si="8"/>
        <v>1144.7166017025493</v>
      </c>
      <c r="R20" s="14">
        <v>1201.9524317876767</v>
      </c>
      <c r="S20" s="14">
        <v>1262.0500533770605</v>
      </c>
      <c r="T20" s="14">
        <v>1325.1525560459136</v>
      </c>
      <c r="U20" s="14">
        <f t="shared" si="9"/>
        <v>1298.6495049249952</v>
      </c>
      <c r="V20" s="14">
        <v>1363.581980171245</v>
      </c>
      <c r="W20" s="14">
        <v>1431.7610791798074</v>
      </c>
      <c r="X20" s="14">
        <f t="shared" si="10"/>
        <v>1403.1258575962113</v>
      </c>
      <c r="Y20" s="14">
        <v>1473.282150476022</v>
      </c>
      <c r="Z20" s="14">
        <v>1546.9462579998233</v>
      </c>
      <c r="AA20" s="14">
        <f t="shared" si="11"/>
        <v>1516.0073328398269</v>
      </c>
      <c r="AB20" s="14">
        <v>1591.8076994818182</v>
      </c>
      <c r="AC20" s="14">
        <f t="shared" si="12"/>
        <v>1559.9715454921818</v>
      </c>
      <c r="AD20" s="14">
        <v>1637.9701227667911</v>
      </c>
      <c r="AE20" s="14">
        <f t="shared" si="13"/>
        <v>1605.2107203114551</v>
      </c>
      <c r="AF20" s="14">
        <v>1685.471256327028</v>
      </c>
      <c r="AG20" s="14">
        <f t="shared" si="14"/>
        <v>1651.7618312004874</v>
      </c>
      <c r="AH20" s="14">
        <v>1734.3499227605118</v>
      </c>
      <c r="AI20" s="14">
        <v>1821.0674188985374</v>
      </c>
      <c r="AJ20" s="14">
        <v>1912.1207898434643</v>
      </c>
      <c r="AK20" s="14">
        <f t="shared" si="15"/>
        <v>1873.8783740465949</v>
      </c>
      <c r="AL20" s="14">
        <v>1967.5722927489248</v>
      </c>
      <c r="AM20" s="14">
        <v>2065.950907386371</v>
      </c>
    </row>
    <row r="21" spans="2:39" s="12" customFormat="1" ht="21" customHeight="1" x14ac:dyDescent="0.3">
      <c r="B21" s="22" t="s">
        <v>18</v>
      </c>
      <c r="C21" s="10"/>
      <c r="D21" s="14">
        <v>3500</v>
      </c>
      <c r="E21" s="14">
        <v>3605</v>
      </c>
      <c r="F21" s="14">
        <f t="shared" si="16"/>
        <v>3532.9</v>
      </c>
      <c r="G21" s="14">
        <v>3638.8870000000002</v>
      </c>
      <c r="H21" s="14">
        <v>3748.0536100000004</v>
      </c>
      <c r="I21" s="14">
        <f t="shared" si="6"/>
        <v>3673.0925378000002</v>
      </c>
      <c r="J21" s="14">
        <v>3783.2853139340004</v>
      </c>
      <c r="K21" s="14">
        <v>3896.7838733520207</v>
      </c>
      <c r="L21" s="14">
        <v>4013.6873895525814</v>
      </c>
      <c r="M21" s="14">
        <f t="shared" si="7"/>
        <v>3933.4136417615296</v>
      </c>
      <c r="N21" s="14">
        <v>4051.4160510143756</v>
      </c>
      <c r="O21" s="14">
        <v>4172.958532544807</v>
      </c>
      <c r="P21" s="14">
        <v>4298.1472885211515</v>
      </c>
      <c r="Q21" s="14">
        <f t="shared" si="8"/>
        <v>4212.1843427507283</v>
      </c>
      <c r="R21" s="14">
        <v>4338.5498730332502</v>
      </c>
      <c r="S21" s="14">
        <v>4468.7063692242482</v>
      </c>
      <c r="T21" s="14">
        <v>4602.7675603009757</v>
      </c>
      <c r="U21" s="14">
        <f t="shared" si="9"/>
        <v>4510.7122090949561</v>
      </c>
      <c r="V21" s="14">
        <v>4646.0335753678046</v>
      </c>
      <c r="W21" s="14">
        <v>4785.4145826288386</v>
      </c>
      <c r="X21" s="14">
        <f t="shared" si="10"/>
        <v>4689.7062909762617</v>
      </c>
      <c r="Y21" s="14">
        <v>4830.3974797055498</v>
      </c>
      <c r="Z21" s="14">
        <v>4975.3094040967162</v>
      </c>
      <c r="AA21" s="14">
        <f t="shared" si="11"/>
        <v>4875.8032160147814</v>
      </c>
      <c r="AB21" s="14">
        <v>5022.0773124952248</v>
      </c>
      <c r="AC21" s="14">
        <f t="shared" ref="AC21:AF21" si="17">AB21*(0.9)</f>
        <v>4519.8695812457026</v>
      </c>
      <c r="AD21" s="14">
        <f t="shared" si="17"/>
        <v>4067.8826231211324</v>
      </c>
      <c r="AE21" s="14">
        <f t="shared" si="17"/>
        <v>3661.0943608090192</v>
      </c>
      <c r="AF21" s="14">
        <f t="shared" si="17"/>
        <v>3294.9849247281172</v>
      </c>
      <c r="AG21" s="14">
        <f t="shared" si="14"/>
        <v>3229.0852262335547</v>
      </c>
      <c r="AH21" s="14">
        <v>3325.9577830205617</v>
      </c>
      <c r="AI21" s="14">
        <v>3425.7365165111787</v>
      </c>
      <c r="AJ21" s="14">
        <v>3528.5086120065143</v>
      </c>
      <c r="AK21" s="14">
        <f t="shared" ref="AK21:AM21" si="18">AJ21*(0.9)</f>
        <v>3175.6577508058631</v>
      </c>
      <c r="AL21" s="14">
        <f t="shared" si="18"/>
        <v>2858.0919757252768</v>
      </c>
      <c r="AM21" s="14">
        <f t="shared" si="18"/>
        <v>2572.2827781527494</v>
      </c>
    </row>
    <row r="22" spans="2:39" s="12" customFormat="1" ht="21" customHeight="1" x14ac:dyDescent="0.3">
      <c r="B22" s="22" t="s">
        <v>19</v>
      </c>
      <c r="C22" s="10"/>
      <c r="D22" s="14">
        <v>350</v>
      </c>
      <c r="E22" s="14">
        <v>360.5</v>
      </c>
      <c r="F22" s="14">
        <f t="shared" si="16"/>
        <v>353.29</v>
      </c>
      <c r="G22" s="14">
        <v>363.88870000000003</v>
      </c>
      <c r="H22" s="14">
        <v>374.80536100000006</v>
      </c>
      <c r="I22" s="14">
        <f t="shared" si="6"/>
        <v>367.30925378000006</v>
      </c>
      <c r="J22" s="14">
        <v>378.32853139340006</v>
      </c>
      <c r="K22" s="14">
        <v>389.67838733520205</v>
      </c>
      <c r="L22" s="14">
        <v>401.3687389552581</v>
      </c>
      <c r="M22" s="14">
        <f t="shared" si="7"/>
        <v>393.34136417615292</v>
      </c>
      <c r="N22" s="14">
        <v>405.14160510143751</v>
      </c>
      <c r="O22" s="14">
        <v>417.29585325448062</v>
      </c>
      <c r="P22" s="14">
        <v>429.81472885211502</v>
      </c>
      <c r="Q22" s="14">
        <f t="shared" si="8"/>
        <v>421.2184342750727</v>
      </c>
      <c r="R22" s="14">
        <v>433.85498730332489</v>
      </c>
      <c r="S22" s="14">
        <v>446.87063692242464</v>
      </c>
      <c r="T22" s="14">
        <v>460.27675603009737</v>
      </c>
      <c r="U22" s="14">
        <f t="shared" si="9"/>
        <v>451.07122090949542</v>
      </c>
      <c r="V22" s="14">
        <v>464.60335753678032</v>
      </c>
      <c r="W22" s="14">
        <v>478.54145826288374</v>
      </c>
      <c r="X22" s="14">
        <f t="shared" si="10"/>
        <v>468.97062909762604</v>
      </c>
      <c r="Y22" s="14">
        <v>483.03974797055486</v>
      </c>
      <c r="Z22" s="14">
        <v>497.53094040967153</v>
      </c>
      <c r="AA22" s="14">
        <f t="shared" si="11"/>
        <v>487.58032160147809</v>
      </c>
      <c r="AB22" s="14">
        <v>502.20773124952245</v>
      </c>
      <c r="AC22" s="14">
        <f t="shared" si="12"/>
        <v>492.16357662453197</v>
      </c>
      <c r="AD22" s="14">
        <v>506.92848392326795</v>
      </c>
      <c r="AE22" s="14">
        <f t="shared" si="13"/>
        <v>496.78991424480256</v>
      </c>
      <c r="AF22" s="14">
        <v>511.69361167214663</v>
      </c>
      <c r="AG22" s="14">
        <f t="shared" si="14"/>
        <v>501.45973943870371</v>
      </c>
      <c r="AH22" s="14">
        <v>516.50353162186479</v>
      </c>
      <c r="AI22" s="14">
        <v>531.99863757052071</v>
      </c>
      <c r="AJ22" s="14">
        <v>547.95859669763638</v>
      </c>
      <c r="AK22" s="14">
        <f t="shared" si="15"/>
        <v>536.99942476368369</v>
      </c>
      <c r="AL22" s="14">
        <v>553.10940750659427</v>
      </c>
      <c r="AM22" s="14">
        <v>569.70268973179213</v>
      </c>
    </row>
    <row r="23" spans="2:39" s="12" customFormat="1" ht="21" customHeight="1" x14ac:dyDescent="0.3">
      <c r="B23" s="21" t="s">
        <v>20</v>
      </c>
      <c r="C23" s="10"/>
      <c r="D23" s="16">
        <f t="shared" ref="D23:AM23" si="19">SUM(D22, D21, D20 + D19)</f>
        <v>4650</v>
      </c>
      <c r="E23" s="16">
        <f t="shared" si="19"/>
        <v>4805.5</v>
      </c>
      <c r="F23" s="16">
        <f t="shared" si="19"/>
        <v>4709.3900000000003</v>
      </c>
      <c r="G23" s="16">
        <f t="shared" si="19"/>
        <v>4867.1356999999998</v>
      </c>
      <c r="H23" s="16">
        <f t="shared" si="19"/>
        <v>5030.436971000001</v>
      </c>
      <c r="I23" s="16">
        <f t="shared" si="19"/>
        <v>4929.8282315800006</v>
      </c>
      <c r="J23" s="16">
        <f t="shared" si="19"/>
        <v>5095.5116073274003</v>
      </c>
      <c r="K23" s="16">
        <f t="shared" si="19"/>
        <v>5267.054910787223</v>
      </c>
      <c r="L23" s="16">
        <f t="shared" si="19"/>
        <v>5444.67841111284</v>
      </c>
      <c r="M23" s="16">
        <f t="shared" si="19"/>
        <v>5335.7848428905827</v>
      </c>
      <c r="N23" s="16">
        <f t="shared" si="19"/>
        <v>5516.0389849163585</v>
      </c>
      <c r="O23" s="16">
        <f t="shared" si="19"/>
        <v>5702.7097810398609</v>
      </c>
      <c r="P23" s="16">
        <f t="shared" si="19"/>
        <v>5896.0401823758675</v>
      </c>
      <c r="Q23" s="16">
        <f t="shared" si="19"/>
        <v>5778.1193787283501</v>
      </c>
      <c r="R23" s="16">
        <f t="shared" si="19"/>
        <v>5974.3572921242521</v>
      </c>
      <c r="S23" s="16">
        <f t="shared" si="19"/>
        <v>6177.6270595237329</v>
      </c>
      <c r="T23" s="16">
        <f t="shared" si="19"/>
        <v>6388.196872376986</v>
      </c>
      <c r="U23" s="16">
        <f t="shared" si="19"/>
        <v>6260.4329349294467</v>
      </c>
      <c r="V23" s="16">
        <f t="shared" si="19"/>
        <v>6474.2189130758297</v>
      </c>
      <c r="W23" s="16">
        <f t="shared" si="19"/>
        <v>6695.7171200715293</v>
      </c>
      <c r="X23" s="16">
        <f t="shared" si="19"/>
        <v>6561.8027776700992</v>
      </c>
      <c r="Y23" s="16">
        <f t="shared" si="19"/>
        <v>6786.7193781521273</v>
      </c>
      <c r="Z23" s="16">
        <f t="shared" si="19"/>
        <v>7019.7866025062112</v>
      </c>
      <c r="AA23" s="16">
        <f t="shared" si="19"/>
        <v>6879.3908704560863</v>
      </c>
      <c r="AB23" s="16">
        <f t="shared" si="19"/>
        <v>7116.0927432265653</v>
      </c>
      <c r="AC23" s="16">
        <f t="shared" si="19"/>
        <v>6572.004703362416</v>
      </c>
      <c r="AD23" s="16">
        <f t="shared" si="19"/>
        <v>6212.7812298111912</v>
      </c>
      <c r="AE23" s="16">
        <f t="shared" si="19"/>
        <v>5763.0949953652762</v>
      </c>
      <c r="AF23" s="16">
        <f t="shared" si="19"/>
        <v>5492.1497927272922</v>
      </c>
      <c r="AG23" s="16">
        <f t="shared" si="19"/>
        <v>5382.3067968727464</v>
      </c>
      <c r="AH23" s="16">
        <f t="shared" si="19"/>
        <v>5576.8112374029379</v>
      </c>
      <c r="AI23" s="16">
        <f t="shared" si="19"/>
        <v>5778.8025729802366</v>
      </c>
      <c r="AJ23" s="16">
        <f t="shared" si="19"/>
        <v>5988.5879985476149</v>
      </c>
      <c r="AK23" s="16">
        <f t="shared" si="19"/>
        <v>5586.5355496161419</v>
      </c>
      <c r="AL23" s="16">
        <f t="shared" si="19"/>
        <v>5378.7736759807958</v>
      </c>
      <c r="AM23" s="16">
        <f t="shared" si="19"/>
        <v>5207.9363752709123</v>
      </c>
    </row>
    <row r="24" spans="2:39" s="18" customFormat="1" ht="21" customHeight="1" x14ac:dyDescent="0.3">
      <c r="B24" s="21" t="s">
        <v>21</v>
      </c>
      <c r="C24" s="19"/>
      <c r="D24" s="14">
        <v>0</v>
      </c>
      <c r="E24" s="14">
        <v>0</v>
      </c>
      <c r="F24" s="14">
        <f t="shared" ref="F24:F28" si="20">E24*(0.98)</f>
        <v>0</v>
      </c>
      <c r="G24" s="14">
        <v>0</v>
      </c>
      <c r="H24" s="14">
        <v>0</v>
      </c>
      <c r="I24" s="14">
        <f t="shared" ref="I24:I28" si="21">H24*(0.98)</f>
        <v>0</v>
      </c>
      <c r="J24" s="14">
        <v>0</v>
      </c>
      <c r="K24" s="14">
        <v>0</v>
      </c>
      <c r="L24" s="14">
        <v>0</v>
      </c>
      <c r="M24" s="14">
        <f t="shared" ref="M24:M28" si="22">L24*(0.98)</f>
        <v>0</v>
      </c>
      <c r="N24" s="14">
        <v>0</v>
      </c>
      <c r="O24" s="14">
        <v>0</v>
      </c>
      <c r="P24" s="14">
        <v>0</v>
      </c>
      <c r="Q24" s="14">
        <f t="shared" ref="Q24:Q28" si="23">P24*(0.98)</f>
        <v>0</v>
      </c>
      <c r="R24" s="14">
        <v>0</v>
      </c>
      <c r="S24" s="14">
        <v>0</v>
      </c>
      <c r="T24" s="14">
        <v>0</v>
      </c>
      <c r="U24" s="14">
        <f t="shared" ref="U24:U28" si="24">T24*(0.98)</f>
        <v>0</v>
      </c>
      <c r="V24" s="14">
        <v>0</v>
      </c>
      <c r="W24" s="14">
        <v>0</v>
      </c>
      <c r="X24" s="14">
        <f t="shared" ref="X24:X28" si="25">W24*(0.98)</f>
        <v>0</v>
      </c>
      <c r="Y24" s="14">
        <v>0</v>
      </c>
      <c r="Z24" s="14">
        <v>0</v>
      </c>
      <c r="AA24" s="14">
        <f t="shared" ref="AA24:AA28" si="26">Z24*(0.98)</f>
        <v>0</v>
      </c>
      <c r="AB24" s="14">
        <v>0</v>
      </c>
      <c r="AC24" s="14">
        <f t="shared" ref="AC24:AC28" si="27">AB24*(0.98)</f>
        <v>0</v>
      </c>
      <c r="AD24" s="14">
        <v>0</v>
      </c>
      <c r="AE24" s="14">
        <f t="shared" ref="AE24:AE28" si="28">AD24*(0.98)</f>
        <v>0</v>
      </c>
      <c r="AF24" s="14">
        <v>0</v>
      </c>
      <c r="AG24" s="14">
        <f t="shared" ref="AG24:AG28" si="29">AF24*(0.98)</f>
        <v>0</v>
      </c>
      <c r="AH24" s="14">
        <v>0</v>
      </c>
      <c r="AI24" s="14">
        <v>0</v>
      </c>
      <c r="AJ24" s="14">
        <v>0</v>
      </c>
      <c r="AK24" s="14">
        <f t="shared" ref="AK24:AK28" si="30">AJ24*(0.98)</f>
        <v>0</v>
      </c>
      <c r="AL24" s="14">
        <v>0</v>
      </c>
      <c r="AM24" s="14">
        <v>0</v>
      </c>
    </row>
    <row r="25" spans="2:39" s="12" customFormat="1" ht="21" customHeight="1" x14ac:dyDescent="0.3">
      <c r="B25" s="22" t="s">
        <v>22</v>
      </c>
      <c r="C25" s="10"/>
      <c r="D25" s="14">
        <v>1000</v>
      </c>
      <c r="E25" s="14">
        <v>1020</v>
      </c>
      <c r="F25" s="14">
        <f t="shared" si="20"/>
        <v>999.6</v>
      </c>
      <c r="G25" s="14">
        <v>1019.592</v>
      </c>
      <c r="H25" s="14">
        <v>1039.9838400000001</v>
      </c>
      <c r="I25" s="14">
        <f t="shared" si="21"/>
        <v>1019.1841632000001</v>
      </c>
      <c r="J25" s="14">
        <v>1039.567846464</v>
      </c>
      <c r="K25" s="14">
        <v>1060.35920339328</v>
      </c>
      <c r="L25" s="14">
        <v>1081.5663874611457</v>
      </c>
      <c r="M25" s="14">
        <f t="shared" si="22"/>
        <v>1059.9350597119228</v>
      </c>
      <c r="N25" s="14">
        <v>1081.1337609061613</v>
      </c>
      <c r="O25" s="14">
        <v>1102.7564361242846</v>
      </c>
      <c r="P25" s="14">
        <v>1124.8115648467704</v>
      </c>
      <c r="Q25" s="14">
        <f t="shared" si="23"/>
        <v>1102.315333549835</v>
      </c>
      <c r="R25" s="14">
        <v>1124.3616402208318</v>
      </c>
      <c r="S25" s="14">
        <v>1146.8488730252484</v>
      </c>
      <c r="T25" s="14">
        <v>1169.7858504857534</v>
      </c>
      <c r="U25" s="14">
        <f t="shared" si="24"/>
        <v>1146.3901334760383</v>
      </c>
      <c r="V25" s="14">
        <v>1169.3179361455591</v>
      </c>
      <c r="W25" s="14">
        <v>1192.7042948684702</v>
      </c>
      <c r="X25" s="14">
        <f t="shared" si="25"/>
        <v>1168.8502089711008</v>
      </c>
      <c r="Y25" s="14">
        <v>1192.2272131505229</v>
      </c>
      <c r="Z25" s="14">
        <v>1216.0717574135333</v>
      </c>
      <c r="AA25" s="14">
        <f t="shared" si="26"/>
        <v>1191.7503222652626</v>
      </c>
      <c r="AB25" s="14">
        <v>1215.5853287105679</v>
      </c>
      <c r="AC25" s="14">
        <f t="shared" si="27"/>
        <v>1191.2736221363564</v>
      </c>
      <c r="AD25" s="14">
        <v>1215.0990945790836</v>
      </c>
      <c r="AE25" s="14">
        <f t="shared" si="28"/>
        <v>1190.797112687502</v>
      </c>
      <c r="AF25" s="14">
        <v>1214.6130549412521</v>
      </c>
      <c r="AG25" s="14">
        <f t="shared" si="29"/>
        <v>1190.3207938424271</v>
      </c>
      <c r="AH25" s="14">
        <v>1214.1272097192757</v>
      </c>
      <c r="AI25" s="14">
        <v>1238.4097539136612</v>
      </c>
      <c r="AJ25" s="14">
        <v>1263.1779489919345</v>
      </c>
      <c r="AK25" s="14">
        <f t="shared" si="30"/>
        <v>1237.9143900120957</v>
      </c>
      <c r="AL25" s="14">
        <v>1262.6726778123377</v>
      </c>
      <c r="AM25" s="14">
        <v>1287.9261313685845</v>
      </c>
    </row>
    <row r="26" spans="2:39" s="12" customFormat="1" ht="21" customHeight="1" x14ac:dyDescent="0.3">
      <c r="B26" s="22" t="s">
        <v>23</v>
      </c>
      <c r="C26" s="10"/>
      <c r="D26" s="14">
        <v>2500</v>
      </c>
      <c r="E26" s="14">
        <v>2575</v>
      </c>
      <c r="F26" s="14">
        <f t="shared" si="20"/>
        <v>2523.5</v>
      </c>
      <c r="G26" s="14">
        <v>2599.2049999999999</v>
      </c>
      <c r="H26" s="14">
        <v>2677.1811499999999</v>
      </c>
      <c r="I26" s="14">
        <f t="shared" si="21"/>
        <v>2623.6375269999999</v>
      </c>
      <c r="J26" s="14">
        <v>2702.3466528099998</v>
      </c>
      <c r="K26" s="14">
        <v>2783.4170523942998</v>
      </c>
      <c r="L26" s="14">
        <v>2866.9195639661289</v>
      </c>
      <c r="M26" s="14">
        <f t="shared" si="22"/>
        <v>2809.5811726868064</v>
      </c>
      <c r="N26" s="14">
        <v>2893.8686078674109</v>
      </c>
      <c r="O26" s="14">
        <v>2980.6846661034333</v>
      </c>
      <c r="P26" s="14">
        <v>3070.1052060865363</v>
      </c>
      <c r="Q26" s="14">
        <f t="shared" si="23"/>
        <v>3008.7031019648057</v>
      </c>
      <c r="R26" s="14">
        <v>3098.9641950237501</v>
      </c>
      <c r="S26" s="14">
        <v>3191.9331208744625</v>
      </c>
      <c r="T26" s="14">
        <v>3287.6911145006966</v>
      </c>
      <c r="U26" s="14">
        <f t="shared" si="24"/>
        <v>3221.9372922106827</v>
      </c>
      <c r="V26" s="14">
        <v>3318.5954109770032</v>
      </c>
      <c r="W26" s="14">
        <v>3418.1532733063136</v>
      </c>
      <c r="X26" s="14">
        <f t="shared" si="25"/>
        <v>3349.7902078401871</v>
      </c>
      <c r="Y26" s="14">
        <v>3450.2839140753927</v>
      </c>
      <c r="Z26" s="14">
        <v>3553.7924314976544</v>
      </c>
      <c r="AA26" s="14">
        <f t="shared" si="26"/>
        <v>3482.7165828677012</v>
      </c>
      <c r="AB26" s="14">
        <v>3587.1980803537322</v>
      </c>
      <c r="AC26" s="14">
        <f t="shared" si="27"/>
        <v>3515.4541187466575</v>
      </c>
      <c r="AD26" s="14">
        <v>3620.9177423090573</v>
      </c>
      <c r="AE26" s="14">
        <f t="shared" si="28"/>
        <v>3548.4993874628763</v>
      </c>
      <c r="AF26" s="14">
        <v>3654.9543690867627</v>
      </c>
      <c r="AG26" s="14">
        <f t="shared" si="29"/>
        <v>3581.8552817050272</v>
      </c>
      <c r="AH26" s="14">
        <v>3689.3109401561783</v>
      </c>
      <c r="AI26" s="14">
        <v>3799.9902683608639</v>
      </c>
      <c r="AJ26" s="14">
        <v>3913.9899764116899</v>
      </c>
      <c r="AK26" s="14">
        <f t="shared" si="30"/>
        <v>3835.7101768834559</v>
      </c>
      <c r="AL26" s="14">
        <v>3950.7814821899597</v>
      </c>
      <c r="AM26" s="14">
        <v>4069.3049266556586</v>
      </c>
    </row>
    <row r="27" spans="2:39" s="12" customFormat="1" ht="21" customHeight="1" x14ac:dyDescent="0.3">
      <c r="B27" s="22" t="s">
        <v>24</v>
      </c>
      <c r="C27" s="10"/>
      <c r="D27" s="14">
        <v>1500</v>
      </c>
      <c r="E27" s="14">
        <v>1545</v>
      </c>
      <c r="F27" s="14">
        <f t="shared" si="20"/>
        <v>1514.1</v>
      </c>
      <c r="G27" s="14">
        <v>1559.5229999999999</v>
      </c>
      <c r="H27" s="14">
        <v>1606.3086899999998</v>
      </c>
      <c r="I27" s="14">
        <f t="shared" si="21"/>
        <v>1574.1825161999998</v>
      </c>
      <c r="J27" s="14">
        <v>1621.4079916859998</v>
      </c>
      <c r="K27" s="14">
        <v>1670.0502314365799</v>
      </c>
      <c r="L27" s="14">
        <v>1720.1517383796775</v>
      </c>
      <c r="M27" s="14">
        <f t="shared" si="22"/>
        <v>1685.7487036120838</v>
      </c>
      <c r="N27" s="14">
        <v>1736.3211647204464</v>
      </c>
      <c r="O27" s="14">
        <v>1788.4107996620598</v>
      </c>
      <c r="P27" s="14">
        <v>1842.0631236519216</v>
      </c>
      <c r="Q27" s="14">
        <f t="shared" si="23"/>
        <v>1805.221861178883</v>
      </c>
      <c r="R27" s="14">
        <v>1859.3785170142496</v>
      </c>
      <c r="S27" s="14">
        <v>1915.1598725246772</v>
      </c>
      <c r="T27" s="14">
        <v>1972.6146687004175</v>
      </c>
      <c r="U27" s="14">
        <f t="shared" si="24"/>
        <v>1933.1623753264091</v>
      </c>
      <c r="V27" s="14">
        <v>1991.1572465862014</v>
      </c>
      <c r="W27" s="14">
        <v>2050.8919639837873</v>
      </c>
      <c r="X27" s="14">
        <f t="shared" si="25"/>
        <v>2009.8741247041114</v>
      </c>
      <c r="Y27" s="14">
        <v>2070.1703484452346</v>
      </c>
      <c r="Z27" s="14">
        <v>2132.2754588985918</v>
      </c>
      <c r="AA27" s="14">
        <f t="shared" si="26"/>
        <v>2089.6299497206201</v>
      </c>
      <c r="AB27" s="14">
        <v>2152.3188482122387</v>
      </c>
      <c r="AC27" s="14">
        <f t="shared" si="27"/>
        <v>2109.272471247994</v>
      </c>
      <c r="AD27" s="14">
        <v>2172.5506453854337</v>
      </c>
      <c r="AE27" s="14">
        <f t="shared" si="28"/>
        <v>2129.0996324777248</v>
      </c>
      <c r="AF27" s="14">
        <v>2192.9726214520565</v>
      </c>
      <c r="AG27" s="14">
        <f t="shared" si="29"/>
        <v>2149.1131690230154</v>
      </c>
      <c r="AH27" s="14">
        <v>2213.5865640937059</v>
      </c>
      <c r="AI27" s="14">
        <v>2279.994161016517</v>
      </c>
      <c r="AJ27" s="14">
        <v>2348.3939858470126</v>
      </c>
      <c r="AK27" s="14">
        <f t="shared" si="30"/>
        <v>2301.4261061300722</v>
      </c>
      <c r="AL27" s="14">
        <v>2370.4688893139746</v>
      </c>
      <c r="AM27" s="14">
        <v>2441.5829559933941</v>
      </c>
    </row>
    <row r="28" spans="2:39" s="12" customFormat="1" ht="21" customHeight="1" x14ac:dyDescent="0.3">
      <c r="B28" s="22" t="s">
        <v>25</v>
      </c>
      <c r="C28" s="10"/>
      <c r="D28" s="14">
        <v>2000</v>
      </c>
      <c r="E28" s="14">
        <v>2060</v>
      </c>
      <c r="F28" s="14">
        <f t="shared" si="20"/>
        <v>2018.8</v>
      </c>
      <c r="G28" s="14">
        <v>2079.364</v>
      </c>
      <c r="H28" s="14">
        <v>2141.7449200000001</v>
      </c>
      <c r="I28" s="14">
        <f t="shared" si="21"/>
        <v>2098.9100216000002</v>
      </c>
      <c r="J28" s="14">
        <v>2161.8773222480004</v>
      </c>
      <c r="K28" s="14">
        <v>2226.7336419154403</v>
      </c>
      <c r="L28" s="14">
        <v>2293.5356511729037</v>
      </c>
      <c r="M28" s="14">
        <f t="shared" si="22"/>
        <v>2247.6649381494458</v>
      </c>
      <c r="N28" s="14">
        <v>2315.0948862939294</v>
      </c>
      <c r="O28" s="14">
        <v>2384.5477328827474</v>
      </c>
      <c r="P28" s="14">
        <v>2456.0841648692299</v>
      </c>
      <c r="Q28" s="14">
        <f t="shared" si="23"/>
        <v>2406.9624815718453</v>
      </c>
      <c r="R28" s="14">
        <v>2479.1713560190005</v>
      </c>
      <c r="S28" s="14">
        <v>2553.5464966995705</v>
      </c>
      <c r="T28" s="14">
        <v>2630.1528916005577</v>
      </c>
      <c r="U28" s="14">
        <f t="shared" si="24"/>
        <v>2577.5498337685467</v>
      </c>
      <c r="V28" s="14">
        <v>2654.8763287816032</v>
      </c>
      <c r="W28" s="14">
        <v>2734.5226186450514</v>
      </c>
      <c r="X28" s="14">
        <f t="shared" si="25"/>
        <v>2679.8321662721501</v>
      </c>
      <c r="Y28" s="14">
        <v>2760.2271312603148</v>
      </c>
      <c r="Z28" s="14">
        <v>2843.0339451981245</v>
      </c>
      <c r="AA28" s="14">
        <f t="shared" si="26"/>
        <v>2786.1732662941617</v>
      </c>
      <c r="AB28" s="14">
        <v>2869.7584642829866</v>
      </c>
      <c r="AC28" s="14">
        <f t="shared" si="27"/>
        <v>2812.3632949973266</v>
      </c>
      <c r="AD28" s="14">
        <v>2896.7341938472464</v>
      </c>
      <c r="AE28" s="14">
        <f t="shared" si="28"/>
        <v>2838.7995099703012</v>
      </c>
      <c r="AF28" s="14">
        <v>2923.9634952694105</v>
      </c>
      <c r="AG28" s="14">
        <f t="shared" si="29"/>
        <v>2865.4842253640222</v>
      </c>
      <c r="AH28" s="14">
        <v>2951.448752124943</v>
      </c>
      <c r="AI28" s="14">
        <v>3039.9922146886915</v>
      </c>
      <c r="AJ28" s="14">
        <v>3131.1919811293524</v>
      </c>
      <c r="AK28" s="14">
        <f t="shared" si="30"/>
        <v>3068.5681415067652</v>
      </c>
      <c r="AL28" s="14">
        <v>3160.6251857519683</v>
      </c>
      <c r="AM28" s="14">
        <v>3255.4439413245273</v>
      </c>
    </row>
    <row r="29" spans="2:39" s="12" customFormat="1" ht="21" customHeight="1" x14ac:dyDescent="0.3">
      <c r="B29" s="21" t="s">
        <v>26</v>
      </c>
      <c r="C29" s="10"/>
      <c r="D29" s="16">
        <f t="shared" ref="D29:AM29" si="31">SUM(D28, D27, D26, D25 + D24)</f>
        <v>7000</v>
      </c>
      <c r="E29" s="16">
        <f t="shared" si="31"/>
        <v>7200</v>
      </c>
      <c r="F29" s="16">
        <f t="shared" si="31"/>
        <v>7056</v>
      </c>
      <c r="G29" s="16">
        <f t="shared" si="31"/>
        <v>7257.6839999999993</v>
      </c>
      <c r="H29" s="16">
        <f t="shared" si="31"/>
        <v>7465.2185999999992</v>
      </c>
      <c r="I29" s="16">
        <f t="shared" si="31"/>
        <v>7315.9142279999996</v>
      </c>
      <c r="J29" s="16">
        <f t="shared" si="31"/>
        <v>7525.1998132080007</v>
      </c>
      <c r="K29" s="16">
        <f t="shared" si="31"/>
        <v>7740.5601291395997</v>
      </c>
      <c r="L29" s="16">
        <f t="shared" si="31"/>
        <v>7962.1733409798562</v>
      </c>
      <c r="M29" s="16">
        <f t="shared" si="31"/>
        <v>7802.9298741602588</v>
      </c>
      <c r="N29" s="16">
        <f t="shared" si="31"/>
        <v>8026.4184197879476</v>
      </c>
      <c r="O29" s="16">
        <f t="shared" si="31"/>
        <v>8256.3996347725242</v>
      </c>
      <c r="P29" s="16">
        <f t="shared" si="31"/>
        <v>8493.0640594544584</v>
      </c>
      <c r="Q29" s="16">
        <f t="shared" si="31"/>
        <v>8323.2027782653695</v>
      </c>
      <c r="R29" s="16">
        <f t="shared" si="31"/>
        <v>8561.875708277832</v>
      </c>
      <c r="S29" s="16">
        <f t="shared" si="31"/>
        <v>8807.4883631239591</v>
      </c>
      <c r="T29" s="16">
        <f t="shared" si="31"/>
        <v>9060.2445252874259</v>
      </c>
      <c r="U29" s="16">
        <f t="shared" si="31"/>
        <v>8879.0396347816768</v>
      </c>
      <c r="V29" s="16">
        <f t="shared" si="31"/>
        <v>9133.946922490366</v>
      </c>
      <c r="W29" s="16">
        <f t="shared" si="31"/>
        <v>9396.2721508036229</v>
      </c>
      <c r="X29" s="16">
        <f t="shared" si="31"/>
        <v>9208.3467077875484</v>
      </c>
      <c r="Y29" s="16">
        <f t="shared" si="31"/>
        <v>9472.9086069314653</v>
      </c>
      <c r="Z29" s="16">
        <f t="shared" si="31"/>
        <v>9745.1735930079049</v>
      </c>
      <c r="AA29" s="16">
        <f t="shared" si="31"/>
        <v>9550.2701211477452</v>
      </c>
      <c r="AB29" s="16">
        <f t="shared" si="31"/>
        <v>9824.8607215595239</v>
      </c>
      <c r="AC29" s="16">
        <f t="shared" si="31"/>
        <v>9628.3635071283352</v>
      </c>
      <c r="AD29" s="16">
        <f t="shared" si="31"/>
        <v>9905.30167612082</v>
      </c>
      <c r="AE29" s="16">
        <f t="shared" si="31"/>
        <v>9707.1956425984044</v>
      </c>
      <c r="AF29" s="16">
        <f t="shared" si="31"/>
        <v>9986.5035407494815</v>
      </c>
      <c r="AG29" s="16">
        <f t="shared" si="31"/>
        <v>9786.7734699344928</v>
      </c>
      <c r="AH29" s="16">
        <f t="shared" si="31"/>
        <v>10068.473466094103</v>
      </c>
      <c r="AI29" s="16">
        <f t="shared" si="31"/>
        <v>10358.386397979733</v>
      </c>
      <c r="AJ29" s="16">
        <f t="shared" si="31"/>
        <v>10656.753892379991</v>
      </c>
      <c r="AK29" s="16">
        <f t="shared" si="31"/>
        <v>10443.61881453239</v>
      </c>
      <c r="AL29" s="16">
        <f t="shared" si="31"/>
        <v>10744.54823506824</v>
      </c>
      <c r="AM29" s="16">
        <f t="shared" si="31"/>
        <v>11054.257955342164</v>
      </c>
    </row>
    <row r="30" spans="2:39" s="18" customFormat="1" ht="21" customHeight="1" x14ac:dyDescent="0.3">
      <c r="B30" s="21" t="s">
        <v>27</v>
      </c>
      <c r="C30" s="19"/>
      <c r="D30" s="14">
        <v>0</v>
      </c>
      <c r="E30" s="14">
        <v>0</v>
      </c>
      <c r="F30" s="14">
        <f t="shared" ref="F30:F35" si="32">E30*(0.98)</f>
        <v>0</v>
      </c>
      <c r="G30" s="14">
        <v>0</v>
      </c>
      <c r="H30" s="14">
        <v>0</v>
      </c>
      <c r="I30" s="14">
        <f t="shared" ref="I30:I35" si="33">H30*(0.98)</f>
        <v>0</v>
      </c>
      <c r="J30" s="14">
        <v>0</v>
      </c>
      <c r="K30" s="14">
        <v>0</v>
      </c>
      <c r="L30" s="14">
        <v>0</v>
      </c>
      <c r="M30" s="14">
        <f t="shared" ref="M30:M35" si="34">L30*(0.98)</f>
        <v>0</v>
      </c>
      <c r="N30" s="14">
        <v>0</v>
      </c>
      <c r="O30" s="14">
        <v>0</v>
      </c>
      <c r="P30" s="14">
        <v>0</v>
      </c>
      <c r="Q30" s="14">
        <f t="shared" ref="Q30:Q35" si="35">P30*(0.98)</f>
        <v>0</v>
      </c>
      <c r="R30" s="14">
        <v>0</v>
      </c>
      <c r="S30" s="14">
        <v>0</v>
      </c>
      <c r="T30" s="14">
        <v>0</v>
      </c>
      <c r="U30" s="14">
        <f t="shared" ref="U30:U35" si="36">T30*(0.98)</f>
        <v>0</v>
      </c>
      <c r="V30" s="14">
        <v>0</v>
      </c>
      <c r="W30" s="14">
        <v>0</v>
      </c>
      <c r="X30" s="14">
        <f t="shared" ref="X30:X35" si="37">W30*(0.98)</f>
        <v>0</v>
      </c>
      <c r="Y30" s="14">
        <v>0</v>
      </c>
      <c r="Z30" s="14">
        <v>0</v>
      </c>
      <c r="AA30" s="14">
        <f t="shared" ref="AA30:AA35" si="38">Z30*(0.98)</f>
        <v>0</v>
      </c>
      <c r="AB30" s="14">
        <v>0</v>
      </c>
      <c r="AC30" s="14">
        <f t="shared" ref="AC30:AC35" si="39">AB30*(0.98)</f>
        <v>0</v>
      </c>
      <c r="AD30" s="14">
        <v>0</v>
      </c>
      <c r="AE30" s="14">
        <f t="shared" ref="AE30:AE35" si="40">AD30*(0.98)</f>
        <v>0</v>
      </c>
      <c r="AF30" s="14">
        <v>0</v>
      </c>
      <c r="AG30" s="14">
        <f t="shared" ref="AG30:AG35" si="41">AF30*(0.98)</f>
        <v>0</v>
      </c>
      <c r="AH30" s="14">
        <v>0</v>
      </c>
      <c r="AI30" s="14">
        <v>0</v>
      </c>
      <c r="AJ30" s="14">
        <v>0</v>
      </c>
      <c r="AK30" s="14">
        <f t="shared" ref="AK30:AK35" si="42">AJ30*(0.98)</f>
        <v>0</v>
      </c>
      <c r="AL30" s="14">
        <v>0</v>
      </c>
      <c r="AM30" s="14">
        <v>0</v>
      </c>
    </row>
    <row r="31" spans="2:39" s="12" customFormat="1" ht="21" customHeight="1" x14ac:dyDescent="0.3">
      <c r="B31" s="22" t="s">
        <v>28</v>
      </c>
      <c r="C31" s="10"/>
      <c r="D31" s="14">
        <v>5000</v>
      </c>
      <c r="E31" s="14">
        <v>5250</v>
      </c>
      <c r="F31" s="14">
        <f t="shared" si="32"/>
        <v>5145</v>
      </c>
      <c r="G31" s="14">
        <f t="shared" ref="G31:I31" si="43">F31*(0.9)</f>
        <v>4630.5</v>
      </c>
      <c r="H31" s="14">
        <f t="shared" si="43"/>
        <v>4167.45</v>
      </c>
      <c r="I31" s="14">
        <f t="shared" si="43"/>
        <v>3750.7049999999999</v>
      </c>
      <c r="J31" s="14">
        <v>3938.2402500000003</v>
      </c>
      <c r="K31" s="14">
        <v>4135.1522625000007</v>
      </c>
      <c r="L31" s="14">
        <v>4341.9098756250005</v>
      </c>
      <c r="M31" s="14">
        <f t="shared" si="34"/>
        <v>4255.0716781125002</v>
      </c>
      <c r="N31" s="14">
        <v>4467.8252620181256</v>
      </c>
      <c r="O31" s="14">
        <v>4691.2165251190318</v>
      </c>
      <c r="P31" s="14">
        <v>4925.7773513749835</v>
      </c>
      <c r="Q31" s="14">
        <f t="shared" si="35"/>
        <v>4827.261804347484</v>
      </c>
      <c r="R31" s="14">
        <f t="shared" ref="R31:S31" si="44">Q31*(0.9)</f>
        <v>4344.5356239127359</v>
      </c>
      <c r="S31" s="14">
        <f t="shared" si="44"/>
        <v>3910.0820615214625</v>
      </c>
      <c r="T31" s="14">
        <v>4105.5861645975356</v>
      </c>
      <c r="U31" s="14">
        <f t="shared" si="36"/>
        <v>4023.4744413055846</v>
      </c>
      <c r="V31" s="14">
        <v>4224.6481633708636</v>
      </c>
      <c r="W31" s="14">
        <v>4435.8805715394074</v>
      </c>
      <c r="X31" s="14">
        <f t="shared" si="37"/>
        <v>4347.1629601086188</v>
      </c>
      <c r="Y31" s="14">
        <f t="shared" ref="Y31:AA31" si="45">X31*(0.9)</f>
        <v>3912.4466640977571</v>
      </c>
      <c r="Z31" s="14">
        <f t="shared" si="45"/>
        <v>3521.2019976879815</v>
      </c>
      <c r="AA31" s="14">
        <f t="shared" si="45"/>
        <v>3169.0817979191834</v>
      </c>
      <c r="AB31" s="14">
        <v>3327.5358878151428</v>
      </c>
      <c r="AC31" s="14">
        <f t="shared" si="39"/>
        <v>3260.9851700588397</v>
      </c>
      <c r="AD31" s="14">
        <v>3424.0344285617816</v>
      </c>
      <c r="AE31" s="14">
        <f t="shared" si="40"/>
        <v>3355.5537399905461</v>
      </c>
      <c r="AF31" s="14">
        <v>3523.3314269900734</v>
      </c>
      <c r="AG31" s="14">
        <f t="shared" ref="AG31:AI31" si="46">AF31*(0.9)</f>
        <v>3170.9982842910663</v>
      </c>
      <c r="AH31" s="14">
        <f t="shared" si="46"/>
        <v>2853.8984558619595</v>
      </c>
      <c r="AI31" s="14">
        <f t="shared" si="46"/>
        <v>2568.5086102757637</v>
      </c>
      <c r="AJ31" s="14">
        <v>2696.934040789552</v>
      </c>
      <c r="AK31" s="14">
        <f t="shared" si="42"/>
        <v>2642.995359973761</v>
      </c>
      <c r="AL31" s="14">
        <v>2775.1451279724492</v>
      </c>
      <c r="AM31" s="14">
        <v>2913.902384371072</v>
      </c>
    </row>
    <row r="32" spans="2:39" s="12" customFormat="1" ht="21" customHeight="1" x14ac:dyDescent="0.3">
      <c r="B32" s="22" t="s">
        <v>29</v>
      </c>
      <c r="C32" s="10"/>
      <c r="D32" s="14">
        <v>500</v>
      </c>
      <c r="E32" s="14">
        <v>515</v>
      </c>
      <c r="F32" s="14">
        <f t="shared" si="32"/>
        <v>504.7</v>
      </c>
      <c r="G32" s="14">
        <v>519.84100000000001</v>
      </c>
      <c r="H32" s="14">
        <v>535.43623000000002</v>
      </c>
      <c r="I32" s="14">
        <f t="shared" si="33"/>
        <v>524.72750540000004</v>
      </c>
      <c r="J32" s="14">
        <v>540.4693305620001</v>
      </c>
      <c r="K32" s="14">
        <v>556.68341047886008</v>
      </c>
      <c r="L32" s="14">
        <v>573.38391279322593</v>
      </c>
      <c r="M32" s="14">
        <f t="shared" si="34"/>
        <v>561.91623453736145</v>
      </c>
      <c r="N32" s="14">
        <v>578.77372157348236</v>
      </c>
      <c r="O32" s="14">
        <v>596.13693322068684</v>
      </c>
      <c r="P32" s="14">
        <v>614.02104121730747</v>
      </c>
      <c r="Q32" s="14">
        <f t="shared" si="35"/>
        <v>601.74062039296132</v>
      </c>
      <c r="R32" s="14">
        <v>619.79283900475014</v>
      </c>
      <c r="S32" s="14">
        <v>638.38662417489263</v>
      </c>
      <c r="T32" s="14">
        <v>657.53822290013943</v>
      </c>
      <c r="U32" s="14">
        <f t="shared" si="36"/>
        <v>644.38745844213668</v>
      </c>
      <c r="V32" s="14">
        <v>663.7190821954008</v>
      </c>
      <c r="W32" s="14">
        <v>683.63065466126284</v>
      </c>
      <c r="X32" s="14">
        <f t="shared" si="37"/>
        <v>669.95804156803752</v>
      </c>
      <c r="Y32" s="14">
        <v>690.05678281507869</v>
      </c>
      <c r="Z32" s="14">
        <v>710.75848629953111</v>
      </c>
      <c r="AA32" s="14">
        <f t="shared" si="38"/>
        <v>696.54331657354044</v>
      </c>
      <c r="AB32" s="14">
        <v>717.43961607074664</v>
      </c>
      <c r="AC32" s="14">
        <f t="shared" si="39"/>
        <v>703.09082374933166</v>
      </c>
      <c r="AD32" s="14">
        <v>724.1835484618116</v>
      </c>
      <c r="AE32" s="14">
        <f t="shared" si="40"/>
        <v>709.6998774925753</v>
      </c>
      <c r="AF32" s="14">
        <v>730.99087381735262</v>
      </c>
      <c r="AG32" s="14">
        <f t="shared" si="41"/>
        <v>716.37105634100556</v>
      </c>
      <c r="AH32" s="14">
        <v>737.86218803123575</v>
      </c>
      <c r="AI32" s="14">
        <v>759.99805367217289</v>
      </c>
      <c r="AJ32" s="14">
        <v>782.79799528233809</v>
      </c>
      <c r="AK32" s="14">
        <f t="shared" si="42"/>
        <v>767.1420353766913</v>
      </c>
      <c r="AL32" s="14">
        <v>790.15629643799207</v>
      </c>
      <c r="AM32" s="14">
        <v>813.86098533113181</v>
      </c>
    </row>
    <row r="33" spans="2:39" s="12" customFormat="1" ht="21" customHeight="1" x14ac:dyDescent="0.3">
      <c r="B33" s="22" t="s">
        <v>30</v>
      </c>
      <c r="C33" s="10"/>
      <c r="D33" s="14">
        <v>450</v>
      </c>
      <c r="E33" s="14">
        <v>463.5</v>
      </c>
      <c r="F33" s="14">
        <f t="shared" si="32"/>
        <v>454.23</v>
      </c>
      <c r="G33" s="14">
        <v>467.85690000000005</v>
      </c>
      <c r="H33" s="14">
        <v>481.89260700000005</v>
      </c>
      <c r="I33" s="14">
        <f t="shared" si="33"/>
        <v>472.25475486000005</v>
      </c>
      <c r="J33" s="14">
        <v>486.42239750580006</v>
      </c>
      <c r="K33" s="14">
        <v>501.01506943097405</v>
      </c>
      <c r="L33" s="14">
        <v>516.04552151390328</v>
      </c>
      <c r="M33" s="14">
        <f t="shared" si="34"/>
        <v>505.72461108362523</v>
      </c>
      <c r="N33" s="14">
        <v>520.89634941613406</v>
      </c>
      <c r="O33" s="14">
        <v>536.52323989861804</v>
      </c>
      <c r="P33" s="14">
        <v>552.6189370955766</v>
      </c>
      <c r="Q33" s="14">
        <f t="shared" si="35"/>
        <v>541.56655835366507</v>
      </c>
      <c r="R33" s="14">
        <v>557.813555104275</v>
      </c>
      <c r="S33" s="14">
        <v>574.5479617574033</v>
      </c>
      <c r="T33" s="14">
        <v>591.78440061012543</v>
      </c>
      <c r="U33" s="14">
        <f t="shared" si="36"/>
        <v>579.94871259792296</v>
      </c>
      <c r="V33" s="14">
        <v>597.34717397586064</v>
      </c>
      <c r="W33" s="14">
        <v>615.26758919513645</v>
      </c>
      <c r="X33" s="14">
        <f t="shared" si="37"/>
        <v>602.96223741123367</v>
      </c>
      <c r="Y33" s="14">
        <v>621.05110453357065</v>
      </c>
      <c r="Z33" s="14">
        <v>639.68263766957784</v>
      </c>
      <c r="AA33" s="14">
        <f t="shared" si="38"/>
        <v>626.88898491618625</v>
      </c>
      <c r="AB33" s="14">
        <v>645.69565446367187</v>
      </c>
      <c r="AC33" s="14">
        <f t="shared" si="39"/>
        <v>632.78174137439839</v>
      </c>
      <c r="AD33" s="14">
        <v>651.76519361563032</v>
      </c>
      <c r="AE33" s="14">
        <f t="shared" si="40"/>
        <v>638.7298897433177</v>
      </c>
      <c r="AF33" s="14">
        <v>657.89178643561729</v>
      </c>
      <c r="AG33" s="14">
        <f t="shared" si="41"/>
        <v>644.73395070690492</v>
      </c>
      <c r="AH33" s="14">
        <v>664.07596922811206</v>
      </c>
      <c r="AI33" s="14">
        <v>683.99824830495538</v>
      </c>
      <c r="AJ33" s="14">
        <v>704.51819575410411</v>
      </c>
      <c r="AK33" s="14">
        <f t="shared" si="42"/>
        <v>690.42783183902202</v>
      </c>
      <c r="AL33" s="14">
        <v>711.14066679419273</v>
      </c>
      <c r="AM33" s="14">
        <v>732.47488679801847</v>
      </c>
    </row>
    <row r="34" spans="2:39" s="12" customFormat="1" ht="21" customHeight="1" x14ac:dyDescent="0.3">
      <c r="B34" s="22" t="s">
        <v>31</v>
      </c>
      <c r="C34" s="10"/>
      <c r="D34" s="14">
        <v>50</v>
      </c>
      <c r="E34" s="14">
        <v>52.5</v>
      </c>
      <c r="F34" s="14">
        <f t="shared" si="32"/>
        <v>51.449999999999996</v>
      </c>
      <c r="G34" s="14">
        <v>54.022500000000001</v>
      </c>
      <c r="H34" s="14">
        <v>56.723625000000006</v>
      </c>
      <c r="I34" s="14">
        <f t="shared" si="33"/>
        <v>55.589152500000004</v>
      </c>
      <c r="J34" s="14">
        <v>58.368610125000004</v>
      </c>
      <c r="K34" s="14">
        <v>61.287040631250008</v>
      </c>
      <c r="L34" s="14">
        <v>64.351392662812515</v>
      </c>
      <c r="M34" s="14">
        <f t="shared" si="34"/>
        <v>63.064364809556267</v>
      </c>
      <c r="N34" s="14">
        <v>66.217583050034079</v>
      </c>
      <c r="O34" s="14">
        <v>69.528462202535792</v>
      </c>
      <c r="P34" s="14">
        <v>73.00488531266258</v>
      </c>
      <c r="Q34" s="14">
        <f t="shared" si="35"/>
        <v>71.544787606409329</v>
      </c>
      <c r="R34" s="14">
        <v>75.122026986729793</v>
      </c>
      <c r="S34" s="14">
        <v>78.878128336066283</v>
      </c>
      <c r="T34" s="14">
        <v>82.822034752869598</v>
      </c>
      <c r="U34" s="14">
        <f t="shared" si="36"/>
        <v>81.1655940578122</v>
      </c>
      <c r="V34" s="14">
        <v>85.223873760702816</v>
      </c>
      <c r="W34" s="14">
        <v>89.485067448737965</v>
      </c>
      <c r="X34" s="14">
        <f t="shared" si="37"/>
        <v>87.695366099763206</v>
      </c>
      <c r="Y34" s="14">
        <v>92.080134404751377</v>
      </c>
      <c r="Z34" s="14">
        <v>96.684141124988955</v>
      </c>
      <c r="AA34" s="14">
        <f t="shared" si="38"/>
        <v>94.750458302489179</v>
      </c>
      <c r="AB34" s="14">
        <v>99.487981217613637</v>
      </c>
      <c r="AC34" s="14">
        <f t="shared" si="39"/>
        <v>97.498221593261363</v>
      </c>
      <c r="AD34" s="14">
        <v>102.37313267292444</v>
      </c>
      <c r="AE34" s="14">
        <f t="shared" si="40"/>
        <v>100.32567001946595</v>
      </c>
      <c r="AF34" s="14">
        <v>105.34195352043925</v>
      </c>
      <c r="AG34" s="14">
        <f t="shared" si="41"/>
        <v>103.23511445003047</v>
      </c>
      <c r="AH34" s="14">
        <v>108.39687017253199</v>
      </c>
      <c r="AI34" s="14">
        <v>113.81671368115859</v>
      </c>
      <c r="AJ34" s="14">
        <v>119.50754936521652</v>
      </c>
      <c r="AK34" s="14">
        <f t="shared" si="42"/>
        <v>117.11739837791218</v>
      </c>
      <c r="AL34" s="14">
        <v>122.9732682968078</v>
      </c>
      <c r="AM34" s="14">
        <v>129.12193171164819</v>
      </c>
    </row>
    <row r="35" spans="2:39" s="12" customFormat="1" ht="21" customHeight="1" x14ac:dyDescent="0.3">
      <c r="B35" s="22" t="s">
        <v>32</v>
      </c>
      <c r="C35" s="10"/>
      <c r="D35" s="14">
        <v>0</v>
      </c>
      <c r="E35" s="14">
        <v>0</v>
      </c>
      <c r="F35" s="14">
        <f t="shared" si="32"/>
        <v>0</v>
      </c>
      <c r="G35" s="14">
        <v>0</v>
      </c>
      <c r="H35" s="14">
        <v>0</v>
      </c>
      <c r="I35" s="14">
        <f t="shared" si="33"/>
        <v>0</v>
      </c>
      <c r="J35" s="14">
        <v>0</v>
      </c>
      <c r="K35" s="14">
        <v>0</v>
      </c>
      <c r="L35" s="14">
        <v>0</v>
      </c>
      <c r="M35" s="14">
        <f t="shared" si="34"/>
        <v>0</v>
      </c>
      <c r="N35" s="14">
        <v>0</v>
      </c>
      <c r="O35" s="14">
        <v>0</v>
      </c>
      <c r="P35" s="14">
        <v>0</v>
      </c>
      <c r="Q35" s="14">
        <f t="shared" si="35"/>
        <v>0</v>
      </c>
      <c r="R35" s="14">
        <v>0</v>
      </c>
      <c r="S35" s="14">
        <v>0</v>
      </c>
      <c r="T35" s="14">
        <v>0</v>
      </c>
      <c r="U35" s="14">
        <f t="shared" si="36"/>
        <v>0</v>
      </c>
      <c r="V35" s="14">
        <v>0</v>
      </c>
      <c r="W35" s="14">
        <v>0</v>
      </c>
      <c r="X35" s="14">
        <f t="shared" si="37"/>
        <v>0</v>
      </c>
      <c r="Y35" s="14">
        <v>0</v>
      </c>
      <c r="Z35" s="14">
        <v>0</v>
      </c>
      <c r="AA35" s="14">
        <f t="shared" si="38"/>
        <v>0</v>
      </c>
      <c r="AB35" s="14">
        <v>0</v>
      </c>
      <c r="AC35" s="14">
        <f t="shared" si="39"/>
        <v>0</v>
      </c>
      <c r="AD35" s="14">
        <v>0</v>
      </c>
      <c r="AE35" s="14">
        <f t="shared" si="40"/>
        <v>0</v>
      </c>
      <c r="AF35" s="14">
        <v>0</v>
      </c>
      <c r="AG35" s="14">
        <f t="shared" si="41"/>
        <v>0</v>
      </c>
      <c r="AH35" s="14">
        <v>0</v>
      </c>
      <c r="AI35" s="14">
        <v>0</v>
      </c>
      <c r="AJ35" s="14">
        <v>0</v>
      </c>
      <c r="AK35" s="14">
        <f t="shared" si="42"/>
        <v>0</v>
      </c>
      <c r="AL35" s="14">
        <v>0</v>
      </c>
      <c r="AM35" s="14">
        <v>0</v>
      </c>
    </row>
    <row r="36" spans="2:39" s="12" customFormat="1" ht="21" customHeight="1" x14ac:dyDescent="0.3">
      <c r="B36" s="21" t="s">
        <v>33</v>
      </c>
      <c r="C36" s="10"/>
      <c r="D36" s="16">
        <f t="shared" ref="D36:AM36" si="47">SUM(D35, D34, D33, D32, D31 + D30)</f>
        <v>6000</v>
      </c>
      <c r="E36" s="16">
        <f t="shared" si="47"/>
        <v>6281</v>
      </c>
      <c r="F36" s="16">
        <f t="shared" si="47"/>
        <v>6155.38</v>
      </c>
      <c r="G36" s="16">
        <f t="shared" si="47"/>
        <v>5672.2204000000002</v>
      </c>
      <c r="H36" s="16">
        <f t="shared" si="47"/>
        <v>5241.5024620000004</v>
      </c>
      <c r="I36" s="16">
        <f t="shared" si="47"/>
        <v>4803.2764127600003</v>
      </c>
      <c r="J36" s="16">
        <f t="shared" si="47"/>
        <v>5023.5005881928009</v>
      </c>
      <c r="K36" s="16">
        <f t="shared" si="47"/>
        <v>5254.1377830410847</v>
      </c>
      <c r="L36" s="16">
        <f t="shared" si="47"/>
        <v>5495.6907025949422</v>
      </c>
      <c r="M36" s="16">
        <f t="shared" si="47"/>
        <v>5385.7768885430432</v>
      </c>
      <c r="N36" s="16">
        <f t="shared" si="47"/>
        <v>5633.7129160577761</v>
      </c>
      <c r="O36" s="16">
        <f t="shared" si="47"/>
        <v>5893.4051604408724</v>
      </c>
      <c r="P36" s="16">
        <f t="shared" si="47"/>
        <v>6165.4222150005298</v>
      </c>
      <c r="Q36" s="16">
        <f t="shared" si="47"/>
        <v>6042.11377070052</v>
      </c>
      <c r="R36" s="16">
        <f t="shared" si="47"/>
        <v>5597.2640450084909</v>
      </c>
      <c r="S36" s="16">
        <f t="shared" si="47"/>
        <v>5201.894775789825</v>
      </c>
      <c r="T36" s="16">
        <f t="shared" si="47"/>
        <v>5437.7308228606698</v>
      </c>
      <c r="U36" s="16">
        <f t="shared" si="47"/>
        <v>5328.9762064034567</v>
      </c>
      <c r="V36" s="16">
        <f t="shared" si="47"/>
        <v>5570.9382933028282</v>
      </c>
      <c r="W36" s="16">
        <f t="shared" si="47"/>
        <v>5824.2638828445452</v>
      </c>
      <c r="X36" s="16">
        <f t="shared" si="47"/>
        <v>5707.7786051876537</v>
      </c>
      <c r="Y36" s="16">
        <f t="shared" si="47"/>
        <v>5315.6346858511579</v>
      </c>
      <c r="Z36" s="16">
        <f t="shared" si="47"/>
        <v>4968.3272627820788</v>
      </c>
      <c r="AA36" s="16">
        <f t="shared" si="47"/>
        <v>4587.264557711399</v>
      </c>
      <c r="AB36" s="16">
        <f t="shared" si="47"/>
        <v>4790.1591395671749</v>
      </c>
      <c r="AC36" s="16">
        <f t="shared" si="47"/>
        <v>4694.3559567758311</v>
      </c>
      <c r="AD36" s="16">
        <f t="shared" si="47"/>
        <v>4902.3563033121482</v>
      </c>
      <c r="AE36" s="16">
        <f t="shared" si="47"/>
        <v>4804.3091772459047</v>
      </c>
      <c r="AF36" s="16">
        <f t="shared" si="47"/>
        <v>5017.5560407634821</v>
      </c>
      <c r="AG36" s="16">
        <f t="shared" si="47"/>
        <v>4635.3384057890071</v>
      </c>
      <c r="AH36" s="16">
        <f t="shared" si="47"/>
        <v>4364.2334832938395</v>
      </c>
      <c r="AI36" s="16">
        <f t="shared" si="47"/>
        <v>4126.3216259340506</v>
      </c>
      <c r="AJ36" s="16">
        <f t="shared" si="47"/>
        <v>4303.7577811912106</v>
      </c>
      <c r="AK36" s="16">
        <f t="shared" si="47"/>
        <v>4217.6826255673859</v>
      </c>
      <c r="AL36" s="16">
        <f t="shared" si="47"/>
        <v>4399.4153595014413</v>
      </c>
      <c r="AM36" s="16">
        <f t="shared" si="47"/>
        <v>4589.360188211871</v>
      </c>
    </row>
    <row r="37" spans="2:39" s="12" customFormat="1" ht="21" customHeight="1" x14ac:dyDescent="0.3">
      <c r="B37" s="22" t="s">
        <v>34</v>
      </c>
      <c r="C37" s="10"/>
      <c r="D37" s="14">
        <v>150</v>
      </c>
      <c r="E37" s="14">
        <v>157.5</v>
      </c>
      <c r="F37" s="14">
        <f t="shared" ref="F37:F41" si="48">E37*(0.98)</f>
        <v>154.35</v>
      </c>
      <c r="G37" s="14">
        <v>162.0675</v>
      </c>
      <c r="H37" s="14">
        <v>170.170875</v>
      </c>
      <c r="I37" s="14">
        <f t="shared" ref="I37:I41" si="49">H37*(0.98)</f>
        <v>166.76745750000001</v>
      </c>
      <c r="J37" s="14">
        <v>175.10583037500001</v>
      </c>
      <c r="K37" s="14">
        <v>183.86112189375001</v>
      </c>
      <c r="L37" s="14">
        <v>193.05417798843752</v>
      </c>
      <c r="M37" s="14">
        <f t="shared" ref="M37:M41" si="50">L37*(0.98)</f>
        <v>189.19309442866876</v>
      </c>
      <c r="N37" s="14">
        <v>198.65274915010221</v>
      </c>
      <c r="O37" s="14">
        <v>208.58538660760732</v>
      </c>
      <c r="P37" s="14">
        <v>219.0146559379877</v>
      </c>
      <c r="Q37" s="14">
        <f t="shared" ref="Q37:Q41" si="51">P37*(0.98)</f>
        <v>214.63436281922793</v>
      </c>
      <c r="R37" s="14">
        <v>225.36608096018935</v>
      </c>
      <c r="S37" s="14">
        <v>236.63438500819882</v>
      </c>
      <c r="T37" s="14">
        <v>248.46610425860877</v>
      </c>
      <c r="U37" s="14">
        <f t="shared" ref="U37:U41" si="52">T37*(0.98)</f>
        <v>243.4967821734366</v>
      </c>
      <c r="V37" s="14">
        <v>255.67162128210845</v>
      </c>
      <c r="W37" s="14">
        <v>268.45520234621387</v>
      </c>
      <c r="X37" s="14">
        <f t="shared" ref="X37:X41" si="53">W37*(0.98)</f>
        <v>263.08609829928957</v>
      </c>
      <c r="Y37" s="14">
        <v>276.24040321425406</v>
      </c>
      <c r="Z37" s="14">
        <v>290.05242337496679</v>
      </c>
      <c r="AA37" s="14">
        <f t="shared" ref="AA37:AA41" si="54">Z37*(0.98)</f>
        <v>284.25137490746744</v>
      </c>
      <c r="AB37" s="14">
        <v>298.46394365284084</v>
      </c>
      <c r="AC37" s="14">
        <f t="shared" ref="AC37:AC41" si="55">AB37*(0.98)</f>
        <v>292.49466477978405</v>
      </c>
      <c r="AD37" s="14">
        <v>307.11939801877327</v>
      </c>
      <c r="AE37" s="14">
        <f t="shared" ref="AE37:AE41" si="56">AD37*(0.98)</f>
        <v>300.97701005839781</v>
      </c>
      <c r="AF37" s="14">
        <v>316.0258605613177</v>
      </c>
      <c r="AG37" s="14">
        <f t="shared" ref="AG37:AG41" si="57">AF37*(0.98)</f>
        <v>309.70534335009137</v>
      </c>
      <c r="AH37" s="14">
        <v>325.19061051759593</v>
      </c>
      <c r="AI37" s="14">
        <v>341.45014104347575</v>
      </c>
      <c r="AJ37" s="14">
        <v>358.52264809564957</v>
      </c>
      <c r="AK37" s="14">
        <f t="shared" ref="AK37:AK41" si="58">AJ37*(0.98)</f>
        <v>351.35219513373659</v>
      </c>
      <c r="AL37" s="14">
        <v>368.91980489042345</v>
      </c>
      <c r="AM37" s="14">
        <v>387.36579513494462</v>
      </c>
    </row>
    <row r="38" spans="2:39" s="18" customFormat="1" ht="21" customHeight="1" x14ac:dyDescent="0.3">
      <c r="B38" s="21" t="s">
        <v>35</v>
      </c>
      <c r="C38" s="19"/>
      <c r="D38" s="14">
        <v>0</v>
      </c>
      <c r="E38" s="14">
        <v>0</v>
      </c>
      <c r="F38" s="14">
        <f t="shared" si="48"/>
        <v>0</v>
      </c>
      <c r="G38" s="14">
        <v>0</v>
      </c>
      <c r="H38" s="14">
        <v>0</v>
      </c>
      <c r="I38" s="14">
        <f t="shared" si="49"/>
        <v>0</v>
      </c>
      <c r="J38" s="14">
        <v>0</v>
      </c>
      <c r="K38" s="14">
        <v>0</v>
      </c>
      <c r="L38" s="14">
        <v>0</v>
      </c>
      <c r="M38" s="14">
        <f t="shared" si="50"/>
        <v>0</v>
      </c>
      <c r="N38" s="14">
        <v>0</v>
      </c>
      <c r="O38" s="14">
        <v>0</v>
      </c>
      <c r="P38" s="14">
        <v>0</v>
      </c>
      <c r="Q38" s="14">
        <f t="shared" si="51"/>
        <v>0</v>
      </c>
      <c r="R38" s="14">
        <v>0</v>
      </c>
      <c r="S38" s="14">
        <v>0</v>
      </c>
      <c r="T38" s="14">
        <v>0</v>
      </c>
      <c r="U38" s="14">
        <f t="shared" si="52"/>
        <v>0</v>
      </c>
      <c r="V38" s="14">
        <v>0</v>
      </c>
      <c r="W38" s="14">
        <v>0</v>
      </c>
      <c r="X38" s="14">
        <f t="shared" si="53"/>
        <v>0</v>
      </c>
      <c r="Y38" s="14">
        <v>0</v>
      </c>
      <c r="Z38" s="14">
        <v>0</v>
      </c>
      <c r="AA38" s="14">
        <f t="shared" si="54"/>
        <v>0</v>
      </c>
      <c r="AB38" s="14">
        <v>0</v>
      </c>
      <c r="AC38" s="14">
        <f t="shared" si="55"/>
        <v>0</v>
      </c>
      <c r="AD38" s="14">
        <v>0</v>
      </c>
      <c r="AE38" s="14">
        <f t="shared" si="56"/>
        <v>0</v>
      </c>
      <c r="AF38" s="14">
        <v>0</v>
      </c>
      <c r="AG38" s="14">
        <f t="shared" si="57"/>
        <v>0</v>
      </c>
      <c r="AH38" s="14">
        <v>0</v>
      </c>
      <c r="AI38" s="14">
        <v>0</v>
      </c>
      <c r="AJ38" s="14">
        <v>0</v>
      </c>
      <c r="AK38" s="14">
        <f t="shared" si="58"/>
        <v>0</v>
      </c>
      <c r="AL38" s="14">
        <v>0</v>
      </c>
      <c r="AM38" s="14">
        <v>0</v>
      </c>
    </row>
    <row r="39" spans="2:39" s="12" customFormat="1" ht="21" customHeight="1" x14ac:dyDescent="0.3">
      <c r="B39" s="22" t="s">
        <v>36</v>
      </c>
      <c r="C39" s="10"/>
      <c r="D39" s="14">
        <v>1000</v>
      </c>
      <c r="E39" s="14">
        <v>1030</v>
      </c>
      <c r="F39" s="14">
        <f t="shared" si="48"/>
        <v>1009.4</v>
      </c>
      <c r="G39" s="14">
        <v>1039.682</v>
      </c>
      <c r="H39" s="14">
        <v>1070.87246</v>
      </c>
      <c r="I39" s="14">
        <f t="shared" si="49"/>
        <v>1049.4550108000001</v>
      </c>
      <c r="J39" s="14">
        <v>1080.9386611240002</v>
      </c>
      <c r="K39" s="14">
        <v>1113.3668209577202</v>
      </c>
      <c r="L39" s="14">
        <v>1146.7678255864519</v>
      </c>
      <c r="M39" s="14">
        <f t="shared" si="50"/>
        <v>1123.8324690747229</v>
      </c>
      <c r="N39" s="14">
        <v>1157.5474431469647</v>
      </c>
      <c r="O39" s="14">
        <v>1192.2738664413737</v>
      </c>
      <c r="P39" s="14">
        <v>1228.0420824346149</v>
      </c>
      <c r="Q39" s="14">
        <f t="shared" si="51"/>
        <v>1203.4812407859226</v>
      </c>
      <c r="R39" s="14">
        <v>1239.5856780095003</v>
      </c>
      <c r="S39" s="14">
        <v>1276.7732483497853</v>
      </c>
      <c r="T39" s="14">
        <v>1315.0764458002789</v>
      </c>
      <c r="U39" s="14">
        <f t="shared" si="52"/>
        <v>1288.7749168842734</v>
      </c>
      <c r="V39" s="14">
        <v>1327.4381643908016</v>
      </c>
      <c r="W39" s="14">
        <v>1367.2613093225257</v>
      </c>
      <c r="X39" s="14">
        <f t="shared" si="53"/>
        <v>1339.916083136075</v>
      </c>
      <c r="Y39" s="14">
        <v>1380.1135656301574</v>
      </c>
      <c r="Z39" s="14">
        <v>1421.5169725990622</v>
      </c>
      <c r="AA39" s="14">
        <f t="shared" si="54"/>
        <v>1393.0866331470809</v>
      </c>
      <c r="AB39" s="14">
        <v>1434.8792321414933</v>
      </c>
      <c r="AC39" s="14">
        <f t="shared" si="55"/>
        <v>1406.1816474986633</v>
      </c>
      <c r="AD39" s="14">
        <v>1448.3670969236232</v>
      </c>
      <c r="AE39" s="14">
        <f t="shared" si="56"/>
        <v>1419.3997549851506</v>
      </c>
      <c r="AF39" s="14">
        <v>1461.9817476347052</v>
      </c>
      <c r="AG39" s="14">
        <f t="shared" si="57"/>
        <v>1432.7421126820111</v>
      </c>
      <c r="AH39" s="14">
        <v>1475.7243760624715</v>
      </c>
      <c r="AI39" s="14">
        <v>1519.9961073443458</v>
      </c>
      <c r="AJ39" s="14">
        <v>1565.5959905646762</v>
      </c>
      <c r="AK39" s="14">
        <f t="shared" si="58"/>
        <v>1534.2840707533826</v>
      </c>
      <c r="AL39" s="14">
        <v>1580.3125928759841</v>
      </c>
      <c r="AM39" s="14">
        <v>1627.7219706622636</v>
      </c>
    </row>
    <row r="40" spans="2:39" s="12" customFormat="1" ht="21" customHeight="1" x14ac:dyDescent="0.3">
      <c r="B40" s="22" t="s">
        <v>37</v>
      </c>
      <c r="C40" s="10"/>
      <c r="D40" s="14">
        <v>400</v>
      </c>
      <c r="E40" s="14">
        <v>420</v>
      </c>
      <c r="F40" s="14">
        <f t="shared" si="48"/>
        <v>411.59999999999997</v>
      </c>
      <c r="G40" s="14">
        <v>432.18</v>
      </c>
      <c r="H40" s="14">
        <v>453.78900000000004</v>
      </c>
      <c r="I40" s="14">
        <f t="shared" si="49"/>
        <v>444.71322000000004</v>
      </c>
      <c r="J40" s="14">
        <v>466.94888100000003</v>
      </c>
      <c r="K40" s="14">
        <v>490.29632505000006</v>
      </c>
      <c r="L40" s="14">
        <v>514.81114130250012</v>
      </c>
      <c r="M40" s="14">
        <f t="shared" si="50"/>
        <v>504.51491847645013</v>
      </c>
      <c r="N40" s="14">
        <v>529.74066440027264</v>
      </c>
      <c r="O40" s="14">
        <v>556.22769762028634</v>
      </c>
      <c r="P40" s="14">
        <v>584.03908250130064</v>
      </c>
      <c r="Q40" s="14">
        <f t="shared" si="51"/>
        <v>572.35830085127463</v>
      </c>
      <c r="R40" s="14">
        <v>600.97621589383834</v>
      </c>
      <c r="S40" s="14">
        <v>631.02502668853026</v>
      </c>
      <c r="T40" s="14">
        <v>662.57627802295679</v>
      </c>
      <c r="U40" s="14">
        <f t="shared" si="52"/>
        <v>649.3247524624976</v>
      </c>
      <c r="V40" s="14">
        <v>681.79099008562252</v>
      </c>
      <c r="W40" s="14">
        <v>715.88053958990372</v>
      </c>
      <c r="X40" s="14">
        <f t="shared" si="53"/>
        <v>701.56292879810565</v>
      </c>
      <c r="Y40" s="14">
        <v>736.64107523801101</v>
      </c>
      <c r="Z40" s="14">
        <v>773.47312899991164</v>
      </c>
      <c r="AA40" s="14">
        <f t="shared" si="54"/>
        <v>758.00366641991343</v>
      </c>
      <c r="AB40" s="14">
        <v>795.9038497409091</v>
      </c>
      <c r="AC40" s="14">
        <f t="shared" si="55"/>
        <v>779.9857727460909</v>
      </c>
      <c r="AD40" s="14">
        <v>818.98506138339553</v>
      </c>
      <c r="AE40" s="14">
        <f t="shared" si="56"/>
        <v>802.60536015572757</v>
      </c>
      <c r="AF40" s="14">
        <v>842.73562816351398</v>
      </c>
      <c r="AG40" s="14">
        <f t="shared" si="57"/>
        <v>825.88091560024372</v>
      </c>
      <c r="AH40" s="14">
        <v>867.17496138025592</v>
      </c>
      <c r="AI40" s="14">
        <v>910.53370944926871</v>
      </c>
      <c r="AJ40" s="14">
        <v>956.06039492173215</v>
      </c>
      <c r="AK40" s="14">
        <f t="shared" si="58"/>
        <v>936.93918702329745</v>
      </c>
      <c r="AL40" s="14">
        <v>983.78614637446242</v>
      </c>
      <c r="AM40" s="14">
        <v>1032.9754536931855</v>
      </c>
    </row>
    <row r="41" spans="2:39" s="12" customFormat="1" ht="21" customHeight="1" x14ac:dyDescent="0.3">
      <c r="B41" s="22" t="s">
        <v>38</v>
      </c>
      <c r="C41" s="10"/>
      <c r="D41" s="14">
        <v>300</v>
      </c>
      <c r="E41" s="14">
        <v>309</v>
      </c>
      <c r="F41" s="14">
        <f t="shared" si="48"/>
        <v>302.82</v>
      </c>
      <c r="G41" s="14">
        <v>311.90460000000002</v>
      </c>
      <c r="H41" s="14">
        <v>321.26173800000004</v>
      </c>
      <c r="I41" s="14">
        <f t="shared" si="49"/>
        <v>314.83650324000001</v>
      </c>
      <c r="J41" s="14">
        <v>324.28159833720002</v>
      </c>
      <c r="K41" s="14">
        <v>334.01004628731602</v>
      </c>
      <c r="L41" s="14">
        <v>344.0303476759355</v>
      </c>
      <c r="M41" s="14">
        <f t="shared" si="50"/>
        <v>337.14974072241677</v>
      </c>
      <c r="N41" s="14">
        <v>347.26423294408926</v>
      </c>
      <c r="O41" s="14">
        <v>357.68215993241193</v>
      </c>
      <c r="P41" s="14">
        <v>368.41262473038432</v>
      </c>
      <c r="Q41" s="14">
        <f t="shared" si="51"/>
        <v>361.04437223577662</v>
      </c>
      <c r="R41" s="14">
        <v>371.87570340284992</v>
      </c>
      <c r="S41" s="14">
        <v>383.03197450493542</v>
      </c>
      <c r="T41" s="14">
        <v>394.52293374008349</v>
      </c>
      <c r="U41" s="14">
        <f t="shared" si="52"/>
        <v>386.63247506528182</v>
      </c>
      <c r="V41" s="14">
        <v>398.23144931724028</v>
      </c>
      <c r="W41" s="14">
        <v>410.17839279675752</v>
      </c>
      <c r="X41" s="14">
        <f t="shared" si="53"/>
        <v>401.97482494082237</v>
      </c>
      <c r="Y41" s="14">
        <v>414.03406968904704</v>
      </c>
      <c r="Z41" s="14">
        <v>426.45509177971849</v>
      </c>
      <c r="AA41" s="14">
        <f t="shared" si="54"/>
        <v>417.92598994412413</v>
      </c>
      <c r="AB41" s="14">
        <v>430.46376964244786</v>
      </c>
      <c r="AC41" s="14">
        <f t="shared" si="55"/>
        <v>421.85449424959887</v>
      </c>
      <c r="AD41" s="14">
        <v>434.51012907708684</v>
      </c>
      <c r="AE41" s="14">
        <f t="shared" si="56"/>
        <v>425.81992649554508</v>
      </c>
      <c r="AF41" s="14">
        <v>438.59452429041141</v>
      </c>
      <c r="AG41" s="14">
        <f t="shared" si="57"/>
        <v>429.82263380460319</v>
      </c>
      <c r="AH41" s="14">
        <v>442.71731281874128</v>
      </c>
      <c r="AI41" s="14">
        <v>455.99883220330355</v>
      </c>
      <c r="AJ41" s="14">
        <v>469.67879716940269</v>
      </c>
      <c r="AK41" s="14">
        <f t="shared" si="58"/>
        <v>460.28522122601464</v>
      </c>
      <c r="AL41" s="14">
        <v>474.09377786279509</v>
      </c>
      <c r="AM41" s="14">
        <v>488.31659119867896</v>
      </c>
    </row>
    <row r="42" spans="2:39" s="8" customFormat="1" ht="21" customHeight="1" x14ac:dyDescent="0.3">
      <c r="B42" s="23" t="s">
        <v>39</v>
      </c>
      <c r="C42" s="10"/>
      <c r="D42" s="24">
        <f t="shared" ref="D42" si="59">SUM(D41, D40, D39 + D38)</f>
        <v>1700</v>
      </c>
      <c r="E42" s="24">
        <v>1700</v>
      </c>
      <c r="F42" s="24">
        <v>1700</v>
      </c>
      <c r="G42" s="24">
        <v>1700</v>
      </c>
      <c r="H42" s="24">
        <v>1700</v>
      </c>
      <c r="I42" s="24">
        <v>1700</v>
      </c>
      <c r="J42" s="24">
        <v>1700</v>
      </c>
      <c r="K42" s="24">
        <v>1700</v>
      </c>
      <c r="L42" s="24">
        <v>1700</v>
      </c>
      <c r="M42" s="24">
        <v>1700</v>
      </c>
      <c r="N42" s="24">
        <v>1700</v>
      </c>
      <c r="O42" s="24">
        <v>1700</v>
      </c>
      <c r="P42" s="24">
        <v>1700</v>
      </c>
      <c r="Q42" s="24">
        <v>1700</v>
      </c>
      <c r="R42" s="24">
        <v>1700</v>
      </c>
      <c r="S42" s="24">
        <v>1700</v>
      </c>
      <c r="T42" s="24">
        <v>1700</v>
      </c>
      <c r="U42" s="24">
        <v>1700</v>
      </c>
      <c r="V42" s="24">
        <v>1700</v>
      </c>
      <c r="W42" s="24">
        <v>1700</v>
      </c>
      <c r="X42" s="24">
        <v>1700</v>
      </c>
      <c r="Y42" s="24">
        <v>1700</v>
      </c>
      <c r="Z42" s="24">
        <v>1700</v>
      </c>
      <c r="AA42" s="24">
        <v>1700</v>
      </c>
      <c r="AB42" s="24">
        <v>1700</v>
      </c>
      <c r="AC42" s="24">
        <v>1700</v>
      </c>
      <c r="AD42" s="24">
        <v>1700</v>
      </c>
      <c r="AE42" s="24">
        <v>1700</v>
      </c>
      <c r="AF42" s="24">
        <v>1700</v>
      </c>
      <c r="AG42" s="24">
        <v>1700</v>
      </c>
      <c r="AH42" s="24">
        <v>1700</v>
      </c>
      <c r="AI42" s="24">
        <v>1700</v>
      </c>
      <c r="AJ42" s="24">
        <v>1700</v>
      </c>
      <c r="AK42" s="24">
        <v>1700</v>
      </c>
      <c r="AL42" s="24">
        <v>1700</v>
      </c>
      <c r="AM42" s="24">
        <v>1700</v>
      </c>
    </row>
    <row r="43" spans="2:39" s="12" customFormat="1" ht="21" customHeight="1" x14ac:dyDescent="0.3">
      <c r="B43" s="15" t="s">
        <v>40</v>
      </c>
      <c r="C43" s="10"/>
      <c r="D43" s="16">
        <f t="shared" ref="D43:AM43" si="60">SUM(D41, D40, D39, D38, D37, D35, D34, D33, D32, D31, D30, D28, D27, D26, D25, D24, D22, D21, D20, D19, D18, D17, D16, D15, D14 + D13)</f>
        <v>25100</v>
      </c>
      <c r="E43" s="16">
        <f t="shared" si="60"/>
        <v>26061</v>
      </c>
      <c r="F43" s="16">
        <f t="shared" si="60"/>
        <v>25456.58</v>
      </c>
      <c r="G43" s="16">
        <f t="shared" si="60"/>
        <v>25661.923399999996</v>
      </c>
      <c r="H43" s="16">
        <f t="shared" si="60"/>
        <v>25946.043182000001</v>
      </c>
      <c r="I43" s="16">
        <f t="shared" si="60"/>
        <v>25093.726318359997</v>
      </c>
      <c r="J43" s="16">
        <f t="shared" si="60"/>
        <v>26041.354236158801</v>
      </c>
      <c r="K43" s="16">
        <f t="shared" si="60"/>
        <v>27027.358340148126</v>
      </c>
      <c r="L43" s="16">
        <f t="shared" si="60"/>
        <v>28053.389429931303</v>
      </c>
      <c r="M43" s="16">
        <f t="shared" si="60"/>
        <v>27492.321641332677</v>
      </c>
      <c r="N43" s="16">
        <f t="shared" si="60"/>
        <v>28538.749312994703</v>
      </c>
      <c r="O43" s="16">
        <f t="shared" si="60"/>
        <v>29627.861327330924</v>
      </c>
      <c r="P43" s="16">
        <f t="shared" si="60"/>
        <v>30761.504775093552</v>
      </c>
      <c r="Q43" s="16">
        <f t="shared" si="60"/>
        <v>30146.274679591683</v>
      </c>
      <c r="R43" s="16">
        <f t="shared" si="60"/>
        <v>30578.688960530821</v>
      </c>
      <c r="S43" s="16">
        <f t="shared" si="60"/>
        <v>31094.818706838309</v>
      </c>
      <c r="T43" s="16">
        <f t="shared" si="60"/>
        <v>32277.813474329076</v>
      </c>
      <c r="U43" s="16">
        <f t="shared" si="60"/>
        <v>31632.257204842503</v>
      </c>
      <c r="V43" s="16">
        <f t="shared" si="60"/>
        <v>32838.838861917873</v>
      </c>
      <c r="W43" s="16">
        <f t="shared" si="60"/>
        <v>34094.709676089311</v>
      </c>
      <c r="X43" s="16">
        <f t="shared" si="60"/>
        <v>33412.815482567516</v>
      </c>
      <c r="Y43" s="16">
        <f t="shared" si="60"/>
        <v>34041.889936105064</v>
      </c>
      <c r="Z43" s="16">
        <f t="shared" si="60"/>
        <v>34756.150578634661</v>
      </c>
      <c r="AA43" s="16">
        <f t="shared" si="60"/>
        <v>33779.331407246929</v>
      </c>
      <c r="AB43" s="16">
        <f t="shared" si="60"/>
        <v>35063.768967627715</v>
      </c>
      <c r="AC43" s="16">
        <f t="shared" si="60"/>
        <v>33960.727403275538</v>
      </c>
      <c r="AD43" s="16">
        <f t="shared" si="60"/>
        <v>34671.088505040861</v>
      </c>
      <c r="AE43" s="16">
        <f t="shared" si="60"/>
        <v>33652.236125090356</v>
      </c>
      <c r="AF43" s="16">
        <f t="shared" si="60"/>
        <v>34473.278900889258</v>
      </c>
      <c r="AG43" s="16">
        <f t="shared" si="60"/>
        <v>33501.946808712259</v>
      </c>
      <c r="AH43" s="16">
        <f t="shared" si="60"/>
        <v>34321.669302360104</v>
      </c>
      <c r="AI43" s="16">
        <f t="shared" si="60"/>
        <v>35218.750145797829</v>
      </c>
      <c r="AJ43" s="16">
        <f t="shared" si="60"/>
        <v>36577.242086389095</v>
      </c>
      <c r="AK43" s="16">
        <f t="shared" si="60"/>
        <v>35563.416555700787</v>
      </c>
      <c r="AL43" s="16">
        <f t="shared" si="60"/>
        <v>36528.365454354331</v>
      </c>
      <c r="AM43" s="16">
        <f t="shared" si="60"/>
        <v>37579.287564866398</v>
      </c>
    </row>
    <row r="44" spans="2:39" s="18" customFormat="1" ht="21" customHeight="1" x14ac:dyDescent="0.3">
      <c r="B44" s="15" t="s">
        <v>41</v>
      </c>
      <c r="C44" s="19"/>
      <c r="D44" s="20">
        <f t="shared" ref="D44:AM44" si="61">D12-D43</f>
        <v>49650</v>
      </c>
      <c r="E44" s="20">
        <f t="shared" si="61"/>
        <v>45764</v>
      </c>
      <c r="F44" s="20">
        <f t="shared" si="61"/>
        <v>60163.520000000004</v>
      </c>
      <c r="G44" s="20">
        <f t="shared" si="61"/>
        <v>49127.655599999998</v>
      </c>
      <c r="H44" s="20">
        <f t="shared" si="61"/>
        <v>53543.996617999997</v>
      </c>
      <c r="I44" s="20">
        <f t="shared" si="61"/>
        <v>63952.420765739997</v>
      </c>
      <c r="J44" s="20">
        <f t="shared" si="61"/>
        <v>57176.063420832201</v>
      </c>
      <c r="K44" s="20">
        <f t="shared" si="61"/>
        <v>62880.954573975323</v>
      </c>
      <c r="L44" s="20">
        <f t="shared" si="61"/>
        <v>59227.879586297837</v>
      </c>
      <c r="M44" s="20">
        <f t="shared" si="61"/>
        <v>60190.31405794833</v>
      </c>
      <c r="N44" s="20">
        <f t="shared" si="61"/>
        <v>62855.574043051143</v>
      </c>
      <c r="O44" s="20">
        <f t="shared" si="61"/>
        <v>65473.126639685557</v>
      </c>
      <c r="P44" s="20">
        <f t="shared" si="61"/>
        <v>67142.583288576512</v>
      </c>
      <c r="Q44" s="20">
        <f t="shared" si="61"/>
        <v>63709.375619446837</v>
      </c>
      <c r="R44" s="20">
        <f t="shared" si="61"/>
        <v>64830.905530169141</v>
      </c>
      <c r="S44" s="20">
        <f t="shared" si="61"/>
        <v>55569.94017132213</v>
      </c>
      <c r="T44" s="20">
        <f t="shared" si="61"/>
        <v>59487.355118694919</v>
      </c>
      <c r="U44" s="20">
        <f t="shared" si="61"/>
        <v>60499.398293535007</v>
      </c>
      <c r="V44" s="20">
        <f t="shared" si="61"/>
        <v>69094.026498217267</v>
      </c>
      <c r="W44" s="20">
        <f t="shared" si="61"/>
        <v>54231.559374568482</v>
      </c>
      <c r="X44" s="20">
        <f t="shared" si="61"/>
        <v>62121.774097518442</v>
      </c>
      <c r="Y44" s="20">
        <f t="shared" si="61"/>
        <v>67693.866720354417</v>
      </c>
      <c r="Z44" s="20">
        <f t="shared" si="61"/>
        <v>60418.317184223</v>
      </c>
      <c r="AA44" s="20">
        <f t="shared" si="61"/>
        <v>67771.055428012944</v>
      </c>
      <c r="AB44" s="20">
        <f t="shared" si="61"/>
        <v>65517.921870459839</v>
      </c>
      <c r="AC44" s="20">
        <f t="shared" si="61"/>
        <v>59706.462437921058</v>
      </c>
      <c r="AD44" s="20">
        <f t="shared" si="61"/>
        <v>64129.601887935634</v>
      </c>
      <c r="AE44" s="20">
        <f t="shared" si="61"/>
        <v>53667.239517480812</v>
      </c>
      <c r="AF44" s="20">
        <f t="shared" si="61"/>
        <v>49800.537661181021</v>
      </c>
      <c r="AG44" s="20">
        <f t="shared" si="61"/>
        <v>63392.338223596591</v>
      </c>
      <c r="AH44" s="20">
        <f t="shared" si="61"/>
        <v>55878.75015180451</v>
      </c>
      <c r="AI44" s="20">
        <f t="shared" si="61"/>
        <v>63335.776253632641</v>
      </c>
      <c r="AJ44" s="20">
        <f t="shared" si="61"/>
        <v>65928.690428649163</v>
      </c>
      <c r="AK44" s="20">
        <f t="shared" si="61"/>
        <v>61424.65410082513</v>
      </c>
      <c r="AL44" s="20">
        <f t="shared" si="61"/>
        <v>75668.289924240467</v>
      </c>
      <c r="AM44" s="20">
        <f t="shared" si="61"/>
        <v>77267.958504403738</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AM47" si="62">SUM(D46 + D45)</f>
        <v>0</v>
      </c>
      <c r="E47" s="16">
        <f t="shared" si="62"/>
        <v>0</v>
      </c>
      <c r="F47" s="16">
        <f t="shared" si="62"/>
        <v>0</v>
      </c>
      <c r="G47" s="16">
        <f t="shared" si="62"/>
        <v>0</v>
      </c>
      <c r="H47" s="16">
        <f t="shared" si="62"/>
        <v>0</v>
      </c>
      <c r="I47" s="16">
        <f t="shared" si="62"/>
        <v>0</v>
      </c>
      <c r="J47" s="16">
        <f t="shared" si="62"/>
        <v>0</v>
      </c>
      <c r="K47" s="16">
        <f t="shared" si="62"/>
        <v>0</v>
      </c>
      <c r="L47" s="16">
        <f t="shared" si="62"/>
        <v>0</v>
      </c>
      <c r="M47" s="16">
        <f t="shared" si="62"/>
        <v>0</v>
      </c>
      <c r="N47" s="16">
        <f t="shared" si="62"/>
        <v>0</v>
      </c>
      <c r="O47" s="16">
        <f t="shared" si="62"/>
        <v>0</v>
      </c>
      <c r="P47" s="16">
        <f t="shared" si="62"/>
        <v>0</v>
      </c>
      <c r="Q47" s="16">
        <f t="shared" si="62"/>
        <v>0</v>
      </c>
      <c r="R47" s="16">
        <f t="shared" si="62"/>
        <v>0</v>
      </c>
      <c r="S47" s="16">
        <f t="shared" si="62"/>
        <v>0</v>
      </c>
      <c r="T47" s="16">
        <f t="shared" si="62"/>
        <v>0</v>
      </c>
      <c r="U47" s="16">
        <f t="shared" si="62"/>
        <v>0</v>
      </c>
      <c r="V47" s="16">
        <f t="shared" si="62"/>
        <v>0</v>
      </c>
      <c r="W47" s="16">
        <f t="shared" si="62"/>
        <v>0</v>
      </c>
      <c r="X47" s="16">
        <f t="shared" si="62"/>
        <v>0</v>
      </c>
      <c r="Y47" s="16">
        <f t="shared" si="62"/>
        <v>0</v>
      </c>
      <c r="Z47" s="16">
        <f t="shared" si="62"/>
        <v>0</v>
      </c>
      <c r="AA47" s="16">
        <f t="shared" si="62"/>
        <v>0</v>
      </c>
      <c r="AB47" s="16">
        <f t="shared" si="62"/>
        <v>0</v>
      </c>
      <c r="AC47" s="16">
        <f t="shared" si="62"/>
        <v>0</v>
      </c>
      <c r="AD47" s="16">
        <f t="shared" si="62"/>
        <v>0</v>
      </c>
      <c r="AE47" s="16">
        <f t="shared" si="62"/>
        <v>0</v>
      </c>
      <c r="AF47" s="16">
        <f t="shared" si="62"/>
        <v>0</v>
      </c>
      <c r="AG47" s="16">
        <f t="shared" si="62"/>
        <v>0</v>
      </c>
      <c r="AH47" s="16">
        <f t="shared" si="62"/>
        <v>0</v>
      </c>
      <c r="AI47" s="16">
        <f t="shared" si="62"/>
        <v>0</v>
      </c>
      <c r="AJ47" s="16">
        <f t="shared" si="62"/>
        <v>0</v>
      </c>
      <c r="AK47" s="16">
        <f t="shared" si="62"/>
        <v>0</v>
      </c>
      <c r="AL47" s="16">
        <f t="shared" si="62"/>
        <v>0</v>
      </c>
      <c r="AM47" s="16">
        <f t="shared" si="62"/>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69.444444444444443</v>
      </c>
      <c r="E49" s="14">
        <v>76.3888888888889</v>
      </c>
      <c r="F49" s="14">
        <v>84.0277777777778</v>
      </c>
      <c r="G49" s="14">
        <v>92.430555555555586</v>
      </c>
      <c r="H49" s="14">
        <v>101.67361111111116</v>
      </c>
      <c r="I49" s="14">
        <v>111.84097222222228</v>
      </c>
      <c r="J49" s="14">
        <v>123.02506944444451</v>
      </c>
      <c r="K49" s="14">
        <v>135.32757638888899</v>
      </c>
      <c r="L49" s="14">
        <v>148.8603340277779</v>
      </c>
      <c r="M49" s="14">
        <v>163.74636743055569</v>
      </c>
      <c r="N49" s="14">
        <v>180.12100417361128</v>
      </c>
      <c r="O49" s="14">
        <v>198.13310459097244</v>
      </c>
      <c r="P49" s="14">
        <v>217.9464150500697</v>
      </c>
      <c r="Q49" s="14">
        <v>239.74105655507668</v>
      </c>
      <c r="R49" s="14">
        <v>263.71516221058437</v>
      </c>
      <c r="S49" s="14">
        <v>290.08667843164284</v>
      </c>
      <c r="T49" s="14">
        <v>319.09534627480713</v>
      </c>
      <c r="U49" s="14">
        <v>351.00488090228788</v>
      </c>
      <c r="V49" s="14">
        <v>386.10536899251667</v>
      </c>
      <c r="W49" s="14">
        <v>424.71590589176839</v>
      </c>
      <c r="X49" s="14">
        <v>467.18749648094524</v>
      </c>
      <c r="Y49" s="14">
        <v>513.9062461290398</v>
      </c>
      <c r="Z49" s="14">
        <v>565.29687074194385</v>
      </c>
      <c r="AA49" s="14">
        <v>621.82655781613823</v>
      </c>
      <c r="AB49" s="14">
        <v>684.00921359775214</v>
      </c>
      <c r="AC49" s="14">
        <v>752.41013495752736</v>
      </c>
      <c r="AD49" s="14">
        <v>827.65114845328014</v>
      </c>
      <c r="AE49" s="14">
        <v>910.41626329860821</v>
      </c>
      <c r="AF49" s="14">
        <v>1001.4578896284692</v>
      </c>
      <c r="AG49" s="14">
        <v>1101.6036785913161</v>
      </c>
      <c r="AH49" s="14">
        <v>1211.7640464504477</v>
      </c>
      <c r="AI49" s="14">
        <v>1332.9404510954926</v>
      </c>
      <c r="AJ49" s="14">
        <v>1466.234496205042</v>
      </c>
      <c r="AK49" s="14">
        <v>1612.8579458255463</v>
      </c>
      <c r="AL49" s="14">
        <v>1774.1437404081009</v>
      </c>
      <c r="AM49" s="14">
        <v>1951.5581144489113</v>
      </c>
    </row>
    <row r="50" spans="2:39" s="12" customFormat="1" ht="21" customHeight="1" x14ac:dyDescent="0.3">
      <c r="B50" s="13" t="s">
        <v>47</v>
      </c>
      <c r="C50" s="10"/>
      <c r="D50" s="14">
        <v>2500</v>
      </c>
      <c r="E50" s="14">
        <v>2750</v>
      </c>
      <c r="F50" s="14">
        <v>3025.0000000000005</v>
      </c>
      <c r="G50" s="14">
        <v>3327.5000000000009</v>
      </c>
      <c r="H50" s="14">
        <v>3660.2500000000014</v>
      </c>
      <c r="I50" s="14">
        <v>4026.2750000000019</v>
      </c>
      <c r="J50" s="14">
        <v>4428.9025000000029</v>
      </c>
      <c r="K50" s="14">
        <v>4871.7927500000033</v>
      </c>
      <c r="L50" s="14">
        <v>5358.9720250000037</v>
      </c>
      <c r="M50" s="14">
        <v>5894.8692275000049</v>
      </c>
      <c r="N50" s="14">
        <v>6484.3561502500061</v>
      </c>
      <c r="O50" s="14">
        <v>7132.7917652750075</v>
      </c>
      <c r="P50" s="14">
        <v>7846.070941802509</v>
      </c>
      <c r="Q50" s="14">
        <v>8630.6780359827608</v>
      </c>
      <c r="R50" s="14">
        <v>9493.7458395810372</v>
      </c>
      <c r="S50" s="14">
        <v>10443.120423539141</v>
      </c>
      <c r="T50" s="14">
        <v>11487.432465893056</v>
      </c>
      <c r="U50" s="14">
        <v>12636.175712482363</v>
      </c>
      <c r="V50" s="14">
        <v>13899.793283730602</v>
      </c>
      <c r="W50" s="14">
        <v>15289.772612103663</v>
      </c>
      <c r="X50" s="14">
        <v>16818.749873314031</v>
      </c>
      <c r="Y50" s="14">
        <v>18500.624860645436</v>
      </c>
      <c r="Z50" s="14">
        <v>20350.687346709979</v>
      </c>
      <c r="AA50" s="14">
        <v>22385.75608138098</v>
      </c>
      <c r="AB50" s="14">
        <v>24624.33168951908</v>
      </c>
      <c r="AC50" s="14">
        <v>27086.76485847099</v>
      </c>
      <c r="AD50" s="14">
        <v>29795.441344318089</v>
      </c>
      <c r="AE50" s="14">
        <v>32774.985478749899</v>
      </c>
      <c r="AF50" s="14">
        <v>36052.484026624894</v>
      </c>
      <c r="AG50" s="14">
        <v>39657.732429287389</v>
      </c>
      <c r="AH50" s="14">
        <v>43623.505672216132</v>
      </c>
      <c r="AI50" s="14">
        <v>47985.856239437751</v>
      </c>
      <c r="AJ50" s="14">
        <v>52784.441863381529</v>
      </c>
      <c r="AK50" s="14">
        <v>58062.886049719687</v>
      </c>
      <c r="AL50" s="14">
        <v>63869.174654691662</v>
      </c>
      <c r="AM50" s="14">
        <v>70256.092120160829</v>
      </c>
    </row>
    <row r="51" spans="2:39" s="12" customFormat="1" ht="21" customHeight="1" x14ac:dyDescent="0.3">
      <c r="B51" s="15" t="s">
        <v>48</v>
      </c>
      <c r="C51" s="10"/>
      <c r="D51" s="16">
        <f t="shared" ref="D51:AM51" si="63">SUM(D50, D49 + D48)</f>
        <v>2569.4444444444443</v>
      </c>
      <c r="E51" s="16">
        <f t="shared" si="63"/>
        <v>2826.3888888888887</v>
      </c>
      <c r="F51" s="16">
        <f t="shared" si="63"/>
        <v>3109.0277777777783</v>
      </c>
      <c r="G51" s="16">
        <f t="shared" si="63"/>
        <v>3419.9305555555566</v>
      </c>
      <c r="H51" s="16">
        <f t="shared" si="63"/>
        <v>3761.9236111111127</v>
      </c>
      <c r="I51" s="16">
        <f t="shared" si="63"/>
        <v>4138.1159722222246</v>
      </c>
      <c r="J51" s="16">
        <f t="shared" si="63"/>
        <v>4551.9275694444477</v>
      </c>
      <c r="K51" s="16">
        <f t="shared" si="63"/>
        <v>5007.120326388892</v>
      </c>
      <c r="L51" s="16">
        <f t="shared" si="63"/>
        <v>5507.8323590277814</v>
      </c>
      <c r="M51" s="16">
        <f t="shared" si="63"/>
        <v>6058.6155949305603</v>
      </c>
      <c r="N51" s="16">
        <f t="shared" si="63"/>
        <v>6664.4771544236173</v>
      </c>
      <c r="O51" s="16">
        <f t="shared" si="63"/>
        <v>7330.9248698659803</v>
      </c>
      <c r="P51" s="16">
        <f t="shared" si="63"/>
        <v>8064.0173568525788</v>
      </c>
      <c r="Q51" s="16">
        <f t="shared" si="63"/>
        <v>8870.4190925378371</v>
      </c>
      <c r="R51" s="16">
        <f t="shared" si="63"/>
        <v>9757.461001791622</v>
      </c>
      <c r="S51" s="16">
        <f t="shared" si="63"/>
        <v>10733.207101970784</v>
      </c>
      <c r="T51" s="16">
        <f t="shared" si="63"/>
        <v>11806.527812167864</v>
      </c>
      <c r="U51" s="16">
        <f t="shared" si="63"/>
        <v>12987.180593384652</v>
      </c>
      <c r="V51" s="16">
        <f t="shared" si="63"/>
        <v>14285.898652723119</v>
      </c>
      <c r="W51" s="16">
        <f t="shared" si="63"/>
        <v>15714.488517995431</v>
      </c>
      <c r="X51" s="16">
        <f t="shared" si="63"/>
        <v>17285.937369794978</v>
      </c>
      <c r="Y51" s="16">
        <f t="shared" si="63"/>
        <v>19014.531106774477</v>
      </c>
      <c r="Z51" s="16">
        <f t="shared" si="63"/>
        <v>20915.984217451922</v>
      </c>
      <c r="AA51" s="16">
        <f t="shared" si="63"/>
        <v>23007.582639197117</v>
      </c>
      <c r="AB51" s="16">
        <f t="shared" si="63"/>
        <v>25308.340903116834</v>
      </c>
      <c r="AC51" s="16">
        <f t="shared" si="63"/>
        <v>27839.174993428518</v>
      </c>
      <c r="AD51" s="16">
        <f t="shared" si="63"/>
        <v>30623.092492771368</v>
      </c>
      <c r="AE51" s="16">
        <f t="shared" si="63"/>
        <v>33685.401742048511</v>
      </c>
      <c r="AF51" s="16">
        <f t="shared" si="63"/>
        <v>37053.94191625336</v>
      </c>
      <c r="AG51" s="16">
        <f t="shared" si="63"/>
        <v>40759.336107878706</v>
      </c>
      <c r="AH51" s="16">
        <f t="shared" si="63"/>
        <v>44835.269718666583</v>
      </c>
      <c r="AI51" s="16">
        <f t="shared" si="63"/>
        <v>49318.796690533243</v>
      </c>
      <c r="AJ51" s="16">
        <f t="shared" si="63"/>
        <v>54250.67635958657</v>
      </c>
      <c r="AK51" s="16">
        <f t="shared" si="63"/>
        <v>59675.743995545236</v>
      </c>
      <c r="AL51" s="16">
        <f t="shared" si="63"/>
        <v>65643.318395099763</v>
      </c>
      <c r="AM51" s="16">
        <f t="shared" si="63"/>
        <v>72207.65023460974</v>
      </c>
    </row>
    <row r="52" spans="2:39" s="18" customFormat="1" ht="21" customHeight="1" x14ac:dyDescent="0.3">
      <c r="B52" s="15" t="s">
        <v>49</v>
      </c>
      <c r="C52" s="19"/>
      <c r="D52" s="20">
        <f t="shared" ref="D52:AM52" si="64">D47-D51</f>
        <v>-2569.4444444444443</v>
      </c>
      <c r="E52" s="20">
        <f t="shared" si="64"/>
        <v>-2826.3888888888887</v>
      </c>
      <c r="F52" s="20">
        <f t="shared" si="64"/>
        <v>-3109.0277777777783</v>
      </c>
      <c r="G52" s="20">
        <f t="shared" si="64"/>
        <v>-3419.9305555555566</v>
      </c>
      <c r="H52" s="20">
        <f t="shared" si="64"/>
        <v>-3761.9236111111127</v>
      </c>
      <c r="I52" s="20">
        <f t="shared" si="64"/>
        <v>-4138.1159722222246</v>
      </c>
      <c r="J52" s="20">
        <f t="shared" si="64"/>
        <v>-4551.9275694444477</v>
      </c>
      <c r="K52" s="20">
        <f t="shared" si="64"/>
        <v>-5007.120326388892</v>
      </c>
      <c r="L52" s="20">
        <f t="shared" si="64"/>
        <v>-5507.8323590277814</v>
      </c>
      <c r="M52" s="20">
        <f t="shared" si="64"/>
        <v>-6058.6155949305603</v>
      </c>
      <c r="N52" s="20">
        <f t="shared" si="64"/>
        <v>-6664.4771544236173</v>
      </c>
      <c r="O52" s="20">
        <f t="shared" si="64"/>
        <v>-7330.9248698659803</v>
      </c>
      <c r="P52" s="20">
        <f t="shared" si="64"/>
        <v>-8064.0173568525788</v>
      </c>
      <c r="Q52" s="20">
        <f t="shared" si="64"/>
        <v>-8870.4190925378371</v>
      </c>
      <c r="R52" s="20">
        <f t="shared" si="64"/>
        <v>-9757.461001791622</v>
      </c>
      <c r="S52" s="20">
        <f t="shared" si="64"/>
        <v>-10733.207101970784</v>
      </c>
      <c r="T52" s="20">
        <f t="shared" si="64"/>
        <v>-11806.527812167864</v>
      </c>
      <c r="U52" s="20">
        <f t="shared" si="64"/>
        <v>-12987.180593384652</v>
      </c>
      <c r="V52" s="20">
        <f t="shared" si="64"/>
        <v>-14285.898652723119</v>
      </c>
      <c r="W52" s="20">
        <f t="shared" si="64"/>
        <v>-15714.488517995431</v>
      </c>
      <c r="X52" s="20">
        <f t="shared" si="64"/>
        <v>-17285.937369794978</v>
      </c>
      <c r="Y52" s="20">
        <f t="shared" si="64"/>
        <v>-19014.531106774477</v>
      </c>
      <c r="Z52" s="20">
        <f t="shared" si="64"/>
        <v>-20915.984217451922</v>
      </c>
      <c r="AA52" s="20">
        <f t="shared" si="64"/>
        <v>-23007.582639197117</v>
      </c>
      <c r="AB52" s="20">
        <f t="shared" si="64"/>
        <v>-25308.340903116834</v>
      </c>
      <c r="AC52" s="20">
        <f t="shared" si="64"/>
        <v>-27839.174993428518</v>
      </c>
      <c r="AD52" s="20">
        <f t="shared" si="64"/>
        <v>-30623.092492771368</v>
      </c>
      <c r="AE52" s="20">
        <f t="shared" si="64"/>
        <v>-33685.401742048511</v>
      </c>
      <c r="AF52" s="20">
        <f t="shared" si="64"/>
        <v>-37053.94191625336</v>
      </c>
      <c r="AG52" s="20">
        <f t="shared" si="64"/>
        <v>-40759.336107878706</v>
      </c>
      <c r="AH52" s="20">
        <f t="shared" si="64"/>
        <v>-44835.269718666583</v>
      </c>
      <c r="AI52" s="20">
        <f t="shared" si="64"/>
        <v>-49318.796690533243</v>
      </c>
      <c r="AJ52" s="20">
        <f t="shared" si="64"/>
        <v>-54250.67635958657</v>
      </c>
      <c r="AK52" s="20">
        <f t="shared" si="64"/>
        <v>-59675.743995545236</v>
      </c>
      <c r="AL52" s="20">
        <f t="shared" si="64"/>
        <v>-65643.318395099763</v>
      </c>
      <c r="AM52" s="20">
        <f t="shared" si="64"/>
        <v>-72207.65023460974</v>
      </c>
    </row>
    <row r="53" spans="2:39" s="18" customFormat="1" ht="21" customHeight="1" x14ac:dyDescent="0.3">
      <c r="B53" s="15" t="s">
        <v>50</v>
      </c>
      <c r="C53" s="19"/>
      <c r="D53" s="20">
        <f t="shared" ref="D53:AM53" si="65">D44+D52</f>
        <v>47080.555555555555</v>
      </c>
      <c r="E53" s="20">
        <f t="shared" si="65"/>
        <v>42937.611111111109</v>
      </c>
      <c r="F53" s="20">
        <f t="shared" si="65"/>
        <v>57054.492222222223</v>
      </c>
      <c r="G53" s="20">
        <f t="shared" si="65"/>
        <v>45707.725044444443</v>
      </c>
      <c r="H53" s="20">
        <f t="shared" si="65"/>
        <v>49782.073006888888</v>
      </c>
      <c r="I53" s="20">
        <f t="shared" si="65"/>
        <v>59814.304793517775</v>
      </c>
      <c r="J53" s="20">
        <f t="shared" si="65"/>
        <v>52624.135851387749</v>
      </c>
      <c r="K53" s="20">
        <f t="shared" si="65"/>
        <v>57873.834247586434</v>
      </c>
      <c r="L53" s="20">
        <f t="shared" si="65"/>
        <v>53720.047227270057</v>
      </c>
      <c r="M53" s="20">
        <f t="shared" si="65"/>
        <v>54131.698463017769</v>
      </c>
      <c r="N53" s="20">
        <f t="shared" si="65"/>
        <v>56191.096888627522</v>
      </c>
      <c r="O53" s="20">
        <f t="shared" si="65"/>
        <v>58142.201769819578</v>
      </c>
      <c r="P53" s="20">
        <f t="shared" si="65"/>
        <v>59078.565931723933</v>
      </c>
      <c r="Q53" s="20">
        <f t="shared" si="65"/>
        <v>54838.956526909002</v>
      </c>
      <c r="R53" s="20">
        <f t="shared" si="65"/>
        <v>55073.44452837752</v>
      </c>
      <c r="S53" s="20">
        <f t="shared" si="65"/>
        <v>44836.73306935135</v>
      </c>
      <c r="T53" s="20">
        <f t="shared" si="65"/>
        <v>47680.827306527055</v>
      </c>
      <c r="U53" s="20">
        <f t="shared" si="65"/>
        <v>47512.217700150359</v>
      </c>
      <c r="V53" s="20">
        <f t="shared" si="65"/>
        <v>54808.127845494149</v>
      </c>
      <c r="W53" s="20">
        <f t="shared" si="65"/>
        <v>38517.070856573053</v>
      </c>
      <c r="X53" s="20">
        <f t="shared" si="65"/>
        <v>44835.836727723465</v>
      </c>
      <c r="Y53" s="20">
        <f t="shared" si="65"/>
        <v>48679.33561357994</v>
      </c>
      <c r="Z53" s="20">
        <f t="shared" si="65"/>
        <v>39502.332966771079</v>
      </c>
      <c r="AA53" s="20">
        <f t="shared" si="65"/>
        <v>44763.472788815823</v>
      </c>
      <c r="AB53" s="20">
        <f t="shared" si="65"/>
        <v>40209.580967343005</v>
      </c>
      <c r="AC53" s="20">
        <f t="shared" si="65"/>
        <v>31867.28744449254</v>
      </c>
      <c r="AD53" s="20">
        <f t="shared" si="65"/>
        <v>33506.509395164263</v>
      </c>
      <c r="AE53" s="20">
        <f t="shared" si="65"/>
        <v>19981.837775432301</v>
      </c>
      <c r="AF53" s="20">
        <f t="shared" si="65"/>
        <v>12746.595744927661</v>
      </c>
      <c r="AG53" s="20">
        <f t="shared" si="65"/>
        <v>22633.002115717885</v>
      </c>
      <c r="AH53" s="20">
        <f t="shared" si="65"/>
        <v>11043.480433137927</v>
      </c>
      <c r="AI53" s="20">
        <f t="shared" si="65"/>
        <v>14016.979563099398</v>
      </c>
      <c r="AJ53" s="20">
        <f t="shared" si="65"/>
        <v>11678.014069062592</v>
      </c>
      <c r="AK53" s="20">
        <f t="shared" si="65"/>
        <v>1748.9101052798942</v>
      </c>
      <c r="AL53" s="20">
        <f t="shared" si="65"/>
        <v>10024.971529140705</v>
      </c>
      <c r="AM53" s="20">
        <f t="shared" si="65"/>
        <v>5060.3082697939972</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count="1">
    <dataValidation type="list" allowBlank="1" showInputMessage="1" showErrorMessage="1" sqref="D4" xr:uid="{594F2FC4-052C-4E23-96A0-E49C2C08A80F}">
      <formula1>"1/31/2021,1/31/2022,1/31/2023,1/31/2024,1/31/2025,1/31/2026,1/31/2027"</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4234-3629-45F9-84F5-D411938442B2}">
  <sheetPr>
    <tabColor theme="5" tint="0.79998168889431442"/>
    <outlinePr summaryBelow="0" summaryRight="0"/>
  </sheetPr>
  <dimension ref="A1:NTP304"/>
  <sheetViews>
    <sheetView showGridLines="0" zoomScaleNormal="100" workbookViewId="0">
      <pane xSplit="3" ySplit="4" topLeftCell="D5" activePane="bottomRight" state="frozen"/>
      <selection activeCell="B8" sqref="B8"/>
      <selection pane="topRight" activeCell="B8" sqref="B8"/>
      <selection pane="bottomLeft" activeCell="B8" sqref="B8"/>
      <selection pane="bottomRight" activeCell="B5" sqref="B5"/>
    </sheetView>
  </sheetViews>
  <sheetFormatPr defaultColWidth="9.109375" defaultRowHeight="14.4" x14ac:dyDescent="0.3"/>
  <cols>
    <col min="1" max="1" width="2.5546875" customWidth="1"/>
    <col min="2" max="2" width="42.33203125" style="2" customWidth="1"/>
    <col min="3" max="3" width="2.6640625" customWidth="1"/>
    <col min="4" max="11" width="12.44140625" style="27" customWidth="1"/>
    <col min="12"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53</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0</v>
      </c>
      <c r="E6" s="14">
        <v>0</v>
      </c>
      <c r="F6" s="14">
        <v>0</v>
      </c>
      <c r="G6" s="14">
        <v>0</v>
      </c>
      <c r="H6" s="14">
        <v>0</v>
      </c>
      <c r="I6" s="14">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0</v>
      </c>
      <c r="AF6" s="14">
        <v>0</v>
      </c>
      <c r="AG6" s="14">
        <v>0</v>
      </c>
      <c r="AH6" s="14">
        <v>0</v>
      </c>
      <c r="AI6" s="14">
        <v>0</v>
      </c>
      <c r="AJ6" s="14">
        <v>0</v>
      </c>
      <c r="AK6" s="14">
        <v>0</v>
      </c>
      <c r="AL6" s="14">
        <v>0</v>
      </c>
      <c r="AM6" s="14">
        <v>0</v>
      </c>
    </row>
    <row r="7" spans="1:39" s="12" customFormat="1" ht="21" customHeight="1" x14ac:dyDescent="0.3">
      <c r="A7" s="8"/>
      <c r="B7" s="15" t="s">
        <v>4</v>
      </c>
      <c r="C7" s="10"/>
      <c r="D7" s="16">
        <f t="shared" ref="D7:AM7" si="1">SUM(D6 + D5)</f>
        <v>0</v>
      </c>
      <c r="E7" s="16">
        <f t="shared" si="1"/>
        <v>0</v>
      </c>
      <c r="F7" s="16">
        <f t="shared" si="1"/>
        <v>0</v>
      </c>
      <c r="G7" s="16">
        <f t="shared" si="1"/>
        <v>0</v>
      </c>
      <c r="H7" s="16">
        <f t="shared" si="1"/>
        <v>0</v>
      </c>
      <c r="I7" s="16">
        <f t="shared" si="1"/>
        <v>0</v>
      </c>
      <c r="J7" s="16">
        <f t="shared" si="1"/>
        <v>0</v>
      </c>
      <c r="K7" s="16">
        <f t="shared" si="1"/>
        <v>0</v>
      </c>
      <c r="L7" s="16">
        <f t="shared" si="1"/>
        <v>0</v>
      </c>
      <c r="M7" s="16">
        <f t="shared" si="1"/>
        <v>0</v>
      </c>
      <c r="N7" s="16">
        <f t="shared" si="1"/>
        <v>0</v>
      </c>
      <c r="O7" s="16">
        <f t="shared" si="1"/>
        <v>0</v>
      </c>
      <c r="P7" s="16">
        <f t="shared" si="1"/>
        <v>0</v>
      </c>
      <c r="Q7" s="16">
        <f t="shared" si="1"/>
        <v>0</v>
      </c>
      <c r="R7" s="16">
        <f t="shared" si="1"/>
        <v>0</v>
      </c>
      <c r="S7" s="16">
        <f t="shared" si="1"/>
        <v>0</v>
      </c>
      <c r="T7" s="16">
        <f t="shared" si="1"/>
        <v>0</v>
      </c>
      <c r="U7" s="16">
        <f t="shared" si="1"/>
        <v>0</v>
      </c>
      <c r="V7" s="16">
        <f t="shared" si="1"/>
        <v>0</v>
      </c>
      <c r="W7" s="16">
        <f t="shared" si="1"/>
        <v>0</v>
      </c>
      <c r="X7" s="16">
        <f t="shared" si="1"/>
        <v>0</v>
      </c>
      <c r="Y7" s="16">
        <f t="shared" si="1"/>
        <v>0</v>
      </c>
      <c r="Z7" s="16">
        <f t="shared" si="1"/>
        <v>0</v>
      </c>
      <c r="AA7" s="16">
        <f t="shared" si="1"/>
        <v>0</v>
      </c>
      <c r="AB7" s="16">
        <f t="shared" si="1"/>
        <v>0</v>
      </c>
      <c r="AC7" s="16">
        <f t="shared" si="1"/>
        <v>0</v>
      </c>
      <c r="AD7" s="16">
        <f t="shared" si="1"/>
        <v>0</v>
      </c>
      <c r="AE7" s="16">
        <f t="shared" si="1"/>
        <v>0</v>
      </c>
      <c r="AF7" s="16">
        <f t="shared" si="1"/>
        <v>0</v>
      </c>
      <c r="AG7" s="16">
        <f t="shared" si="1"/>
        <v>0</v>
      </c>
      <c r="AH7" s="16">
        <f t="shared" si="1"/>
        <v>0</v>
      </c>
      <c r="AI7" s="16">
        <f t="shared" si="1"/>
        <v>0</v>
      </c>
      <c r="AJ7" s="16">
        <f t="shared" si="1"/>
        <v>0</v>
      </c>
      <c r="AK7" s="16">
        <f t="shared" si="1"/>
        <v>0</v>
      </c>
      <c r="AL7" s="16">
        <f t="shared" si="1"/>
        <v>0</v>
      </c>
      <c r="AM7" s="16">
        <f t="shared" si="1"/>
        <v>0</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0</v>
      </c>
      <c r="E9" s="14">
        <v>0</v>
      </c>
      <c r="F9" s="14">
        <v>0</v>
      </c>
      <c r="G9" s="14">
        <v>0</v>
      </c>
      <c r="H9" s="14">
        <v>0</v>
      </c>
      <c r="I9" s="14">
        <v>0</v>
      </c>
      <c r="J9" s="14">
        <v>0</v>
      </c>
      <c r="K9" s="14">
        <v>0</v>
      </c>
      <c r="L9" s="14">
        <v>0</v>
      </c>
      <c r="M9" s="14">
        <v>0</v>
      </c>
      <c r="N9" s="14">
        <v>0</v>
      </c>
      <c r="O9" s="14">
        <v>0</v>
      </c>
      <c r="P9" s="14">
        <v>0</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0</v>
      </c>
      <c r="AJ9" s="14">
        <v>0</v>
      </c>
      <c r="AK9" s="14">
        <v>0</v>
      </c>
      <c r="AL9" s="14">
        <v>0</v>
      </c>
      <c r="AM9" s="14">
        <v>0</v>
      </c>
    </row>
    <row r="10" spans="1:39" s="12" customFormat="1" ht="21" customHeight="1" x14ac:dyDescent="0.3">
      <c r="A10" s="8"/>
      <c r="B10" s="13" t="s">
        <v>7</v>
      </c>
      <c r="C10" s="10"/>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0</v>
      </c>
      <c r="AM10" s="14">
        <v>0</v>
      </c>
    </row>
    <row r="11" spans="1:39" s="12" customFormat="1" ht="21" customHeight="1" x14ac:dyDescent="0.3">
      <c r="A11" s="8"/>
      <c r="B11" s="15" t="s">
        <v>8</v>
      </c>
      <c r="C11" s="10"/>
      <c r="D11" s="16">
        <f t="shared" ref="D11:AM11" si="2">SUM(D10, D9 + D8)</f>
        <v>0</v>
      </c>
      <c r="E11" s="16">
        <f t="shared" si="2"/>
        <v>0</v>
      </c>
      <c r="F11" s="16">
        <f t="shared" si="2"/>
        <v>0</v>
      </c>
      <c r="G11" s="16">
        <f t="shared" si="2"/>
        <v>0</v>
      </c>
      <c r="H11" s="16">
        <f t="shared" si="2"/>
        <v>0</v>
      </c>
      <c r="I11" s="16">
        <f t="shared" si="2"/>
        <v>0</v>
      </c>
      <c r="J11" s="16">
        <f t="shared" si="2"/>
        <v>0</v>
      </c>
      <c r="K11" s="16">
        <f t="shared" si="2"/>
        <v>0</v>
      </c>
      <c r="L11" s="16">
        <f t="shared" si="2"/>
        <v>0</v>
      </c>
      <c r="M11" s="16">
        <f t="shared" si="2"/>
        <v>0</v>
      </c>
      <c r="N11" s="16">
        <f t="shared" si="2"/>
        <v>0</v>
      </c>
      <c r="O11" s="16">
        <f t="shared" si="2"/>
        <v>0</v>
      </c>
      <c r="P11" s="16">
        <f t="shared" si="2"/>
        <v>0</v>
      </c>
      <c r="Q11" s="16">
        <f t="shared" si="2"/>
        <v>0</v>
      </c>
      <c r="R11" s="16">
        <f t="shared" si="2"/>
        <v>0</v>
      </c>
      <c r="S11" s="16">
        <f t="shared" si="2"/>
        <v>0</v>
      </c>
      <c r="T11" s="16">
        <f t="shared" si="2"/>
        <v>0</v>
      </c>
      <c r="U11" s="16">
        <f t="shared" si="2"/>
        <v>0</v>
      </c>
      <c r="V11" s="16">
        <f t="shared" si="2"/>
        <v>0</v>
      </c>
      <c r="W11" s="16">
        <f t="shared" si="2"/>
        <v>0</v>
      </c>
      <c r="X11" s="16">
        <f t="shared" si="2"/>
        <v>0</v>
      </c>
      <c r="Y11" s="16">
        <f t="shared" si="2"/>
        <v>0</v>
      </c>
      <c r="Z11" s="16">
        <f t="shared" si="2"/>
        <v>0</v>
      </c>
      <c r="AA11" s="16">
        <f t="shared" si="2"/>
        <v>0</v>
      </c>
      <c r="AB11" s="16">
        <f t="shared" si="2"/>
        <v>0</v>
      </c>
      <c r="AC11" s="16">
        <f t="shared" si="2"/>
        <v>0</v>
      </c>
      <c r="AD11" s="16">
        <f t="shared" si="2"/>
        <v>0</v>
      </c>
      <c r="AE11" s="16">
        <f t="shared" si="2"/>
        <v>0</v>
      </c>
      <c r="AF11" s="16">
        <f t="shared" si="2"/>
        <v>0</v>
      </c>
      <c r="AG11" s="16">
        <f t="shared" si="2"/>
        <v>0</v>
      </c>
      <c r="AH11" s="16">
        <f t="shared" si="2"/>
        <v>0</v>
      </c>
      <c r="AI11" s="16">
        <f t="shared" si="2"/>
        <v>0</v>
      </c>
      <c r="AJ11" s="16">
        <f t="shared" si="2"/>
        <v>0</v>
      </c>
      <c r="AK11" s="16">
        <f t="shared" si="2"/>
        <v>0</v>
      </c>
      <c r="AL11" s="16">
        <f t="shared" si="2"/>
        <v>0</v>
      </c>
      <c r="AM11" s="16">
        <f t="shared" si="2"/>
        <v>0</v>
      </c>
    </row>
    <row r="12" spans="1:39" s="18" customFormat="1" ht="21" customHeight="1" x14ac:dyDescent="0.3">
      <c r="B12" s="15" t="s">
        <v>9</v>
      </c>
      <c r="C12" s="19"/>
      <c r="D12" s="20">
        <f t="shared" ref="D12:AM12" si="3">D7-D11</f>
        <v>0</v>
      </c>
      <c r="E12" s="20">
        <f t="shared" si="3"/>
        <v>0</v>
      </c>
      <c r="F12" s="20">
        <f t="shared" si="3"/>
        <v>0</v>
      </c>
      <c r="G12" s="20">
        <f t="shared" si="3"/>
        <v>0</v>
      </c>
      <c r="H12" s="20">
        <f t="shared" si="3"/>
        <v>0</v>
      </c>
      <c r="I12" s="20">
        <f t="shared" si="3"/>
        <v>0</v>
      </c>
      <c r="J12" s="20">
        <f t="shared" si="3"/>
        <v>0</v>
      </c>
      <c r="K12" s="20">
        <f t="shared" si="3"/>
        <v>0</v>
      </c>
      <c r="L12" s="20">
        <f t="shared" si="3"/>
        <v>0</v>
      </c>
      <c r="M12" s="20">
        <f t="shared" si="3"/>
        <v>0</v>
      </c>
      <c r="N12" s="20">
        <f t="shared" si="3"/>
        <v>0</v>
      </c>
      <c r="O12" s="20">
        <f t="shared" si="3"/>
        <v>0</v>
      </c>
      <c r="P12" s="20">
        <f t="shared" si="3"/>
        <v>0</v>
      </c>
      <c r="Q12" s="20">
        <f t="shared" si="3"/>
        <v>0</v>
      </c>
      <c r="R12" s="20">
        <f t="shared" si="3"/>
        <v>0</v>
      </c>
      <c r="S12" s="20">
        <f t="shared" si="3"/>
        <v>0</v>
      </c>
      <c r="T12" s="20">
        <f t="shared" si="3"/>
        <v>0</v>
      </c>
      <c r="U12" s="20">
        <f t="shared" si="3"/>
        <v>0</v>
      </c>
      <c r="V12" s="20">
        <f t="shared" si="3"/>
        <v>0</v>
      </c>
      <c r="W12" s="20">
        <f t="shared" si="3"/>
        <v>0</v>
      </c>
      <c r="X12" s="20">
        <f t="shared" si="3"/>
        <v>0</v>
      </c>
      <c r="Y12" s="20">
        <f t="shared" si="3"/>
        <v>0</v>
      </c>
      <c r="Z12" s="20">
        <f t="shared" si="3"/>
        <v>0</v>
      </c>
      <c r="AA12" s="20">
        <f t="shared" si="3"/>
        <v>0</v>
      </c>
      <c r="AB12" s="20">
        <f t="shared" si="3"/>
        <v>0</v>
      </c>
      <c r="AC12" s="20">
        <f t="shared" si="3"/>
        <v>0</v>
      </c>
      <c r="AD12" s="20">
        <f t="shared" si="3"/>
        <v>0</v>
      </c>
      <c r="AE12" s="20">
        <f t="shared" si="3"/>
        <v>0</v>
      </c>
      <c r="AF12" s="20">
        <f t="shared" si="3"/>
        <v>0</v>
      </c>
      <c r="AG12" s="20">
        <f t="shared" si="3"/>
        <v>0</v>
      </c>
      <c r="AH12" s="20">
        <f t="shared" si="3"/>
        <v>0</v>
      </c>
      <c r="AI12" s="20">
        <f t="shared" si="3"/>
        <v>0</v>
      </c>
      <c r="AJ12" s="20">
        <f t="shared" si="3"/>
        <v>0</v>
      </c>
      <c r="AK12" s="20">
        <f t="shared" si="3"/>
        <v>0</v>
      </c>
      <c r="AL12" s="20">
        <f t="shared" si="3"/>
        <v>0</v>
      </c>
      <c r="AM12" s="20">
        <f t="shared" si="3"/>
        <v>0</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0</v>
      </c>
      <c r="E14" s="14">
        <v>0</v>
      </c>
      <c r="F14" s="14">
        <v>0</v>
      </c>
      <c r="G14" s="14">
        <v>0</v>
      </c>
      <c r="H14" s="14">
        <v>0</v>
      </c>
      <c r="I14" s="14">
        <v>0</v>
      </c>
      <c r="J14" s="14">
        <v>0</v>
      </c>
      <c r="K14" s="14">
        <v>0</v>
      </c>
      <c r="L14" s="14">
        <v>0</v>
      </c>
      <c r="M14" s="14">
        <v>0</v>
      </c>
      <c r="N14" s="14">
        <v>0</v>
      </c>
      <c r="O14" s="14">
        <v>0</v>
      </c>
      <c r="P14" s="14">
        <v>0</v>
      </c>
      <c r="Q14" s="14">
        <v>0</v>
      </c>
      <c r="R14" s="14">
        <v>0</v>
      </c>
      <c r="S14" s="14">
        <v>0</v>
      </c>
      <c r="T14" s="14">
        <v>0</v>
      </c>
      <c r="U14" s="14">
        <v>0</v>
      </c>
      <c r="V14" s="14">
        <v>0</v>
      </c>
      <c r="W14" s="14">
        <v>0</v>
      </c>
      <c r="X14" s="14">
        <v>0</v>
      </c>
      <c r="Y14" s="14">
        <v>0</v>
      </c>
      <c r="Z14" s="14">
        <v>0</v>
      </c>
      <c r="AA14" s="14">
        <v>0</v>
      </c>
      <c r="AB14" s="14">
        <v>0</v>
      </c>
      <c r="AC14" s="14">
        <v>0</v>
      </c>
      <c r="AD14" s="14">
        <v>0</v>
      </c>
      <c r="AE14" s="14">
        <v>0</v>
      </c>
      <c r="AF14" s="14">
        <v>0</v>
      </c>
      <c r="AG14" s="14">
        <v>0</v>
      </c>
      <c r="AH14" s="14">
        <v>0</v>
      </c>
      <c r="AI14" s="14">
        <v>0</v>
      </c>
      <c r="AJ14" s="14">
        <v>0</v>
      </c>
      <c r="AK14" s="14">
        <v>0</v>
      </c>
      <c r="AL14" s="14">
        <v>0</v>
      </c>
      <c r="AM14" s="14">
        <v>0</v>
      </c>
    </row>
    <row r="15" spans="1:39" s="12" customFormat="1" ht="21" customHeight="1" x14ac:dyDescent="0.3">
      <c r="B15" s="13" t="s">
        <v>12</v>
      </c>
      <c r="C15" s="10"/>
      <c r="D15" s="14">
        <v>0</v>
      </c>
      <c r="E15" s="14">
        <v>0</v>
      </c>
      <c r="F15" s="14">
        <v>0</v>
      </c>
      <c r="G15" s="14">
        <v>0</v>
      </c>
      <c r="H15" s="14">
        <v>0</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row>
    <row r="16" spans="1:39" s="12" customFormat="1" ht="21" customHeight="1" x14ac:dyDescent="0.3">
      <c r="B16" s="13" t="s">
        <v>13</v>
      </c>
      <c r="C16" s="10"/>
      <c r="D16" s="14">
        <v>0</v>
      </c>
      <c r="E16" s="14">
        <v>0</v>
      </c>
      <c r="F16" s="14">
        <v>0</v>
      </c>
      <c r="G16" s="14">
        <v>0</v>
      </c>
      <c r="H16" s="14">
        <v>0</v>
      </c>
      <c r="I16" s="14">
        <v>0</v>
      </c>
      <c r="J16" s="14">
        <v>0</v>
      </c>
      <c r="K16" s="14">
        <v>0</v>
      </c>
      <c r="L16" s="14">
        <v>0</v>
      </c>
      <c r="M16" s="14">
        <v>0</v>
      </c>
      <c r="N16" s="14">
        <v>0</v>
      </c>
      <c r="O16" s="14">
        <v>0</v>
      </c>
      <c r="P16" s="14">
        <v>0</v>
      </c>
      <c r="Q16" s="14">
        <v>0</v>
      </c>
      <c r="R16" s="14">
        <v>0</v>
      </c>
      <c r="S16" s="14">
        <v>0</v>
      </c>
      <c r="T16" s="14">
        <v>0</v>
      </c>
      <c r="U16" s="14">
        <v>0</v>
      </c>
      <c r="V16" s="14">
        <v>0</v>
      </c>
      <c r="W16" s="14">
        <v>0</v>
      </c>
      <c r="X16" s="14">
        <v>0</v>
      </c>
      <c r="Y16" s="14">
        <v>0</v>
      </c>
      <c r="Z16" s="14">
        <v>0</v>
      </c>
      <c r="AA16" s="14">
        <v>0</v>
      </c>
      <c r="AB16" s="14">
        <v>0</v>
      </c>
      <c r="AC16" s="14">
        <v>0</v>
      </c>
      <c r="AD16" s="14">
        <v>0</v>
      </c>
      <c r="AE16" s="14">
        <v>0</v>
      </c>
      <c r="AF16" s="14">
        <v>0</v>
      </c>
      <c r="AG16" s="14">
        <v>0</v>
      </c>
      <c r="AH16" s="14">
        <v>0</v>
      </c>
      <c r="AI16" s="14">
        <v>0</v>
      </c>
      <c r="AJ16" s="14">
        <v>0</v>
      </c>
      <c r="AK16" s="14">
        <v>0</v>
      </c>
      <c r="AL16" s="14">
        <v>0</v>
      </c>
      <c r="AM16" s="14">
        <v>0</v>
      </c>
    </row>
    <row r="17" spans="2:39" s="12" customFormat="1" ht="21" customHeight="1" x14ac:dyDescent="0.3">
      <c r="B17" s="13" t="s">
        <v>14</v>
      </c>
      <c r="C17" s="10"/>
      <c r="D17" s="14">
        <v>2600</v>
      </c>
      <c r="E17" s="14">
        <v>2678</v>
      </c>
      <c r="F17" s="14">
        <f>E17*(0.9)</f>
        <v>2410.2000000000003</v>
      </c>
      <c r="G17" s="14">
        <v>2482.5060000000003</v>
      </c>
      <c r="H17" s="14">
        <v>2556.9811800000002</v>
      </c>
      <c r="I17" s="14">
        <v>2633.6906154000003</v>
      </c>
      <c r="J17" s="14">
        <f t="shared" ref="J17:K17" si="4">I17*(0.9)</f>
        <v>2370.3215538600002</v>
      </c>
      <c r="K17" s="14">
        <f t="shared" si="4"/>
        <v>2133.2893984740003</v>
      </c>
      <c r="L17" s="14">
        <v>2197.2880804282204</v>
      </c>
      <c r="M17" s="14">
        <v>2263.2067228410669</v>
      </c>
      <c r="N17" s="14">
        <v>2331.1029245262989</v>
      </c>
      <c r="O17" s="14">
        <v>2401.0360122620878</v>
      </c>
      <c r="P17" s="14">
        <v>2473.0670926299504</v>
      </c>
      <c r="Q17" s="14">
        <f t="shared" ref="Q17:R17" si="5">P17*(0.9)</f>
        <v>2225.7603833669555</v>
      </c>
      <c r="R17" s="14">
        <f t="shared" si="5"/>
        <v>2003.1843450302599</v>
      </c>
      <c r="S17" s="14">
        <v>2063.2798753811676</v>
      </c>
      <c r="T17" s="14">
        <v>2125.1782716426028</v>
      </c>
      <c r="U17" s="14">
        <f>T17*(0.9)</f>
        <v>1912.6604444783425</v>
      </c>
      <c r="V17" s="14">
        <v>1970.0402578126927</v>
      </c>
      <c r="W17" s="14">
        <v>2029.1414655470735</v>
      </c>
      <c r="X17" s="14">
        <v>2090.0157095134859</v>
      </c>
      <c r="Y17" s="14">
        <f>X17*(0.9)</f>
        <v>1881.0141385621373</v>
      </c>
      <c r="Z17" s="14">
        <v>1937.4445627190014</v>
      </c>
      <c r="AA17" s="14">
        <v>1995.5678996005715</v>
      </c>
      <c r="AB17" s="14">
        <v>2055.4349365885887</v>
      </c>
      <c r="AC17" s="14">
        <f>AB17*(0.9)</f>
        <v>1849.8914429297299</v>
      </c>
      <c r="AD17" s="14">
        <v>1905.388186217622</v>
      </c>
      <c r="AE17" s="14">
        <v>1962.5498318041507</v>
      </c>
      <c r="AF17" s="14">
        <v>2021.4263267582753</v>
      </c>
      <c r="AG17" s="14">
        <v>2082.0691165610237</v>
      </c>
      <c r="AH17" s="14">
        <f t="shared" ref="AH17:AI17" si="6">AG17*(0.9)</f>
        <v>1873.8622049049213</v>
      </c>
      <c r="AI17" s="14">
        <f t="shared" si="6"/>
        <v>1686.4759844144291</v>
      </c>
      <c r="AJ17" s="14">
        <v>1737.070263946862</v>
      </c>
      <c r="AK17" s="14">
        <v>1789.1823718652679</v>
      </c>
      <c r="AL17" s="14">
        <f t="shared" ref="AL17:AM17" si="7">AK17*(0.9)</f>
        <v>1610.2641346787411</v>
      </c>
      <c r="AM17" s="14">
        <f t="shared" si="7"/>
        <v>1449.237721210867</v>
      </c>
    </row>
    <row r="18" spans="2:39" s="12" customFormat="1" ht="21" customHeight="1" x14ac:dyDescent="0.3">
      <c r="B18" s="13" t="s">
        <v>15</v>
      </c>
      <c r="C18" s="10"/>
      <c r="D18" s="14">
        <v>150</v>
      </c>
      <c r="E18" s="14">
        <v>154.5</v>
      </c>
      <c r="F18" s="14">
        <v>159.13499999999999</v>
      </c>
      <c r="G18" s="14">
        <v>163.90905000000001</v>
      </c>
      <c r="H18" s="14">
        <v>168.82632150000001</v>
      </c>
      <c r="I18" s="14">
        <v>173.891111145</v>
      </c>
      <c r="J18" s="14">
        <v>179.10784447935001</v>
      </c>
      <c r="K18" s="14">
        <v>184.4810798137305</v>
      </c>
      <c r="L18" s="14">
        <v>190.01551220814241</v>
      </c>
      <c r="M18" s="14">
        <v>195.7159775743867</v>
      </c>
      <c r="N18" s="14">
        <v>201.58745690161831</v>
      </c>
      <c r="O18" s="14">
        <v>207.63508060866687</v>
      </c>
      <c r="P18" s="14">
        <v>213.86413302692688</v>
      </c>
      <c r="Q18" s="14">
        <v>220.28005701773469</v>
      </c>
      <c r="R18" s="14">
        <v>226.88845872826673</v>
      </c>
      <c r="S18" s="14">
        <v>233.69511249011472</v>
      </c>
      <c r="T18" s="14">
        <v>240.70596586481818</v>
      </c>
      <c r="U18" s="14">
        <v>247.92714484076274</v>
      </c>
      <c r="V18" s="14">
        <v>255.36495918598561</v>
      </c>
      <c r="W18" s="14">
        <v>263.02590796156517</v>
      </c>
      <c r="X18" s="14">
        <v>270.91668520041213</v>
      </c>
      <c r="Y18" s="14">
        <v>279.0441857564245</v>
      </c>
      <c r="Z18" s="14">
        <v>287.41551132911724</v>
      </c>
      <c r="AA18" s="14">
        <v>296.03797666899078</v>
      </c>
      <c r="AB18" s="14">
        <v>304.9191159690605</v>
      </c>
      <c r="AC18" s="14">
        <v>314.06668944813231</v>
      </c>
      <c r="AD18" s="14">
        <v>323.48869013157628</v>
      </c>
      <c r="AE18" s="14">
        <v>333.19335083552357</v>
      </c>
      <c r="AF18" s="14">
        <v>343.18915136058928</v>
      </c>
      <c r="AG18" s="14">
        <v>353.48482590140696</v>
      </c>
      <c r="AH18" s="14">
        <v>364.0893706784492</v>
      </c>
      <c r="AI18" s="14">
        <v>375.0120517988027</v>
      </c>
      <c r="AJ18" s="14">
        <v>386.26241335276677</v>
      </c>
      <c r="AK18" s="14">
        <v>397.85028575334979</v>
      </c>
      <c r="AL18" s="14">
        <v>409.78579432595029</v>
      </c>
      <c r="AM18" s="14">
        <v>422.07936815572879</v>
      </c>
    </row>
    <row r="19" spans="2:39" s="18" customFormat="1" ht="21" customHeight="1" x14ac:dyDescent="0.3">
      <c r="B19" s="21" t="s">
        <v>16</v>
      </c>
      <c r="C19" s="19"/>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row>
    <row r="20" spans="2:39" s="12" customFormat="1" ht="21" customHeight="1" x14ac:dyDescent="0.3">
      <c r="B20" s="22" t="s">
        <v>17</v>
      </c>
      <c r="C20" s="10"/>
      <c r="D20" s="14">
        <v>400</v>
      </c>
      <c r="E20" s="14">
        <v>412</v>
      </c>
      <c r="F20" s="14">
        <v>424.36</v>
      </c>
      <c r="G20" s="14">
        <v>437.0908</v>
      </c>
      <c r="H20" s="14">
        <v>450.20352400000002</v>
      </c>
      <c r="I20" s="14">
        <v>463.70962972000001</v>
      </c>
      <c r="J20" s="14">
        <v>477.62091861160002</v>
      </c>
      <c r="K20" s="14">
        <v>491.94954616994801</v>
      </c>
      <c r="L20" s="14">
        <v>506.70803255504649</v>
      </c>
      <c r="M20" s="14">
        <v>521.90927353169786</v>
      </c>
      <c r="N20" s="14">
        <v>537.56655173764887</v>
      </c>
      <c r="O20" s="14">
        <v>553.69354828977839</v>
      </c>
      <c r="P20" s="14">
        <v>570.30435473847172</v>
      </c>
      <c r="Q20" s="14">
        <v>587.41348538062584</v>
      </c>
      <c r="R20" s="14">
        <v>605.03588994204461</v>
      </c>
      <c r="S20" s="14">
        <v>623.18696664030597</v>
      </c>
      <c r="T20" s="14">
        <v>641.88257563951515</v>
      </c>
      <c r="U20" s="14">
        <v>661.13905290870059</v>
      </c>
      <c r="V20" s="14">
        <v>680.97322449596163</v>
      </c>
      <c r="W20" s="14">
        <v>701.40242123084045</v>
      </c>
      <c r="X20" s="14">
        <v>722.44449386776569</v>
      </c>
      <c r="Y20" s="14">
        <v>744.11782868379862</v>
      </c>
      <c r="Z20" s="14">
        <v>766.44136354431259</v>
      </c>
      <c r="AA20" s="14">
        <v>789.43460445064204</v>
      </c>
      <c r="AB20" s="14">
        <v>813.11764258416133</v>
      </c>
      <c r="AC20" s="14">
        <v>837.51117186168619</v>
      </c>
      <c r="AD20" s="14">
        <v>862.63650701753681</v>
      </c>
      <c r="AE20" s="14">
        <v>888.5156022280629</v>
      </c>
      <c r="AF20" s="14">
        <v>915.17107029490478</v>
      </c>
      <c r="AG20" s="14">
        <v>942.6262024037519</v>
      </c>
      <c r="AH20" s="14">
        <v>970.90498847586446</v>
      </c>
      <c r="AI20" s="14">
        <v>1000.0321381301404</v>
      </c>
      <c r="AJ20" s="14">
        <v>1030.0331022740447</v>
      </c>
      <c r="AK20" s="14">
        <v>1060.9340953422661</v>
      </c>
      <c r="AL20" s="14">
        <v>1092.7621182025341</v>
      </c>
      <c r="AM20" s="14">
        <v>1125.5449817486101</v>
      </c>
    </row>
    <row r="21" spans="2:39" s="12" customFormat="1" ht="21" customHeight="1" x14ac:dyDescent="0.3">
      <c r="B21" s="22" t="s">
        <v>18</v>
      </c>
      <c r="C21" s="10"/>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row>
    <row r="22" spans="2:39" s="12" customFormat="1" ht="21" customHeight="1" x14ac:dyDescent="0.3">
      <c r="B22" s="22" t="s">
        <v>19</v>
      </c>
      <c r="C22" s="10"/>
      <c r="D22" s="14">
        <v>0</v>
      </c>
      <c r="E22" s="14">
        <v>0</v>
      </c>
      <c r="F22" s="14">
        <v>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0</v>
      </c>
      <c r="AD22" s="14">
        <v>0</v>
      </c>
      <c r="AE22" s="14">
        <v>0</v>
      </c>
      <c r="AF22" s="14">
        <v>0</v>
      </c>
      <c r="AG22" s="14">
        <v>0</v>
      </c>
      <c r="AH22" s="14">
        <v>0</v>
      </c>
      <c r="AI22" s="14">
        <v>0</v>
      </c>
      <c r="AJ22" s="14">
        <v>0</v>
      </c>
      <c r="AK22" s="14">
        <v>0</v>
      </c>
      <c r="AL22" s="14">
        <v>0</v>
      </c>
      <c r="AM22" s="14">
        <v>0</v>
      </c>
    </row>
    <row r="23" spans="2:39" s="12" customFormat="1" ht="21" customHeight="1" x14ac:dyDescent="0.3">
      <c r="B23" s="21" t="s">
        <v>20</v>
      </c>
      <c r="C23" s="10"/>
      <c r="D23" s="16">
        <f t="shared" ref="D23:AM23" si="8">SUM(D22, D21, D20 + D19)</f>
        <v>400</v>
      </c>
      <c r="E23" s="16">
        <f t="shared" si="8"/>
        <v>412</v>
      </c>
      <c r="F23" s="16">
        <f t="shared" si="8"/>
        <v>424.36</v>
      </c>
      <c r="G23" s="16">
        <f t="shared" si="8"/>
        <v>437.0908</v>
      </c>
      <c r="H23" s="16">
        <f t="shared" si="8"/>
        <v>450.20352400000002</v>
      </c>
      <c r="I23" s="16">
        <f t="shared" si="8"/>
        <v>463.70962972000001</v>
      </c>
      <c r="J23" s="16">
        <f t="shared" si="8"/>
        <v>477.62091861160002</v>
      </c>
      <c r="K23" s="16">
        <f t="shared" si="8"/>
        <v>491.94954616994801</v>
      </c>
      <c r="L23" s="16">
        <f t="shared" si="8"/>
        <v>506.70803255504649</v>
      </c>
      <c r="M23" s="16">
        <f t="shared" si="8"/>
        <v>521.90927353169786</v>
      </c>
      <c r="N23" s="16">
        <f t="shared" si="8"/>
        <v>537.56655173764887</v>
      </c>
      <c r="O23" s="16">
        <f t="shared" si="8"/>
        <v>553.69354828977839</v>
      </c>
      <c r="P23" s="16">
        <f t="shared" si="8"/>
        <v>570.30435473847172</v>
      </c>
      <c r="Q23" s="16">
        <f t="shared" si="8"/>
        <v>587.41348538062584</v>
      </c>
      <c r="R23" s="16">
        <f t="shared" si="8"/>
        <v>605.03588994204461</v>
      </c>
      <c r="S23" s="16">
        <f t="shared" si="8"/>
        <v>623.18696664030597</v>
      </c>
      <c r="T23" s="16">
        <f t="shared" si="8"/>
        <v>641.88257563951515</v>
      </c>
      <c r="U23" s="16">
        <f t="shared" si="8"/>
        <v>661.13905290870059</v>
      </c>
      <c r="V23" s="16">
        <f t="shared" si="8"/>
        <v>680.97322449596163</v>
      </c>
      <c r="W23" s="16">
        <f t="shared" si="8"/>
        <v>701.40242123084045</v>
      </c>
      <c r="X23" s="16">
        <f t="shared" si="8"/>
        <v>722.44449386776569</v>
      </c>
      <c r="Y23" s="16">
        <f t="shared" si="8"/>
        <v>744.11782868379862</v>
      </c>
      <c r="Z23" s="16">
        <f t="shared" si="8"/>
        <v>766.44136354431259</v>
      </c>
      <c r="AA23" s="16">
        <f t="shared" si="8"/>
        <v>789.43460445064204</v>
      </c>
      <c r="AB23" s="16">
        <f t="shared" si="8"/>
        <v>813.11764258416133</v>
      </c>
      <c r="AC23" s="16">
        <f t="shared" si="8"/>
        <v>837.51117186168619</v>
      </c>
      <c r="AD23" s="16">
        <f t="shared" si="8"/>
        <v>862.63650701753681</v>
      </c>
      <c r="AE23" s="16">
        <f t="shared" si="8"/>
        <v>888.5156022280629</v>
      </c>
      <c r="AF23" s="16">
        <f t="shared" si="8"/>
        <v>915.17107029490478</v>
      </c>
      <c r="AG23" s="16">
        <f t="shared" si="8"/>
        <v>942.6262024037519</v>
      </c>
      <c r="AH23" s="16">
        <f t="shared" si="8"/>
        <v>970.90498847586446</v>
      </c>
      <c r="AI23" s="16">
        <f t="shared" si="8"/>
        <v>1000.0321381301404</v>
      </c>
      <c r="AJ23" s="16">
        <f t="shared" si="8"/>
        <v>1030.0331022740447</v>
      </c>
      <c r="AK23" s="16">
        <f t="shared" si="8"/>
        <v>1060.9340953422661</v>
      </c>
      <c r="AL23" s="16">
        <f t="shared" si="8"/>
        <v>1092.7621182025341</v>
      </c>
      <c r="AM23" s="16">
        <f t="shared" si="8"/>
        <v>1125.5449817486101</v>
      </c>
    </row>
    <row r="24" spans="2:39" s="18" customFormat="1" ht="21" customHeight="1" x14ac:dyDescent="0.3">
      <c r="B24" s="21" t="s">
        <v>21</v>
      </c>
      <c r="C24" s="19"/>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14">
        <v>0</v>
      </c>
      <c r="AB24" s="14">
        <v>0</v>
      </c>
      <c r="AC24" s="14">
        <v>0</v>
      </c>
      <c r="AD24" s="14">
        <v>0</v>
      </c>
      <c r="AE24" s="14">
        <v>0</v>
      </c>
      <c r="AF24" s="14">
        <v>0</v>
      </c>
      <c r="AG24" s="14">
        <v>0</v>
      </c>
      <c r="AH24" s="14">
        <v>0</v>
      </c>
      <c r="AI24" s="14">
        <v>0</v>
      </c>
      <c r="AJ24" s="14">
        <v>0</v>
      </c>
      <c r="AK24" s="14">
        <v>0</v>
      </c>
      <c r="AL24" s="14">
        <v>0</v>
      </c>
      <c r="AM24" s="14">
        <v>0</v>
      </c>
    </row>
    <row r="25" spans="2:39" s="12" customFormat="1" ht="21" customHeight="1" x14ac:dyDescent="0.3">
      <c r="B25" s="22" t="s">
        <v>22</v>
      </c>
      <c r="C25" s="10"/>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c r="U25" s="14">
        <v>0</v>
      </c>
      <c r="V25" s="14">
        <v>0</v>
      </c>
      <c r="W25" s="14">
        <v>0</v>
      </c>
      <c r="X25" s="14">
        <v>0</v>
      </c>
      <c r="Y25" s="14">
        <v>0</v>
      </c>
      <c r="Z25" s="14">
        <v>0</v>
      </c>
      <c r="AA25" s="14">
        <v>0</v>
      </c>
      <c r="AB25" s="14">
        <v>0</v>
      </c>
      <c r="AC25" s="14">
        <v>0</v>
      </c>
      <c r="AD25" s="14">
        <v>0</v>
      </c>
      <c r="AE25" s="14">
        <v>0</v>
      </c>
      <c r="AF25" s="14">
        <v>0</v>
      </c>
      <c r="AG25" s="14">
        <v>0</v>
      </c>
      <c r="AH25" s="14">
        <v>0</v>
      </c>
      <c r="AI25" s="14">
        <v>0</v>
      </c>
      <c r="AJ25" s="14">
        <v>0</v>
      </c>
      <c r="AK25" s="14">
        <v>0</v>
      </c>
      <c r="AL25" s="14">
        <v>0</v>
      </c>
      <c r="AM25" s="14">
        <v>0</v>
      </c>
    </row>
    <row r="26" spans="2:39" s="12" customFormat="1" ht="21" customHeight="1" x14ac:dyDescent="0.3">
      <c r="B26" s="22" t="s">
        <v>23</v>
      </c>
      <c r="C26" s="10"/>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row>
    <row r="27" spans="2:39" s="12" customFormat="1" ht="21" customHeight="1" x14ac:dyDescent="0.3">
      <c r="B27" s="22" t="s">
        <v>24</v>
      </c>
      <c r="C27" s="10"/>
      <c r="D27" s="14">
        <v>500</v>
      </c>
      <c r="E27" s="14">
        <v>515</v>
      </c>
      <c r="F27" s="14">
        <v>530.45000000000005</v>
      </c>
      <c r="G27" s="14">
        <v>546.36350000000004</v>
      </c>
      <c r="H27" s="14">
        <v>562.75440500000002</v>
      </c>
      <c r="I27" s="14">
        <v>579.63703715000008</v>
      </c>
      <c r="J27" s="14">
        <v>597.02614826450008</v>
      </c>
      <c r="K27" s="14">
        <v>614.93693271243512</v>
      </c>
      <c r="L27" s="14">
        <v>633.38504069380815</v>
      </c>
      <c r="M27" s="14">
        <v>652.38659191462239</v>
      </c>
      <c r="N27" s="14">
        <v>671.95818967206105</v>
      </c>
      <c r="O27" s="14">
        <v>692.11693536222288</v>
      </c>
      <c r="P27" s="14">
        <v>712.88044342308956</v>
      </c>
      <c r="Q27" s="14">
        <v>734.2668567257823</v>
      </c>
      <c r="R27" s="14">
        <v>756.29486242755581</v>
      </c>
      <c r="S27" s="14">
        <v>778.98370830038255</v>
      </c>
      <c r="T27" s="14">
        <v>802.353219549394</v>
      </c>
      <c r="U27" s="14">
        <v>826.42381613587588</v>
      </c>
      <c r="V27" s="14">
        <v>851.21653061995221</v>
      </c>
      <c r="W27" s="14">
        <v>876.75302653855078</v>
      </c>
      <c r="X27" s="14">
        <v>903.05561733470734</v>
      </c>
      <c r="Y27" s="14">
        <v>930.14728585474859</v>
      </c>
      <c r="Z27" s="14">
        <v>958.05170443039106</v>
      </c>
      <c r="AA27" s="14">
        <v>986.79325556330286</v>
      </c>
      <c r="AB27" s="14">
        <v>1016.397053230202</v>
      </c>
      <c r="AC27" s="14">
        <v>1046.8889648271081</v>
      </c>
      <c r="AD27" s="14">
        <v>1078.2956337719213</v>
      </c>
      <c r="AE27" s="14">
        <v>1110.6445027850789</v>
      </c>
      <c r="AF27" s="14">
        <v>1143.9638378686313</v>
      </c>
      <c r="AG27" s="14">
        <v>1178.2827530046902</v>
      </c>
      <c r="AH27" s="14">
        <v>1213.631235594831</v>
      </c>
      <c r="AI27" s="14">
        <v>1250.040172662676</v>
      </c>
      <c r="AJ27" s="14">
        <v>1287.5413778425564</v>
      </c>
      <c r="AK27" s="14">
        <v>1326.1676191778331</v>
      </c>
      <c r="AL27" s="14">
        <v>1365.9526477531681</v>
      </c>
      <c r="AM27" s="14">
        <v>1406.9312271857632</v>
      </c>
    </row>
    <row r="28" spans="2:39" s="12" customFormat="1" ht="21" customHeight="1" x14ac:dyDescent="0.3">
      <c r="B28" s="22" t="s">
        <v>25</v>
      </c>
      <c r="C28" s="10"/>
      <c r="D28" s="14">
        <v>2000</v>
      </c>
      <c r="E28" s="14">
        <v>2060</v>
      </c>
      <c r="F28" s="14">
        <v>2121.8000000000002</v>
      </c>
      <c r="G28" s="14">
        <v>2185.4540000000002</v>
      </c>
      <c r="H28" s="14">
        <f>G28*(0.9)</f>
        <v>1966.9086000000002</v>
      </c>
      <c r="I28" s="14">
        <v>2025.9158580000003</v>
      </c>
      <c r="J28" s="14">
        <v>2086.6933337400005</v>
      </c>
      <c r="K28" s="14">
        <v>2149.2941337522007</v>
      </c>
      <c r="L28" s="14">
        <v>2213.7729577647669</v>
      </c>
      <c r="M28" s="14">
        <v>2280.1861464977101</v>
      </c>
      <c r="N28" s="14">
        <v>2348.5917308926414</v>
      </c>
      <c r="O28" s="14">
        <f>N28*(0.9)</f>
        <v>2113.7325578033774</v>
      </c>
      <c r="P28" s="14">
        <v>2177.1445345374786</v>
      </c>
      <c r="Q28" s="14">
        <v>2242.4588705736032</v>
      </c>
      <c r="R28" s="14">
        <v>2309.7326366908114</v>
      </c>
      <c r="S28" s="14">
        <v>2379.0246157915358</v>
      </c>
      <c r="T28" s="14">
        <f>S28*(0.9)</f>
        <v>2141.1221542123822</v>
      </c>
      <c r="U28" s="14">
        <v>2205.3558188387537</v>
      </c>
      <c r="V28" s="14">
        <v>2271.5164934039162</v>
      </c>
      <c r="W28" s="14">
        <v>2339.6619882060336</v>
      </c>
      <c r="X28" s="14">
        <v>2409.8518478522146</v>
      </c>
      <c r="Y28" s="14">
        <v>2482.1474032877813</v>
      </c>
      <c r="Z28" s="14">
        <v>2556.6118253864147</v>
      </c>
      <c r="AA28" s="14">
        <f>Z28*(0.9)</f>
        <v>2300.9506428477735</v>
      </c>
      <c r="AB28" s="14">
        <v>2369.9791621332065</v>
      </c>
      <c r="AC28" s="14">
        <v>2441.0785369972027</v>
      </c>
      <c r="AD28" s="14">
        <v>2514.3108931071188</v>
      </c>
      <c r="AE28" s="14">
        <f>AD28*(0.9)</f>
        <v>2262.879803796407</v>
      </c>
      <c r="AF28" s="14">
        <v>2330.7661979102995</v>
      </c>
      <c r="AG28" s="14">
        <v>2400.6891838476085</v>
      </c>
      <c r="AH28" s="14">
        <f t="shared" ref="AH28:AI28" si="9">AG28*(0.9)</f>
        <v>2160.6202654628478</v>
      </c>
      <c r="AI28" s="14">
        <f t="shared" si="9"/>
        <v>1944.5582389165631</v>
      </c>
      <c r="AJ28" s="14">
        <v>2002.8949860840601</v>
      </c>
      <c r="AK28" s="14">
        <v>2062.9818356665819</v>
      </c>
      <c r="AL28" s="14">
        <v>2124.8712907365793</v>
      </c>
      <c r="AM28" s="14">
        <v>2188.6174294586767</v>
      </c>
    </row>
    <row r="29" spans="2:39" s="12" customFormat="1" ht="21" customHeight="1" x14ac:dyDescent="0.3">
      <c r="B29" s="21" t="s">
        <v>26</v>
      </c>
      <c r="C29" s="10"/>
      <c r="D29" s="16">
        <f t="shared" ref="D29:AM29" si="10">SUM(D28, D27, D26, D25 + D24)</f>
        <v>2500</v>
      </c>
      <c r="E29" s="16">
        <f t="shared" si="10"/>
        <v>2575</v>
      </c>
      <c r="F29" s="16">
        <f t="shared" si="10"/>
        <v>2652.25</v>
      </c>
      <c r="G29" s="16">
        <f t="shared" si="10"/>
        <v>2731.8175000000001</v>
      </c>
      <c r="H29" s="16">
        <f t="shared" si="10"/>
        <v>2529.6630050000003</v>
      </c>
      <c r="I29" s="16">
        <f t="shared" si="10"/>
        <v>2605.5528951500005</v>
      </c>
      <c r="J29" s="16">
        <f t="shared" si="10"/>
        <v>2683.7194820045006</v>
      </c>
      <c r="K29" s="16">
        <f t="shared" si="10"/>
        <v>2764.2310664646357</v>
      </c>
      <c r="L29" s="16">
        <f t="shared" si="10"/>
        <v>2847.1579984585751</v>
      </c>
      <c r="M29" s="16">
        <f t="shared" si="10"/>
        <v>2932.5727384123325</v>
      </c>
      <c r="N29" s="16">
        <f t="shared" si="10"/>
        <v>3020.5499205647025</v>
      </c>
      <c r="O29" s="16">
        <f t="shared" si="10"/>
        <v>2805.8494931656005</v>
      </c>
      <c r="P29" s="16">
        <f t="shared" si="10"/>
        <v>2890.0249779605683</v>
      </c>
      <c r="Q29" s="16">
        <f t="shared" si="10"/>
        <v>2976.7257272993857</v>
      </c>
      <c r="R29" s="16">
        <f t="shared" si="10"/>
        <v>3066.0274991183674</v>
      </c>
      <c r="S29" s="16">
        <f t="shared" si="10"/>
        <v>3158.0083240919184</v>
      </c>
      <c r="T29" s="16">
        <f t="shared" si="10"/>
        <v>2943.4753737617762</v>
      </c>
      <c r="U29" s="16">
        <f t="shared" si="10"/>
        <v>3031.7796349746295</v>
      </c>
      <c r="V29" s="16">
        <f t="shared" si="10"/>
        <v>3122.7330240238684</v>
      </c>
      <c r="W29" s="16">
        <f t="shared" si="10"/>
        <v>3216.4150147445844</v>
      </c>
      <c r="X29" s="16">
        <f t="shared" si="10"/>
        <v>3312.9074651869219</v>
      </c>
      <c r="Y29" s="16">
        <f t="shared" si="10"/>
        <v>3412.2946891425299</v>
      </c>
      <c r="Z29" s="16">
        <f t="shared" si="10"/>
        <v>3514.6635298168057</v>
      </c>
      <c r="AA29" s="16">
        <f t="shared" si="10"/>
        <v>3287.7438984110763</v>
      </c>
      <c r="AB29" s="16">
        <f t="shared" si="10"/>
        <v>3386.3762153634084</v>
      </c>
      <c r="AC29" s="16">
        <f t="shared" si="10"/>
        <v>3487.9675018243106</v>
      </c>
      <c r="AD29" s="16">
        <f t="shared" si="10"/>
        <v>3592.6065268790398</v>
      </c>
      <c r="AE29" s="16">
        <f t="shared" si="10"/>
        <v>3373.5243065814857</v>
      </c>
      <c r="AF29" s="16">
        <f t="shared" si="10"/>
        <v>3474.7300357789309</v>
      </c>
      <c r="AG29" s="16">
        <f t="shared" si="10"/>
        <v>3578.9719368522988</v>
      </c>
      <c r="AH29" s="16">
        <f t="shared" si="10"/>
        <v>3374.251501057679</v>
      </c>
      <c r="AI29" s="16">
        <f t="shared" si="10"/>
        <v>3194.5984115792389</v>
      </c>
      <c r="AJ29" s="16">
        <f t="shared" si="10"/>
        <v>3290.4363639266167</v>
      </c>
      <c r="AK29" s="16">
        <f t="shared" si="10"/>
        <v>3389.1494548444152</v>
      </c>
      <c r="AL29" s="16">
        <f t="shared" si="10"/>
        <v>3490.8239384897474</v>
      </c>
      <c r="AM29" s="16">
        <f t="shared" si="10"/>
        <v>3595.5486566444397</v>
      </c>
    </row>
    <row r="30" spans="2:39" s="18" customFormat="1" ht="21" customHeight="1" x14ac:dyDescent="0.3">
      <c r="B30" s="21" t="s">
        <v>27</v>
      </c>
      <c r="C30" s="19"/>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row>
    <row r="31" spans="2:39" s="12" customFormat="1" ht="21" customHeight="1" x14ac:dyDescent="0.3">
      <c r="B31" s="22" t="s">
        <v>28</v>
      </c>
      <c r="C31" s="10"/>
      <c r="D31" s="14">
        <v>6000</v>
      </c>
      <c r="E31" s="14">
        <v>6180</v>
      </c>
      <c r="F31" s="14">
        <f>E31*(0.9)</f>
        <v>5562</v>
      </c>
      <c r="G31" s="14">
        <v>5728.8600000000006</v>
      </c>
      <c r="H31" s="14">
        <v>5900.7258000000011</v>
      </c>
      <c r="I31" s="14">
        <v>6077.7475740000009</v>
      </c>
      <c r="J31" s="14">
        <v>6260.0800012200007</v>
      </c>
      <c r="K31" s="14">
        <v>6447.882401256601</v>
      </c>
      <c r="L31" s="14">
        <v>6641.318873294299</v>
      </c>
      <c r="M31" s="14">
        <v>6840.5584394931284</v>
      </c>
      <c r="N31" s="14">
        <v>7045.7751926779229</v>
      </c>
      <c r="O31" s="14">
        <f>N31*(0.9)</f>
        <v>6341.1976734101308</v>
      </c>
      <c r="P31" s="14">
        <v>6531.433603612435</v>
      </c>
      <c r="Q31" s="14">
        <v>6727.3766117208079</v>
      </c>
      <c r="R31" s="14">
        <v>6929.197910072432</v>
      </c>
      <c r="S31" s="14">
        <v>7137.0738473746051</v>
      </c>
      <c r="T31" s="14">
        <v>7351.1860627958431</v>
      </c>
      <c r="U31" s="14">
        <v>7571.7216446797183</v>
      </c>
      <c r="V31" s="14">
        <f>U31*(0.9)</f>
        <v>6814.5494802117464</v>
      </c>
      <c r="W31" s="14">
        <v>7018.9859646180994</v>
      </c>
      <c r="X31" s="14">
        <v>7229.555543556643</v>
      </c>
      <c r="Y31" s="14">
        <v>7446.4422098633422</v>
      </c>
      <c r="Z31" s="14">
        <v>7669.8354761592427</v>
      </c>
      <c r="AA31" s="14">
        <v>7899.9305404440202</v>
      </c>
      <c r="AB31" s="14">
        <v>8136.9284566573406</v>
      </c>
      <c r="AC31" s="14">
        <f t="shared" ref="AC31:AD35" si="11">AB31*(0.9)</f>
        <v>7323.2356109916063</v>
      </c>
      <c r="AD31" s="14">
        <f t="shared" si="11"/>
        <v>6590.9120498924458</v>
      </c>
      <c r="AE31" s="14">
        <v>6788.6394113892193</v>
      </c>
      <c r="AF31" s="14">
        <v>6992.2985937308958</v>
      </c>
      <c r="AG31" s="14">
        <v>7202.0675515428229</v>
      </c>
      <c r="AH31" s="14">
        <v>7418.1295780891078</v>
      </c>
      <c r="AI31" s="14">
        <f>AH31*(0.9)</f>
        <v>6676.3166202801967</v>
      </c>
      <c r="AJ31" s="14">
        <v>6876.6061188886024</v>
      </c>
      <c r="AK31" s="14">
        <v>7082.9043024552602</v>
      </c>
      <c r="AL31" s="14">
        <v>7295.3914315289185</v>
      </c>
      <c r="AM31" s="14">
        <v>7514.2531744747866</v>
      </c>
    </row>
    <row r="32" spans="2:39" s="12" customFormat="1" ht="21" customHeight="1" x14ac:dyDescent="0.3">
      <c r="B32" s="22" t="s">
        <v>29</v>
      </c>
      <c r="C32" s="10"/>
      <c r="D32" s="14">
        <f>D31*0.08</f>
        <v>480</v>
      </c>
      <c r="E32" s="14">
        <v>494.40000000000003</v>
      </c>
      <c r="F32" s="14">
        <f t="shared" ref="F32:F35" si="12">E32*(0.9)</f>
        <v>444.96000000000004</v>
      </c>
      <c r="G32" s="14">
        <v>458.30880000000008</v>
      </c>
      <c r="H32" s="14">
        <v>472.05806400000012</v>
      </c>
      <c r="I32" s="14">
        <v>486.21980592000011</v>
      </c>
      <c r="J32" s="14">
        <v>500.80640009760015</v>
      </c>
      <c r="K32" s="14">
        <v>515.83059210052818</v>
      </c>
      <c r="L32" s="14">
        <v>531.30550986354399</v>
      </c>
      <c r="M32" s="14">
        <v>547.24467515945037</v>
      </c>
      <c r="N32" s="14">
        <v>563.66201541423391</v>
      </c>
      <c r="O32" s="14">
        <f t="shared" ref="O32:O35" si="13">N32*(0.9)</f>
        <v>507.29581387281053</v>
      </c>
      <c r="P32" s="14">
        <v>522.51468828899488</v>
      </c>
      <c r="Q32" s="14">
        <v>538.19012893766478</v>
      </c>
      <c r="R32" s="14">
        <v>554.33583280579478</v>
      </c>
      <c r="S32" s="14">
        <v>570.96590778996858</v>
      </c>
      <c r="T32" s="14">
        <v>588.09488502366764</v>
      </c>
      <c r="U32" s="14">
        <v>605.73773157437768</v>
      </c>
      <c r="V32" s="14">
        <f t="shared" ref="V32:V35" si="14">U32*(0.9)</f>
        <v>545.16395841693998</v>
      </c>
      <c r="W32" s="14">
        <v>561.51887716944816</v>
      </c>
      <c r="X32" s="14">
        <v>578.36444348453165</v>
      </c>
      <c r="Y32" s="14">
        <v>595.71537678906759</v>
      </c>
      <c r="Z32" s="14">
        <v>613.58683809273964</v>
      </c>
      <c r="AA32" s="14">
        <v>631.99444323552189</v>
      </c>
      <c r="AB32" s="14">
        <v>650.95427653258753</v>
      </c>
      <c r="AC32" s="14">
        <f t="shared" si="11"/>
        <v>585.85884887932878</v>
      </c>
      <c r="AD32" s="14">
        <f t="shared" si="11"/>
        <v>527.27296399139595</v>
      </c>
      <c r="AE32" s="14">
        <v>543.0911529111379</v>
      </c>
      <c r="AF32" s="14">
        <v>559.38388749847206</v>
      </c>
      <c r="AG32" s="14">
        <v>576.16540412342624</v>
      </c>
      <c r="AH32" s="14">
        <v>593.45036624712907</v>
      </c>
      <c r="AI32" s="14">
        <f t="shared" ref="AI32:AI35" si="15">AH32*(0.9)</f>
        <v>534.10532962241621</v>
      </c>
      <c r="AJ32" s="14">
        <v>550.12848951108867</v>
      </c>
      <c r="AK32" s="14">
        <v>566.6323441964214</v>
      </c>
      <c r="AL32" s="14">
        <v>583.63131452231403</v>
      </c>
      <c r="AM32" s="14">
        <v>601.14025395798342</v>
      </c>
    </row>
    <row r="33" spans="2:39" s="12" customFormat="1" ht="21" customHeight="1" x14ac:dyDescent="0.3">
      <c r="B33" s="22" t="s">
        <v>30</v>
      </c>
      <c r="C33" s="10"/>
      <c r="D33" s="14">
        <f>D31*1</f>
        <v>6000</v>
      </c>
      <c r="E33" s="14">
        <v>6180</v>
      </c>
      <c r="F33" s="14">
        <f t="shared" si="12"/>
        <v>5562</v>
      </c>
      <c r="G33" s="14">
        <v>5728.8600000000006</v>
      </c>
      <c r="H33" s="14">
        <v>5900.7258000000011</v>
      </c>
      <c r="I33" s="14">
        <v>6077.7475740000009</v>
      </c>
      <c r="J33" s="14">
        <v>6260.0800012200007</v>
      </c>
      <c r="K33" s="14">
        <v>6447.882401256601</v>
      </c>
      <c r="L33" s="14">
        <v>6641.318873294299</v>
      </c>
      <c r="M33" s="14">
        <v>6840.5584394931284</v>
      </c>
      <c r="N33" s="14">
        <v>7045.7751926779229</v>
      </c>
      <c r="O33" s="14">
        <f t="shared" si="13"/>
        <v>6341.1976734101308</v>
      </c>
      <c r="P33" s="14">
        <v>6531.433603612435</v>
      </c>
      <c r="Q33" s="14">
        <v>6727.3766117208079</v>
      </c>
      <c r="R33" s="14">
        <v>6929.197910072432</v>
      </c>
      <c r="S33" s="14">
        <v>7137.0738473746051</v>
      </c>
      <c r="T33" s="14">
        <v>7351.1860627958431</v>
      </c>
      <c r="U33" s="14">
        <v>7571.7216446797183</v>
      </c>
      <c r="V33" s="14">
        <f t="shared" si="14"/>
        <v>6814.5494802117464</v>
      </c>
      <c r="W33" s="14">
        <v>7018.9859646180994</v>
      </c>
      <c r="X33" s="14">
        <v>7229.555543556643</v>
      </c>
      <c r="Y33" s="14">
        <v>7446.4422098633422</v>
      </c>
      <c r="Z33" s="14">
        <v>7669.8354761592427</v>
      </c>
      <c r="AA33" s="14">
        <v>7899.9305404440202</v>
      </c>
      <c r="AB33" s="14">
        <v>8136.9284566573406</v>
      </c>
      <c r="AC33" s="14">
        <f t="shared" si="11"/>
        <v>7323.2356109916063</v>
      </c>
      <c r="AD33" s="14">
        <f t="shared" si="11"/>
        <v>6590.9120498924458</v>
      </c>
      <c r="AE33" s="14">
        <v>6788.6394113892193</v>
      </c>
      <c r="AF33" s="14">
        <v>6992.2985937308958</v>
      </c>
      <c r="AG33" s="14">
        <v>7202.0675515428229</v>
      </c>
      <c r="AH33" s="14">
        <v>7418.1295780891078</v>
      </c>
      <c r="AI33" s="14">
        <f t="shared" si="15"/>
        <v>6676.3166202801967</v>
      </c>
      <c r="AJ33" s="14">
        <v>6876.6061188886024</v>
      </c>
      <c r="AK33" s="14">
        <v>7082.9043024552602</v>
      </c>
      <c r="AL33" s="14">
        <v>7295.3914315289185</v>
      </c>
      <c r="AM33" s="14">
        <v>7514.2531744747866</v>
      </c>
    </row>
    <row r="34" spans="2:39" s="12" customFormat="1" ht="21" customHeight="1" x14ac:dyDescent="0.3">
      <c r="B34" s="22" t="s">
        <v>31</v>
      </c>
      <c r="C34" s="10"/>
      <c r="D34" s="14">
        <f>D31*0.005</f>
        <v>30</v>
      </c>
      <c r="E34" s="14">
        <v>30.900000000000002</v>
      </c>
      <c r="F34" s="14">
        <f t="shared" si="12"/>
        <v>27.810000000000002</v>
      </c>
      <c r="G34" s="14">
        <v>28.644300000000005</v>
      </c>
      <c r="H34" s="14">
        <v>29.503629000000007</v>
      </c>
      <c r="I34" s="14">
        <v>30.388737870000007</v>
      </c>
      <c r="J34" s="14">
        <v>31.300400006100009</v>
      </c>
      <c r="K34" s="14">
        <v>32.239412006283011</v>
      </c>
      <c r="L34" s="14">
        <v>33.206594366471499</v>
      </c>
      <c r="M34" s="14">
        <v>34.202792197465648</v>
      </c>
      <c r="N34" s="14">
        <v>35.228875963389619</v>
      </c>
      <c r="O34" s="14">
        <f t="shared" si="13"/>
        <v>31.705988367050658</v>
      </c>
      <c r="P34" s="14">
        <v>32.65716801806218</v>
      </c>
      <c r="Q34" s="14">
        <v>33.636883058604049</v>
      </c>
      <c r="R34" s="14">
        <v>34.645989550362174</v>
      </c>
      <c r="S34" s="14">
        <v>35.685369236873036</v>
      </c>
      <c r="T34" s="14">
        <v>36.755930313979228</v>
      </c>
      <c r="U34" s="14">
        <v>37.858608223398605</v>
      </c>
      <c r="V34" s="14">
        <f t="shared" si="14"/>
        <v>34.072747401058749</v>
      </c>
      <c r="W34" s="14">
        <v>35.09492982309051</v>
      </c>
      <c r="X34" s="14">
        <v>36.147777717783228</v>
      </c>
      <c r="Y34" s="14">
        <v>37.232211049316724</v>
      </c>
      <c r="Z34" s="14">
        <v>38.349177380796228</v>
      </c>
      <c r="AA34" s="14">
        <v>39.499652702220118</v>
      </c>
      <c r="AB34" s="14">
        <v>40.68464228328672</v>
      </c>
      <c r="AC34" s="14">
        <f t="shared" si="11"/>
        <v>36.616178054958048</v>
      </c>
      <c r="AD34" s="14">
        <f t="shared" si="11"/>
        <v>32.954560249462247</v>
      </c>
      <c r="AE34" s="14">
        <v>33.943197056946119</v>
      </c>
      <c r="AF34" s="14">
        <v>34.961492968654504</v>
      </c>
      <c r="AG34" s="14">
        <v>36.01033775771414</v>
      </c>
      <c r="AH34" s="14">
        <v>37.090647890445567</v>
      </c>
      <c r="AI34" s="14">
        <f t="shared" si="15"/>
        <v>33.381583101401013</v>
      </c>
      <c r="AJ34" s="14">
        <v>34.383030594443042</v>
      </c>
      <c r="AK34" s="14">
        <v>35.414521512276337</v>
      </c>
      <c r="AL34" s="14">
        <v>36.476957157644627</v>
      </c>
      <c r="AM34" s="14">
        <v>37.571265872373964</v>
      </c>
    </row>
    <row r="35" spans="2:39" s="12" customFormat="1" ht="21" customHeight="1" x14ac:dyDescent="0.3">
      <c r="B35" s="22" t="s">
        <v>32</v>
      </c>
      <c r="C35" s="10"/>
      <c r="D35" s="14">
        <v>0</v>
      </c>
      <c r="E35" s="14">
        <v>0</v>
      </c>
      <c r="F35" s="14">
        <f t="shared" si="12"/>
        <v>0</v>
      </c>
      <c r="G35" s="14">
        <v>0</v>
      </c>
      <c r="H35" s="14">
        <v>0</v>
      </c>
      <c r="I35" s="14">
        <v>0</v>
      </c>
      <c r="J35" s="14">
        <v>0</v>
      </c>
      <c r="K35" s="14">
        <v>0</v>
      </c>
      <c r="L35" s="14">
        <v>0</v>
      </c>
      <c r="M35" s="14">
        <v>0</v>
      </c>
      <c r="N35" s="14">
        <v>0</v>
      </c>
      <c r="O35" s="14">
        <f t="shared" si="13"/>
        <v>0</v>
      </c>
      <c r="P35" s="14">
        <v>0</v>
      </c>
      <c r="Q35" s="14">
        <v>0</v>
      </c>
      <c r="R35" s="14">
        <v>0</v>
      </c>
      <c r="S35" s="14">
        <v>0</v>
      </c>
      <c r="T35" s="14">
        <v>0</v>
      </c>
      <c r="U35" s="14">
        <v>0</v>
      </c>
      <c r="V35" s="14">
        <f t="shared" si="14"/>
        <v>0</v>
      </c>
      <c r="W35" s="14">
        <v>0</v>
      </c>
      <c r="X35" s="14">
        <v>0</v>
      </c>
      <c r="Y35" s="14">
        <v>0</v>
      </c>
      <c r="Z35" s="14">
        <v>0</v>
      </c>
      <c r="AA35" s="14">
        <v>0</v>
      </c>
      <c r="AB35" s="14">
        <v>0</v>
      </c>
      <c r="AC35" s="14">
        <f t="shared" si="11"/>
        <v>0</v>
      </c>
      <c r="AD35" s="14">
        <f t="shared" si="11"/>
        <v>0</v>
      </c>
      <c r="AE35" s="14">
        <v>0</v>
      </c>
      <c r="AF35" s="14">
        <v>0</v>
      </c>
      <c r="AG35" s="14">
        <v>0</v>
      </c>
      <c r="AH35" s="14">
        <v>0</v>
      </c>
      <c r="AI35" s="14">
        <f t="shared" si="15"/>
        <v>0</v>
      </c>
      <c r="AJ35" s="14">
        <v>0</v>
      </c>
      <c r="AK35" s="14">
        <v>0</v>
      </c>
      <c r="AL35" s="14">
        <v>0</v>
      </c>
      <c r="AM35" s="14">
        <v>0</v>
      </c>
    </row>
    <row r="36" spans="2:39" s="12" customFormat="1" ht="21" customHeight="1" x14ac:dyDescent="0.3">
      <c r="B36" s="21" t="s">
        <v>33</v>
      </c>
      <c r="C36" s="10"/>
      <c r="D36" s="16">
        <f t="shared" ref="D36:AM36" si="16">SUM(D35, D34, D33, D32, D31 + D30)</f>
        <v>12510</v>
      </c>
      <c r="E36" s="16">
        <f t="shared" si="16"/>
        <v>12885.3</v>
      </c>
      <c r="F36" s="16">
        <f t="shared" si="16"/>
        <v>11596.77</v>
      </c>
      <c r="G36" s="16">
        <f t="shared" si="16"/>
        <v>11944.6731</v>
      </c>
      <c r="H36" s="16">
        <f t="shared" si="16"/>
        <v>12303.013293000002</v>
      </c>
      <c r="I36" s="16">
        <f t="shared" si="16"/>
        <v>12672.103691790002</v>
      </c>
      <c r="J36" s="16">
        <f t="shared" si="16"/>
        <v>13052.266802543701</v>
      </c>
      <c r="K36" s="16">
        <f t="shared" si="16"/>
        <v>13443.834806620012</v>
      </c>
      <c r="L36" s="16">
        <f t="shared" si="16"/>
        <v>13847.149850818612</v>
      </c>
      <c r="M36" s="16">
        <f t="shared" si="16"/>
        <v>14262.564346343173</v>
      </c>
      <c r="N36" s="16">
        <f t="shared" si="16"/>
        <v>14690.441276733469</v>
      </c>
      <c r="O36" s="16">
        <f t="shared" si="16"/>
        <v>13221.397149060123</v>
      </c>
      <c r="P36" s="16">
        <f t="shared" si="16"/>
        <v>13618.039063531927</v>
      </c>
      <c r="Q36" s="16">
        <f t="shared" si="16"/>
        <v>14026.580235437885</v>
      </c>
      <c r="R36" s="16">
        <f t="shared" si="16"/>
        <v>14447.377642501022</v>
      </c>
      <c r="S36" s="16">
        <f t="shared" si="16"/>
        <v>14880.798971776052</v>
      </c>
      <c r="T36" s="16">
        <f t="shared" si="16"/>
        <v>15327.222940929332</v>
      </c>
      <c r="U36" s="16">
        <f t="shared" si="16"/>
        <v>15787.039629157214</v>
      </c>
      <c r="V36" s="16">
        <f t="shared" si="16"/>
        <v>14208.335666241492</v>
      </c>
      <c r="W36" s="16">
        <f t="shared" si="16"/>
        <v>14634.585736228739</v>
      </c>
      <c r="X36" s="16">
        <f t="shared" si="16"/>
        <v>15073.6233083156</v>
      </c>
      <c r="Y36" s="16">
        <f t="shared" si="16"/>
        <v>15525.83200756507</v>
      </c>
      <c r="Z36" s="16">
        <f t="shared" si="16"/>
        <v>15991.60696779202</v>
      </c>
      <c r="AA36" s="16">
        <f t="shared" si="16"/>
        <v>16471.355176825782</v>
      </c>
      <c r="AB36" s="16">
        <f t="shared" si="16"/>
        <v>16965.495832130553</v>
      </c>
      <c r="AC36" s="16">
        <f t="shared" si="16"/>
        <v>15268.946248917498</v>
      </c>
      <c r="AD36" s="16">
        <f t="shared" si="16"/>
        <v>13742.051624025749</v>
      </c>
      <c r="AE36" s="16">
        <f t="shared" si="16"/>
        <v>14154.313172746522</v>
      </c>
      <c r="AF36" s="16">
        <f t="shared" si="16"/>
        <v>14578.942567928918</v>
      </c>
      <c r="AG36" s="16">
        <f t="shared" si="16"/>
        <v>15016.310844966785</v>
      </c>
      <c r="AH36" s="16">
        <f t="shared" si="16"/>
        <v>15466.80017031579</v>
      </c>
      <c r="AI36" s="16">
        <f t="shared" si="16"/>
        <v>13920.12015328421</v>
      </c>
      <c r="AJ36" s="16">
        <f t="shared" si="16"/>
        <v>14337.723757882737</v>
      </c>
      <c r="AK36" s="16">
        <f t="shared" si="16"/>
        <v>14767.855470619219</v>
      </c>
      <c r="AL36" s="16">
        <f t="shared" si="16"/>
        <v>15210.891134737794</v>
      </c>
      <c r="AM36" s="16">
        <f t="shared" si="16"/>
        <v>15667.217868779931</v>
      </c>
    </row>
    <row r="37" spans="2:39" s="12" customFormat="1" ht="21" customHeight="1" x14ac:dyDescent="0.3">
      <c r="B37" s="22" t="s">
        <v>34</v>
      </c>
      <c r="C37" s="10"/>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row>
    <row r="38" spans="2:39" s="18" customFormat="1" ht="21" customHeight="1" x14ac:dyDescent="0.3">
      <c r="B38" s="21" t="s">
        <v>35</v>
      </c>
      <c r="C38" s="19"/>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row>
    <row r="39" spans="2:39" s="12" customFormat="1" ht="21" customHeight="1" x14ac:dyDescent="0.3">
      <c r="B39" s="22" t="s">
        <v>36</v>
      </c>
      <c r="C39" s="10"/>
      <c r="D39" s="14">
        <v>400</v>
      </c>
      <c r="E39" s="14">
        <v>412</v>
      </c>
      <c r="F39" s="14">
        <v>424.36</v>
      </c>
      <c r="G39" s="14">
        <v>437.0908</v>
      </c>
      <c r="H39" s="14">
        <v>450.20352400000002</v>
      </c>
      <c r="I39" s="14">
        <v>463.70962972000001</v>
      </c>
      <c r="J39" s="14">
        <v>477.62091861160002</v>
      </c>
      <c r="K39" s="14">
        <v>491.94954616994801</v>
      </c>
      <c r="L39" s="14">
        <v>506.70803255504649</v>
      </c>
      <c r="M39" s="14">
        <v>521.90927353169786</v>
      </c>
      <c r="N39" s="14">
        <v>537.56655173764887</v>
      </c>
      <c r="O39" s="14">
        <v>553.69354828977839</v>
      </c>
      <c r="P39" s="14">
        <v>570.30435473847172</v>
      </c>
      <c r="Q39" s="14">
        <v>587.41348538062584</v>
      </c>
      <c r="R39" s="14">
        <v>605.03588994204461</v>
      </c>
      <c r="S39" s="14">
        <v>623.18696664030597</v>
      </c>
      <c r="T39" s="14">
        <v>641.88257563951515</v>
      </c>
      <c r="U39" s="14">
        <v>661.13905290870059</v>
      </c>
      <c r="V39" s="14">
        <v>680.97322449596163</v>
      </c>
      <c r="W39" s="14">
        <v>701.40242123084045</v>
      </c>
      <c r="X39" s="14">
        <v>722.44449386776569</v>
      </c>
      <c r="Y39" s="14">
        <v>744.11782868379862</v>
      </c>
      <c r="Z39" s="14">
        <v>766.44136354431259</v>
      </c>
      <c r="AA39" s="14">
        <v>789.43460445064204</v>
      </c>
      <c r="AB39" s="14">
        <v>813.11764258416133</v>
      </c>
      <c r="AC39" s="14">
        <v>837.51117186168619</v>
      </c>
      <c r="AD39" s="14">
        <v>862.63650701753681</v>
      </c>
      <c r="AE39" s="14">
        <v>888.5156022280629</v>
      </c>
      <c r="AF39" s="14">
        <v>915.17107029490478</v>
      </c>
      <c r="AG39" s="14">
        <v>942.6262024037519</v>
      </c>
      <c r="AH39" s="14">
        <v>970.90498847586446</v>
      </c>
      <c r="AI39" s="14">
        <v>1000.0321381301404</v>
      </c>
      <c r="AJ39" s="14">
        <v>1030.0331022740447</v>
      </c>
      <c r="AK39" s="14">
        <v>1060.9340953422661</v>
      </c>
      <c r="AL39" s="14">
        <v>1092.7621182025341</v>
      </c>
      <c r="AM39" s="14">
        <v>1125.5449817486101</v>
      </c>
    </row>
    <row r="40" spans="2:39" s="12" customFormat="1" ht="21" customHeight="1" x14ac:dyDescent="0.3">
      <c r="B40" s="22" t="s">
        <v>37</v>
      </c>
      <c r="C40" s="10"/>
      <c r="D40" s="14">
        <v>250</v>
      </c>
      <c r="E40" s="14">
        <v>257.5</v>
      </c>
      <c r="F40" s="14">
        <v>265.22500000000002</v>
      </c>
      <c r="G40" s="14">
        <v>273.18175000000002</v>
      </c>
      <c r="H40" s="14">
        <v>281.37720250000001</v>
      </c>
      <c r="I40" s="14">
        <v>289.81851857500004</v>
      </c>
      <c r="J40" s="14">
        <v>298.51307413225004</v>
      </c>
      <c r="K40" s="14">
        <v>307.46846635621756</v>
      </c>
      <c r="L40" s="14">
        <v>316.69252034690408</v>
      </c>
      <c r="M40" s="14">
        <v>326.19329595731119</v>
      </c>
      <c r="N40" s="14">
        <v>335.97909483603053</v>
      </c>
      <c r="O40" s="14">
        <v>346.05846768111144</v>
      </c>
      <c r="P40" s="14">
        <v>356.44022171154478</v>
      </c>
      <c r="Q40" s="14">
        <v>367.13342836289115</v>
      </c>
      <c r="R40" s="14">
        <v>378.14743121377791</v>
      </c>
      <c r="S40" s="14">
        <v>389.49185415019127</v>
      </c>
      <c r="T40" s="14">
        <v>401.176609774697</v>
      </c>
      <c r="U40" s="14">
        <v>413.21190806793794</v>
      </c>
      <c r="V40" s="14">
        <v>425.6082653099761</v>
      </c>
      <c r="W40" s="14">
        <v>438.37651326927539</v>
      </c>
      <c r="X40" s="14">
        <v>451.52780866735367</v>
      </c>
      <c r="Y40" s="14">
        <v>465.07364292737429</v>
      </c>
      <c r="Z40" s="14">
        <v>479.02585221519553</v>
      </c>
      <c r="AA40" s="14">
        <v>493.39662778165143</v>
      </c>
      <c r="AB40" s="14">
        <v>508.198526615101</v>
      </c>
      <c r="AC40" s="14">
        <v>523.44448241355406</v>
      </c>
      <c r="AD40" s="14">
        <v>539.14781688596065</v>
      </c>
      <c r="AE40" s="14">
        <v>555.32225139253944</v>
      </c>
      <c r="AF40" s="14">
        <v>571.98191893431567</v>
      </c>
      <c r="AG40" s="14">
        <v>589.14137650234511</v>
      </c>
      <c r="AH40" s="14">
        <v>606.81561779741548</v>
      </c>
      <c r="AI40" s="14">
        <v>625.02008633133801</v>
      </c>
      <c r="AJ40" s="14">
        <v>643.77068892127818</v>
      </c>
      <c r="AK40" s="14">
        <v>663.08380958891655</v>
      </c>
      <c r="AL40" s="14">
        <v>682.97632387658405</v>
      </c>
      <c r="AM40" s="14">
        <v>703.4656135928816</v>
      </c>
    </row>
    <row r="41" spans="2:39" s="12" customFormat="1" ht="21" customHeight="1" x14ac:dyDescent="0.3">
      <c r="B41" s="22" t="s">
        <v>38</v>
      </c>
      <c r="C41" s="10"/>
      <c r="D41" s="14">
        <v>250</v>
      </c>
      <c r="E41" s="14">
        <v>257.5</v>
      </c>
      <c r="F41" s="14">
        <v>265.22500000000002</v>
      </c>
      <c r="G41" s="14">
        <v>273.18175000000002</v>
      </c>
      <c r="H41" s="14">
        <v>281.37720250000001</v>
      </c>
      <c r="I41" s="14">
        <v>289.81851857500004</v>
      </c>
      <c r="J41" s="14">
        <v>298.51307413225004</v>
      </c>
      <c r="K41" s="14">
        <v>307.46846635621756</v>
      </c>
      <c r="L41" s="14">
        <v>316.69252034690408</v>
      </c>
      <c r="M41" s="14">
        <v>326.19329595731119</v>
      </c>
      <c r="N41" s="14">
        <v>335.97909483603053</v>
      </c>
      <c r="O41" s="14">
        <v>346.05846768111144</v>
      </c>
      <c r="P41" s="14">
        <v>356.44022171154478</v>
      </c>
      <c r="Q41" s="14">
        <v>367.13342836289115</v>
      </c>
      <c r="R41" s="14">
        <v>378.14743121377791</v>
      </c>
      <c r="S41" s="14">
        <v>389.49185415019127</v>
      </c>
      <c r="T41" s="14">
        <v>401.176609774697</v>
      </c>
      <c r="U41" s="14">
        <v>413.21190806793794</v>
      </c>
      <c r="V41" s="14">
        <v>425.6082653099761</v>
      </c>
      <c r="W41" s="14">
        <v>438.37651326927539</v>
      </c>
      <c r="X41" s="14">
        <v>451.52780866735367</v>
      </c>
      <c r="Y41" s="14">
        <v>465.07364292737429</v>
      </c>
      <c r="Z41" s="14">
        <v>479.02585221519553</v>
      </c>
      <c r="AA41" s="14">
        <v>493.39662778165143</v>
      </c>
      <c r="AB41" s="14">
        <v>508.198526615101</v>
      </c>
      <c r="AC41" s="14">
        <v>523.44448241355406</v>
      </c>
      <c r="AD41" s="14">
        <v>539.14781688596065</v>
      </c>
      <c r="AE41" s="14">
        <v>555.32225139253944</v>
      </c>
      <c r="AF41" s="14">
        <v>571.98191893431567</v>
      </c>
      <c r="AG41" s="14">
        <v>589.14137650234511</v>
      </c>
      <c r="AH41" s="14">
        <v>606.81561779741548</v>
      </c>
      <c r="AI41" s="14">
        <v>625.02008633133801</v>
      </c>
      <c r="AJ41" s="14">
        <v>643.77068892127818</v>
      </c>
      <c r="AK41" s="14">
        <v>663.08380958891655</v>
      </c>
      <c r="AL41" s="14">
        <v>682.97632387658405</v>
      </c>
      <c r="AM41" s="14">
        <v>703.4656135928816</v>
      </c>
    </row>
    <row r="42" spans="2:39" s="12" customFormat="1" ht="21" customHeight="1" x14ac:dyDescent="0.3">
      <c r="B42" s="21" t="s">
        <v>39</v>
      </c>
      <c r="C42" s="10"/>
      <c r="D42" s="14">
        <f t="shared" ref="D42" si="17">SUM(D41, D40, D39 + D38)</f>
        <v>900</v>
      </c>
      <c r="E42" s="14">
        <v>900</v>
      </c>
      <c r="F42" s="14">
        <v>900</v>
      </c>
      <c r="G42" s="14">
        <v>900</v>
      </c>
      <c r="H42" s="14">
        <v>900</v>
      </c>
      <c r="I42" s="14">
        <v>900</v>
      </c>
      <c r="J42" s="14">
        <v>900</v>
      </c>
      <c r="K42" s="14">
        <v>900</v>
      </c>
      <c r="L42" s="14">
        <v>900</v>
      </c>
      <c r="M42" s="14">
        <v>900</v>
      </c>
      <c r="N42" s="14">
        <v>900</v>
      </c>
      <c r="O42" s="14">
        <v>900</v>
      </c>
      <c r="P42" s="14">
        <v>900</v>
      </c>
      <c r="Q42" s="14">
        <v>900</v>
      </c>
      <c r="R42" s="14">
        <v>900</v>
      </c>
      <c r="S42" s="14">
        <v>900</v>
      </c>
      <c r="T42" s="14">
        <v>900</v>
      </c>
      <c r="U42" s="14">
        <v>900</v>
      </c>
      <c r="V42" s="14">
        <v>900</v>
      </c>
      <c r="W42" s="14">
        <v>900</v>
      </c>
      <c r="X42" s="14">
        <v>900</v>
      </c>
      <c r="Y42" s="14">
        <v>900</v>
      </c>
      <c r="Z42" s="14">
        <v>900</v>
      </c>
      <c r="AA42" s="14">
        <v>900</v>
      </c>
      <c r="AB42" s="14">
        <v>900</v>
      </c>
      <c r="AC42" s="14">
        <v>900</v>
      </c>
      <c r="AD42" s="14">
        <v>900</v>
      </c>
      <c r="AE42" s="14">
        <v>900</v>
      </c>
      <c r="AF42" s="14">
        <v>900</v>
      </c>
      <c r="AG42" s="14">
        <v>900</v>
      </c>
      <c r="AH42" s="14">
        <v>900</v>
      </c>
      <c r="AI42" s="14">
        <v>900</v>
      </c>
      <c r="AJ42" s="14">
        <v>900</v>
      </c>
      <c r="AK42" s="14">
        <v>900</v>
      </c>
      <c r="AL42" s="14">
        <v>900</v>
      </c>
      <c r="AM42" s="14">
        <v>900</v>
      </c>
    </row>
    <row r="43" spans="2:39" s="12" customFormat="1" ht="21" customHeight="1" x14ac:dyDescent="0.3">
      <c r="B43" s="15" t="s">
        <v>40</v>
      </c>
      <c r="C43" s="10"/>
      <c r="D43" s="16">
        <f t="shared" ref="D43:AM43" si="18">SUM(D41, D40, D39, D38, D37, D35, D34, D33, D32, D31, D30, D28, D27, D26, D25, D24, D22, D21, D20, D19, D18, D17, D16, D15, D14 + D13)</f>
        <v>19060</v>
      </c>
      <c r="E43" s="16">
        <f t="shared" si="18"/>
        <v>19631.8</v>
      </c>
      <c r="F43" s="16">
        <f t="shared" si="18"/>
        <v>18197.525000000001</v>
      </c>
      <c r="G43" s="16">
        <f t="shared" si="18"/>
        <v>18743.45075</v>
      </c>
      <c r="H43" s="16">
        <f t="shared" si="18"/>
        <v>19021.645252500002</v>
      </c>
      <c r="I43" s="16">
        <f t="shared" si="18"/>
        <v>19592.294610075001</v>
      </c>
      <c r="J43" s="16">
        <f t="shared" si="18"/>
        <v>19837.683668375252</v>
      </c>
      <c r="K43" s="16">
        <f t="shared" si="18"/>
        <v>20124.672376424711</v>
      </c>
      <c r="L43" s="16">
        <f t="shared" si="18"/>
        <v>20728.412547717449</v>
      </c>
      <c r="M43" s="16">
        <f t="shared" si="18"/>
        <v>21350.264924148978</v>
      </c>
      <c r="N43" s="16">
        <f t="shared" si="18"/>
        <v>21990.772871873447</v>
      </c>
      <c r="O43" s="16">
        <f t="shared" si="18"/>
        <v>20435.42176703826</v>
      </c>
      <c r="P43" s="16">
        <f t="shared" si="18"/>
        <v>21048.484420049404</v>
      </c>
      <c r="Q43" s="16">
        <f t="shared" si="18"/>
        <v>21358.440230608994</v>
      </c>
      <c r="R43" s="16">
        <f t="shared" si="18"/>
        <v>21709.84458768956</v>
      </c>
      <c r="S43" s="16">
        <f t="shared" si="18"/>
        <v>22361.139925320247</v>
      </c>
      <c r="T43" s="16">
        <f t="shared" si="18"/>
        <v>22722.700923026954</v>
      </c>
      <c r="U43" s="16">
        <f t="shared" si="18"/>
        <v>23128.108775404224</v>
      </c>
      <c r="V43" s="16">
        <f t="shared" si="18"/>
        <v>21769.636886875916</v>
      </c>
      <c r="W43" s="16">
        <f t="shared" si="18"/>
        <v>22422.725993482189</v>
      </c>
      <c r="X43" s="16">
        <f t="shared" si="18"/>
        <v>23095.407773286661</v>
      </c>
      <c r="Y43" s="16">
        <f t="shared" si="18"/>
        <v>23516.567964248512</v>
      </c>
      <c r="Z43" s="16">
        <f t="shared" si="18"/>
        <v>24222.065003175961</v>
      </c>
      <c r="AA43" s="16">
        <f t="shared" si="18"/>
        <v>24616.367415971006</v>
      </c>
      <c r="AB43" s="16">
        <f t="shared" si="18"/>
        <v>25354.858438450141</v>
      </c>
      <c r="AC43" s="16">
        <f t="shared" si="18"/>
        <v>23642.783191670151</v>
      </c>
      <c r="AD43" s="16">
        <f t="shared" si="18"/>
        <v>22367.103675060986</v>
      </c>
      <c r="AE43" s="16">
        <f t="shared" si="18"/>
        <v>22711.256369208892</v>
      </c>
      <c r="AF43" s="16">
        <f t="shared" si="18"/>
        <v>23392.594060285155</v>
      </c>
      <c r="AG43" s="16">
        <f t="shared" si="18"/>
        <v>24094.371882093707</v>
      </c>
      <c r="AH43" s="16">
        <f t="shared" si="18"/>
        <v>24234.4444595034</v>
      </c>
      <c r="AI43" s="16">
        <f t="shared" si="18"/>
        <v>22426.31104999964</v>
      </c>
      <c r="AJ43" s="16">
        <f t="shared" si="18"/>
        <v>23099.100381499629</v>
      </c>
      <c r="AK43" s="16">
        <f t="shared" si="18"/>
        <v>23792.073392944614</v>
      </c>
      <c r="AL43" s="16">
        <f t="shared" si="18"/>
        <v>24273.241886390475</v>
      </c>
      <c r="AM43" s="16">
        <f t="shared" si="18"/>
        <v>24792.104805473951</v>
      </c>
    </row>
    <row r="44" spans="2:39" s="18" customFormat="1" ht="21" customHeight="1" x14ac:dyDescent="0.3">
      <c r="B44" s="15" t="s">
        <v>41</v>
      </c>
      <c r="C44" s="19"/>
      <c r="D44" s="20">
        <f t="shared" ref="D44:AM44" si="19">D12-D43</f>
        <v>-19060</v>
      </c>
      <c r="E44" s="20">
        <f t="shared" si="19"/>
        <v>-19631.8</v>
      </c>
      <c r="F44" s="20">
        <f t="shared" si="19"/>
        <v>-18197.525000000001</v>
      </c>
      <c r="G44" s="20">
        <f t="shared" si="19"/>
        <v>-18743.45075</v>
      </c>
      <c r="H44" s="20">
        <f t="shared" si="19"/>
        <v>-19021.645252500002</v>
      </c>
      <c r="I44" s="20">
        <f t="shared" si="19"/>
        <v>-19592.294610075001</v>
      </c>
      <c r="J44" s="20">
        <f t="shared" si="19"/>
        <v>-19837.683668375252</v>
      </c>
      <c r="K44" s="20">
        <f t="shared" si="19"/>
        <v>-20124.672376424711</v>
      </c>
      <c r="L44" s="20">
        <f t="shared" si="19"/>
        <v>-20728.412547717449</v>
      </c>
      <c r="M44" s="20">
        <f t="shared" si="19"/>
        <v>-21350.264924148978</v>
      </c>
      <c r="N44" s="20">
        <f t="shared" si="19"/>
        <v>-21990.772871873447</v>
      </c>
      <c r="O44" s="20">
        <f t="shared" si="19"/>
        <v>-20435.42176703826</v>
      </c>
      <c r="P44" s="20">
        <f t="shared" si="19"/>
        <v>-21048.484420049404</v>
      </c>
      <c r="Q44" s="20">
        <f t="shared" si="19"/>
        <v>-21358.440230608994</v>
      </c>
      <c r="R44" s="20">
        <f t="shared" si="19"/>
        <v>-21709.84458768956</v>
      </c>
      <c r="S44" s="20">
        <f t="shared" si="19"/>
        <v>-22361.139925320247</v>
      </c>
      <c r="T44" s="20">
        <f t="shared" si="19"/>
        <v>-22722.700923026954</v>
      </c>
      <c r="U44" s="20">
        <f t="shared" si="19"/>
        <v>-23128.108775404224</v>
      </c>
      <c r="V44" s="20">
        <f t="shared" si="19"/>
        <v>-21769.636886875916</v>
      </c>
      <c r="W44" s="20">
        <f t="shared" si="19"/>
        <v>-22422.725993482189</v>
      </c>
      <c r="X44" s="20">
        <f t="shared" si="19"/>
        <v>-23095.407773286661</v>
      </c>
      <c r="Y44" s="20">
        <f t="shared" si="19"/>
        <v>-23516.567964248512</v>
      </c>
      <c r="Z44" s="20">
        <f t="shared" si="19"/>
        <v>-24222.065003175961</v>
      </c>
      <c r="AA44" s="20">
        <f t="shared" si="19"/>
        <v>-24616.367415971006</v>
      </c>
      <c r="AB44" s="20">
        <f t="shared" si="19"/>
        <v>-25354.858438450141</v>
      </c>
      <c r="AC44" s="20">
        <f t="shared" si="19"/>
        <v>-23642.783191670151</v>
      </c>
      <c r="AD44" s="20">
        <f t="shared" si="19"/>
        <v>-22367.103675060986</v>
      </c>
      <c r="AE44" s="20">
        <f t="shared" si="19"/>
        <v>-22711.256369208892</v>
      </c>
      <c r="AF44" s="20">
        <f t="shared" si="19"/>
        <v>-23392.594060285155</v>
      </c>
      <c r="AG44" s="20">
        <f t="shared" si="19"/>
        <v>-24094.371882093707</v>
      </c>
      <c r="AH44" s="20">
        <f t="shared" si="19"/>
        <v>-24234.4444595034</v>
      </c>
      <c r="AI44" s="20">
        <f t="shared" si="19"/>
        <v>-22426.31104999964</v>
      </c>
      <c r="AJ44" s="20">
        <f t="shared" si="19"/>
        <v>-23099.100381499629</v>
      </c>
      <c r="AK44" s="20">
        <f t="shared" si="19"/>
        <v>-23792.073392944614</v>
      </c>
      <c r="AL44" s="20">
        <f t="shared" si="19"/>
        <v>-24273.241886390475</v>
      </c>
      <c r="AM44" s="20">
        <f t="shared" si="19"/>
        <v>-24792.104805473951</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Y47" si="20">SUM(D46 + D45)</f>
        <v>0</v>
      </c>
      <c r="E47" s="16">
        <f t="shared" si="20"/>
        <v>0</v>
      </c>
      <c r="F47" s="16">
        <f t="shared" si="20"/>
        <v>0</v>
      </c>
      <c r="G47" s="16">
        <f t="shared" si="20"/>
        <v>0</v>
      </c>
      <c r="H47" s="16">
        <f t="shared" si="20"/>
        <v>0</v>
      </c>
      <c r="I47" s="16">
        <f t="shared" si="20"/>
        <v>0</v>
      </c>
      <c r="J47" s="16">
        <f t="shared" si="20"/>
        <v>0</v>
      </c>
      <c r="K47" s="16">
        <f t="shared" si="20"/>
        <v>0</v>
      </c>
      <c r="L47" s="16">
        <f t="shared" si="20"/>
        <v>0</v>
      </c>
      <c r="M47" s="16">
        <f t="shared" si="20"/>
        <v>0</v>
      </c>
      <c r="N47" s="16">
        <f t="shared" si="20"/>
        <v>0</v>
      </c>
      <c r="O47" s="16">
        <f t="shared" si="20"/>
        <v>0</v>
      </c>
      <c r="P47" s="16">
        <f t="shared" si="20"/>
        <v>0</v>
      </c>
      <c r="Q47" s="16">
        <f t="shared" si="20"/>
        <v>0</v>
      </c>
      <c r="R47" s="16">
        <f t="shared" si="20"/>
        <v>0</v>
      </c>
      <c r="S47" s="16">
        <f t="shared" si="20"/>
        <v>0</v>
      </c>
      <c r="T47" s="16">
        <f t="shared" si="20"/>
        <v>0</v>
      </c>
      <c r="U47" s="16">
        <f t="shared" si="20"/>
        <v>0</v>
      </c>
      <c r="V47" s="16">
        <f t="shared" si="20"/>
        <v>0</v>
      </c>
      <c r="W47" s="16">
        <f t="shared" si="20"/>
        <v>0</v>
      </c>
      <c r="X47" s="16">
        <f t="shared" si="20"/>
        <v>0</v>
      </c>
      <c r="Y47" s="16">
        <f t="shared" si="20"/>
        <v>0</v>
      </c>
      <c r="Z47" s="16">
        <f>SUM(Z46 + Z45)</f>
        <v>0</v>
      </c>
      <c r="AA47" s="16">
        <f t="shared" ref="AA47:AM47" si="21">SUM(AA46 + AA45)</f>
        <v>0</v>
      </c>
      <c r="AB47" s="16">
        <f t="shared" si="21"/>
        <v>0</v>
      </c>
      <c r="AC47" s="16">
        <f t="shared" si="21"/>
        <v>0</v>
      </c>
      <c r="AD47" s="16">
        <f t="shared" si="21"/>
        <v>0</v>
      </c>
      <c r="AE47" s="16">
        <f t="shared" si="21"/>
        <v>0</v>
      </c>
      <c r="AF47" s="16">
        <f t="shared" si="21"/>
        <v>0</v>
      </c>
      <c r="AG47" s="16">
        <f t="shared" si="21"/>
        <v>0</v>
      </c>
      <c r="AH47" s="16">
        <f t="shared" si="21"/>
        <v>0</v>
      </c>
      <c r="AI47" s="16">
        <f t="shared" si="21"/>
        <v>0</v>
      </c>
      <c r="AJ47" s="16">
        <f t="shared" si="21"/>
        <v>0</v>
      </c>
      <c r="AK47" s="16">
        <f t="shared" si="21"/>
        <v>0</v>
      </c>
      <c r="AL47" s="16">
        <f t="shared" si="21"/>
        <v>0</v>
      </c>
      <c r="AM47" s="16">
        <f t="shared" si="21"/>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0</v>
      </c>
      <c r="E49" s="14">
        <v>0</v>
      </c>
      <c r="F49" s="14">
        <v>0</v>
      </c>
      <c r="G49" s="14">
        <v>0</v>
      </c>
      <c r="H49" s="14">
        <v>0</v>
      </c>
      <c r="I49" s="14">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0</v>
      </c>
      <c r="AD49" s="14">
        <v>0</v>
      </c>
      <c r="AE49" s="14">
        <v>0</v>
      </c>
      <c r="AF49" s="14">
        <v>0</v>
      </c>
      <c r="AG49" s="14">
        <v>0</v>
      </c>
      <c r="AH49" s="14">
        <v>0</v>
      </c>
      <c r="AI49" s="14">
        <v>0</v>
      </c>
      <c r="AJ49" s="14">
        <v>0</v>
      </c>
      <c r="AK49" s="14">
        <v>0</v>
      </c>
      <c r="AL49" s="14">
        <v>0</v>
      </c>
      <c r="AM49" s="14">
        <v>0</v>
      </c>
    </row>
    <row r="50" spans="2:39" s="12" customFormat="1" ht="21" customHeight="1" x14ac:dyDescent="0.3">
      <c r="B50" s="13" t="s">
        <v>47</v>
      </c>
      <c r="C50" s="10"/>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0</v>
      </c>
      <c r="AC50" s="14">
        <v>0</v>
      </c>
      <c r="AD50" s="14">
        <v>0</v>
      </c>
      <c r="AE50" s="14">
        <v>0</v>
      </c>
      <c r="AF50" s="14">
        <v>0</v>
      </c>
      <c r="AG50" s="14">
        <v>0</v>
      </c>
      <c r="AH50" s="14">
        <v>0</v>
      </c>
      <c r="AI50" s="14">
        <v>0</v>
      </c>
      <c r="AJ50" s="14">
        <v>0</v>
      </c>
      <c r="AK50" s="14">
        <v>0</v>
      </c>
      <c r="AL50" s="14">
        <v>0</v>
      </c>
      <c r="AM50" s="14">
        <v>0</v>
      </c>
    </row>
    <row r="51" spans="2:39" s="12" customFormat="1" ht="21" customHeight="1" x14ac:dyDescent="0.3">
      <c r="B51" s="15" t="s">
        <v>48</v>
      </c>
      <c r="C51" s="10"/>
      <c r="D51" s="16">
        <f t="shared" ref="D51:AM51" si="22">SUM(D50, D49 + D48)</f>
        <v>0</v>
      </c>
      <c r="E51" s="16">
        <f t="shared" si="22"/>
        <v>0</v>
      </c>
      <c r="F51" s="16">
        <f t="shared" si="22"/>
        <v>0</v>
      </c>
      <c r="G51" s="16">
        <f t="shared" si="22"/>
        <v>0</v>
      </c>
      <c r="H51" s="16">
        <f t="shared" si="22"/>
        <v>0</v>
      </c>
      <c r="I51" s="16">
        <f t="shared" si="22"/>
        <v>0</v>
      </c>
      <c r="J51" s="16">
        <f t="shared" si="22"/>
        <v>0</v>
      </c>
      <c r="K51" s="16">
        <f t="shared" si="22"/>
        <v>0</v>
      </c>
      <c r="L51" s="16">
        <f t="shared" si="22"/>
        <v>0</v>
      </c>
      <c r="M51" s="16">
        <f t="shared" si="22"/>
        <v>0</v>
      </c>
      <c r="N51" s="16">
        <f t="shared" si="22"/>
        <v>0</v>
      </c>
      <c r="O51" s="16">
        <f t="shared" si="22"/>
        <v>0</v>
      </c>
      <c r="P51" s="16">
        <f t="shared" si="22"/>
        <v>0</v>
      </c>
      <c r="Q51" s="16">
        <f t="shared" si="22"/>
        <v>0</v>
      </c>
      <c r="R51" s="16">
        <f t="shared" si="22"/>
        <v>0</v>
      </c>
      <c r="S51" s="16">
        <f t="shared" si="22"/>
        <v>0</v>
      </c>
      <c r="T51" s="16">
        <f t="shared" si="22"/>
        <v>0</v>
      </c>
      <c r="U51" s="16">
        <f t="shared" si="22"/>
        <v>0</v>
      </c>
      <c r="V51" s="16">
        <f t="shared" si="22"/>
        <v>0</v>
      </c>
      <c r="W51" s="16">
        <f t="shared" si="22"/>
        <v>0</v>
      </c>
      <c r="X51" s="16">
        <f t="shared" si="22"/>
        <v>0</v>
      </c>
      <c r="Y51" s="16">
        <f t="shared" si="22"/>
        <v>0</v>
      </c>
      <c r="Z51" s="16">
        <f t="shared" si="22"/>
        <v>0</v>
      </c>
      <c r="AA51" s="16">
        <f t="shared" si="22"/>
        <v>0</v>
      </c>
      <c r="AB51" s="16">
        <f t="shared" si="22"/>
        <v>0</v>
      </c>
      <c r="AC51" s="16">
        <f t="shared" si="22"/>
        <v>0</v>
      </c>
      <c r="AD51" s="16">
        <f t="shared" si="22"/>
        <v>0</v>
      </c>
      <c r="AE51" s="16">
        <f t="shared" si="22"/>
        <v>0</v>
      </c>
      <c r="AF51" s="16">
        <f t="shared" si="22"/>
        <v>0</v>
      </c>
      <c r="AG51" s="16">
        <f t="shared" si="22"/>
        <v>0</v>
      </c>
      <c r="AH51" s="16">
        <f t="shared" si="22"/>
        <v>0</v>
      </c>
      <c r="AI51" s="16">
        <f t="shared" si="22"/>
        <v>0</v>
      </c>
      <c r="AJ51" s="16">
        <f t="shared" si="22"/>
        <v>0</v>
      </c>
      <c r="AK51" s="16">
        <f t="shared" si="22"/>
        <v>0</v>
      </c>
      <c r="AL51" s="16">
        <f t="shared" si="22"/>
        <v>0</v>
      </c>
      <c r="AM51" s="16">
        <f t="shared" si="22"/>
        <v>0</v>
      </c>
    </row>
    <row r="52" spans="2:39" s="18" customFormat="1" ht="21" customHeight="1" x14ac:dyDescent="0.3">
      <c r="B52" s="15" t="s">
        <v>49</v>
      </c>
      <c r="C52" s="19"/>
      <c r="D52" s="20">
        <f t="shared" ref="D52:AM52" si="23">D47-D51</f>
        <v>0</v>
      </c>
      <c r="E52" s="20">
        <f t="shared" si="23"/>
        <v>0</v>
      </c>
      <c r="F52" s="20">
        <f t="shared" si="23"/>
        <v>0</v>
      </c>
      <c r="G52" s="20">
        <f t="shared" si="23"/>
        <v>0</v>
      </c>
      <c r="H52" s="20">
        <f t="shared" si="23"/>
        <v>0</v>
      </c>
      <c r="I52" s="20">
        <f t="shared" si="23"/>
        <v>0</v>
      </c>
      <c r="J52" s="20">
        <f t="shared" si="23"/>
        <v>0</v>
      </c>
      <c r="K52" s="20">
        <f t="shared" si="23"/>
        <v>0</v>
      </c>
      <c r="L52" s="20">
        <f t="shared" si="23"/>
        <v>0</v>
      </c>
      <c r="M52" s="20">
        <f t="shared" si="23"/>
        <v>0</v>
      </c>
      <c r="N52" s="20">
        <f t="shared" si="23"/>
        <v>0</v>
      </c>
      <c r="O52" s="20">
        <f t="shared" si="23"/>
        <v>0</v>
      </c>
      <c r="P52" s="20">
        <f t="shared" si="23"/>
        <v>0</v>
      </c>
      <c r="Q52" s="20">
        <f t="shared" si="23"/>
        <v>0</v>
      </c>
      <c r="R52" s="20">
        <f t="shared" si="23"/>
        <v>0</v>
      </c>
      <c r="S52" s="20">
        <f t="shared" si="23"/>
        <v>0</v>
      </c>
      <c r="T52" s="20">
        <f t="shared" si="23"/>
        <v>0</v>
      </c>
      <c r="U52" s="20">
        <f t="shared" si="23"/>
        <v>0</v>
      </c>
      <c r="V52" s="20">
        <f t="shared" si="23"/>
        <v>0</v>
      </c>
      <c r="W52" s="20">
        <f t="shared" si="23"/>
        <v>0</v>
      </c>
      <c r="X52" s="20">
        <f t="shared" si="23"/>
        <v>0</v>
      </c>
      <c r="Y52" s="20">
        <f t="shared" si="23"/>
        <v>0</v>
      </c>
      <c r="Z52" s="20">
        <f t="shared" si="23"/>
        <v>0</v>
      </c>
      <c r="AA52" s="20">
        <f t="shared" si="23"/>
        <v>0</v>
      </c>
      <c r="AB52" s="20">
        <f t="shared" si="23"/>
        <v>0</v>
      </c>
      <c r="AC52" s="20">
        <f t="shared" si="23"/>
        <v>0</v>
      </c>
      <c r="AD52" s="20">
        <f t="shared" si="23"/>
        <v>0</v>
      </c>
      <c r="AE52" s="20">
        <f t="shared" si="23"/>
        <v>0</v>
      </c>
      <c r="AF52" s="20">
        <f t="shared" si="23"/>
        <v>0</v>
      </c>
      <c r="AG52" s="20">
        <f t="shared" si="23"/>
        <v>0</v>
      </c>
      <c r="AH52" s="20">
        <f t="shared" si="23"/>
        <v>0</v>
      </c>
      <c r="AI52" s="20">
        <f t="shared" si="23"/>
        <v>0</v>
      </c>
      <c r="AJ52" s="20">
        <f t="shared" si="23"/>
        <v>0</v>
      </c>
      <c r="AK52" s="20">
        <f t="shared" si="23"/>
        <v>0</v>
      </c>
      <c r="AL52" s="20">
        <f t="shared" si="23"/>
        <v>0</v>
      </c>
      <c r="AM52" s="20">
        <f t="shared" si="23"/>
        <v>0</v>
      </c>
    </row>
    <row r="53" spans="2:39" s="18" customFormat="1" ht="21" customHeight="1" x14ac:dyDescent="0.3">
      <c r="B53" s="15" t="s">
        <v>50</v>
      </c>
      <c r="C53" s="19"/>
      <c r="D53" s="20">
        <f t="shared" ref="D53:AM53" si="24">D44+D52</f>
        <v>-19060</v>
      </c>
      <c r="E53" s="20">
        <f t="shared" si="24"/>
        <v>-19631.8</v>
      </c>
      <c r="F53" s="20">
        <f t="shared" si="24"/>
        <v>-18197.525000000001</v>
      </c>
      <c r="G53" s="20">
        <f t="shared" si="24"/>
        <v>-18743.45075</v>
      </c>
      <c r="H53" s="20">
        <f t="shared" si="24"/>
        <v>-19021.645252500002</v>
      </c>
      <c r="I53" s="20">
        <f t="shared" si="24"/>
        <v>-19592.294610075001</v>
      </c>
      <c r="J53" s="20">
        <f t="shared" si="24"/>
        <v>-19837.683668375252</v>
      </c>
      <c r="K53" s="20">
        <f t="shared" si="24"/>
        <v>-20124.672376424711</v>
      </c>
      <c r="L53" s="20">
        <f t="shared" si="24"/>
        <v>-20728.412547717449</v>
      </c>
      <c r="M53" s="20">
        <f t="shared" si="24"/>
        <v>-21350.264924148978</v>
      </c>
      <c r="N53" s="20">
        <f t="shared" si="24"/>
        <v>-21990.772871873447</v>
      </c>
      <c r="O53" s="20">
        <f t="shared" si="24"/>
        <v>-20435.42176703826</v>
      </c>
      <c r="P53" s="20">
        <f t="shared" si="24"/>
        <v>-21048.484420049404</v>
      </c>
      <c r="Q53" s="20">
        <f t="shared" si="24"/>
        <v>-21358.440230608994</v>
      </c>
      <c r="R53" s="20">
        <f t="shared" si="24"/>
        <v>-21709.84458768956</v>
      </c>
      <c r="S53" s="20">
        <f t="shared" si="24"/>
        <v>-22361.139925320247</v>
      </c>
      <c r="T53" s="20">
        <f t="shared" si="24"/>
        <v>-22722.700923026954</v>
      </c>
      <c r="U53" s="20">
        <f t="shared" si="24"/>
        <v>-23128.108775404224</v>
      </c>
      <c r="V53" s="20">
        <f t="shared" si="24"/>
        <v>-21769.636886875916</v>
      </c>
      <c r="W53" s="20">
        <f t="shared" si="24"/>
        <v>-22422.725993482189</v>
      </c>
      <c r="X53" s="20">
        <f t="shared" si="24"/>
        <v>-23095.407773286661</v>
      </c>
      <c r="Y53" s="20">
        <f t="shared" si="24"/>
        <v>-23516.567964248512</v>
      </c>
      <c r="Z53" s="20">
        <f t="shared" si="24"/>
        <v>-24222.065003175961</v>
      </c>
      <c r="AA53" s="20">
        <f t="shared" si="24"/>
        <v>-24616.367415971006</v>
      </c>
      <c r="AB53" s="20">
        <f t="shared" si="24"/>
        <v>-25354.858438450141</v>
      </c>
      <c r="AC53" s="20">
        <f t="shared" si="24"/>
        <v>-23642.783191670151</v>
      </c>
      <c r="AD53" s="20">
        <f t="shared" si="24"/>
        <v>-22367.103675060986</v>
      </c>
      <c r="AE53" s="20">
        <f t="shared" si="24"/>
        <v>-22711.256369208892</v>
      </c>
      <c r="AF53" s="20">
        <f t="shared" si="24"/>
        <v>-23392.594060285155</v>
      </c>
      <c r="AG53" s="20">
        <f t="shared" si="24"/>
        <v>-24094.371882093707</v>
      </c>
      <c r="AH53" s="20">
        <f t="shared" si="24"/>
        <v>-24234.4444595034</v>
      </c>
      <c r="AI53" s="20">
        <f t="shared" si="24"/>
        <v>-22426.31104999964</v>
      </c>
      <c r="AJ53" s="20">
        <f t="shared" si="24"/>
        <v>-23099.100381499629</v>
      </c>
      <c r="AK53" s="20">
        <f t="shared" si="24"/>
        <v>-23792.073392944614</v>
      </c>
      <c r="AL53" s="20">
        <f t="shared" si="24"/>
        <v>-24273.241886390475</v>
      </c>
      <c r="AM53" s="20">
        <f t="shared" si="24"/>
        <v>-24792.104805473951</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disablePrompts="1" count="1">
    <dataValidation type="list" allowBlank="1" showInputMessage="1" showErrorMessage="1" sqref="D4" xr:uid="{E0FDCE94-1508-4EF9-837D-E8C79B04F01B}">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9FB8A-2299-4974-B9A0-986E6E9C6B60}">
  <sheetPr>
    <tabColor theme="5" tint="0.79998168889431442"/>
    <outlinePr summaryBelow="0" summaryRight="0"/>
  </sheetPr>
  <dimension ref="A1:NTP304"/>
  <sheetViews>
    <sheetView showGridLines="0" zoomScaleNormal="100" workbookViewId="0">
      <pane xSplit="3" ySplit="4" topLeftCell="AF39" activePane="bottomRight" state="frozen"/>
      <selection activeCell="B8" sqref="B8"/>
      <selection pane="topRight" activeCell="B8" sqref="B8"/>
      <selection pane="bottomLeft" activeCell="B8" sqref="B8"/>
      <selection pane="bottomRight" activeCell="B3" sqref="B3"/>
    </sheetView>
  </sheetViews>
  <sheetFormatPr defaultColWidth="9.109375" defaultRowHeight="14.4" x14ac:dyDescent="0.3"/>
  <cols>
    <col min="1" max="1" width="2.5546875" customWidth="1"/>
    <col min="2" max="2" width="42.33203125" style="2" customWidth="1"/>
    <col min="3" max="3" width="2.6640625" customWidth="1"/>
    <col min="4" max="4" width="12.44140625" style="27" customWidth="1"/>
    <col min="5"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54</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0</v>
      </c>
      <c r="E6" s="14">
        <v>0</v>
      </c>
      <c r="F6" s="14">
        <v>0</v>
      </c>
      <c r="G6" s="14">
        <v>0</v>
      </c>
      <c r="H6" s="14">
        <v>0</v>
      </c>
      <c r="I6" s="14">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0</v>
      </c>
      <c r="AF6" s="14">
        <v>0</v>
      </c>
      <c r="AG6" s="14">
        <v>0</v>
      </c>
      <c r="AH6" s="14">
        <v>0</v>
      </c>
      <c r="AI6" s="14">
        <v>0</v>
      </c>
      <c r="AJ6" s="14">
        <v>0</v>
      </c>
      <c r="AK6" s="14">
        <v>0</v>
      </c>
      <c r="AL6" s="14">
        <v>0</v>
      </c>
      <c r="AM6" s="14">
        <v>0</v>
      </c>
    </row>
    <row r="7" spans="1:39" s="12" customFormat="1" ht="21" customHeight="1" x14ac:dyDescent="0.3">
      <c r="A7" s="8"/>
      <c r="B7" s="15" t="s">
        <v>4</v>
      </c>
      <c r="C7" s="10"/>
      <c r="D7" s="16">
        <f t="shared" ref="D7:AM7" si="1">SUM(D6 + D5)</f>
        <v>0</v>
      </c>
      <c r="E7" s="16">
        <f t="shared" ref="E7:AL7" si="2">SUM(E6 + E5)</f>
        <v>0</v>
      </c>
      <c r="F7" s="16">
        <f t="shared" si="2"/>
        <v>0</v>
      </c>
      <c r="G7" s="16">
        <f t="shared" si="2"/>
        <v>0</v>
      </c>
      <c r="H7" s="16">
        <f t="shared" si="2"/>
        <v>0</v>
      </c>
      <c r="I7" s="16">
        <f t="shared" si="2"/>
        <v>0</v>
      </c>
      <c r="J7" s="16">
        <f t="shared" si="2"/>
        <v>0</v>
      </c>
      <c r="K7" s="16">
        <f t="shared" si="2"/>
        <v>0</v>
      </c>
      <c r="L7" s="16">
        <f t="shared" si="2"/>
        <v>0</v>
      </c>
      <c r="M7" s="16">
        <f t="shared" si="2"/>
        <v>0</v>
      </c>
      <c r="N7" s="16">
        <f t="shared" si="2"/>
        <v>0</v>
      </c>
      <c r="O7" s="16">
        <f t="shared" si="2"/>
        <v>0</v>
      </c>
      <c r="P7" s="16">
        <f t="shared" si="2"/>
        <v>0</v>
      </c>
      <c r="Q7" s="16">
        <f t="shared" si="2"/>
        <v>0</v>
      </c>
      <c r="R7" s="16">
        <f t="shared" si="2"/>
        <v>0</v>
      </c>
      <c r="S7" s="16">
        <f t="shared" si="2"/>
        <v>0</v>
      </c>
      <c r="T7" s="16">
        <f t="shared" si="2"/>
        <v>0</v>
      </c>
      <c r="U7" s="16">
        <f t="shared" si="2"/>
        <v>0</v>
      </c>
      <c r="V7" s="16">
        <f t="shared" si="2"/>
        <v>0</v>
      </c>
      <c r="W7" s="16">
        <f t="shared" si="2"/>
        <v>0</v>
      </c>
      <c r="X7" s="16">
        <f t="shared" si="2"/>
        <v>0</v>
      </c>
      <c r="Y7" s="16">
        <f t="shared" si="2"/>
        <v>0</v>
      </c>
      <c r="Z7" s="16">
        <f t="shared" si="2"/>
        <v>0</v>
      </c>
      <c r="AA7" s="16">
        <f t="shared" si="2"/>
        <v>0</v>
      </c>
      <c r="AB7" s="16">
        <f t="shared" si="2"/>
        <v>0</v>
      </c>
      <c r="AC7" s="16">
        <f t="shared" si="2"/>
        <v>0</v>
      </c>
      <c r="AD7" s="16">
        <f t="shared" si="2"/>
        <v>0</v>
      </c>
      <c r="AE7" s="16">
        <f t="shared" si="2"/>
        <v>0</v>
      </c>
      <c r="AF7" s="16">
        <f t="shared" si="2"/>
        <v>0</v>
      </c>
      <c r="AG7" s="16">
        <f t="shared" si="2"/>
        <v>0</v>
      </c>
      <c r="AH7" s="16">
        <f t="shared" si="2"/>
        <v>0</v>
      </c>
      <c r="AI7" s="16">
        <f t="shared" si="2"/>
        <v>0</v>
      </c>
      <c r="AJ7" s="16">
        <f t="shared" si="2"/>
        <v>0</v>
      </c>
      <c r="AK7" s="16">
        <f t="shared" si="2"/>
        <v>0</v>
      </c>
      <c r="AL7" s="16">
        <f t="shared" si="2"/>
        <v>0</v>
      </c>
      <c r="AM7" s="16">
        <f t="shared" si="1"/>
        <v>0</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0</v>
      </c>
      <c r="E9" s="14">
        <v>0</v>
      </c>
      <c r="F9" s="14">
        <v>0</v>
      </c>
      <c r="G9" s="14">
        <v>0</v>
      </c>
      <c r="H9" s="14">
        <v>0</v>
      </c>
      <c r="I9" s="14">
        <v>0</v>
      </c>
      <c r="J9" s="14">
        <v>0</v>
      </c>
      <c r="K9" s="14">
        <v>0</v>
      </c>
      <c r="L9" s="14">
        <v>0</v>
      </c>
      <c r="M9" s="14">
        <v>0</v>
      </c>
      <c r="N9" s="14">
        <v>0</v>
      </c>
      <c r="O9" s="14">
        <v>0</v>
      </c>
      <c r="P9" s="14">
        <v>0</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0</v>
      </c>
      <c r="AJ9" s="14">
        <v>0</v>
      </c>
      <c r="AK9" s="14">
        <v>0</v>
      </c>
      <c r="AL9" s="14">
        <v>0</v>
      </c>
      <c r="AM9" s="14">
        <v>0</v>
      </c>
    </row>
    <row r="10" spans="1:39" s="12" customFormat="1" ht="21" customHeight="1" x14ac:dyDescent="0.3">
      <c r="A10" s="8"/>
      <c r="B10" s="13" t="s">
        <v>7</v>
      </c>
      <c r="C10" s="10"/>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0</v>
      </c>
      <c r="AM10" s="14">
        <v>0</v>
      </c>
    </row>
    <row r="11" spans="1:39" s="12" customFormat="1" ht="21" customHeight="1" x14ac:dyDescent="0.3">
      <c r="A11" s="8"/>
      <c r="B11" s="15" t="s">
        <v>8</v>
      </c>
      <c r="C11" s="10"/>
      <c r="D11" s="16">
        <f t="shared" ref="D11:AM11" si="3">SUM(D10, D9 + D8)</f>
        <v>0</v>
      </c>
      <c r="E11" s="16">
        <f t="shared" si="3"/>
        <v>0</v>
      </c>
      <c r="F11" s="16">
        <f t="shared" si="3"/>
        <v>0</v>
      </c>
      <c r="G11" s="16">
        <f t="shared" si="3"/>
        <v>0</v>
      </c>
      <c r="H11" s="16">
        <f t="shared" si="3"/>
        <v>0</v>
      </c>
      <c r="I11" s="16">
        <f t="shared" si="3"/>
        <v>0</v>
      </c>
      <c r="J11" s="16">
        <f t="shared" si="3"/>
        <v>0</v>
      </c>
      <c r="K11" s="16">
        <f t="shared" si="3"/>
        <v>0</v>
      </c>
      <c r="L11" s="16">
        <f t="shared" si="3"/>
        <v>0</v>
      </c>
      <c r="M11" s="16">
        <f t="shared" si="3"/>
        <v>0</v>
      </c>
      <c r="N11" s="16">
        <f t="shared" si="3"/>
        <v>0</v>
      </c>
      <c r="O11" s="16">
        <f t="shared" si="3"/>
        <v>0</v>
      </c>
      <c r="P11" s="16">
        <f t="shared" si="3"/>
        <v>0</v>
      </c>
      <c r="Q11" s="16">
        <f t="shared" si="3"/>
        <v>0</v>
      </c>
      <c r="R11" s="16">
        <f t="shared" si="3"/>
        <v>0</v>
      </c>
      <c r="S11" s="16">
        <f t="shared" si="3"/>
        <v>0</v>
      </c>
      <c r="T11" s="16">
        <f t="shared" si="3"/>
        <v>0</v>
      </c>
      <c r="U11" s="16">
        <f t="shared" si="3"/>
        <v>0</v>
      </c>
      <c r="V11" s="16">
        <f t="shared" si="3"/>
        <v>0</v>
      </c>
      <c r="W11" s="16">
        <f t="shared" si="3"/>
        <v>0</v>
      </c>
      <c r="X11" s="16">
        <f t="shared" si="3"/>
        <v>0</v>
      </c>
      <c r="Y11" s="16">
        <f t="shared" si="3"/>
        <v>0</v>
      </c>
      <c r="Z11" s="16">
        <f t="shared" si="3"/>
        <v>0</v>
      </c>
      <c r="AA11" s="16">
        <f t="shared" si="3"/>
        <v>0</v>
      </c>
      <c r="AB11" s="16">
        <f t="shared" si="3"/>
        <v>0</v>
      </c>
      <c r="AC11" s="16">
        <f t="shared" si="3"/>
        <v>0</v>
      </c>
      <c r="AD11" s="16">
        <f t="shared" si="3"/>
        <v>0</v>
      </c>
      <c r="AE11" s="16">
        <f t="shared" si="3"/>
        <v>0</v>
      </c>
      <c r="AF11" s="16">
        <f t="shared" si="3"/>
        <v>0</v>
      </c>
      <c r="AG11" s="16">
        <f t="shared" si="3"/>
        <v>0</v>
      </c>
      <c r="AH11" s="16">
        <f t="shared" si="3"/>
        <v>0</v>
      </c>
      <c r="AI11" s="16">
        <f t="shared" si="3"/>
        <v>0</v>
      </c>
      <c r="AJ11" s="16">
        <f t="shared" si="3"/>
        <v>0</v>
      </c>
      <c r="AK11" s="16">
        <f t="shared" si="3"/>
        <v>0</v>
      </c>
      <c r="AL11" s="16">
        <f t="shared" si="3"/>
        <v>0</v>
      </c>
      <c r="AM11" s="16">
        <f t="shared" si="3"/>
        <v>0</v>
      </c>
    </row>
    <row r="12" spans="1:39" s="18" customFormat="1" ht="21" customHeight="1" x14ac:dyDescent="0.3">
      <c r="B12" s="15" t="s">
        <v>9</v>
      </c>
      <c r="C12" s="19"/>
      <c r="D12" s="20">
        <f t="shared" ref="D12:AM12" si="4">D7-D11</f>
        <v>0</v>
      </c>
      <c r="E12" s="20">
        <f t="shared" si="4"/>
        <v>0</v>
      </c>
      <c r="F12" s="20">
        <f t="shared" si="4"/>
        <v>0</v>
      </c>
      <c r="G12" s="20">
        <f t="shared" si="4"/>
        <v>0</v>
      </c>
      <c r="H12" s="20">
        <f t="shared" si="4"/>
        <v>0</v>
      </c>
      <c r="I12" s="20">
        <f t="shared" si="4"/>
        <v>0</v>
      </c>
      <c r="J12" s="20">
        <f t="shared" si="4"/>
        <v>0</v>
      </c>
      <c r="K12" s="20">
        <f t="shared" si="4"/>
        <v>0</v>
      </c>
      <c r="L12" s="20">
        <f t="shared" si="4"/>
        <v>0</v>
      </c>
      <c r="M12" s="20">
        <f t="shared" si="4"/>
        <v>0</v>
      </c>
      <c r="N12" s="20">
        <f t="shared" si="4"/>
        <v>0</v>
      </c>
      <c r="O12" s="20">
        <f t="shared" si="4"/>
        <v>0</v>
      </c>
      <c r="P12" s="20">
        <f t="shared" si="4"/>
        <v>0</v>
      </c>
      <c r="Q12" s="20">
        <f t="shared" si="4"/>
        <v>0</v>
      </c>
      <c r="R12" s="20">
        <f t="shared" si="4"/>
        <v>0</v>
      </c>
      <c r="S12" s="20">
        <f t="shared" si="4"/>
        <v>0</v>
      </c>
      <c r="T12" s="20">
        <f t="shared" si="4"/>
        <v>0</v>
      </c>
      <c r="U12" s="20">
        <f t="shared" si="4"/>
        <v>0</v>
      </c>
      <c r="V12" s="20">
        <f t="shared" si="4"/>
        <v>0</v>
      </c>
      <c r="W12" s="20">
        <f t="shared" si="4"/>
        <v>0</v>
      </c>
      <c r="X12" s="20">
        <f t="shared" si="4"/>
        <v>0</v>
      </c>
      <c r="Y12" s="20">
        <f t="shared" si="4"/>
        <v>0</v>
      </c>
      <c r="Z12" s="20">
        <f t="shared" si="4"/>
        <v>0</v>
      </c>
      <c r="AA12" s="20">
        <f t="shared" si="4"/>
        <v>0</v>
      </c>
      <c r="AB12" s="20">
        <f t="shared" si="4"/>
        <v>0</v>
      </c>
      <c r="AC12" s="20">
        <f t="shared" si="4"/>
        <v>0</v>
      </c>
      <c r="AD12" s="20">
        <f t="shared" si="4"/>
        <v>0</v>
      </c>
      <c r="AE12" s="20">
        <f t="shared" si="4"/>
        <v>0</v>
      </c>
      <c r="AF12" s="20">
        <f t="shared" si="4"/>
        <v>0</v>
      </c>
      <c r="AG12" s="20">
        <f t="shared" si="4"/>
        <v>0</v>
      </c>
      <c r="AH12" s="20">
        <f t="shared" si="4"/>
        <v>0</v>
      </c>
      <c r="AI12" s="20">
        <f t="shared" si="4"/>
        <v>0</v>
      </c>
      <c r="AJ12" s="20">
        <f t="shared" si="4"/>
        <v>0</v>
      </c>
      <c r="AK12" s="20">
        <f t="shared" si="4"/>
        <v>0</v>
      </c>
      <c r="AL12" s="20">
        <f t="shared" si="4"/>
        <v>0</v>
      </c>
      <c r="AM12" s="20">
        <f t="shared" si="4"/>
        <v>0</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0</v>
      </c>
      <c r="E14" s="14">
        <v>0</v>
      </c>
      <c r="F14" s="14">
        <v>0</v>
      </c>
      <c r="G14" s="14">
        <v>0</v>
      </c>
      <c r="H14" s="14">
        <v>0</v>
      </c>
      <c r="I14" s="14">
        <v>0</v>
      </c>
      <c r="J14" s="14">
        <v>0</v>
      </c>
      <c r="K14" s="14">
        <v>0</v>
      </c>
      <c r="L14" s="14">
        <v>0</v>
      </c>
      <c r="M14" s="14">
        <v>0</v>
      </c>
      <c r="N14" s="14">
        <v>0</v>
      </c>
      <c r="O14" s="14">
        <v>0</v>
      </c>
      <c r="P14" s="14">
        <v>0</v>
      </c>
      <c r="Q14" s="14">
        <v>0</v>
      </c>
      <c r="R14" s="14">
        <v>0</v>
      </c>
      <c r="S14" s="14">
        <v>0</v>
      </c>
      <c r="T14" s="14">
        <v>0</v>
      </c>
      <c r="U14" s="14">
        <v>0</v>
      </c>
      <c r="V14" s="14">
        <v>0</v>
      </c>
      <c r="W14" s="14">
        <v>0</v>
      </c>
      <c r="X14" s="14">
        <v>0</v>
      </c>
      <c r="Y14" s="14">
        <v>0</v>
      </c>
      <c r="Z14" s="14">
        <v>0</v>
      </c>
      <c r="AA14" s="14">
        <v>0</v>
      </c>
      <c r="AB14" s="14">
        <v>0</v>
      </c>
      <c r="AC14" s="14">
        <v>0</v>
      </c>
      <c r="AD14" s="14">
        <v>0</v>
      </c>
      <c r="AE14" s="14">
        <v>0</v>
      </c>
      <c r="AF14" s="14">
        <v>0</v>
      </c>
      <c r="AG14" s="14">
        <v>0</v>
      </c>
      <c r="AH14" s="14">
        <v>0</v>
      </c>
      <c r="AI14" s="14">
        <v>0</v>
      </c>
      <c r="AJ14" s="14">
        <v>0</v>
      </c>
      <c r="AK14" s="14">
        <v>0</v>
      </c>
      <c r="AL14" s="14">
        <v>0</v>
      </c>
      <c r="AM14" s="14">
        <v>0</v>
      </c>
    </row>
    <row r="15" spans="1:39" s="12" customFormat="1" ht="21" customHeight="1" x14ac:dyDescent="0.3">
      <c r="B15" s="13" t="s">
        <v>12</v>
      </c>
      <c r="C15" s="10"/>
      <c r="D15" s="14">
        <v>0</v>
      </c>
      <c r="E15" s="14">
        <v>0</v>
      </c>
      <c r="F15" s="14">
        <v>0</v>
      </c>
      <c r="G15" s="14">
        <v>0</v>
      </c>
      <c r="H15" s="14">
        <v>0</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row>
    <row r="16" spans="1:39" s="12" customFormat="1" ht="21" customHeight="1" x14ac:dyDescent="0.3">
      <c r="B16" s="13" t="s">
        <v>13</v>
      </c>
      <c r="C16" s="10"/>
      <c r="D16" s="14">
        <v>650</v>
      </c>
      <c r="E16" s="14">
        <v>669.5</v>
      </c>
      <c r="F16" s="14">
        <v>689.58500000000004</v>
      </c>
      <c r="G16" s="14">
        <f>F16*(0.92)</f>
        <v>634.41820000000007</v>
      </c>
      <c r="H16" s="14">
        <v>653.45074600000009</v>
      </c>
      <c r="I16" s="14">
        <v>673.05426838000017</v>
      </c>
      <c r="J16" s="14">
        <v>693.24589643140018</v>
      </c>
      <c r="K16" s="14">
        <v>714.04327332434218</v>
      </c>
      <c r="L16" s="14">
        <v>735.46457152407243</v>
      </c>
      <c r="M16" s="14">
        <v>757.52850866979463</v>
      </c>
      <c r="N16" s="14">
        <v>780.25436392988854</v>
      </c>
      <c r="O16" s="14">
        <f>N16*(0.92)</f>
        <v>717.83401481549754</v>
      </c>
      <c r="P16" s="14">
        <v>739.36903525996252</v>
      </c>
      <c r="Q16" s="14">
        <v>761.55010631776145</v>
      </c>
      <c r="R16" s="14">
        <v>784.39660950729433</v>
      </c>
      <c r="S16" s="14">
        <v>807.92850779251319</v>
      </c>
      <c r="T16" s="14">
        <v>832.16636302628865</v>
      </c>
      <c r="U16" s="14">
        <f t="shared" ref="U16:V16" si="5">T16*(0.92)</f>
        <v>765.59305398418564</v>
      </c>
      <c r="V16" s="14">
        <f t="shared" si="5"/>
        <v>704.34560966545087</v>
      </c>
      <c r="W16" s="14">
        <v>725.47597795541446</v>
      </c>
      <c r="X16" s="14">
        <v>747.24025729407697</v>
      </c>
      <c r="Y16" s="14">
        <f t="shared" ref="Y16:Z16" si="6">X16*(0.92)</f>
        <v>687.46103671055084</v>
      </c>
      <c r="Z16" s="14">
        <f t="shared" si="6"/>
        <v>632.46415377370681</v>
      </c>
      <c r="AA16" s="14">
        <v>651.43807838691805</v>
      </c>
      <c r="AB16" s="14">
        <v>670.98122073852562</v>
      </c>
      <c r="AC16" s="14">
        <f t="shared" ref="AC16:AD16" si="7">AB16*(0.92)</f>
        <v>617.30272307944358</v>
      </c>
      <c r="AD16" s="14">
        <f t="shared" si="7"/>
        <v>567.91850523308813</v>
      </c>
      <c r="AE16" s="14">
        <v>584.95606039008078</v>
      </c>
      <c r="AF16" s="14">
        <v>602.50474220178319</v>
      </c>
      <c r="AG16" s="14">
        <v>620.57988446783668</v>
      </c>
      <c r="AH16" s="14">
        <v>639.19728100187183</v>
      </c>
      <c r="AI16" s="14">
        <v>658.37319943192801</v>
      </c>
      <c r="AJ16" s="14">
        <f>AI16*(0.92)</f>
        <v>605.70334347737378</v>
      </c>
      <c r="AK16" s="14">
        <v>623.87444378169505</v>
      </c>
      <c r="AL16" s="14">
        <v>642.59067709514591</v>
      </c>
      <c r="AM16" s="14">
        <v>661.86839740800031</v>
      </c>
    </row>
    <row r="17" spans="2:39" s="12" customFormat="1" ht="21" customHeight="1" x14ac:dyDescent="0.3">
      <c r="B17" s="13" t="s">
        <v>14</v>
      </c>
      <c r="C17" s="10"/>
      <c r="D17" s="14">
        <v>2500</v>
      </c>
      <c r="E17" s="14">
        <v>2575</v>
      </c>
      <c r="F17" s="14">
        <v>2652.25</v>
      </c>
      <c r="G17" s="14">
        <v>2731.8175000000001</v>
      </c>
      <c r="H17" s="14">
        <f t="shared" ref="H17:I17" si="8">G17*(0.92)</f>
        <v>2513.2721000000001</v>
      </c>
      <c r="I17" s="14">
        <f t="shared" si="8"/>
        <v>2312.2103320000001</v>
      </c>
      <c r="J17" s="14">
        <v>2381.57664196</v>
      </c>
      <c r="K17" s="14">
        <v>2453.0239412188002</v>
      </c>
      <c r="L17" s="14">
        <v>2526.6146594553643</v>
      </c>
      <c r="M17" s="14">
        <v>2602.4130992390251</v>
      </c>
      <c r="N17" s="14">
        <v>2680.4854922161958</v>
      </c>
      <c r="O17" s="14">
        <v>2760.9000569826817</v>
      </c>
      <c r="P17" s="14">
        <v>2843.7270586921622</v>
      </c>
      <c r="Q17" s="14">
        <v>2929.0388704529273</v>
      </c>
      <c r="R17" s="14">
        <f t="shared" ref="R17:S17" si="9">Q17*(0.92)</f>
        <v>2694.7157608166931</v>
      </c>
      <c r="S17" s="14">
        <f t="shared" si="9"/>
        <v>2479.138499951358</v>
      </c>
      <c r="T17" s="14">
        <v>2553.5126549498987</v>
      </c>
      <c r="U17" s="14">
        <v>2630.1180345983958</v>
      </c>
      <c r="V17" s="14">
        <v>2709.0215756363477</v>
      </c>
      <c r="W17" s="14">
        <v>2790.2922229054384</v>
      </c>
      <c r="X17" s="14">
        <v>2874.0009895926014</v>
      </c>
      <c r="Y17" s="14">
        <v>2960.2210192803796</v>
      </c>
      <c r="Z17" s="14">
        <v>3049.0276498587909</v>
      </c>
      <c r="AA17" s="14">
        <v>3140.4984793545545</v>
      </c>
      <c r="AB17" s="14">
        <f t="shared" ref="AB17:AC17" si="10">AA17*(0.92)</f>
        <v>2889.2586010061905</v>
      </c>
      <c r="AC17" s="14">
        <f t="shared" si="10"/>
        <v>2658.1179129256952</v>
      </c>
      <c r="AD17" s="14">
        <v>2737.8614503134663</v>
      </c>
      <c r="AE17" s="14">
        <v>2819.9972938228702</v>
      </c>
      <c r="AF17" s="14">
        <v>2904.5972126375564</v>
      </c>
      <c r="AG17" s="14">
        <v>2991.735129016683</v>
      </c>
      <c r="AH17" s="14">
        <f>AG17*(0.92)</f>
        <v>2752.3963186953483</v>
      </c>
      <c r="AI17" s="14">
        <v>2834.968208256209</v>
      </c>
      <c r="AJ17" s="14">
        <v>2920.0172545038954</v>
      </c>
      <c r="AK17" s="14">
        <v>3007.6177721390122</v>
      </c>
      <c r="AL17" s="14">
        <v>3097.8463053031828</v>
      </c>
      <c r="AM17" s="14">
        <v>3190.7816944622782</v>
      </c>
    </row>
    <row r="18" spans="2:39" s="12" customFormat="1" ht="21" customHeight="1" x14ac:dyDescent="0.3">
      <c r="B18" s="13" t="s">
        <v>15</v>
      </c>
      <c r="C18" s="10"/>
      <c r="D18" s="14">
        <v>0</v>
      </c>
      <c r="E18" s="14">
        <v>0</v>
      </c>
      <c r="F18" s="14">
        <v>0</v>
      </c>
      <c r="G18" s="14">
        <v>0</v>
      </c>
      <c r="H18" s="14">
        <v>0</v>
      </c>
      <c r="I18" s="14">
        <v>0</v>
      </c>
      <c r="J18" s="14">
        <v>0</v>
      </c>
      <c r="K18" s="14">
        <v>0</v>
      </c>
      <c r="L18" s="14">
        <v>0</v>
      </c>
      <c r="M18" s="14">
        <v>0</v>
      </c>
      <c r="N18" s="14">
        <v>0</v>
      </c>
      <c r="O18" s="14">
        <v>0</v>
      </c>
      <c r="P18" s="14">
        <v>0</v>
      </c>
      <c r="Q18" s="14">
        <v>0</v>
      </c>
      <c r="R18" s="14">
        <v>0</v>
      </c>
      <c r="S18" s="14">
        <v>0</v>
      </c>
      <c r="T18" s="14">
        <v>0</v>
      </c>
      <c r="U18" s="14">
        <v>0</v>
      </c>
      <c r="V18" s="14">
        <v>0</v>
      </c>
      <c r="W18" s="14">
        <v>0</v>
      </c>
      <c r="X18" s="14">
        <v>0</v>
      </c>
      <c r="Y18" s="14">
        <v>0</v>
      </c>
      <c r="Z18" s="14">
        <v>0</v>
      </c>
      <c r="AA18" s="14">
        <v>0</v>
      </c>
      <c r="AB18" s="14">
        <v>0</v>
      </c>
      <c r="AC18" s="14">
        <v>0</v>
      </c>
      <c r="AD18" s="14">
        <v>0</v>
      </c>
      <c r="AE18" s="14">
        <v>0</v>
      </c>
      <c r="AF18" s="14">
        <v>0</v>
      </c>
      <c r="AG18" s="14">
        <v>0</v>
      </c>
      <c r="AH18" s="14">
        <v>0</v>
      </c>
      <c r="AI18" s="14">
        <v>0</v>
      </c>
      <c r="AJ18" s="14">
        <v>0</v>
      </c>
      <c r="AK18" s="14">
        <v>0</v>
      </c>
      <c r="AL18" s="14">
        <v>0</v>
      </c>
      <c r="AM18" s="14">
        <v>0</v>
      </c>
    </row>
    <row r="19" spans="2:39" s="18" customFormat="1" ht="21" customHeight="1" x14ac:dyDescent="0.3">
      <c r="B19" s="21" t="s">
        <v>16</v>
      </c>
      <c r="C19" s="19"/>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row>
    <row r="20" spans="2:39" s="12" customFormat="1" ht="21" customHeight="1" x14ac:dyDescent="0.3">
      <c r="B20" s="22" t="s">
        <v>17</v>
      </c>
      <c r="C20" s="10"/>
      <c r="D20" s="14">
        <v>250</v>
      </c>
      <c r="E20" s="14">
        <v>257.5</v>
      </c>
      <c r="F20" s="14">
        <f t="shared" ref="F20:G20" si="11">E20*(0.92)</f>
        <v>236.9</v>
      </c>
      <c r="G20" s="14">
        <f t="shared" si="11"/>
        <v>217.94800000000001</v>
      </c>
      <c r="H20" s="14">
        <v>224.48644000000002</v>
      </c>
      <c r="I20" s="14">
        <v>231.22103320000002</v>
      </c>
      <c r="J20" s="14">
        <v>238.15766419600004</v>
      </c>
      <c r="K20" s="14">
        <v>245.30239412188004</v>
      </c>
      <c r="L20" s="14">
        <v>252.66146594553646</v>
      </c>
      <c r="M20" s="14">
        <v>260.24130992390258</v>
      </c>
      <c r="N20" s="14">
        <v>268.04854922161968</v>
      </c>
      <c r="O20" s="14">
        <v>276.09000569826827</v>
      </c>
      <c r="P20" s="14">
        <v>284.3727058692163</v>
      </c>
      <c r="Q20" s="14">
        <v>292.90388704529278</v>
      </c>
      <c r="R20" s="14">
        <v>301.69100365665156</v>
      </c>
      <c r="S20" s="14">
        <v>310.7417337663511</v>
      </c>
      <c r="T20" s="14">
        <v>320.06398577934164</v>
      </c>
      <c r="U20" s="14">
        <v>329.66590535272189</v>
      </c>
      <c r="V20" s="14">
        <v>339.55588251330357</v>
      </c>
      <c r="W20" s="14">
        <v>349.74255898870268</v>
      </c>
      <c r="X20" s="14">
        <v>360.23483575836377</v>
      </c>
      <c r="Y20" s="14">
        <v>371.04188083111467</v>
      </c>
      <c r="Z20" s="14">
        <v>382.17313725604811</v>
      </c>
      <c r="AA20" s="14">
        <v>393.63833137372956</v>
      </c>
      <c r="AB20" s="14">
        <v>405.44748131494146</v>
      </c>
      <c r="AC20" s="14">
        <v>417.61090575438971</v>
      </c>
      <c r="AD20" s="14">
        <v>430.1392329270214</v>
      </c>
      <c r="AE20" s="14">
        <v>443.04340991483207</v>
      </c>
      <c r="AF20" s="14">
        <v>456.33471221227705</v>
      </c>
      <c r="AG20" s="14">
        <v>470.0247535786454</v>
      </c>
      <c r="AH20" s="14">
        <v>484.1254961860048</v>
      </c>
      <c r="AI20" s="14">
        <v>498.64926107158493</v>
      </c>
      <c r="AJ20" s="14">
        <v>513.6087389037325</v>
      </c>
      <c r="AK20" s="14">
        <v>529.01700107084446</v>
      </c>
      <c r="AL20" s="14">
        <v>544.88751110296982</v>
      </c>
      <c r="AM20" s="14">
        <v>561.23413643605898</v>
      </c>
    </row>
    <row r="21" spans="2:39" s="12" customFormat="1" ht="21" customHeight="1" x14ac:dyDescent="0.3">
      <c r="B21" s="22" t="s">
        <v>18</v>
      </c>
      <c r="C21" s="10"/>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row>
    <row r="22" spans="2:39" s="12" customFormat="1" ht="21" customHeight="1" x14ac:dyDescent="0.3">
      <c r="B22" s="22" t="s">
        <v>19</v>
      </c>
      <c r="C22" s="10"/>
      <c r="D22" s="14">
        <v>0</v>
      </c>
      <c r="E22" s="14">
        <v>0</v>
      </c>
      <c r="F22" s="14">
        <v>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0</v>
      </c>
      <c r="AD22" s="14">
        <v>0</v>
      </c>
      <c r="AE22" s="14">
        <v>0</v>
      </c>
      <c r="AF22" s="14">
        <v>0</v>
      </c>
      <c r="AG22" s="14">
        <v>0</v>
      </c>
      <c r="AH22" s="14">
        <v>0</v>
      </c>
      <c r="AI22" s="14">
        <v>0</v>
      </c>
      <c r="AJ22" s="14">
        <v>0</v>
      </c>
      <c r="AK22" s="14">
        <v>0</v>
      </c>
      <c r="AL22" s="14">
        <v>0</v>
      </c>
      <c r="AM22" s="14">
        <v>0</v>
      </c>
    </row>
    <row r="23" spans="2:39" s="12" customFormat="1" ht="21" customHeight="1" x14ac:dyDescent="0.3">
      <c r="B23" s="21" t="s">
        <v>20</v>
      </c>
      <c r="C23" s="10"/>
      <c r="D23" s="16">
        <f t="shared" ref="D23:AM23" si="12">SUM(D22, D21, D20 + D19)</f>
        <v>250</v>
      </c>
      <c r="E23" s="16">
        <f t="shared" si="12"/>
        <v>257.5</v>
      </c>
      <c r="F23" s="16">
        <f t="shared" si="12"/>
        <v>236.9</v>
      </c>
      <c r="G23" s="16">
        <f t="shared" si="12"/>
        <v>217.94800000000001</v>
      </c>
      <c r="H23" s="16">
        <f t="shared" si="12"/>
        <v>224.48644000000002</v>
      </c>
      <c r="I23" s="16">
        <f t="shared" si="12"/>
        <v>231.22103320000002</v>
      </c>
      <c r="J23" s="16">
        <f t="shared" si="12"/>
        <v>238.15766419600004</v>
      </c>
      <c r="K23" s="16">
        <f t="shared" si="12"/>
        <v>245.30239412188004</v>
      </c>
      <c r="L23" s="16">
        <f t="shared" si="12"/>
        <v>252.66146594553646</v>
      </c>
      <c r="M23" s="16">
        <f t="shared" si="12"/>
        <v>260.24130992390258</v>
      </c>
      <c r="N23" s="16">
        <f t="shared" si="12"/>
        <v>268.04854922161968</v>
      </c>
      <c r="O23" s="16">
        <f t="shared" si="12"/>
        <v>276.09000569826827</v>
      </c>
      <c r="P23" s="16">
        <f t="shared" si="12"/>
        <v>284.3727058692163</v>
      </c>
      <c r="Q23" s="16">
        <f t="shared" si="12"/>
        <v>292.90388704529278</v>
      </c>
      <c r="R23" s="16">
        <f t="shared" si="12"/>
        <v>301.69100365665156</v>
      </c>
      <c r="S23" s="16">
        <f t="shared" si="12"/>
        <v>310.7417337663511</v>
      </c>
      <c r="T23" s="16">
        <f t="shared" si="12"/>
        <v>320.06398577934164</v>
      </c>
      <c r="U23" s="16">
        <f t="shared" si="12"/>
        <v>329.66590535272189</v>
      </c>
      <c r="V23" s="16">
        <f t="shared" si="12"/>
        <v>339.55588251330357</v>
      </c>
      <c r="W23" s="16">
        <f t="shared" si="12"/>
        <v>349.74255898870268</v>
      </c>
      <c r="X23" s="16">
        <f t="shared" si="12"/>
        <v>360.23483575836377</v>
      </c>
      <c r="Y23" s="16">
        <f t="shared" si="12"/>
        <v>371.04188083111467</v>
      </c>
      <c r="Z23" s="16">
        <f t="shared" si="12"/>
        <v>382.17313725604811</v>
      </c>
      <c r="AA23" s="16">
        <f t="shared" si="12"/>
        <v>393.63833137372956</v>
      </c>
      <c r="AB23" s="16">
        <f t="shared" si="12"/>
        <v>405.44748131494146</v>
      </c>
      <c r="AC23" s="16">
        <f t="shared" si="12"/>
        <v>417.61090575438971</v>
      </c>
      <c r="AD23" s="16">
        <f t="shared" si="12"/>
        <v>430.1392329270214</v>
      </c>
      <c r="AE23" s="16">
        <f t="shared" si="12"/>
        <v>443.04340991483207</v>
      </c>
      <c r="AF23" s="16">
        <f t="shared" si="12"/>
        <v>456.33471221227705</v>
      </c>
      <c r="AG23" s="16">
        <f t="shared" si="12"/>
        <v>470.0247535786454</v>
      </c>
      <c r="AH23" s="16">
        <f t="shared" si="12"/>
        <v>484.1254961860048</v>
      </c>
      <c r="AI23" s="16">
        <f t="shared" si="12"/>
        <v>498.64926107158493</v>
      </c>
      <c r="AJ23" s="16">
        <f t="shared" si="12"/>
        <v>513.6087389037325</v>
      </c>
      <c r="AK23" s="16">
        <f t="shared" si="12"/>
        <v>529.01700107084446</v>
      </c>
      <c r="AL23" s="16">
        <f t="shared" si="12"/>
        <v>544.88751110296982</v>
      </c>
      <c r="AM23" s="16">
        <f t="shared" si="12"/>
        <v>561.23413643605898</v>
      </c>
    </row>
    <row r="24" spans="2:39" s="18" customFormat="1" ht="21" customHeight="1" x14ac:dyDescent="0.3">
      <c r="B24" s="21" t="s">
        <v>21</v>
      </c>
      <c r="C24" s="19"/>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14">
        <v>0</v>
      </c>
      <c r="AB24" s="14">
        <v>0</v>
      </c>
      <c r="AC24" s="14">
        <v>0</v>
      </c>
      <c r="AD24" s="14">
        <v>0</v>
      </c>
      <c r="AE24" s="14">
        <v>0</v>
      </c>
      <c r="AF24" s="14">
        <v>0</v>
      </c>
      <c r="AG24" s="14">
        <v>0</v>
      </c>
      <c r="AH24" s="14">
        <v>0</v>
      </c>
      <c r="AI24" s="14">
        <v>0</v>
      </c>
      <c r="AJ24" s="14">
        <v>0</v>
      </c>
      <c r="AK24" s="14">
        <v>0</v>
      </c>
      <c r="AL24" s="14">
        <v>0</v>
      </c>
      <c r="AM24" s="14">
        <v>0</v>
      </c>
    </row>
    <row r="25" spans="2:39" s="12" customFormat="1" ht="21" customHeight="1" x14ac:dyDescent="0.3">
      <c r="B25" s="22" t="s">
        <v>22</v>
      </c>
      <c r="C25" s="10"/>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c r="U25" s="14">
        <v>0</v>
      </c>
      <c r="V25" s="14">
        <v>0</v>
      </c>
      <c r="W25" s="14">
        <v>0</v>
      </c>
      <c r="X25" s="14">
        <v>0</v>
      </c>
      <c r="Y25" s="14">
        <v>0</v>
      </c>
      <c r="Z25" s="14">
        <v>0</v>
      </c>
      <c r="AA25" s="14">
        <v>0</v>
      </c>
      <c r="AB25" s="14">
        <v>0</v>
      </c>
      <c r="AC25" s="14">
        <v>0</v>
      </c>
      <c r="AD25" s="14">
        <v>0</v>
      </c>
      <c r="AE25" s="14">
        <v>0</v>
      </c>
      <c r="AF25" s="14">
        <v>0</v>
      </c>
      <c r="AG25" s="14">
        <v>0</v>
      </c>
      <c r="AH25" s="14">
        <v>0</v>
      </c>
      <c r="AI25" s="14">
        <v>0</v>
      </c>
      <c r="AJ25" s="14">
        <v>0</v>
      </c>
      <c r="AK25" s="14">
        <v>0</v>
      </c>
      <c r="AL25" s="14">
        <v>0</v>
      </c>
      <c r="AM25" s="14">
        <v>0</v>
      </c>
    </row>
    <row r="26" spans="2:39" s="12" customFormat="1" ht="21" customHeight="1" x14ac:dyDescent="0.3">
      <c r="B26" s="22" t="s">
        <v>23</v>
      </c>
      <c r="C26" s="10"/>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row>
    <row r="27" spans="2:39" s="12" customFormat="1" ht="21" customHeight="1" x14ac:dyDescent="0.3">
      <c r="B27" s="22" t="s">
        <v>24</v>
      </c>
      <c r="C27" s="10"/>
      <c r="D27" s="14">
        <v>0</v>
      </c>
      <c r="E27" s="14">
        <v>0</v>
      </c>
      <c r="F27" s="14">
        <v>0</v>
      </c>
      <c r="G27" s="14">
        <v>0</v>
      </c>
      <c r="H27" s="14">
        <v>0</v>
      </c>
      <c r="I27" s="14">
        <v>0</v>
      </c>
      <c r="J27" s="14">
        <v>0</v>
      </c>
      <c r="K27" s="14">
        <v>0</v>
      </c>
      <c r="L27" s="14">
        <v>0</v>
      </c>
      <c r="M27" s="14">
        <v>0</v>
      </c>
      <c r="N27" s="14">
        <v>0</v>
      </c>
      <c r="O27" s="14">
        <v>0</v>
      </c>
      <c r="P27" s="14">
        <v>0</v>
      </c>
      <c r="Q27" s="14">
        <v>0</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row>
    <row r="28" spans="2:39" s="12" customFormat="1" ht="21" customHeight="1" x14ac:dyDescent="0.3">
      <c r="B28" s="22" t="s">
        <v>25</v>
      </c>
      <c r="C28" s="10"/>
      <c r="D28" s="14">
        <v>2000</v>
      </c>
      <c r="E28" s="14">
        <v>2060</v>
      </c>
      <c r="F28" s="14">
        <v>2121.8000000000002</v>
      </c>
      <c r="G28" s="14">
        <v>2185.4540000000002</v>
      </c>
      <c r="H28" s="14">
        <v>2251.0176200000001</v>
      </c>
      <c r="I28" s="14">
        <v>2318.5481486000003</v>
      </c>
      <c r="J28" s="14">
        <v>2388.1045930580003</v>
      </c>
      <c r="K28" s="14">
        <v>2459.7477308497405</v>
      </c>
      <c r="L28" s="14">
        <f t="shared" ref="L28:N28" si="13">K28*(0.92)</f>
        <v>2262.9679123817614</v>
      </c>
      <c r="M28" s="14">
        <f t="shared" si="13"/>
        <v>2081.9304793912206</v>
      </c>
      <c r="N28" s="14">
        <f t="shared" si="13"/>
        <v>1915.3760410399229</v>
      </c>
      <c r="O28" s="14">
        <v>1972.8373222711207</v>
      </c>
      <c r="P28" s="14">
        <v>2032.0224419392543</v>
      </c>
      <c r="Q28" s="14">
        <v>2092.9831151974322</v>
      </c>
      <c r="R28" s="14">
        <v>2155.7726086533553</v>
      </c>
      <c r="S28" s="14">
        <v>2220.445786912956</v>
      </c>
      <c r="T28" s="14">
        <v>2287.0591605203449</v>
      </c>
      <c r="U28" s="14">
        <v>2355.6709353359552</v>
      </c>
      <c r="V28" s="14">
        <v>2426.3410633960339</v>
      </c>
      <c r="W28" s="14">
        <v>2499.1312952979151</v>
      </c>
      <c r="X28" s="14">
        <v>2574.1052341568525</v>
      </c>
      <c r="Y28" s="14">
        <f t="shared" ref="Y28:Z28" si="14">X28*(0.92)</f>
        <v>2368.1768154243046</v>
      </c>
      <c r="Z28" s="14">
        <f t="shared" si="14"/>
        <v>2178.7226701903601</v>
      </c>
      <c r="AA28" s="14">
        <v>2244.0843502960711</v>
      </c>
      <c r="AB28" s="14">
        <v>2311.4068808049533</v>
      </c>
      <c r="AC28" s="14">
        <v>2380.7490872291019</v>
      </c>
      <c r="AD28" s="14">
        <v>2452.171559845975</v>
      </c>
      <c r="AE28" s="14">
        <v>2525.7367066413544</v>
      </c>
      <c r="AF28" s="14">
        <f>AE28*(0.92)</f>
        <v>2323.6777701100464</v>
      </c>
      <c r="AG28" s="14">
        <v>2393.3881032133477</v>
      </c>
      <c r="AH28" s="14">
        <v>2465.189746309748</v>
      </c>
      <c r="AI28" s="14">
        <v>2539.1454386990404</v>
      </c>
      <c r="AJ28" s="14">
        <v>2615.3198018600115</v>
      </c>
      <c r="AK28" s="14">
        <f t="shared" ref="AK28:AL28" si="15">AJ28*(0.92)</f>
        <v>2406.0942177112106</v>
      </c>
      <c r="AL28" s="14">
        <f t="shared" si="15"/>
        <v>2213.6066802943137</v>
      </c>
      <c r="AM28" s="14">
        <v>2280.0148807031433</v>
      </c>
    </row>
    <row r="29" spans="2:39" s="12" customFormat="1" ht="21" customHeight="1" x14ac:dyDescent="0.3">
      <c r="B29" s="21" t="s">
        <v>26</v>
      </c>
      <c r="C29" s="10"/>
      <c r="D29" s="16">
        <f t="shared" ref="D29:AM29" si="16">SUM(D28, D27, D26, D25 + D24)</f>
        <v>2000</v>
      </c>
      <c r="E29" s="16">
        <f t="shared" si="16"/>
        <v>2060</v>
      </c>
      <c r="F29" s="16">
        <f t="shared" si="16"/>
        <v>2121.8000000000002</v>
      </c>
      <c r="G29" s="16">
        <f t="shared" si="16"/>
        <v>2185.4540000000002</v>
      </c>
      <c r="H29" s="16">
        <f t="shared" si="16"/>
        <v>2251.0176200000001</v>
      </c>
      <c r="I29" s="16">
        <f t="shared" si="16"/>
        <v>2318.5481486000003</v>
      </c>
      <c r="J29" s="16">
        <f t="shared" si="16"/>
        <v>2388.1045930580003</v>
      </c>
      <c r="K29" s="16">
        <f t="shared" si="16"/>
        <v>2459.7477308497405</v>
      </c>
      <c r="L29" s="16">
        <f t="shared" si="16"/>
        <v>2262.9679123817614</v>
      </c>
      <c r="M29" s="16">
        <f t="shared" si="16"/>
        <v>2081.9304793912206</v>
      </c>
      <c r="N29" s="16">
        <f t="shared" si="16"/>
        <v>1915.3760410399229</v>
      </c>
      <c r="O29" s="16">
        <f t="shared" si="16"/>
        <v>1972.8373222711207</v>
      </c>
      <c r="P29" s="16">
        <f t="shared" si="16"/>
        <v>2032.0224419392543</v>
      </c>
      <c r="Q29" s="16">
        <f t="shared" si="16"/>
        <v>2092.9831151974322</v>
      </c>
      <c r="R29" s="16">
        <f t="shared" si="16"/>
        <v>2155.7726086533553</v>
      </c>
      <c r="S29" s="16">
        <f t="shared" si="16"/>
        <v>2220.445786912956</v>
      </c>
      <c r="T29" s="16">
        <f t="shared" si="16"/>
        <v>2287.0591605203449</v>
      </c>
      <c r="U29" s="16">
        <f t="shared" si="16"/>
        <v>2355.6709353359552</v>
      </c>
      <c r="V29" s="16">
        <f t="shared" si="16"/>
        <v>2426.3410633960339</v>
      </c>
      <c r="W29" s="16">
        <f t="shared" si="16"/>
        <v>2499.1312952979151</v>
      </c>
      <c r="X29" s="16">
        <f t="shared" si="16"/>
        <v>2574.1052341568525</v>
      </c>
      <c r="Y29" s="16">
        <f t="shared" si="16"/>
        <v>2368.1768154243046</v>
      </c>
      <c r="Z29" s="16">
        <f t="shared" si="16"/>
        <v>2178.7226701903601</v>
      </c>
      <c r="AA29" s="16">
        <f t="shared" si="16"/>
        <v>2244.0843502960711</v>
      </c>
      <c r="AB29" s="16">
        <f t="shared" si="16"/>
        <v>2311.4068808049533</v>
      </c>
      <c r="AC29" s="16">
        <f t="shared" si="16"/>
        <v>2380.7490872291019</v>
      </c>
      <c r="AD29" s="16">
        <f t="shared" si="16"/>
        <v>2452.171559845975</v>
      </c>
      <c r="AE29" s="16">
        <f t="shared" si="16"/>
        <v>2525.7367066413544</v>
      </c>
      <c r="AF29" s="16">
        <f t="shared" si="16"/>
        <v>2323.6777701100464</v>
      </c>
      <c r="AG29" s="16">
        <f t="shared" si="16"/>
        <v>2393.3881032133477</v>
      </c>
      <c r="AH29" s="16">
        <f t="shared" si="16"/>
        <v>2465.189746309748</v>
      </c>
      <c r="AI29" s="16">
        <f t="shared" si="16"/>
        <v>2539.1454386990404</v>
      </c>
      <c r="AJ29" s="16">
        <f t="shared" si="16"/>
        <v>2615.3198018600115</v>
      </c>
      <c r="AK29" s="16">
        <f t="shared" si="16"/>
        <v>2406.0942177112106</v>
      </c>
      <c r="AL29" s="16">
        <f t="shared" si="16"/>
        <v>2213.6066802943137</v>
      </c>
      <c r="AM29" s="16">
        <f t="shared" si="16"/>
        <v>2280.0148807031433</v>
      </c>
    </row>
    <row r="30" spans="2:39" s="18" customFormat="1" ht="21" customHeight="1" x14ac:dyDescent="0.3">
      <c r="B30" s="21" t="s">
        <v>27</v>
      </c>
      <c r="C30" s="19"/>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row>
    <row r="31" spans="2:39" s="12" customFormat="1" ht="21" customHeight="1" x14ac:dyDescent="0.3">
      <c r="B31" s="22" t="s">
        <v>28</v>
      </c>
      <c r="C31" s="10"/>
      <c r="D31" s="14">
        <v>3500</v>
      </c>
      <c r="E31" s="14">
        <v>3605</v>
      </c>
      <c r="F31" s="14">
        <v>3713.15</v>
      </c>
      <c r="G31" s="14">
        <f t="shared" ref="G31:I31" si="17">F31*(0.92)</f>
        <v>3416.0980000000004</v>
      </c>
      <c r="H31" s="14">
        <f t="shared" si="17"/>
        <v>3142.8101600000005</v>
      </c>
      <c r="I31" s="14">
        <f t="shared" si="17"/>
        <v>2891.3853472000005</v>
      </c>
      <c r="J31" s="14">
        <v>2978.1269076160006</v>
      </c>
      <c r="K31" s="14">
        <v>3067.4707148444809</v>
      </c>
      <c r="L31" s="14">
        <v>3159.4948362898153</v>
      </c>
      <c r="M31" s="14">
        <v>3254.2796813785098</v>
      </c>
      <c r="N31" s="14">
        <v>3351.9080718198652</v>
      </c>
      <c r="O31" s="14">
        <v>3452.4653139744614</v>
      </c>
      <c r="P31" s="14">
        <v>3556.0392733936956</v>
      </c>
      <c r="Q31" s="14">
        <v>3662.7204515955063</v>
      </c>
      <c r="R31" s="14">
        <v>3772.6020651433714</v>
      </c>
      <c r="S31" s="14">
        <v>3885.7801270976724</v>
      </c>
      <c r="T31" s="14">
        <v>4002.3535309106028</v>
      </c>
      <c r="U31" s="14">
        <f t="shared" ref="U31:V31" si="18">T31*(0.92)</f>
        <v>3682.1652484377546</v>
      </c>
      <c r="V31" s="14">
        <f t="shared" si="18"/>
        <v>3387.5920285627344</v>
      </c>
      <c r="W31" s="14">
        <v>3489.2197894196165</v>
      </c>
      <c r="X31" s="14">
        <v>3593.8963831022052</v>
      </c>
      <c r="Y31" s="14">
        <v>3701.7132745952713</v>
      </c>
      <c r="Z31" s="14">
        <f t="shared" ref="Z31:AA31" si="19">Y31*(0.92)</f>
        <v>3405.5762126276495</v>
      </c>
      <c r="AA31" s="14">
        <f t="shared" si="19"/>
        <v>3133.1301156174377</v>
      </c>
      <c r="AB31" s="14">
        <v>3227.1240190859608</v>
      </c>
      <c r="AC31" s="14">
        <v>3323.9377396585396</v>
      </c>
      <c r="AD31" s="14">
        <v>3423.6558718482961</v>
      </c>
      <c r="AE31" s="14">
        <v>3526.3655480037451</v>
      </c>
      <c r="AF31" s="14">
        <v>3632.1565144438573</v>
      </c>
      <c r="AG31" s="14">
        <v>3741.121209877173</v>
      </c>
      <c r="AH31" s="14">
        <v>3853.3548461734881</v>
      </c>
      <c r="AI31" s="14">
        <v>3968.9554915586928</v>
      </c>
      <c r="AJ31" s="14">
        <v>4088.0241563054537</v>
      </c>
      <c r="AK31" s="14">
        <v>4210.6648809946173</v>
      </c>
      <c r="AL31" s="14">
        <v>4336.9848274244559</v>
      </c>
      <c r="AM31" s="14">
        <v>4467.0943722471893</v>
      </c>
    </row>
    <row r="32" spans="2:39" s="12" customFormat="1" ht="21" customHeight="1" x14ac:dyDescent="0.3">
      <c r="B32" s="22" t="s">
        <v>29</v>
      </c>
      <c r="C32" s="10"/>
      <c r="D32" s="14">
        <v>350</v>
      </c>
      <c r="E32" s="14">
        <v>360.5</v>
      </c>
      <c r="F32" s="14">
        <v>371.315</v>
      </c>
      <c r="G32" s="14">
        <v>382.45445000000001</v>
      </c>
      <c r="H32" s="14">
        <v>393.92808350000001</v>
      </c>
      <c r="I32" s="14">
        <v>405.745926005</v>
      </c>
      <c r="J32" s="14">
        <v>417.91830378514999</v>
      </c>
      <c r="K32" s="14">
        <v>430.45585289870451</v>
      </c>
      <c r="L32" s="14">
        <v>443.36952848566563</v>
      </c>
      <c r="M32" s="14">
        <v>456.6706143402356</v>
      </c>
      <c r="N32" s="14">
        <v>470.37073277044266</v>
      </c>
      <c r="O32" s="14">
        <v>484.48185475355592</v>
      </c>
      <c r="P32" s="14">
        <v>499.01631039616262</v>
      </c>
      <c r="Q32" s="14">
        <v>513.98679970804756</v>
      </c>
      <c r="R32" s="14">
        <v>529.40640369928894</v>
      </c>
      <c r="S32" s="14">
        <v>545.28859581026768</v>
      </c>
      <c r="T32" s="14">
        <v>561.64725368457573</v>
      </c>
      <c r="U32" s="14">
        <v>578.49667129511306</v>
      </c>
      <c r="V32" s="14">
        <v>595.85157143396646</v>
      </c>
      <c r="W32" s="14">
        <v>613.7271185769855</v>
      </c>
      <c r="X32" s="14">
        <v>632.13893213429503</v>
      </c>
      <c r="Y32" s="14">
        <v>651.10310009832392</v>
      </c>
      <c r="Z32" s="14">
        <v>670.63619310127365</v>
      </c>
      <c r="AA32" s="14">
        <v>690.75527889431191</v>
      </c>
      <c r="AB32" s="14">
        <v>711.47793726114128</v>
      </c>
      <c r="AC32" s="14">
        <v>732.82227537897552</v>
      </c>
      <c r="AD32" s="14">
        <v>754.8069436403448</v>
      </c>
      <c r="AE32" s="14">
        <v>777.4511519495552</v>
      </c>
      <c r="AF32" s="14">
        <v>800.7746865080419</v>
      </c>
      <c r="AG32" s="14">
        <v>824.7979271032832</v>
      </c>
      <c r="AH32" s="14">
        <v>849.54186491638177</v>
      </c>
      <c r="AI32" s="14">
        <v>875.02812086387326</v>
      </c>
      <c r="AJ32" s="14">
        <v>901.27896448978947</v>
      </c>
      <c r="AK32" s="14">
        <v>928.31733342448319</v>
      </c>
      <c r="AL32" s="14">
        <v>956.16685342721769</v>
      </c>
      <c r="AM32" s="14">
        <v>984.85185903003423</v>
      </c>
    </row>
    <row r="33" spans="2:39" s="12" customFormat="1" ht="21" customHeight="1" x14ac:dyDescent="0.3">
      <c r="B33" s="22" t="s">
        <v>30</v>
      </c>
      <c r="C33" s="10"/>
      <c r="D33" s="14">
        <v>350</v>
      </c>
      <c r="E33" s="14">
        <v>360.5</v>
      </c>
      <c r="F33" s="14">
        <v>371.315</v>
      </c>
      <c r="G33" s="14">
        <v>382.45445000000001</v>
      </c>
      <c r="H33" s="14">
        <v>393.92808350000001</v>
      </c>
      <c r="I33" s="14">
        <v>405.745926005</v>
      </c>
      <c r="J33" s="14">
        <v>417.91830378514999</v>
      </c>
      <c r="K33" s="14">
        <v>430.45585289870451</v>
      </c>
      <c r="L33" s="14">
        <v>443.36952848566563</v>
      </c>
      <c r="M33" s="14">
        <v>456.6706143402356</v>
      </c>
      <c r="N33" s="14">
        <v>470.37073277044266</v>
      </c>
      <c r="O33" s="14">
        <v>484.48185475355592</v>
      </c>
      <c r="P33" s="14">
        <v>499.01631039616262</v>
      </c>
      <c r="Q33" s="14">
        <v>513.98679970804756</v>
      </c>
      <c r="R33" s="14">
        <v>529.40640369928894</v>
      </c>
      <c r="S33" s="14">
        <v>545.28859581026768</v>
      </c>
      <c r="T33" s="14">
        <v>561.64725368457573</v>
      </c>
      <c r="U33" s="14">
        <v>578.49667129511306</v>
      </c>
      <c r="V33" s="14">
        <v>595.85157143396646</v>
      </c>
      <c r="W33" s="14">
        <v>613.7271185769855</v>
      </c>
      <c r="X33" s="14">
        <v>632.13893213429503</v>
      </c>
      <c r="Y33" s="14">
        <v>651.10310009832392</v>
      </c>
      <c r="Z33" s="14">
        <v>670.63619310127365</v>
      </c>
      <c r="AA33" s="14">
        <v>690.75527889431191</v>
      </c>
      <c r="AB33" s="14">
        <v>711.47793726114128</v>
      </c>
      <c r="AC33" s="14">
        <v>732.82227537897552</v>
      </c>
      <c r="AD33" s="14">
        <v>754.8069436403448</v>
      </c>
      <c r="AE33" s="14">
        <v>777.4511519495552</v>
      </c>
      <c r="AF33" s="14">
        <v>800.7746865080419</v>
      </c>
      <c r="AG33" s="14">
        <v>824.7979271032832</v>
      </c>
      <c r="AH33" s="14">
        <v>849.54186491638177</v>
      </c>
      <c r="AI33" s="14">
        <v>875.02812086387326</v>
      </c>
      <c r="AJ33" s="14">
        <v>901.27896448978947</v>
      </c>
      <c r="AK33" s="14">
        <v>928.31733342448319</v>
      </c>
      <c r="AL33" s="14">
        <v>956.16685342721769</v>
      </c>
      <c r="AM33" s="14">
        <v>984.85185903003423</v>
      </c>
    </row>
    <row r="34" spans="2:39" s="12" customFormat="1" ht="21" customHeight="1" x14ac:dyDescent="0.3">
      <c r="B34" s="22" t="s">
        <v>31</v>
      </c>
      <c r="C34" s="10"/>
      <c r="D34" s="14">
        <v>25</v>
      </c>
      <c r="E34" s="14">
        <v>25.75</v>
      </c>
      <c r="F34" s="14">
        <v>26.522500000000001</v>
      </c>
      <c r="G34" s="14">
        <v>27.318175</v>
      </c>
      <c r="H34" s="14">
        <v>28.137720250000001</v>
      </c>
      <c r="I34" s="14">
        <v>28.981851857500001</v>
      </c>
      <c r="J34" s="14">
        <v>29.851307413225001</v>
      </c>
      <c r="K34" s="14">
        <v>30.74684663562175</v>
      </c>
      <c r="L34" s="14">
        <v>31.669252034690405</v>
      </c>
      <c r="M34" s="14">
        <v>32.619329595731116</v>
      </c>
      <c r="N34" s="14">
        <v>33.597909483603054</v>
      </c>
      <c r="O34" s="14">
        <v>34.605846768111149</v>
      </c>
      <c r="P34" s="14">
        <v>35.644022171154482</v>
      </c>
      <c r="Q34" s="14">
        <v>36.713342836289115</v>
      </c>
      <c r="R34" s="14">
        <v>37.814743121377788</v>
      </c>
      <c r="S34" s="14">
        <v>38.949185415019123</v>
      </c>
      <c r="T34" s="14">
        <v>40.117660977469697</v>
      </c>
      <c r="U34" s="14">
        <v>41.321190806793787</v>
      </c>
      <c r="V34" s="14">
        <v>42.560826530997602</v>
      </c>
      <c r="W34" s="14">
        <v>43.837651326927528</v>
      </c>
      <c r="X34" s="14">
        <v>45.152780866735355</v>
      </c>
      <c r="Y34" s="14">
        <v>46.507364292737414</v>
      </c>
      <c r="Z34" s="14">
        <v>47.902585221519537</v>
      </c>
      <c r="AA34" s="14">
        <v>49.339662778165128</v>
      </c>
      <c r="AB34" s="14">
        <v>50.819852661510083</v>
      </c>
      <c r="AC34" s="14">
        <v>52.344448241355387</v>
      </c>
      <c r="AD34" s="14">
        <v>53.914781688596051</v>
      </c>
      <c r="AE34" s="14">
        <v>55.532225139253931</v>
      </c>
      <c r="AF34" s="14">
        <v>57.198191893431549</v>
      </c>
      <c r="AG34" s="14">
        <v>58.914137650234494</v>
      </c>
      <c r="AH34" s="14">
        <v>60.681561779741529</v>
      </c>
      <c r="AI34" s="14">
        <v>62.502008633133777</v>
      </c>
      <c r="AJ34" s="14">
        <v>64.377068892127795</v>
      </c>
      <c r="AK34" s="14">
        <v>66.308380958891632</v>
      </c>
      <c r="AL34" s="14">
        <v>68.297632387658382</v>
      </c>
      <c r="AM34" s="14">
        <v>70.346561359288131</v>
      </c>
    </row>
    <row r="35" spans="2:39" s="12" customFormat="1" ht="21" customHeight="1" x14ac:dyDescent="0.3">
      <c r="B35" s="22" t="s">
        <v>32</v>
      </c>
      <c r="C35" s="10"/>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row>
    <row r="36" spans="2:39" s="12" customFormat="1" ht="21" customHeight="1" x14ac:dyDescent="0.3">
      <c r="B36" s="21" t="s">
        <v>33</v>
      </c>
      <c r="C36" s="10"/>
      <c r="D36" s="16">
        <f t="shared" ref="D36:AM36" si="20">SUM(D35, D34, D33, D32, D31 + D30)</f>
        <v>4225</v>
      </c>
      <c r="E36" s="16">
        <f t="shared" si="20"/>
        <v>4351.75</v>
      </c>
      <c r="F36" s="16">
        <f t="shared" si="20"/>
        <v>4482.3024999999998</v>
      </c>
      <c r="G36" s="16">
        <f t="shared" si="20"/>
        <v>4208.3250750000007</v>
      </c>
      <c r="H36" s="16">
        <f t="shared" si="20"/>
        <v>3958.8040472500006</v>
      </c>
      <c r="I36" s="16">
        <f t="shared" si="20"/>
        <v>3731.8590510675003</v>
      </c>
      <c r="J36" s="16">
        <f t="shared" si="20"/>
        <v>3843.8148225995255</v>
      </c>
      <c r="K36" s="16">
        <f t="shared" si="20"/>
        <v>3959.1292672775116</v>
      </c>
      <c r="L36" s="16">
        <f t="shared" si="20"/>
        <v>4077.903145295837</v>
      </c>
      <c r="M36" s="16">
        <f t="shared" si="20"/>
        <v>4200.2402396547122</v>
      </c>
      <c r="N36" s="16">
        <f t="shared" si="20"/>
        <v>4326.2474468443534</v>
      </c>
      <c r="O36" s="16">
        <f t="shared" si="20"/>
        <v>4456.0348702496849</v>
      </c>
      <c r="P36" s="16">
        <f t="shared" si="20"/>
        <v>4589.715916357175</v>
      </c>
      <c r="Q36" s="16">
        <f t="shared" si="20"/>
        <v>4727.4073938478905</v>
      </c>
      <c r="R36" s="16">
        <f t="shared" si="20"/>
        <v>4869.2296156633274</v>
      </c>
      <c r="S36" s="16">
        <f t="shared" si="20"/>
        <v>5015.3065041332266</v>
      </c>
      <c r="T36" s="16">
        <f t="shared" si="20"/>
        <v>5165.7656992572238</v>
      </c>
      <c r="U36" s="16">
        <f t="shared" si="20"/>
        <v>4880.4797818347743</v>
      </c>
      <c r="V36" s="16">
        <f t="shared" si="20"/>
        <v>4621.8559979616648</v>
      </c>
      <c r="W36" s="16">
        <f t="shared" si="20"/>
        <v>4760.5116779005148</v>
      </c>
      <c r="X36" s="16">
        <f t="shared" si="20"/>
        <v>4903.3270282375306</v>
      </c>
      <c r="Y36" s="16">
        <f t="shared" si="20"/>
        <v>5050.4268390846564</v>
      </c>
      <c r="Z36" s="16">
        <f t="shared" si="20"/>
        <v>4794.7511840517163</v>
      </c>
      <c r="AA36" s="16">
        <f t="shared" si="20"/>
        <v>4563.9803361842269</v>
      </c>
      <c r="AB36" s="16">
        <f t="shared" si="20"/>
        <v>4700.8997462697535</v>
      </c>
      <c r="AC36" s="16">
        <f t="shared" si="20"/>
        <v>4841.9267386578458</v>
      </c>
      <c r="AD36" s="16">
        <f t="shared" si="20"/>
        <v>4987.1845408175814</v>
      </c>
      <c r="AE36" s="16">
        <f t="shared" si="20"/>
        <v>5136.8000770421095</v>
      </c>
      <c r="AF36" s="16">
        <f t="shared" si="20"/>
        <v>5290.9040793533732</v>
      </c>
      <c r="AG36" s="16">
        <f t="shared" si="20"/>
        <v>5449.6312017339733</v>
      </c>
      <c r="AH36" s="16">
        <f t="shared" si="20"/>
        <v>5613.1201377859934</v>
      </c>
      <c r="AI36" s="16">
        <f t="shared" si="20"/>
        <v>5781.5137419195726</v>
      </c>
      <c r="AJ36" s="16">
        <f t="shared" si="20"/>
        <v>5954.9591541771606</v>
      </c>
      <c r="AK36" s="16">
        <f t="shared" si="20"/>
        <v>6133.6079288024757</v>
      </c>
      <c r="AL36" s="16">
        <f t="shared" si="20"/>
        <v>6317.6161666665503</v>
      </c>
      <c r="AM36" s="16">
        <f t="shared" si="20"/>
        <v>6507.1446516665455</v>
      </c>
    </row>
    <row r="37" spans="2:39" s="12" customFormat="1" ht="21" customHeight="1" x14ac:dyDescent="0.3">
      <c r="B37" s="22" t="s">
        <v>34</v>
      </c>
      <c r="C37" s="10"/>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row>
    <row r="38" spans="2:39" s="18" customFormat="1" ht="21" customHeight="1" x14ac:dyDescent="0.3">
      <c r="B38" s="21" t="s">
        <v>35</v>
      </c>
      <c r="C38" s="19"/>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row>
    <row r="39" spans="2:39" s="12" customFormat="1" ht="21" customHeight="1" x14ac:dyDescent="0.3">
      <c r="B39" s="22" t="s">
        <v>36</v>
      </c>
      <c r="C39" s="10"/>
      <c r="D39" s="14">
        <v>300</v>
      </c>
      <c r="E39" s="14">
        <v>309</v>
      </c>
      <c r="F39" s="14">
        <v>318.27</v>
      </c>
      <c r="G39" s="14">
        <v>327.81810000000002</v>
      </c>
      <c r="H39" s="14">
        <v>337.65264300000001</v>
      </c>
      <c r="I39" s="14">
        <v>347.78222228999999</v>
      </c>
      <c r="J39" s="14">
        <v>358.21568895870001</v>
      </c>
      <c r="K39" s="14">
        <v>368.96215962746101</v>
      </c>
      <c r="L39" s="14">
        <v>380.03102441628482</v>
      </c>
      <c r="M39" s="14">
        <v>391.4319551487734</v>
      </c>
      <c r="N39" s="14">
        <v>403.17491380323662</v>
      </c>
      <c r="O39" s="14">
        <v>415.27016121733374</v>
      </c>
      <c r="P39" s="14">
        <v>427.72826605385376</v>
      </c>
      <c r="Q39" s="14">
        <v>440.56011403546938</v>
      </c>
      <c r="R39" s="14">
        <v>453.77691745653345</v>
      </c>
      <c r="S39" s="14">
        <v>467.39022498022945</v>
      </c>
      <c r="T39" s="14">
        <v>481.41193172963636</v>
      </c>
      <c r="U39" s="14">
        <v>495.85428968152547</v>
      </c>
      <c r="V39" s="14">
        <v>510.72991837197122</v>
      </c>
      <c r="W39" s="14">
        <v>526.05181592313033</v>
      </c>
      <c r="X39" s="14">
        <v>541.83337040082426</v>
      </c>
      <c r="Y39" s="14">
        <v>558.08837151284899</v>
      </c>
      <c r="Z39" s="14">
        <v>574.83102265823447</v>
      </c>
      <c r="AA39" s="14">
        <v>592.07595333798156</v>
      </c>
      <c r="AB39" s="14">
        <v>609.838231938121</v>
      </c>
      <c r="AC39" s="14">
        <v>628.13337889626462</v>
      </c>
      <c r="AD39" s="14">
        <v>646.97738026315255</v>
      </c>
      <c r="AE39" s="14">
        <v>666.38670167104715</v>
      </c>
      <c r="AF39" s="14">
        <v>686.37830272117856</v>
      </c>
      <c r="AG39" s="14">
        <v>706.96965180281393</v>
      </c>
      <c r="AH39" s="14">
        <v>728.1787413568984</v>
      </c>
      <c r="AI39" s="14">
        <v>750.0241035976054</v>
      </c>
      <c r="AJ39" s="14">
        <v>772.52482670553354</v>
      </c>
      <c r="AK39" s="14">
        <v>795.70057150669959</v>
      </c>
      <c r="AL39" s="14">
        <v>819.57158865190058</v>
      </c>
      <c r="AM39" s="14">
        <v>844.15873631145757</v>
      </c>
    </row>
    <row r="40" spans="2:39" s="12" customFormat="1" ht="21" customHeight="1" x14ac:dyDescent="0.3">
      <c r="B40" s="22" t="s">
        <v>37</v>
      </c>
      <c r="C40" s="10"/>
      <c r="D40" s="14">
        <v>200</v>
      </c>
      <c r="E40" s="14">
        <f t="shared" ref="E40:G40" si="21">D40*(0.92)</f>
        <v>184</v>
      </c>
      <c r="F40" s="14">
        <f t="shared" si="21"/>
        <v>169.28</v>
      </c>
      <c r="G40" s="14">
        <f t="shared" si="21"/>
        <v>155.73760000000001</v>
      </c>
      <c r="H40" s="14">
        <v>160.40972800000003</v>
      </c>
      <c r="I40" s="14">
        <v>165.22201984000003</v>
      </c>
      <c r="J40" s="14">
        <v>170.17868043520002</v>
      </c>
      <c r="K40" s="14">
        <v>175.28404084825604</v>
      </c>
      <c r="L40" s="14">
        <v>180.54256207370372</v>
      </c>
      <c r="M40" s="14">
        <v>185.95883893591483</v>
      </c>
      <c r="N40" s="14">
        <v>191.53760410399227</v>
      </c>
      <c r="O40" s="14">
        <v>197.28373222711204</v>
      </c>
      <c r="P40" s="14">
        <v>203.2022441939254</v>
      </c>
      <c r="Q40" s="14">
        <v>209.29831151974315</v>
      </c>
      <c r="R40" s="14">
        <v>215.57726086533546</v>
      </c>
      <c r="S40" s="14">
        <v>222.04457869129553</v>
      </c>
      <c r="T40" s="14">
        <v>228.70591605203441</v>
      </c>
      <c r="U40" s="14">
        <v>235.56709353359545</v>
      </c>
      <c r="V40" s="14">
        <v>242.63410633960333</v>
      </c>
      <c r="W40" s="14">
        <v>249.91312952979143</v>
      </c>
      <c r="X40" s="14">
        <v>257.41052341568519</v>
      </c>
      <c r="Y40" s="14">
        <v>265.13283911815574</v>
      </c>
      <c r="Z40" s="14">
        <v>273.0868242917004</v>
      </c>
      <c r="AA40" s="14">
        <v>281.2794290204514</v>
      </c>
      <c r="AB40" s="14">
        <v>289.71781189106497</v>
      </c>
      <c r="AC40" s="14">
        <v>298.40934624779692</v>
      </c>
      <c r="AD40" s="14">
        <v>307.36162663523083</v>
      </c>
      <c r="AE40" s="14">
        <v>316.58247543428774</v>
      </c>
      <c r="AF40" s="14">
        <v>326.07994969731641</v>
      </c>
      <c r="AG40" s="14">
        <v>335.8623481882359</v>
      </c>
      <c r="AH40" s="14">
        <v>345.93821863388297</v>
      </c>
      <c r="AI40" s="14">
        <v>356.31636519289947</v>
      </c>
      <c r="AJ40" s="14">
        <v>367.00585614868646</v>
      </c>
      <c r="AK40" s="14">
        <v>378.01603183314705</v>
      </c>
      <c r="AL40" s="14">
        <v>389.35651278814146</v>
      </c>
      <c r="AM40" s="14">
        <v>401.03720817178572</v>
      </c>
    </row>
    <row r="41" spans="2:39" s="12" customFormat="1" ht="21" customHeight="1" x14ac:dyDescent="0.3">
      <c r="B41" s="22" t="s">
        <v>38</v>
      </c>
      <c r="C41" s="10"/>
      <c r="D41" s="14">
        <v>200</v>
      </c>
      <c r="E41" s="14">
        <v>206</v>
      </c>
      <c r="F41" s="14">
        <v>212.18</v>
      </c>
      <c r="G41" s="14">
        <v>218.5454</v>
      </c>
      <c r="H41" s="14">
        <v>225.10176200000001</v>
      </c>
      <c r="I41" s="14">
        <v>231.85481486</v>
      </c>
      <c r="J41" s="14">
        <v>238.81045930580001</v>
      </c>
      <c r="K41" s="14">
        <v>245.974773084974</v>
      </c>
      <c r="L41" s="14">
        <v>253.35401627752324</v>
      </c>
      <c r="M41" s="14">
        <v>260.95463676584893</v>
      </c>
      <c r="N41" s="14">
        <v>268.78327586882443</v>
      </c>
      <c r="O41" s="14">
        <v>276.8467741448892</v>
      </c>
      <c r="P41" s="14">
        <v>285.15217736923586</v>
      </c>
      <c r="Q41" s="14">
        <v>293.70674269031292</v>
      </c>
      <c r="R41" s="14">
        <v>302.5179449710223</v>
      </c>
      <c r="S41" s="14">
        <v>311.59348332015298</v>
      </c>
      <c r="T41" s="14">
        <v>320.94128781975758</v>
      </c>
      <c r="U41" s="14">
        <v>330.5695264543503</v>
      </c>
      <c r="V41" s="14">
        <v>340.48661224798082</v>
      </c>
      <c r="W41" s="14">
        <v>350.70121061542022</v>
      </c>
      <c r="X41" s="14">
        <v>361.22224693388284</v>
      </c>
      <c r="Y41" s="14">
        <v>372.05891434189931</v>
      </c>
      <c r="Z41" s="14">
        <v>383.2206817721563</v>
      </c>
      <c r="AA41" s="14">
        <v>394.71730222532102</v>
      </c>
      <c r="AB41" s="14">
        <v>406.55882129208067</v>
      </c>
      <c r="AC41" s="14">
        <v>418.7555859308431</v>
      </c>
      <c r="AD41" s="14">
        <v>431.31825350876841</v>
      </c>
      <c r="AE41" s="14">
        <v>444.25780111403145</v>
      </c>
      <c r="AF41" s="14">
        <v>457.58553514745239</v>
      </c>
      <c r="AG41" s="14">
        <v>471.31310120187595</v>
      </c>
      <c r="AH41" s="14">
        <v>485.45249423793223</v>
      </c>
      <c r="AI41" s="14">
        <v>500.01606906507021</v>
      </c>
      <c r="AJ41" s="14">
        <v>515.01655113702236</v>
      </c>
      <c r="AK41" s="14">
        <v>530.46704767113306</v>
      </c>
      <c r="AL41" s="14">
        <v>546.38105910126706</v>
      </c>
      <c r="AM41" s="14">
        <v>562.77249087430505</v>
      </c>
    </row>
    <row r="42" spans="2:39" s="12" customFormat="1" ht="21" customHeight="1" x14ac:dyDescent="0.3">
      <c r="B42" s="21" t="s">
        <v>39</v>
      </c>
      <c r="C42" s="10"/>
      <c r="D42" s="14">
        <f t="shared" ref="D42" si="22">SUM(D41, D40, D39 + D38)</f>
        <v>700</v>
      </c>
      <c r="E42" s="14">
        <v>700</v>
      </c>
      <c r="F42" s="14">
        <v>700</v>
      </c>
      <c r="G42" s="14">
        <v>700</v>
      </c>
      <c r="H42" s="14">
        <v>700</v>
      </c>
      <c r="I42" s="14">
        <v>700</v>
      </c>
      <c r="J42" s="14">
        <v>700</v>
      </c>
      <c r="K42" s="14">
        <v>700</v>
      </c>
      <c r="L42" s="14">
        <v>700</v>
      </c>
      <c r="M42" s="14">
        <v>700</v>
      </c>
      <c r="N42" s="14">
        <v>700</v>
      </c>
      <c r="O42" s="14">
        <v>700</v>
      </c>
      <c r="P42" s="14">
        <v>700</v>
      </c>
      <c r="Q42" s="14">
        <v>700</v>
      </c>
      <c r="R42" s="14">
        <v>700</v>
      </c>
      <c r="S42" s="14">
        <v>700</v>
      </c>
      <c r="T42" s="14">
        <v>700</v>
      </c>
      <c r="U42" s="14">
        <v>700</v>
      </c>
      <c r="V42" s="14">
        <v>700</v>
      </c>
      <c r="W42" s="14">
        <v>700</v>
      </c>
      <c r="X42" s="14">
        <v>700</v>
      </c>
      <c r="Y42" s="14">
        <v>700</v>
      </c>
      <c r="Z42" s="14">
        <v>700</v>
      </c>
      <c r="AA42" s="14">
        <v>700</v>
      </c>
      <c r="AB42" s="14">
        <v>700</v>
      </c>
      <c r="AC42" s="14">
        <v>700</v>
      </c>
      <c r="AD42" s="14">
        <v>700</v>
      </c>
      <c r="AE42" s="14">
        <v>700</v>
      </c>
      <c r="AF42" s="14">
        <v>700</v>
      </c>
      <c r="AG42" s="14">
        <v>700</v>
      </c>
      <c r="AH42" s="14">
        <v>700</v>
      </c>
      <c r="AI42" s="14">
        <v>700</v>
      </c>
      <c r="AJ42" s="14">
        <v>700</v>
      </c>
      <c r="AK42" s="14">
        <v>700</v>
      </c>
      <c r="AL42" s="14">
        <v>700</v>
      </c>
      <c r="AM42" s="14">
        <v>700</v>
      </c>
    </row>
    <row r="43" spans="2:39" s="12" customFormat="1" ht="21" customHeight="1" x14ac:dyDescent="0.3">
      <c r="B43" s="15" t="s">
        <v>40</v>
      </c>
      <c r="C43" s="10"/>
      <c r="D43" s="16">
        <f t="shared" ref="D43:AM43" si="23">SUM(D41, D40, D39, D38, D37, D35, D34, D33, D32, D31, D30, D28, D27, D26, D25, D24, D22, D21, D20, D19, D18, D17, D16, D15, D14 + D13)</f>
        <v>10325</v>
      </c>
      <c r="E43" s="16">
        <f t="shared" si="23"/>
        <v>10612.75</v>
      </c>
      <c r="F43" s="16">
        <f t="shared" si="23"/>
        <v>10882.567500000001</v>
      </c>
      <c r="G43" s="16">
        <f t="shared" si="23"/>
        <v>10680.063875</v>
      </c>
      <c r="H43" s="16">
        <f t="shared" si="23"/>
        <v>10324.19508625</v>
      </c>
      <c r="I43" s="16">
        <f t="shared" si="23"/>
        <v>10011.751890237501</v>
      </c>
      <c r="J43" s="16">
        <f t="shared" si="23"/>
        <v>10312.104446944628</v>
      </c>
      <c r="K43" s="16">
        <f t="shared" si="23"/>
        <v>10621.467580352964</v>
      </c>
      <c r="L43" s="16">
        <f t="shared" si="23"/>
        <v>10669.539357370084</v>
      </c>
      <c r="M43" s="16">
        <f t="shared" si="23"/>
        <v>10740.699067729192</v>
      </c>
      <c r="N43" s="16">
        <f t="shared" si="23"/>
        <v>10833.907687028033</v>
      </c>
      <c r="O43" s="16">
        <f t="shared" si="23"/>
        <v>11073.096937606588</v>
      </c>
      <c r="P43" s="16">
        <f t="shared" si="23"/>
        <v>11405.289845734786</v>
      </c>
      <c r="Q43" s="16">
        <f t="shared" si="23"/>
        <v>11747.448541106829</v>
      </c>
      <c r="R43" s="16">
        <f t="shared" si="23"/>
        <v>11777.677721590211</v>
      </c>
      <c r="S43" s="16">
        <f t="shared" si="23"/>
        <v>11834.589319548082</v>
      </c>
      <c r="T43" s="16">
        <f t="shared" si="23"/>
        <v>12189.626999134525</v>
      </c>
      <c r="U43" s="16">
        <f t="shared" si="23"/>
        <v>12023.518620775503</v>
      </c>
      <c r="V43" s="16">
        <f t="shared" si="23"/>
        <v>11894.970766132355</v>
      </c>
      <c r="W43" s="16">
        <f t="shared" si="23"/>
        <v>12251.819889116328</v>
      </c>
      <c r="X43" s="16">
        <f t="shared" si="23"/>
        <v>12619.374485789816</v>
      </c>
      <c r="Y43" s="16">
        <f t="shared" si="23"/>
        <v>12632.60771630391</v>
      </c>
      <c r="Z43" s="16">
        <f t="shared" si="23"/>
        <v>12268.277323852713</v>
      </c>
      <c r="AA43" s="16">
        <f t="shared" si="23"/>
        <v>12261.712260179253</v>
      </c>
      <c r="AB43" s="16">
        <f t="shared" si="23"/>
        <v>12284.10879525563</v>
      </c>
      <c r="AC43" s="16">
        <f t="shared" si="23"/>
        <v>12261.00567872138</v>
      </c>
      <c r="AD43" s="16">
        <f t="shared" si="23"/>
        <v>12560.932549544286</v>
      </c>
      <c r="AE43" s="16">
        <f t="shared" si="23"/>
        <v>12937.760526030614</v>
      </c>
      <c r="AF43" s="16">
        <f t="shared" si="23"/>
        <v>13048.062304080984</v>
      </c>
      <c r="AG43" s="16">
        <f t="shared" si="23"/>
        <v>13439.504173203413</v>
      </c>
      <c r="AH43" s="16">
        <f t="shared" si="23"/>
        <v>13513.598434207681</v>
      </c>
      <c r="AI43" s="16">
        <f t="shared" si="23"/>
        <v>13919.006387233911</v>
      </c>
      <c r="AJ43" s="16">
        <f t="shared" si="23"/>
        <v>14264.155526913415</v>
      </c>
      <c r="AK43" s="16">
        <f t="shared" si="23"/>
        <v>14404.395014516216</v>
      </c>
      <c r="AL43" s="16">
        <f t="shared" si="23"/>
        <v>14571.856501003471</v>
      </c>
      <c r="AM43" s="16">
        <f t="shared" si="23"/>
        <v>15009.012196033573</v>
      </c>
    </row>
    <row r="44" spans="2:39" s="18" customFormat="1" ht="21" customHeight="1" x14ac:dyDescent="0.3">
      <c r="B44" s="15" t="s">
        <v>41</v>
      </c>
      <c r="C44" s="19"/>
      <c r="D44" s="20">
        <f t="shared" ref="D44:AM44" si="24">D12-D43</f>
        <v>-10325</v>
      </c>
      <c r="E44" s="20">
        <f t="shared" si="24"/>
        <v>-10612.75</v>
      </c>
      <c r="F44" s="20">
        <f t="shared" si="24"/>
        <v>-10882.567500000001</v>
      </c>
      <c r="G44" s="20">
        <f t="shared" si="24"/>
        <v>-10680.063875</v>
      </c>
      <c r="H44" s="20">
        <f t="shared" si="24"/>
        <v>-10324.19508625</v>
      </c>
      <c r="I44" s="20">
        <f t="shared" si="24"/>
        <v>-10011.751890237501</v>
      </c>
      <c r="J44" s="20">
        <f t="shared" si="24"/>
        <v>-10312.104446944628</v>
      </c>
      <c r="K44" s="20">
        <f t="shared" si="24"/>
        <v>-10621.467580352964</v>
      </c>
      <c r="L44" s="20">
        <f t="shared" si="24"/>
        <v>-10669.539357370084</v>
      </c>
      <c r="M44" s="20">
        <f t="shared" si="24"/>
        <v>-10740.699067729192</v>
      </c>
      <c r="N44" s="20">
        <f t="shared" si="24"/>
        <v>-10833.907687028033</v>
      </c>
      <c r="O44" s="20">
        <f t="shared" si="24"/>
        <v>-11073.096937606588</v>
      </c>
      <c r="P44" s="20">
        <f t="shared" si="24"/>
        <v>-11405.289845734786</v>
      </c>
      <c r="Q44" s="20">
        <f t="shared" si="24"/>
        <v>-11747.448541106829</v>
      </c>
      <c r="R44" s="20">
        <f t="shared" si="24"/>
        <v>-11777.677721590211</v>
      </c>
      <c r="S44" s="20">
        <f t="shared" si="24"/>
        <v>-11834.589319548082</v>
      </c>
      <c r="T44" s="20">
        <f t="shared" si="24"/>
        <v>-12189.626999134525</v>
      </c>
      <c r="U44" s="20">
        <f t="shared" si="24"/>
        <v>-12023.518620775503</v>
      </c>
      <c r="V44" s="20">
        <f t="shared" si="24"/>
        <v>-11894.970766132355</v>
      </c>
      <c r="W44" s="20">
        <f t="shared" si="24"/>
        <v>-12251.819889116328</v>
      </c>
      <c r="X44" s="20">
        <f t="shared" si="24"/>
        <v>-12619.374485789816</v>
      </c>
      <c r="Y44" s="20">
        <f t="shared" si="24"/>
        <v>-12632.60771630391</v>
      </c>
      <c r="Z44" s="20">
        <f t="shared" si="24"/>
        <v>-12268.277323852713</v>
      </c>
      <c r="AA44" s="20">
        <f t="shared" si="24"/>
        <v>-12261.712260179253</v>
      </c>
      <c r="AB44" s="20">
        <f t="shared" si="24"/>
        <v>-12284.10879525563</v>
      </c>
      <c r="AC44" s="20">
        <f t="shared" si="24"/>
        <v>-12261.00567872138</v>
      </c>
      <c r="AD44" s="20">
        <f t="shared" si="24"/>
        <v>-12560.932549544286</v>
      </c>
      <c r="AE44" s="20">
        <f t="shared" si="24"/>
        <v>-12937.760526030614</v>
      </c>
      <c r="AF44" s="20">
        <f t="shared" si="24"/>
        <v>-13048.062304080984</v>
      </c>
      <c r="AG44" s="20">
        <f t="shared" si="24"/>
        <v>-13439.504173203413</v>
      </c>
      <c r="AH44" s="20">
        <f t="shared" si="24"/>
        <v>-13513.598434207681</v>
      </c>
      <c r="AI44" s="20">
        <f t="shared" si="24"/>
        <v>-13919.006387233911</v>
      </c>
      <c r="AJ44" s="20">
        <f t="shared" si="24"/>
        <v>-14264.155526913415</v>
      </c>
      <c r="AK44" s="20">
        <f t="shared" si="24"/>
        <v>-14404.395014516216</v>
      </c>
      <c r="AL44" s="20">
        <f t="shared" si="24"/>
        <v>-14571.856501003471</v>
      </c>
      <c r="AM44" s="20">
        <f t="shared" si="24"/>
        <v>-15009.012196033573</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AM47" si="25">SUM(D46 + D45)</f>
        <v>0</v>
      </c>
      <c r="E47" s="16">
        <f t="shared" si="25"/>
        <v>0</v>
      </c>
      <c r="F47" s="16">
        <f t="shared" si="25"/>
        <v>0</v>
      </c>
      <c r="G47" s="16">
        <f t="shared" si="25"/>
        <v>0</v>
      </c>
      <c r="H47" s="16">
        <f t="shared" si="25"/>
        <v>0</v>
      </c>
      <c r="I47" s="16">
        <f t="shared" si="25"/>
        <v>0</v>
      </c>
      <c r="J47" s="16">
        <f t="shared" si="25"/>
        <v>0</v>
      </c>
      <c r="K47" s="16">
        <f t="shared" si="25"/>
        <v>0</v>
      </c>
      <c r="L47" s="16">
        <f t="shared" si="25"/>
        <v>0</v>
      </c>
      <c r="M47" s="16">
        <f t="shared" si="25"/>
        <v>0</v>
      </c>
      <c r="N47" s="16">
        <f t="shared" si="25"/>
        <v>0</v>
      </c>
      <c r="O47" s="16">
        <f t="shared" si="25"/>
        <v>0</v>
      </c>
      <c r="P47" s="16">
        <f t="shared" si="25"/>
        <v>0</v>
      </c>
      <c r="Q47" s="16">
        <f t="shared" si="25"/>
        <v>0</v>
      </c>
      <c r="R47" s="16">
        <f t="shared" si="25"/>
        <v>0</v>
      </c>
      <c r="S47" s="16">
        <f t="shared" si="25"/>
        <v>0</v>
      </c>
      <c r="T47" s="16">
        <f t="shared" si="25"/>
        <v>0</v>
      </c>
      <c r="U47" s="16">
        <f t="shared" si="25"/>
        <v>0</v>
      </c>
      <c r="V47" s="16">
        <f t="shared" si="25"/>
        <v>0</v>
      </c>
      <c r="W47" s="16">
        <f t="shared" si="25"/>
        <v>0</v>
      </c>
      <c r="X47" s="16">
        <f t="shared" si="25"/>
        <v>0</v>
      </c>
      <c r="Y47" s="16">
        <f t="shared" si="25"/>
        <v>0</v>
      </c>
      <c r="Z47" s="16">
        <f t="shared" si="25"/>
        <v>0</v>
      </c>
      <c r="AA47" s="16">
        <f t="shared" si="25"/>
        <v>0</v>
      </c>
      <c r="AB47" s="16">
        <f t="shared" si="25"/>
        <v>0</v>
      </c>
      <c r="AC47" s="16">
        <f t="shared" si="25"/>
        <v>0</v>
      </c>
      <c r="AD47" s="16">
        <f t="shared" si="25"/>
        <v>0</v>
      </c>
      <c r="AE47" s="16">
        <f t="shared" si="25"/>
        <v>0</v>
      </c>
      <c r="AF47" s="16">
        <f t="shared" si="25"/>
        <v>0</v>
      </c>
      <c r="AG47" s="16">
        <f t="shared" si="25"/>
        <v>0</v>
      </c>
      <c r="AH47" s="16">
        <f t="shared" si="25"/>
        <v>0</v>
      </c>
      <c r="AI47" s="16">
        <f t="shared" si="25"/>
        <v>0</v>
      </c>
      <c r="AJ47" s="16">
        <f t="shared" si="25"/>
        <v>0</v>
      </c>
      <c r="AK47" s="16">
        <f t="shared" si="25"/>
        <v>0</v>
      </c>
      <c r="AL47" s="16">
        <f t="shared" si="25"/>
        <v>0</v>
      </c>
      <c r="AM47" s="16">
        <f t="shared" si="25"/>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0</v>
      </c>
      <c r="E49" s="14">
        <v>0</v>
      </c>
      <c r="F49" s="14">
        <v>0</v>
      </c>
      <c r="G49" s="14">
        <v>0</v>
      </c>
      <c r="H49" s="14">
        <v>0</v>
      </c>
      <c r="I49" s="14">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0</v>
      </c>
      <c r="AD49" s="14">
        <v>0</v>
      </c>
      <c r="AE49" s="14">
        <v>0</v>
      </c>
      <c r="AF49" s="14">
        <v>0</v>
      </c>
      <c r="AG49" s="14">
        <v>0</v>
      </c>
      <c r="AH49" s="14">
        <v>0</v>
      </c>
      <c r="AI49" s="14">
        <v>0</v>
      </c>
      <c r="AJ49" s="14">
        <v>0</v>
      </c>
      <c r="AK49" s="14">
        <v>0</v>
      </c>
      <c r="AL49" s="14">
        <v>0</v>
      </c>
      <c r="AM49" s="14">
        <v>0</v>
      </c>
    </row>
    <row r="50" spans="2:39" s="12" customFormat="1" ht="21" customHeight="1" x14ac:dyDescent="0.3">
      <c r="B50" s="13" t="s">
        <v>47</v>
      </c>
      <c r="C50" s="10"/>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0</v>
      </c>
      <c r="AC50" s="14">
        <v>0</v>
      </c>
      <c r="AD50" s="14">
        <v>0</v>
      </c>
      <c r="AE50" s="14">
        <v>0</v>
      </c>
      <c r="AF50" s="14">
        <v>0</v>
      </c>
      <c r="AG50" s="14">
        <v>0</v>
      </c>
      <c r="AH50" s="14">
        <v>0</v>
      </c>
      <c r="AI50" s="14">
        <v>0</v>
      </c>
      <c r="AJ50" s="14">
        <v>0</v>
      </c>
      <c r="AK50" s="14">
        <v>0</v>
      </c>
      <c r="AL50" s="14">
        <v>0</v>
      </c>
      <c r="AM50" s="14">
        <v>0</v>
      </c>
    </row>
    <row r="51" spans="2:39" s="12" customFormat="1" ht="21" customHeight="1" x14ac:dyDescent="0.3">
      <c r="B51" s="15" t="s">
        <v>48</v>
      </c>
      <c r="C51" s="10"/>
      <c r="D51" s="16">
        <f t="shared" ref="D51:AM51" si="26">SUM(D50, D49 + D48)</f>
        <v>0</v>
      </c>
      <c r="E51" s="16">
        <f t="shared" si="26"/>
        <v>0</v>
      </c>
      <c r="F51" s="16">
        <f t="shared" si="26"/>
        <v>0</v>
      </c>
      <c r="G51" s="16">
        <f t="shared" si="26"/>
        <v>0</v>
      </c>
      <c r="H51" s="16">
        <f t="shared" si="26"/>
        <v>0</v>
      </c>
      <c r="I51" s="16">
        <f t="shared" si="26"/>
        <v>0</v>
      </c>
      <c r="J51" s="16">
        <f t="shared" si="26"/>
        <v>0</v>
      </c>
      <c r="K51" s="16">
        <f t="shared" si="26"/>
        <v>0</v>
      </c>
      <c r="L51" s="16">
        <f t="shared" si="26"/>
        <v>0</v>
      </c>
      <c r="M51" s="16">
        <f t="shared" si="26"/>
        <v>0</v>
      </c>
      <c r="N51" s="16">
        <f t="shared" si="26"/>
        <v>0</v>
      </c>
      <c r="O51" s="16">
        <f t="shared" si="26"/>
        <v>0</v>
      </c>
      <c r="P51" s="16">
        <f t="shared" si="26"/>
        <v>0</v>
      </c>
      <c r="Q51" s="16">
        <f t="shared" si="26"/>
        <v>0</v>
      </c>
      <c r="R51" s="16">
        <f t="shared" si="26"/>
        <v>0</v>
      </c>
      <c r="S51" s="16">
        <f t="shared" si="26"/>
        <v>0</v>
      </c>
      <c r="T51" s="16">
        <f t="shared" si="26"/>
        <v>0</v>
      </c>
      <c r="U51" s="16">
        <f t="shared" si="26"/>
        <v>0</v>
      </c>
      <c r="V51" s="16">
        <f t="shared" si="26"/>
        <v>0</v>
      </c>
      <c r="W51" s="16">
        <f t="shared" si="26"/>
        <v>0</v>
      </c>
      <c r="X51" s="16">
        <f t="shared" si="26"/>
        <v>0</v>
      </c>
      <c r="Y51" s="16">
        <f t="shared" si="26"/>
        <v>0</v>
      </c>
      <c r="Z51" s="16">
        <f t="shared" si="26"/>
        <v>0</v>
      </c>
      <c r="AA51" s="16">
        <f t="shared" si="26"/>
        <v>0</v>
      </c>
      <c r="AB51" s="16">
        <f t="shared" si="26"/>
        <v>0</v>
      </c>
      <c r="AC51" s="16">
        <f t="shared" si="26"/>
        <v>0</v>
      </c>
      <c r="AD51" s="16">
        <f t="shared" si="26"/>
        <v>0</v>
      </c>
      <c r="AE51" s="16">
        <f t="shared" si="26"/>
        <v>0</v>
      </c>
      <c r="AF51" s="16">
        <f t="shared" si="26"/>
        <v>0</v>
      </c>
      <c r="AG51" s="16">
        <f t="shared" si="26"/>
        <v>0</v>
      </c>
      <c r="AH51" s="16">
        <f t="shared" si="26"/>
        <v>0</v>
      </c>
      <c r="AI51" s="16">
        <f t="shared" si="26"/>
        <v>0</v>
      </c>
      <c r="AJ51" s="16">
        <f t="shared" si="26"/>
        <v>0</v>
      </c>
      <c r="AK51" s="16">
        <f t="shared" si="26"/>
        <v>0</v>
      </c>
      <c r="AL51" s="16">
        <f t="shared" si="26"/>
        <v>0</v>
      </c>
      <c r="AM51" s="16">
        <f t="shared" si="26"/>
        <v>0</v>
      </c>
    </row>
    <row r="52" spans="2:39" s="18" customFormat="1" ht="21" customHeight="1" x14ac:dyDescent="0.3">
      <c r="B52" s="15" t="s">
        <v>49</v>
      </c>
      <c r="C52" s="19"/>
      <c r="D52" s="20">
        <f t="shared" ref="D52:AM52" si="27">D47-D51</f>
        <v>0</v>
      </c>
      <c r="E52" s="20">
        <f t="shared" si="27"/>
        <v>0</v>
      </c>
      <c r="F52" s="20">
        <f t="shared" si="27"/>
        <v>0</v>
      </c>
      <c r="G52" s="20">
        <f t="shared" si="27"/>
        <v>0</v>
      </c>
      <c r="H52" s="20">
        <f t="shared" si="27"/>
        <v>0</v>
      </c>
      <c r="I52" s="20">
        <f t="shared" si="27"/>
        <v>0</v>
      </c>
      <c r="J52" s="20">
        <f t="shared" si="27"/>
        <v>0</v>
      </c>
      <c r="K52" s="20">
        <f t="shared" si="27"/>
        <v>0</v>
      </c>
      <c r="L52" s="20">
        <f t="shared" si="27"/>
        <v>0</v>
      </c>
      <c r="M52" s="20">
        <f t="shared" si="27"/>
        <v>0</v>
      </c>
      <c r="N52" s="20">
        <f t="shared" si="27"/>
        <v>0</v>
      </c>
      <c r="O52" s="20">
        <f t="shared" si="27"/>
        <v>0</v>
      </c>
      <c r="P52" s="20">
        <f t="shared" si="27"/>
        <v>0</v>
      </c>
      <c r="Q52" s="20">
        <f t="shared" si="27"/>
        <v>0</v>
      </c>
      <c r="R52" s="20">
        <f t="shared" si="27"/>
        <v>0</v>
      </c>
      <c r="S52" s="20">
        <f t="shared" si="27"/>
        <v>0</v>
      </c>
      <c r="T52" s="20">
        <f t="shared" si="27"/>
        <v>0</v>
      </c>
      <c r="U52" s="20">
        <f t="shared" si="27"/>
        <v>0</v>
      </c>
      <c r="V52" s="20">
        <f t="shared" si="27"/>
        <v>0</v>
      </c>
      <c r="W52" s="20">
        <f t="shared" si="27"/>
        <v>0</v>
      </c>
      <c r="X52" s="20">
        <f t="shared" si="27"/>
        <v>0</v>
      </c>
      <c r="Y52" s="20">
        <f t="shared" si="27"/>
        <v>0</v>
      </c>
      <c r="Z52" s="20">
        <f t="shared" si="27"/>
        <v>0</v>
      </c>
      <c r="AA52" s="20">
        <f t="shared" si="27"/>
        <v>0</v>
      </c>
      <c r="AB52" s="20">
        <f t="shared" si="27"/>
        <v>0</v>
      </c>
      <c r="AC52" s="20">
        <f t="shared" si="27"/>
        <v>0</v>
      </c>
      <c r="AD52" s="20">
        <f t="shared" si="27"/>
        <v>0</v>
      </c>
      <c r="AE52" s="20">
        <f t="shared" si="27"/>
        <v>0</v>
      </c>
      <c r="AF52" s="20">
        <f t="shared" si="27"/>
        <v>0</v>
      </c>
      <c r="AG52" s="20">
        <f t="shared" si="27"/>
        <v>0</v>
      </c>
      <c r="AH52" s="20">
        <f t="shared" si="27"/>
        <v>0</v>
      </c>
      <c r="AI52" s="20">
        <f t="shared" si="27"/>
        <v>0</v>
      </c>
      <c r="AJ52" s="20">
        <f t="shared" si="27"/>
        <v>0</v>
      </c>
      <c r="AK52" s="20">
        <f t="shared" si="27"/>
        <v>0</v>
      </c>
      <c r="AL52" s="20">
        <f t="shared" si="27"/>
        <v>0</v>
      </c>
      <c r="AM52" s="20">
        <f t="shared" si="27"/>
        <v>0</v>
      </c>
    </row>
    <row r="53" spans="2:39" s="18" customFormat="1" ht="21" customHeight="1" x14ac:dyDescent="0.3">
      <c r="B53" s="15" t="s">
        <v>50</v>
      </c>
      <c r="C53" s="19"/>
      <c r="D53" s="20">
        <f t="shared" ref="D53:AM53" si="28">D44+D52</f>
        <v>-10325</v>
      </c>
      <c r="E53" s="20">
        <f t="shared" si="28"/>
        <v>-10612.75</v>
      </c>
      <c r="F53" s="20">
        <f t="shared" si="28"/>
        <v>-10882.567500000001</v>
      </c>
      <c r="G53" s="20">
        <f t="shared" si="28"/>
        <v>-10680.063875</v>
      </c>
      <c r="H53" s="20">
        <f t="shared" si="28"/>
        <v>-10324.19508625</v>
      </c>
      <c r="I53" s="20">
        <f t="shared" si="28"/>
        <v>-10011.751890237501</v>
      </c>
      <c r="J53" s="20">
        <f t="shared" si="28"/>
        <v>-10312.104446944628</v>
      </c>
      <c r="K53" s="20">
        <f t="shared" si="28"/>
        <v>-10621.467580352964</v>
      </c>
      <c r="L53" s="20">
        <f t="shared" si="28"/>
        <v>-10669.539357370084</v>
      </c>
      <c r="M53" s="20">
        <f t="shared" si="28"/>
        <v>-10740.699067729192</v>
      </c>
      <c r="N53" s="20">
        <f t="shared" si="28"/>
        <v>-10833.907687028033</v>
      </c>
      <c r="O53" s="20">
        <f t="shared" si="28"/>
        <v>-11073.096937606588</v>
      </c>
      <c r="P53" s="20">
        <f t="shared" si="28"/>
        <v>-11405.289845734786</v>
      </c>
      <c r="Q53" s="20">
        <f t="shared" si="28"/>
        <v>-11747.448541106829</v>
      </c>
      <c r="R53" s="20">
        <f t="shared" si="28"/>
        <v>-11777.677721590211</v>
      </c>
      <c r="S53" s="20">
        <f t="shared" si="28"/>
        <v>-11834.589319548082</v>
      </c>
      <c r="T53" s="20">
        <f t="shared" si="28"/>
        <v>-12189.626999134525</v>
      </c>
      <c r="U53" s="20">
        <f t="shared" si="28"/>
        <v>-12023.518620775503</v>
      </c>
      <c r="V53" s="20">
        <f t="shared" si="28"/>
        <v>-11894.970766132355</v>
      </c>
      <c r="W53" s="20">
        <f t="shared" si="28"/>
        <v>-12251.819889116328</v>
      </c>
      <c r="X53" s="20">
        <f t="shared" si="28"/>
        <v>-12619.374485789816</v>
      </c>
      <c r="Y53" s="20">
        <f t="shared" si="28"/>
        <v>-12632.60771630391</v>
      </c>
      <c r="Z53" s="20">
        <f t="shared" si="28"/>
        <v>-12268.277323852713</v>
      </c>
      <c r="AA53" s="20">
        <f t="shared" si="28"/>
        <v>-12261.712260179253</v>
      </c>
      <c r="AB53" s="20">
        <f t="shared" si="28"/>
        <v>-12284.10879525563</v>
      </c>
      <c r="AC53" s="20">
        <f t="shared" si="28"/>
        <v>-12261.00567872138</v>
      </c>
      <c r="AD53" s="20">
        <f t="shared" si="28"/>
        <v>-12560.932549544286</v>
      </c>
      <c r="AE53" s="20">
        <f t="shared" si="28"/>
        <v>-12937.760526030614</v>
      </c>
      <c r="AF53" s="20">
        <f t="shared" si="28"/>
        <v>-13048.062304080984</v>
      </c>
      <c r="AG53" s="20">
        <f t="shared" si="28"/>
        <v>-13439.504173203413</v>
      </c>
      <c r="AH53" s="20">
        <f t="shared" si="28"/>
        <v>-13513.598434207681</v>
      </c>
      <c r="AI53" s="20">
        <f t="shared" si="28"/>
        <v>-13919.006387233911</v>
      </c>
      <c r="AJ53" s="20">
        <f t="shared" si="28"/>
        <v>-14264.155526913415</v>
      </c>
      <c r="AK53" s="20">
        <f t="shared" si="28"/>
        <v>-14404.395014516216</v>
      </c>
      <c r="AL53" s="20">
        <f t="shared" si="28"/>
        <v>-14571.856501003471</v>
      </c>
      <c r="AM53" s="20">
        <f t="shared" si="28"/>
        <v>-15009.012196033573</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count="1">
    <dataValidation type="list" allowBlank="1" showInputMessage="1" showErrorMessage="1" sqref="D4" xr:uid="{145AAF69-EDEA-47BD-8365-6FF9C9F17D95}">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5281C-F27F-431F-A41F-25296E2B79FD}">
  <sheetPr>
    <tabColor theme="5" tint="0.79998168889431442"/>
    <outlinePr summaryBelow="0" summaryRight="0"/>
  </sheetPr>
  <dimension ref="A1:NTP304"/>
  <sheetViews>
    <sheetView showGridLines="0" zoomScaleNormal="100" workbookViewId="0">
      <pane xSplit="3" ySplit="4" topLeftCell="D5" activePane="bottomRight" state="frozen"/>
      <selection activeCell="B8" sqref="B8"/>
      <selection pane="topRight" activeCell="B8" sqref="B8"/>
      <selection pane="bottomLeft" activeCell="B8" sqref="B8"/>
      <selection pane="bottomRight" activeCell="A2" sqref="A2"/>
    </sheetView>
  </sheetViews>
  <sheetFormatPr defaultColWidth="9.109375" defaultRowHeight="14.4" x14ac:dyDescent="0.3"/>
  <cols>
    <col min="1" max="1" width="2.5546875" customWidth="1"/>
    <col min="2" max="2" width="42.33203125" style="2" customWidth="1"/>
    <col min="3" max="3" width="2.6640625" customWidth="1"/>
    <col min="4" max="4" width="12.44140625" style="27" customWidth="1"/>
    <col min="5"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55</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0</v>
      </c>
      <c r="E6" s="14">
        <v>0</v>
      </c>
      <c r="F6" s="14">
        <v>0</v>
      </c>
      <c r="G6" s="14">
        <v>0</v>
      </c>
      <c r="H6" s="14">
        <v>0</v>
      </c>
      <c r="I6" s="14">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0</v>
      </c>
      <c r="AF6" s="14">
        <v>0</v>
      </c>
      <c r="AG6" s="14">
        <v>0</v>
      </c>
      <c r="AH6" s="14">
        <v>0</v>
      </c>
      <c r="AI6" s="14">
        <v>0</v>
      </c>
      <c r="AJ6" s="14">
        <v>0</v>
      </c>
      <c r="AK6" s="14">
        <v>0</v>
      </c>
      <c r="AL6" s="14">
        <v>0</v>
      </c>
      <c r="AM6" s="14">
        <v>0</v>
      </c>
    </row>
    <row r="7" spans="1:39" s="12" customFormat="1" ht="21" customHeight="1" x14ac:dyDescent="0.3">
      <c r="A7" s="8"/>
      <c r="B7" s="15" t="s">
        <v>4</v>
      </c>
      <c r="C7" s="10"/>
      <c r="D7" s="16">
        <f t="shared" ref="D7:AM7" si="1">SUM(D6 + D5)</f>
        <v>0</v>
      </c>
      <c r="E7" s="16">
        <f t="shared" ref="E7:AL7" si="2">SUM(E6 + E5)</f>
        <v>0</v>
      </c>
      <c r="F7" s="16">
        <f t="shared" si="2"/>
        <v>0</v>
      </c>
      <c r="G7" s="16">
        <f t="shared" si="2"/>
        <v>0</v>
      </c>
      <c r="H7" s="16">
        <f t="shared" si="2"/>
        <v>0</v>
      </c>
      <c r="I7" s="16">
        <f t="shared" si="2"/>
        <v>0</v>
      </c>
      <c r="J7" s="16">
        <f t="shared" si="2"/>
        <v>0</v>
      </c>
      <c r="K7" s="16">
        <f t="shared" si="2"/>
        <v>0</v>
      </c>
      <c r="L7" s="16">
        <f t="shared" si="2"/>
        <v>0</v>
      </c>
      <c r="M7" s="16">
        <f t="shared" si="2"/>
        <v>0</v>
      </c>
      <c r="N7" s="16">
        <f t="shared" si="2"/>
        <v>0</v>
      </c>
      <c r="O7" s="16">
        <f t="shared" si="2"/>
        <v>0</v>
      </c>
      <c r="P7" s="16">
        <f t="shared" si="2"/>
        <v>0</v>
      </c>
      <c r="Q7" s="16">
        <f t="shared" si="2"/>
        <v>0</v>
      </c>
      <c r="R7" s="16">
        <f t="shared" si="2"/>
        <v>0</v>
      </c>
      <c r="S7" s="16">
        <f t="shared" si="2"/>
        <v>0</v>
      </c>
      <c r="T7" s="16">
        <f t="shared" si="2"/>
        <v>0</v>
      </c>
      <c r="U7" s="16">
        <f t="shared" si="2"/>
        <v>0</v>
      </c>
      <c r="V7" s="16">
        <f t="shared" si="2"/>
        <v>0</v>
      </c>
      <c r="W7" s="16">
        <f t="shared" si="2"/>
        <v>0</v>
      </c>
      <c r="X7" s="16">
        <f t="shared" si="2"/>
        <v>0</v>
      </c>
      <c r="Y7" s="16">
        <f t="shared" si="2"/>
        <v>0</v>
      </c>
      <c r="Z7" s="16">
        <f t="shared" si="2"/>
        <v>0</v>
      </c>
      <c r="AA7" s="16">
        <f t="shared" si="2"/>
        <v>0</v>
      </c>
      <c r="AB7" s="16">
        <f t="shared" si="2"/>
        <v>0</v>
      </c>
      <c r="AC7" s="16">
        <f t="shared" si="2"/>
        <v>0</v>
      </c>
      <c r="AD7" s="16">
        <f t="shared" si="2"/>
        <v>0</v>
      </c>
      <c r="AE7" s="16">
        <f t="shared" si="2"/>
        <v>0</v>
      </c>
      <c r="AF7" s="16">
        <f t="shared" si="2"/>
        <v>0</v>
      </c>
      <c r="AG7" s="16">
        <f t="shared" si="2"/>
        <v>0</v>
      </c>
      <c r="AH7" s="16">
        <f t="shared" si="2"/>
        <v>0</v>
      </c>
      <c r="AI7" s="16">
        <f t="shared" si="2"/>
        <v>0</v>
      </c>
      <c r="AJ7" s="16">
        <f t="shared" si="2"/>
        <v>0</v>
      </c>
      <c r="AK7" s="16">
        <f t="shared" si="2"/>
        <v>0</v>
      </c>
      <c r="AL7" s="16">
        <f t="shared" si="2"/>
        <v>0</v>
      </c>
      <c r="AM7" s="16">
        <f t="shared" si="1"/>
        <v>0</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0</v>
      </c>
      <c r="E9" s="14">
        <v>0</v>
      </c>
      <c r="F9" s="14">
        <v>0</v>
      </c>
      <c r="G9" s="14">
        <v>0</v>
      </c>
      <c r="H9" s="14">
        <v>0</v>
      </c>
      <c r="I9" s="14">
        <v>0</v>
      </c>
      <c r="J9" s="14">
        <v>0</v>
      </c>
      <c r="K9" s="14">
        <v>0</v>
      </c>
      <c r="L9" s="14">
        <v>0</v>
      </c>
      <c r="M9" s="14">
        <v>0</v>
      </c>
      <c r="N9" s="14">
        <v>0</v>
      </c>
      <c r="O9" s="14">
        <v>0</v>
      </c>
      <c r="P9" s="14">
        <v>0</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0</v>
      </c>
      <c r="AJ9" s="14">
        <v>0</v>
      </c>
      <c r="AK9" s="14">
        <v>0</v>
      </c>
      <c r="AL9" s="14">
        <v>0</v>
      </c>
      <c r="AM9" s="14">
        <v>0</v>
      </c>
    </row>
    <row r="10" spans="1:39" s="12" customFormat="1" ht="21" customHeight="1" x14ac:dyDescent="0.3">
      <c r="A10" s="8"/>
      <c r="B10" s="13" t="s">
        <v>7</v>
      </c>
      <c r="C10" s="10"/>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0</v>
      </c>
      <c r="AM10" s="14">
        <v>0</v>
      </c>
    </row>
    <row r="11" spans="1:39" s="12" customFormat="1" ht="21" customHeight="1" x14ac:dyDescent="0.3">
      <c r="A11" s="8"/>
      <c r="B11" s="15" t="s">
        <v>8</v>
      </c>
      <c r="C11" s="10"/>
      <c r="D11" s="16">
        <f t="shared" ref="D11:AM11" si="3">SUM(D10, D9 + D8)</f>
        <v>0</v>
      </c>
      <c r="E11" s="16">
        <f t="shared" si="3"/>
        <v>0</v>
      </c>
      <c r="F11" s="16">
        <f t="shared" si="3"/>
        <v>0</v>
      </c>
      <c r="G11" s="16">
        <f t="shared" si="3"/>
        <v>0</v>
      </c>
      <c r="H11" s="16">
        <f t="shared" si="3"/>
        <v>0</v>
      </c>
      <c r="I11" s="16">
        <f t="shared" si="3"/>
        <v>0</v>
      </c>
      <c r="J11" s="16">
        <f t="shared" si="3"/>
        <v>0</v>
      </c>
      <c r="K11" s="16">
        <f t="shared" si="3"/>
        <v>0</v>
      </c>
      <c r="L11" s="16">
        <f t="shared" si="3"/>
        <v>0</v>
      </c>
      <c r="M11" s="16">
        <f t="shared" si="3"/>
        <v>0</v>
      </c>
      <c r="N11" s="16">
        <f t="shared" si="3"/>
        <v>0</v>
      </c>
      <c r="O11" s="16">
        <f t="shared" si="3"/>
        <v>0</v>
      </c>
      <c r="P11" s="16">
        <f t="shared" si="3"/>
        <v>0</v>
      </c>
      <c r="Q11" s="16">
        <f t="shared" si="3"/>
        <v>0</v>
      </c>
      <c r="R11" s="16">
        <f t="shared" si="3"/>
        <v>0</v>
      </c>
      <c r="S11" s="16">
        <f t="shared" si="3"/>
        <v>0</v>
      </c>
      <c r="T11" s="16">
        <f t="shared" si="3"/>
        <v>0</v>
      </c>
      <c r="U11" s="16">
        <f t="shared" si="3"/>
        <v>0</v>
      </c>
      <c r="V11" s="16">
        <f t="shared" si="3"/>
        <v>0</v>
      </c>
      <c r="W11" s="16">
        <f t="shared" si="3"/>
        <v>0</v>
      </c>
      <c r="X11" s="16">
        <f t="shared" si="3"/>
        <v>0</v>
      </c>
      <c r="Y11" s="16">
        <f t="shared" si="3"/>
        <v>0</v>
      </c>
      <c r="Z11" s="16">
        <f t="shared" si="3"/>
        <v>0</v>
      </c>
      <c r="AA11" s="16">
        <f t="shared" si="3"/>
        <v>0</v>
      </c>
      <c r="AB11" s="16">
        <f t="shared" si="3"/>
        <v>0</v>
      </c>
      <c r="AC11" s="16">
        <f t="shared" si="3"/>
        <v>0</v>
      </c>
      <c r="AD11" s="16">
        <f t="shared" si="3"/>
        <v>0</v>
      </c>
      <c r="AE11" s="16">
        <f t="shared" si="3"/>
        <v>0</v>
      </c>
      <c r="AF11" s="16">
        <f t="shared" si="3"/>
        <v>0</v>
      </c>
      <c r="AG11" s="16">
        <f t="shared" si="3"/>
        <v>0</v>
      </c>
      <c r="AH11" s="16">
        <f t="shared" si="3"/>
        <v>0</v>
      </c>
      <c r="AI11" s="16">
        <f t="shared" si="3"/>
        <v>0</v>
      </c>
      <c r="AJ11" s="16">
        <f t="shared" si="3"/>
        <v>0</v>
      </c>
      <c r="AK11" s="16">
        <f t="shared" si="3"/>
        <v>0</v>
      </c>
      <c r="AL11" s="16">
        <f t="shared" si="3"/>
        <v>0</v>
      </c>
      <c r="AM11" s="16">
        <f t="shared" si="3"/>
        <v>0</v>
      </c>
    </row>
    <row r="12" spans="1:39" s="18" customFormat="1" ht="21" customHeight="1" x14ac:dyDescent="0.3">
      <c r="B12" s="15" t="s">
        <v>9</v>
      </c>
      <c r="C12" s="19"/>
      <c r="D12" s="20">
        <f t="shared" ref="D12:AM12" si="4">D7-D11</f>
        <v>0</v>
      </c>
      <c r="E12" s="20">
        <f t="shared" si="4"/>
        <v>0</v>
      </c>
      <c r="F12" s="20">
        <f t="shared" si="4"/>
        <v>0</v>
      </c>
      <c r="G12" s="20">
        <f t="shared" si="4"/>
        <v>0</v>
      </c>
      <c r="H12" s="20">
        <f t="shared" si="4"/>
        <v>0</v>
      </c>
      <c r="I12" s="20">
        <f t="shared" si="4"/>
        <v>0</v>
      </c>
      <c r="J12" s="20">
        <f t="shared" si="4"/>
        <v>0</v>
      </c>
      <c r="K12" s="20">
        <f t="shared" si="4"/>
        <v>0</v>
      </c>
      <c r="L12" s="20">
        <f t="shared" si="4"/>
        <v>0</v>
      </c>
      <c r="M12" s="20">
        <f t="shared" si="4"/>
        <v>0</v>
      </c>
      <c r="N12" s="20">
        <f t="shared" si="4"/>
        <v>0</v>
      </c>
      <c r="O12" s="20">
        <f t="shared" si="4"/>
        <v>0</v>
      </c>
      <c r="P12" s="20">
        <f t="shared" si="4"/>
        <v>0</v>
      </c>
      <c r="Q12" s="20">
        <f t="shared" si="4"/>
        <v>0</v>
      </c>
      <c r="R12" s="20">
        <f t="shared" si="4"/>
        <v>0</v>
      </c>
      <c r="S12" s="20">
        <f t="shared" si="4"/>
        <v>0</v>
      </c>
      <c r="T12" s="20">
        <f t="shared" si="4"/>
        <v>0</v>
      </c>
      <c r="U12" s="20">
        <f t="shared" si="4"/>
        <v>0</v>
      </c>
      <c r="V12" s="20">
        <f t="shared" si="4"/>
        <v>0</v>
      </c>
      <c r="W12" s="20">
        <f t="shared" si="4"/>
        <v>0</v>
      </c>
      <c r="X12" s="20">
        <f t="shared" si="4"/>
        <v>0</v>
      </c>
      <c r="Y12" s="20">
        <f t="shared" si="4"/>
        <v>0</v>
      </c>
      <c r="Z12" s="20">
        <f t="shared" si="4"/>
        <v>0</v>
      </c>
      <c r="AA12" s="20">
        <f t="shared" si="4"/>
        <v>0</v>
      </c>
      <c r="AB12" s="20">
        <f t="shared" si="4"/>
        <v>0</v>
      </c>
      <c r="AC12" s="20">
        <f t="shared" si="4"/>
        <v>0</v>
      </c>
      <c r="AD12" s="20">
        <f t="shared" si="4"/>
        <v>0</v>
      </c>
      <c r="AE12" s="20">
        <f t="shared" si="4"/>
        <v>0</v>
      </c>
      <c r="AF12" s="20">
        <f t="shared" si="4"/>
        <v>0</v>
      </c>
      <c r="AG12" s="20">
        <f t="shared" si="4"/>
        <v>0</v>
      </c>
      <c r="AH12" s="20">
        <f t="shared" si="4"/>
        <v>0</v>
      </c>
      <c r="AI12" s="20">
        <f t="shared" si="4"/>
        <v>0</v>
      </c>
      <c r="AJ12" s="20">
        <f t="shared" si="4"/>
        <v>0</v>
      </c>
      <c r="AK12" s="20">
        <f t="shared" si="4"/>
        <v>0</v>
      </c>
      <c r="AL12" s="20">
        <f t="shared" si="4"/>
        <v>0</v>
      </c>
      <c r="AM12" s="20">
        <f t="shared" si="4"/>
        <v>0</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15000</v>
      </c>
      <c r="E14" s="14">
        <f>D14*(0.85)</f>
        <v>12750</v>
      </c>
      <c r="F14" s="14">
        <v>13132.5</v>
      </c>
      <c r="G14" s="14">
        <v>13526.475</v>
      </c>
      <c r="H14" s="14">
        <v>13932.269250000001</v>
      </c>
      <c r="I14" s="14">
        <v>14350.237327500001</v>
      </c>
      <c r="J14" s="14">
        <v>14780.744447325002</v>
      </c>
      <c r="K14" s="14">
        <v>15224.166780744752</v>
      </c>
      <c r="L14" s="14">
        <v>15680.891784167095</v>
      </c>
      <c r="M14" s="14">
        <f t="shared" ref="M14:N14" si="5">L14*(0.85)</f>
        <v>13328.758016542031</v>
      </c>
      <c r="N14" s="14">
        <f t="shared" si="5"/>
        <v>11329.444314060725</v>
      </c>
      <c r="O14" s="14">
        <v>11669.327643482548</v>
      </c>
      <c r="P14" s="14">
        <v>12019.407472787025</v>
      </c>
      <c r="Q14" s="14">
        <v>12379.989696970635</v>
      </c>
      <c r="R14" s="14">
        <v>12751.389387879755</v>
      </c>
      <c r="S14" s="14">
        <v>13133.931069516148</v>
      </c>
      <c r="T14" s="14">
        <f t="shared" ref="T14:U14" si="6">S14*(0.85)</f>
        <v>11163.841409088725</v>
      </c>
      <c r="U14" s="14">
        <f t="shared" si="6"/>
        <v>9489.2651977254172</v>
      </c>
      <c r="V14" s="14">
        <v>9773.9431536571792</v>
      </c>
      <c r="W14" s="14">
        <v>10067.161448266896</v>
      </c>
      <c r="X14" s="14">
        <v>10369.176291714903</v>
      </c>
      <c r="Y14" s="14">
        <v>10680.251580466351</v>
      </c>
      <c r="Z14" s="14">
        <f t="shared" ref="Z14:AA14" si="7">Y14*(0.85)</f>
        <v>9078.2138433963974</v>
      </c>
      <c r="AA14" s="14">
        <f t="shared" si="7"/>
        <v>7716.4817668869373</v>
      </c>
      <c r="AB14" s="14">
        <v>7947.9762198935459</v>
      </c>
      <c r="AC14" s="14">
        <v>8186.4155064903525</v>
      </c>
      <c r="AD14" s="14">
        <v>8432.0079716850632</v>
      </c>
      <c r="AE14" s="14">
        <f t="shared" ref="AE14:AF14" si="8">AD14*(0.85)</f>
        <v>7167.2067759323036</v>
      </c>
      <c r="AF14" s="14">
        <f t="shared" si="8"/>
        <v>6092.1257595424577</v>
      </c>
      <c r="AG14" s="14">
        <v>6274.8895323287315</v>
      </c>
      <c r="AH14" s="14">
        <v>6463.136218298594</v>
      </c>
      <c r="AI14" s="14">
        <v>6657.0303048475516</v>
      </c>
      <c r="AJ14" s="14">
        <v>6856.7412139929784</v>
      </c>
      <c r="AK14" s="14">
        <v>7062.4434504127676</v>
      </c>
      <c r="AL14" s="14">
        <f t="shared" ref="AL14:AM14" si="9">AK14*(0.85)</f>
        <v>6003.0769328508522</v>
      </c>
      <c r="AM14" s="14">
        <f t="shared" si="9"/>
        <v>5102.6153929232241</v>
      </c>
    </row>
    <row r="15" spans="1:39" s="12" customFormat="1" ht="21" customHeight="1" x14ac:dyDescent="0.3">
      <c r="B15" s="13" t="s">
        <v>12</v>
      </c>
      <c r="C15" s="10"/>
      <c r="D15" s="14">
        <v>0</v>
      </c>
      <c r="E15" s="14">
        <v>0</v>
      </c>
      <c r="F15" s="14">
        <v>0</v>
      </c>
      <c r="G15" s="14">
        <v>0</v>
      </c>
      <c r="H15" s="14">
        <v>0</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row>
    <row r="16" spans="1:39" s="12" customFormat="1" ht="21" customHeight="1" x14ac:dyDescent="0.3">
      <c r="B16" s="13" t="s">
        <v>13</v>
      </c>
      <c r="C16" s="10"/>
      <c r="D16" s="14">
        <v>5000</v>
      </c>
      <c r="E16" s="14">
        <v>5150</v>
      </c>
      <c r="F16" s="14">
        <v>5304.5</v>
      </c>
      <c r="G16" s="14">
        <f>F16*(0.9)</f>
        <v>4774.05</v>
      </c>
      <c r="H16" s="14">
        <v>4917.2715000000007</v>
      </c>
      <c r="I16" s="14">
        <v>5064.7896450000007</v>
      </c>
      <c r="J16" s="14">
        <v>5216.7333343500013</v>
      </c>
      <c r="K16" s="14">
        <v>5373.2353343805016</v>
      </c>
      <c r="L16" s="14">
        <v>5534.4323944119169</v>
      </c>
      <c r="M16" s="14">
        <v>5700.4653662442743</v>
      </c>
      <c r="N16" s="14">
        <f>M16*(0.9)</f>
        <v>5130.4188296198472</v>
      </c>
      <c r="O16" s="14">
        <v>5284.3313945084428</v>
      </c>
      <c r="P16" s="14">
        <v>5442.8613363436962</v>
      </c>
      <c r="Q16" s="14">
        <v>5606.1471764340076</v>
      </c>
      <c r="R16" s="14">
        <f t="shared" ref="R16:S16" si="10">Q16*(0.9)</f>
        <v>5045.5324587906071</v>
      </c>
      <c r="S16" s="14">
        <f t="shared" si="10"/>
        <v>4540.9792129115467</v>
      </c>
      <c r="T16" s="14">
        <v>4677.2085892988935</v>
      </c>
      <c r="U16" s="14">
        <v>4817.5248469778608</v>
      </c>
      <c r="V16" s="14">
        <v>4962.050592387197</v>
      </c>
      <c r="W16" s="14">
        <f t="shared" ref="W16:X17" si="11">V16*(0.9)</f>
        <v>4465.8455331484774</v>
      </c>
      <c r="X16" s="14">
        <f t="shared" si="11"/>
        <v>4019.2609798336298</v>
      </c>
      <c r="Y16" s="14">
        <v>4139.8388092286386</v>
      </c>
      <c r="Z16" s="14">
        <v>4264.0339735054977</v>
      </c>
      <c r="AA16" s="14">
        <v>4391.9549927106627</v>
      </c>
      <c r="AB16" s="14">
        <v>4523.7136424919827</v>
      </c>
      <c r="AC16" s="14">
        <f t="shared" ref="AC16:AD16" si="12">AB16*(0.9)</f>
        <v>4071.3422782427847</v>
      </c>
      <c r="AD16" s="14">
        <f t="shared" si="12"/>
        <v>3664.2080504185064</v>
      </c>
      <c r="AE16" s="14">
        <v>3774.1342919310619</v>
      </c>
      <c r="AF16" s="14">
        <v>3887.3583206889939</v>
      </c>
      <c r="AG16" s="14">
        <f t="shared" ref="AG16:AH16" si="13">AF16*(0.9)</f>
        <v>3498.6224886200944</v>
      </c>
      <c r="AH16" s="14">
        <f t="shared" si="13"/>
        <v>3148.7602397580849</v>
      </c>
      <c r="AI16" s="14">
        <v>3243.2230469508277</v>
      </c>
      <c r="AJ16" s="14">
        <v>3340.5197383593527</v>
      </c>
      <c r="AK16" s="14">
        <v>3440.7353305101333</v>
      </c>
      <c r="AL16" s="14">
        <f>AK16*(0.9)</f>
        <v>3096.66179745912</v>
      </c>
      <c r="AM16" s="14">
        <v>3189.5616513828936</v>
      </c>
    </row>
    <row r="17" spans="2:39" s="12" customFormat="1" ht="21" customHeight="1" x14ac:dyDescent="0.3">
      <c r="B17" s="13" t="s">
        <v>14</v>
      </c>
      <c r="C17" s="10"/>
      <c r="D17" s="14">
        <v>2500</v>
      </c>
      <c r="E17" s="14">
        <v>2575</v>
      </c>
      <c r="F17" s="14">
        <f>E17*(0.9)</f>
        <v>2317.5</v>
      </c>
      <c r="G17" s="14">
        <v>2387.0250000000001</v>
      </c>
      <c r="H17" s="14">
        <v>2458.6357500000004</v>
      </c>
      <c r="I17" s="14">
        <f>H17*(0.9)</f>
        <v>2212.7721750000005</v>
      </c>
      <c r="J17" s="14">
        <v>2279.1553402500008</v>
      </c>
      <c r="K17" s="14">
        <v>2347.530000457501</v>
      </c>
      <c r="L17" s="14">
        <v>2417.955900471226</v>
      </c>
      <c r="M17" s="14">
        <v>2490.4945774853627</v>
      </c>
      <c r="N17" s="14">
        <v>2565.2094148099236</v>
      </c>
      <c r="O17" s="14">
        <v>2642.1656972542214</v>
      </c>
      <c r="P17" s="14">
        <v>2721.4306681718481</v>
      </c>
      <c r="Q17" s="14">
        <v>2803.0735882170038</v>
      </c>
      <c r="R17" s="14">
        <f>Q17*(0.9)</f>
        <v>2522.7662293953035</v>
      </c>
      <c r="S17" s="14">
        <v>2598.4492162771626</v>
      </c>
      <c r="T17" s="14">
        <v>2676.4026927654777</v>
      </c>
      <c r="U17" s="14">
        <v>2756.6947735484423</v>
      </c>
      <c r="V17" s="14">
        <v>2839.3956167548959</v>
      </c>
      <c r="W17" s="14">
        <f t="shared" si="11"/>
        <v>2555.4560550794063</v>
      </c>
      <c r="X17" s="14">
        <f t="shared" si="11"/>
        <v>2299.9104495714655</v>
      </c>
      <c r="Y17" s="14">
        <v>2368.9077630586094</v>
      </c>
      <c r="Z17" s="14">
        <v>2439.9749959503679</v>
      </c>
      <c r="AA17" s="14">
        <v>2513.1742458288791</v>
      </c>
      <c r="AB17" s="14">
        <f t="shared" ref="AB17:AC17" si="14">AA17*(0.9)</f>
        <v>2261.8568212459913</v>
      </c>
      <c r="AC17" s="14">
        <f t="shared" si="14"/>
        <v>2035.6711391213923</v>
      </c>
      <c r="AD17" s="14">
        <v>2096.7412732950343</v>
      </c>
      <c r="AE17" s="14">
        <v>2159.6435114938854</v>
      </c>
      <c r="AF17" s="14">
        <v>2224.4328168387019</v>
      </c>
      <c r="AG17" s="14">
        <v>2291.1658013438632</v>
      </c>
      <c r="AH17" s="14">
        <f>AG17*(0.9)</f>
        <v>2062.0492212094769</v>
      </c>
      <c r="AI17" s="14">
        <v>2123.9106978457612</v>
      </c>
      <c r="AJ17" s="14">
        <v>2187.628018781134</v>
      </c>
      <c r="AK17" s="14">
        <v>2253.2568593445681</v>
      </c>
      <c r="AL17" s="14">
        <v>2320.8545651249051</v>
      </c>
      <c r="AM17" s="14">
        <f>AL17*(0.9)</f>
        <v>2088.7691086124146</v>
      </c>
    </row>
    <row r="18" spans="2:39" s="12" customFormat="1" ht="21" customHeight="1" x14ac:dyDescent="0.3">
      <c r="B18" s="13" t="s">
        <v>15</v>
      </c>
      <c r="C18" s="10"/>
      <c r="D18" s="14">
        <v>0</v>
      </c>
      <c r="E18" s="14">
        <v>0</v>
      </c>
      <c r="F18" s="14">
        <v>0</v>
      </c>
      <c r="G18" s="14">
        <v>0</v>
      </c>
      <c r="H18" s="14">
        <v>0</v>
      </c>
      <c r="I18" s="14">
        <v>0</v>
      </c>
      <c r="J18" s="14">
        <v>0</v>
      </c>
      <c r="K18" s="14">
        <v>0</v>
      </c>
      <c r="L18" s="14">
        <v>0</v>
      </c>
      <c r="M18" s="14">
        <v>0</v>
      </c>
      <c r="N18" s="14">
        <v>0</v>
      </c>
      <c r="O18" s="14">
        <v>0</v>
      </c>
      <c r="P18" s="14">
        <v>0</v>
      </c>
      <c r="Q18" s="14">
        <v>0</v>
      </c>
      <c r="R18" s="14">
        <v>0</v>
      </c>
      <c r="S18" s="14">
        <v>0</v>
      </c>
      <c r="T18" s="14">
        <v>0</v>
      </c>
      <c r="U18" s="14">
        <v>0</v>
      </c>
      <c r="V18" s="14">
        <v>0</v>
      </c>
      <c r="W18" s="14">
        <v>0</v>
      </c>
      <c r="X18" s="14">
        <v>0</v>
      </c>
      <c r="Y18" s="14">
        <v>0</v>
      </c>
      <c r="Z18" s="14">
        <v>0</v>
      </c>
      <c r="AA18" s="14">
        <v>0</v>
      </c>
      <c r="AB18" s="14">
        <v>0</v>
      </c>
      <c r="AC18" s="14">
        <v>0</v>
      </c>
      <c r="AD18" s="14">
        <v>0</v>
      </c>
      <c r="AE18" s="14">
        <v>0</v>
      </c>
      <c r="AF18" s="14">
        <v>0</v>
      </c>
      <c r="AG18" s="14">
        <v>0</v>
      </c>
      <c r="AH18" s="14">
        <v>0</v>
      </c>
      <c r="AI18" s="14">
        <v>0</v>
      </c>
      <c r="AJ18" s="14">
        <v>0</v>
      </c>
      <c r="AK18" s="14">
        <v>0</v>
      </c>
      <c r="AL18" s="14">
        <v>0</v>
      </c>
      <c r="AM18" s="14">
        <v>0</v>
      </c>
    </row>
    <row r="19" spans="2:39" s="18" customFormat="1" ht="21" customHeight="1" x14ac:dyDescent="0.3">
      <c r="B19" s="21" t="s">
        <v>16</v>
      </c>
      <c r="C19" s="19"/>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row>
    <row r="20" spans="2:39" s="12" customFormat="1" ht="21" customHeight="1" x14ac:dyDescent="0.3">
      <c r="B20" s="22" t="s">
        <v>17</v>
      </c>
      <c r="C20" s="10"/>
      <c r="D20" s="14">
        <v>650</v>
      </c>
      <c r="E20" s="14">
        <v>669.5</v>
      </c>
      <c r="F20" s="14">
        <v>689.58500000000004</v>
      </c>
      <c r="G20" s="14">
        <v>710.27255000000002</v>
      </c>
      <c r="H20" s="14">
        <v>731.58072650000008</v>
      </c>
      <c r="I20" s="14">
        <v>753.52814829500005</v>
      </c>
      <c r="J20" s="14">
        <v>776.13399274385006</v>
      </c>
      <c r="K20" s="14">
        <v>799.41801252616563</v>
      </c>
      <c r="L20" s="14">
        <v>823.40055290195062</v>
      </c>
      <c r="M20" s="14">
        <v>848.10256948900917</v>
      </c>
      <c r="N20" s="14">
        <v>873.54564657367951</v>
      </c>
      <c r="O20" s="14">
        <v>899.75201597088994</v>
      </c>
      <c r="P20" s="14">
        <v>926.74457645001667</v>
      </c>
      <c r="Q20" s="14">
        <v>954.54691374351717</v>
      </c>
      <c r="R20" s="14">
        <v>983.18332115582268</v>
      </c>
      <c r="S20" s="14">
        <v>1012.6788207904974</v>
      </c>
      <c r="T20" s="14">
        <v>1043.0591854142124</v>
      </c>
      <c r="U20" s="14">
        <v>1074.3509609766388</v>
      </c>
      <c r="V20" s="14">
        <v>1106.581489805938</v>
      </c>
      <c r="W20" s="14">
        <v>1139.7789345001161</v>
      </c>
      <c r="X20" s="14">
        <v>1173.9723025351195</v>
      </c>
      <c r="Y20" s="14">
        <v>1209.191471611173</v>
      </c>
      <c r="Z20" s="14">
        <v>1245.4672157595082</v>
      </c>
      <c r="AA20" s="14">
        <v>1282.8312322322936</v>
      </c>
      <c r="AB20" s="14">
        <v>1321.3161691992625</v>
      </c>
      <c r="AC20" s="14">
        <v>1360.9556542752405</v>
      </c>
      <c r="AD20" s="14">
        <v>1401.7843239034978</v>
      </c>
      <c r="AE20" s="14">
        <v>1443.8378536206028</v>
      </c>
      <c r="AF20" s="14">
        <v>1487.152989229221</v>
      </c>
      <c r="AG20" s="14">
        <v>1531.7675789060977</v>
      </c>
      <c r="AH20" s="14">
        <v>1577.7206062732807</v>
      </c>
      <c r="AI20" s="14">
        <v>1625.0522244614792</v>
      </c>
      <c r="AJ20" s="14">
        <v>1673.8037911953236</v>
      </c>
      <c r="AK20" s="14">
        <v>1724.0179049311832</v>
      </c>
      <c r="AL20" s="14">
        <v>1775.7384420791188</v>
      </c>
      <c r="AM20" s="14">
        <v>1829.0105953414925</v>
      </c>
    </row>
    <row r="21" spans="2:39" s="12" customFormat="1" ht="21" customHeight="1" x14ac:dyDescent="0.3">
      <c r="B21" s="22" t="s">
        <v>18</v>
      </c>
      <c r="C21" s="10"/>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row>
    <row r="22" spans="2:39" s="12" customFormat="1" ht="21" customHeight="1" x14ac:dyDescent="0.3">
      <c r="B22" s="22" t="s">
        <v>19</v>
      </c>
      <c r="C22" s="10"/>
      <c r="D22" s="14">
        <v>0</v>
      </c>
      <c r="E22" s="14">
        <v>0</v>
      </c>
      <c r="F22" s="14">
        <v>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0</v>
      </c>
      <c r="AD22" s="14">
        <v>0</v>
      </c>
      <c r="AE22" s="14">
        <v>0</v>
      </c>
      <c r="AF22" s="14">
        <v>0</v>
      </c>
      <c r="AG22" s="14">
        <v>0</v>
      </c>
      <c r="AH22" s="14">
        <v>0</v>
      </c>
      <c r="AI22" s="14">
        <v>0</v>
      </c>
      <c r="AJ22" s="14">
        <v>0</v>
      </c>
      <c r="AK22" s="14">
        <v>0</v>
      </c>
      <c r="AL22" s="14">
        <v>0</v>
      </c>
      <c r="AM22" s="14">
        <v>0</v>
      </c>
    </row>
    <row r="23" spans="2:39" s="12" customFormat="1" ht="21" customHeight="1" x14ac:dyDescent="0.3">
      <c r="B23" s="21" t="s">
        <v>20</v>
      </c>
      <c r="C23" s="10"/>
      <c r="D23" s="16">
        <f t="shared" ref="D23:AM23" si="15">SUM(D22, D21, D20 + D19)</f>
        <v>650</v>
      </c>
      <c r="E23" s="16">
        <f t="shared" si="15"/>
        <v>669.5</v>
      </c>
      <c r="F23" s="16">
        <f t="shared" si="15"/>
        <v>689.58500000000004</v>
      </c>
      <c r="G23" s="16">
        <f t="shared" si="15"/>
        <v>710.27255000000002</v>
      </c>
      <c r="H23" s="16">
        <f t="shared" si="15"/>
        <v>731.58072650000008</v>
      </c>
      <c r="I23" s="16">
        <f t="shared" si="15"/>
        <v>753.52814829500005</v>
      </c>
      <c r="J23" s="16">
        <f t="shared" si="15"/>
        <v>776.13399274385006</v>
      </c>
      <c r="K23" s="16">
        <f t="shared" si="15"/>
        <v>799.41801252616563</v>
      </c>
      <c r="L23" s="16">
        <f t="shared" si="15"/>
        <v>823.40055290195062</v>
      </c>
      <c r="M23" s="16">
        <f t="shared" si="15"/>
        <v>848.10256948900917</v>
      </c>
      <c r="N23" s="16">
        <f t="shared" si="15"/>
        <v>873.54564657367951</v>
      </c>
      <c r="O23" s="16">
        <f t="shared" si="15"/>
        <v>899.75201597088994</v>
      </c>
      <c r="P23" s="16">
        <f t="shared" si="15"/>
        <v>926.74457645001667</v>
      </c>
      <c r="Q23" s="16">
        <f t="shared" si="15"/>
        <v>954.54691374351717</v>
      </c>
      <c r="R23" s="16">
        <f t="shared" si="15"/>
        <v>983.18332115582268</v>
      </c>
      <c r="S23" s="16">
        <f t="shared" si="15"/>
        <v>1012.6788207904974</v>
      </c>
      <c r="T23" s="16">
        <f t="shared" si="15"/>
        <v>1043.0591854142124</v>
      </c>
      <c r="U23" s="16">
        <f t="shared" si="15"/>
        <v>1074.3509609766388</v>
      </c>
      <c r="V23" s="16">
        <f t="shared" si="15"/>
        <v>1106.581489805938</v>
      </c>
      <c r="W23" s="16">
        <f t="shared" si="15"/>
        <v>1139.7789345001161</v>
      </c>
      <c r="X23" s="16">
        <f t="shared" si="15"/>
        <v>1173.9723025351195</v>
      </c>
      <c r="Y23" s="16">
        <f t="shared" si="15"/>
        <v>1209.191471611173</v>
      </c>
      <c r="Z23" s="16">
        <f t="shared" si="15"/>
        <v>1245.4672157595082</v>
      </c>
      <c r="AA23" s="16">
        <f t="shared" si="15"/>
        <v>1282.8312322322936</v>
      </c>
      <c r="AB23" s="16">
        <f t="shared" si="15"/>
        <v>1321.3161691992625</v>
      </c>
      <c r="AC23" s="16">
        <f t="shared" si="15"/>
        <v>1360.9556542752405</v>
      </c>
      <c r="AD23" s="16">
        <f t="shared" si="15"/>
        <v>1401.7843239034978</v>
      </c>
      <c r="AE23" s="16">
        <f t="shared" si="15"/>
        <v>1443.8378536206028</v>
      </c>
      <c r="AF23" s="16">
        <f t="shared" si="15"/>
        <v>1487.152989229221</v>
      </c>
      <c r="AG23" s="16">
        <f t="shared" si="15"/>
        <v>1531.7675789060977</v>
      </c>
      <c r="AH23" s="16">
        <f t="shared" si="15"/>
        <v>1577.7206062732807</v>
      </c>
      <c r="AI23" s="16">
        <f t="shared" si="15"/>
        <v>1625.0522244614792</v>
      </c>
      <c r="AJ23" s="16">
        <f t="shared" si="15"/>
        <v>1673.8037911953236</v>
      </c>
      <c r="AK23" s="16">
        <f t="shared" si="15"/>
        <v>1724.0179049311832</v>
      </c>
      <c r="AL23" s="16">
        <f t="shared" si="15"/>
        <v>1775.7384420791188</v>
      </c>
      <c r="AM23" s="16">
        <f t="shared" si="15"/>
        <v>1829.0105953414925</v>
      </c>
    </row>
    <row r="24" spans="2:39" s="18" customFormat="1" ht="21" customHeight="1" x14ac:dyDescent="0.3">
      <c r="B24" s="21" t="s">
        <v>21</v>
      </c>
      <c r="C24" s="19"/>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14">
        <v>0</v>
      </c>
      <c r="AB24" s="14">
        <v>0</v>
      </c>
      <c r="AC24" s="14">
        <v>0</v>
      </c>
      <c r="AD24" s="14">
        <v>0</v>
      </c>
      <c r="AE24" s="14">
        <v>0</v>
      </c>
      <c r="AF24" s="14">
        <v>0</v>
      </c>
      <c r="AG24" s="14">
        <v>0</v>
      </c>
      <c r="AH24" s="14">
        <v>0</v>
      </c>
      <c r="AI24" s="14">
        <v>0</v>
      </c>
      <c r="AJ24" s="14">
        <v>0</v>
      </c>
      <c r="AK24" s="14">
        <v>0</v>
      </c>
      <c r="AL24" s="14">
        <v>0</v>
      </c>
      <c r="AM24" s="14">
        <v>0</v>
      </c>
    </row>
    <row r="25" spans="2:39" s="12" customFormat="1" ht="21" customHeight="1" x14ac:dyDescent="0.3">
      <c r="B25" s="22" t="s">
        <v>22</v>
      </c>
      <c r="C25" s="10"/>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c r="U25" s="14">
        <v>0</v>
      </c>
      <c r="V25" s="14">
        <v>0</v>
      </c>
      <c r="W25" s="14">
        <v>0</v>
      </c>
      <c r="X25" s="14">
        <v>0</v>
      </c>
      <c r="Y25" s="14">
        <v>0</v>
      </c>
      <c r="Z25" s="14">
        <v>0</v>
      </c>
      <c r="AA25" s="14">
        <v>0</v>
      </c>
      <c r="AB25" s="14">
        <v>0</v>
      </c>
      <c r="AC25" s="14">
        <v>0</v>
      </c>
      <c r="AD25" s="14">
        <v>0</v>
      </c>
      <c r="AE25" s="14">
        <v>0</v>
      </c>
      <c r="AF25" s="14">
        <v>0</v>
      </c>
      <c r="AG25" s="14">
        <v>0</v>
      </c>
      <c r="AH25" s="14">
        <v>0</v>
      </c>
      <c r="AI25" s="14">
        <v>0</v>
      </c>
      <c r="AJ25" s="14">
        <v>0</v>
      </c>
      <c r="AK25" s="14">
        <v>0</v>
      </c>
      <c r="AL25" s="14">
        <v>0</v>
      </c>
      <c r="AM25" s="14">
        <v>0</v>
      </c>
    </row>
    <row r="26" spans="2:39" s="12" customFormat="1" ht="21" customHeight="1" x14ac:dyDescent="0.3">
      <c r="B26" s="22" t="s">
        <v>23</v>
      </c>
      <c r="C26" s="10"/>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row>
    <row r="27" spans="2:39" s="12" customFormat="1" ht="21" customHeight="1" x14ac:dyDescent="0.3">
      <c r="B27" s="22" t="s">
        <v>24</v>
      </c>
      <c r="C27" s="10"/>
      <c r="D27" s="14">
        <v>0</v>
      </c>
      <c r="E27" s="14">
        <v>0</v>
      </c>
      <c r="F27" s="14">
        <v>0</v>
      </c>
      <c r="G27" s="14">
        <v>0</v>
      </c>
      <c r="H27" s="14">
        <v>0</v>
      </c>
      <c r="I27" s="14">
        <v>0</v>
      </c>
      <c r="J27" s="14">
        <v>0</v>
      </c>
      <c r="K27" s="14">
        <v>0</v>
      </c>
      <c r="L27" s="14">
        <v>0</v>
      </c>
      <c r="M27" s="14">
        <v>0</v>
      </c>
      <c r="N27" s="14">
        <v>0</v>
      </c>
      <c r="O27" s="14">
        <v>0</v>
      </c>
      <c r="P27" s="14">
        <v>0</v>
      </c>
      <c r="Q27" s="14">
        <v>0</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row>
    <row r="28" spans="2:39" s="12" customFormat="1" ht="21" customHeight="1" x14ac:dyDescent="0.3">
      <c r="B28" s="22" t="s">
        <v>25</v>
      </c>
      <c r="C28" s="10"/>
      <c r="D28" s="14">
        <v>1000</v>
      </c>
      <c r="E28" s="14">
        <v>1030</v>
      </c>
      <c r="F28" s="14">
        <v>1060.9000000000001</v>
      </c>
      <c r="G28" s="14">
        <v>1092.7270000000001</v>
      </c>
      <c r="H28" s="14">
        <f>G28*(0.9)</f>
        <v>983.4543000000001</v>
      </c>
      <c r="I28" s="14">
        <v>1012.9579290000001</v>
      </c>
      <c r="J28" s="14">
        <v>1043.3466668700003</v>
      </c>
      <c r="K28" s="14">
        <v>1074.6470668761003</v>
      </c>
      <c r="L28" s="14">
        <v>1106.8864788823835</v>
      </c>
      <c r="M28" s="14">
        <v>1140.093073248855</v>
      </c>
      <c r="N28" s="14">
        <v>1174.2958654463207</v>
      </c>
      <c r="O28" s="14">
        <v>1209.5247414097103</v>
      </c>
      <c r="P28" s="14">
        <v>1245.8104836520015</v>
      </c>
      <c r="Q28" s="14">
        <f>P28*(0.9)</f>
        <v>1121.2294352868014</v>
      </c>
      <c r="R28" s="14">
        <v>1154.8663183454055</v>
      </c>
      <c r="S28" s="14">
        <v>1189.5123078957677</v>
      </c>
      <c r="T28" s="14">
        <v>1225.1976771326408</v>
      </c>
      <c r="U28" s="14">
        <v>1261.95360744662</v>
      </c>
      <c r="V28" s="14">
        <v>1299.8122156700188</v>
      </c>
      <c r="W28" s="14">
        <v>1338.8065821401194</v>
      </c>
      <c r="X28" s="14">
        <v>1378.9707796043231</v>
      </c>
      <c r="Y28" s="14">
        <v>1420.3399029924528</v>
      </c>
      <c r="Z28" s="14">
        <f>Y28*(0.9)</f>
        <v>1278.3059126932076</v>
      </c>
      <c r="AA28" s="14">
        <v>1316.6550900740037</v>
      </c>
      <c r="AB28" s="14">
        <v>1356.1547427762239</v>
      </c>
      <c r="AC28" s="14">
        <v>1396.8393850595107</v>
      </c>
      <c r="AD28" s="14">
        <v>1438.744566611296</v>
      </c>
      <c r="AE28" s="14">
        <v>1481.906903609635</v>
      </c>
      <c r="AF28" s="14">
        <f>AE28*(0.9)</f>
        <v>1333.7162132486715</v>
      </c>
      <c r="AG28" s="14">
        <v>1373.7276996461317</v>
      </c>
      <c r="AH28" s="14">
        <v>1414.9395306355157</v>
      </c>
      <c r="AI28" s="14">
        <v>1457.3877165545812</v>
      </c>
      <c r="AJ28" s="14">
        <v>1501.1093480512186</v>
      </c>
      <c r="AK28" s="14">
        <v>1546.1426284927552</v>
      </c>
      <c r="AL28" s="14">
        <f>AK28*(0.9)</f>
        <v>1391.5283656434797</v>
      </c>
      <c r="AM28" s="14">
        <v>1433.2742166127841</v>
      </c>
    </row>
    <row r="29" spans="2:39" s="12" customFormat="1" ht="21" customHeight="1" x14ac:dyDescent="0.3">
      <c r="B29" s="21" t="s">
        <v>26</v>
      </c>
      <c r="C29" s="10"/>
      <c r="D29" s="16">
        <f t="shared" ref="D29:AM29" si="16">SUM(D28, D27, D26, D25 + D24)</f>
        <v>1000</v>
      </c>
      <c r="E29" s="16">
        <f t="shared" si="16"/>
        <v>1030</v>
      </c>
      <c r="F29" s="16">
        <f t="shared" si="16"/>
        <v>1060.9000000000001</v>
      </c>
      <c r="G29" s="16">
        <f t="shared" si="16"/>
        <v>1092.7270000000001</v>
      </c>
      <c r="H29" s="16">
        <f t="shared" si="16"/>
        <v>983.4543000000001</v>
      </c>
      <c r="I29" s="16">
        <f t="shared" si="16"/>
        <v>1012.9579290000001</v>
      </c>
      <c r="J29" s="16">
        <f t="shared" si="16"/>
        <v>1043.3466668700003</v>
      </c>
      <c r="K29" s="16">
        <f t="shared" si="16"/>
        <v>1074.6470668761003</v>
      </c>
      <c r="L29" s="16">
        <f t="shared" si="16"/>
        <v>1106.8864788823835</v>
      </c>
      <c r="M29" s="16">
        <f t="shared" si="16"/>
        <v>1140.093073248855</v>
      </c>
      <c r="N29" s="16">
        <f t="shared" si="16"/>
        <v>1174.2958654463207</v>
      </c>
      <c r="O29" s="16">
        <f t="shared" si="16"/>
        <v>1209.5247414097103</v>
      </c>
      <c r="P29" s="16">
        <f t="shared" si="16"/>
        <v>1245.8104836520015</v>
      </c>
      <c r="Q29" s="16">
        <f t="shared" si="16"/>
        <v>1121.2294352868014</v>
      </c>
      <c r="R29" s="16">
        <f t="shared" si="16"/>
        <v>1154.8663183454055</v>
      </c>
      <c r="S29" s="16">
        <f t="shared" si="16"/>
        <v>1189.5123078957677</v>
      </c>
      <c r="T29" s="16">
        <f t="shared" si="16"/>
        <v>1225.1976771326408</v>
      </c>
      <c r="U29" s="16">
        <f t="shared" si="16"/>
        <v>1261.95360744662</v>
      </c>
      <c r="V29" s="16">
        <f t="shared" si="16"/>
        <v>1299.8122156700188</v>
      </c>
      <c r="W29" s="16">
        <f t="shared" si="16"/>
        <v>1338.8065821401194</v>
      </c>
      <c r="X29" s="16">
        <f t="shared" si="16"/>
        <v>1378.9707796043231</v>
      </c>
      <c r="Y29" s="16">
        <f t="shared" si="16"/>
        <v>1420.3399029924528</v>
      </c>
      <c r="Z29" s="16">
        <f t="shared" si="16"/>
        <v>1278.3059126932076</v>
      </c>
      <c r="AA29" s="16">
        <f t="shared" si="16"/>
        <v>1316.6550900740037</v>
      </c>
      <c r="AB29" s="16">
        <f t="shared" si="16"/>
        <v>1356.1547427762239</v>
      </c>
      <c r="AC29" s="16">
        <f t="shared" si="16"/>
        <v>1396.8393850595107</v>
      </c>
      <c r="AD29" s="16">
        <f t="shared" si="16"/>
        <v>1438.744566611296</v>
      </c>
      <c r="AE29" s="16">
        <f t="shared" si="16"/>
        <v>1481.906903609635</v>
      </c>
      <c r="AF29" s="16">
        <f t="shared" si="16"/>
        <v>1333.7162132486715</v>
      </c>
      <c r="AG29" s="16">
        <f t="shared" si="16"/>
        <v>1373.7276996461317</v>
      </c>
      <c r="AH29" s="16">
        <f t="shared" si="16"/>
        <v>1414.9395306355157</v>
      </c>
      <c r="AI29" s="16">
        <f t="shared" si="16"/>
        <v>1457.3877165545812</v>
      </c>
      <c r="AJ29" s="16">
        <f t="shared" si="16"/>
        <v>1501.1093480512186</v>
      </c>
      <c r="AK29" s="16">
        <f t="shared" si="16"/>
        <v>1546.1426284927552</v>
      </c>
      <c r="AL29" s="16">
        <f t="shared" si="16"/>
        <v>1391.5283656434797</v>
      </c>
      <c r="AM29" s="16">
        <f t="shared" si="16"/>
        <v>1433.2742166127841</v>
      </c>
    </row>
    <row r="30" spans="2:39" s="18" customFormat="1" ht="21" customHeight="1" x14ac:dyDescent="0.3">
      <c r="B30" s="21" t="s">
        <v>27</v>
      </c>
      <c r="C30" s="19"/>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row>
    <row r="31" spans="2:39" s="12" customFormat="1" ht="21" customHeight="1" x14ac:dyDescent="0.3">
      <c r="B31" s="22" t="s">
        <v>28</v>
      </c>
      <c r="C31" s="10"/>
      <c r="D31" s="14">
        <v>15000</v>
      </c>
      <c r="E31" s="14">
        <v>15450</v>
      </c>
      <c r="F31" s="14">
        <f>E31*(0.7)</f>
        <v>10815</v>
      </c>
      <c r="G31" s="14">
        <v>11139.45</v>
      </c>
      <c r="H31" s="14">
        <v>11473.633500000002</v>
      </c>
      <c r="I31" s="14">
        <v>11817.842505000002</v>
      </c>
      <c r="J31" s="14">
        <v>12172.377780150002</v>
      </c>
      <c r="K31" s="14">
        <v>12537.549113554502</v>
      </c>
      <c r="L31" s="14">
        <v>12913.675586961137</v>
      </c>
      <c r="M31" s="14">
        <f>L31*(0.7)</f>
        <v>9039.5729108727955</v>
      </c>
      <c r="N31" s="14">
        <v>9310.7600981989799</v>
      </c>
      <c r="O31" s="14">
        <v>9590.0829011449496</v>
      </c>
      <c r="P31" s="14">
        <v>9877.785388179298</v>
      </c>
      <c r="Q31" s="14">
        <v>10174.118949824677</v>
      </c>
      <c r="R31" s="14">
        <v>10479.342518319418</v>
      </c>
      <c r="S31" s="14">
        <v>10793.722793869001</v>
      </c>
      <c r="T31" s="14">
        <v>11117.534477685071</v>
      </c>
      <c r="U31" s="14">
        <v>11451.060512015623</v>
      </c>
      <c r="V31" s="14">
        <v>11794.592327376093</v>
      </c>
      <c r="W31" s="14">
        <f>V31*(0.7)</f>
        <v>8256.2146291632653</v>
      </c>
      <c r="X31" s="14">
        <v>8503.9010680381634</v>
      </c>
      <c r="Y31" s="14">
        <v>8759.0181000793091</v>
      </c>
      <c r="Z31" s="14">
        <v>9021.7886430816889</v>
      </c>
      <c r="AA31" s="14">
        <v>9292.4423023741401</v>
      </c>
      <c r="AB31" s="14">
        <v>9571.2155714453638</v>
      </c>
      <c r="AC31" s="14">
        <v>9858.3520385887241</v>
      </c>
      <c r="AD31" s="14">
        <v>10154.102599746386</v>
      </c>
      <c r="AE31" s="14">
        <v>10458.725677738777</v>
      </c>
      <c r="AF31" s="14">
        <v>10772.48744807094</v>
      </c>
      <c r="AG31" s="14">
        <v>11095.662071513068</v>
      </c>
      <c r="AH31" s="14">
        <f>AG31*(0.7)</f>
        <v>7766.9634500591474</v>
      </c>
      <c r="AI31" s="14">
        <v>7999.9723535609219</v>
      </c>
      <c r="AJ31" s="14">
        <v>8239.9715241677495</v>
      </c>
      <c r="AK31" s="14">
        <v>8487.1706698927828</v>
      </c>
      <c r="AL31" s="14">
        <v>8741.7857899895662</v>
      </c>
      <c r="AM31" s="14">
        <f>AL31*(0.7)</f>
        <v>6119.2500529926956</v>
      </c>
    </row>
    <row r="32" spans="2:39" s="12" customFormat="1" ht="21" customHeight="1" x14ac:dyDescent="0.3">
      <c r="B32" s="22" t="s">
        <v>29</v>
      </c>
      <c r="C32" s="10"/>
      <c r="D32" s="14">
        <v>1500</v>
      </c>
      <c r="E32" s="14">
        <v>1545</v>
      </c>
      <c r="F32" s="14">
        <v>1591.3500000000001</v>
      </c>
      <c r="G32" s="14">
        <v>1639.0905000000002</v>
      </c>
      <c r="H32" s="14">
        <f>G32*(0.7)</f>
        <v>1147.3633500000001</v>
      </c>
      <c r="I32" s="14">
        <v>1181.7842505000001</v>
      </c>
      <c r="J32" s="14">
        <v>1217.2377780150002</v>
      </c>
      <c r="K32" s="14">
        <v>1253.7549113554503</v>
      </c>
      <c r="L32" s="14">
        <v>1291.3675586961137</v>
      </c>
      <c r="M32" s="14">
        <f>L32*(0.7)</f>
        <v>903.9572910872796</v>
      </c>
      <c r="N32" s="14">
        <v>931.07600981989799</v>
      </c>
      <c r="O32" s="14">
        <v>959.00829011449491</v>
      </c>
      <c r="P32" s="14">
        <v>987.77853881792976</v>
      </c>
      <c r="Q32" s="14">
        <v>1017.4118949824676</v>
      </c>
      <c r="R32" s="14">
        <v>1047.9342518319418</v>
      </c>
      <c r="S32" s="14">
        <v>1079.3722793869001</v>
      </c>
      <c r="T32" s="14">
        <f>S32*(0.7)</f>
        <v>755.56059557083006</v>
      </c>
      <c r="U32" s="14">
        <v>778.22741343795497</v>
      </c>
      <c r="V32" s="14">
        <v>801.57423584109358</v>
      </c>
      <c r="W32" s="14">
        <f>V32*(0.7)</f>
        <v>561.1019650887655</v>
      </c>
      <c r="X32" s="14">
        <v>577.93502404142851</v>
      </c>
      <c r="Y32" s="14">
        <v>595.2730747626714</v>
      </c>
      <c r="Z32" s="14">
        <v>613.13126700555154</v>
      </c>
      <c r="AA32" s="14">
        <v>631.52520501571814</v>
      </c>
      <c r="AB32" s="14">
        <v>650.47096116618968</v>
      </c>
      <c r="AC32" s="14">
        <v>669.98509000117542</v>
      </c>
      <c r="AD32" s="14">
        <v>690.08464270121067</v>
      </c>
      <c r="AE32" s="14">
        <v>710.78718198224703</v>
      </c>
      <c r="AF32" s="14">
        <v>732.11079744171445</v>
      </c>
      <c r="AG32" s="14">
        <v>754.07412136496589</v>
      </c>
      <c r="AH32" s="14">
        <v>776.69634500591485</v>
      </c>
      <c r="AI32" s="14">
        <v>799.99723535609235</v>
      </c>
      <c r="AJ32" s="14">
        <v>823.99715241677518</v>
      </c>
      <c r="AK32" s="14">
        <v>848.71706698927846</v>
      </c>
      <c r="AL32" s="14">
        <v>874.17857899895682</v>
      </c>
      <c r="AM32" s="14">
        <v>900.40393636892554</v>
      </c>
    </row>
    <row r="33" spans="2:39" s="12" customFormat="1" ht="21" customHeight="1" x14ac:dyDescent="0.3">
      <c r="B33" s="22" t="s">
        <v>30</v>
      </c>
      <c r="C33" s="10"/>
      <c r="D33" s="14">
        <v>1450</v>
      </c>
      <c r="E33" s="14">
        <v>1493.5</v>
      </c>
      <c r="F33" s="14">
        <v>1538.3050000000001</v>
      </c>
      <c r="G33" s="14">
        <v>1584.45415</v>
      </c>
      <c r="H33" s="14">
        <v>1631.9877745000001</v>
      </c>
      <c r="I33" s="14">
        <v>1680.9474077350001</v>
      </c>
      <c r="J33" s="14">
        <f>I33*(0.7)</f>
        <v>1176.6631854145</v>
      </c>
      <c r="K33" s="14">
        <v>1211.9630809769351</v>
      </c>
      <c r="L33" s="14">
        <v>1248.3219734062432</v>
      </c>
      <c r="M33" s="14">
        <v>1285.7716326084305</v>
      </c>
      <c r="N33" s="14">
        <v>1324.3447815866834</v>
      </c>
      <c r="O33" s="14">
        <f>N33*(0.7)</f>
        <v>927.04134711067832</v>
      </c>
      <c r="P33" s="14">
        <v>954.85258752399864</v>
      </c>
      <c r="Q33" s="14">
        <v>983.4981651497186</v>
      </c>
      <c r="R33" s="14">
        <v>1013.0031101042102</v>
      </c>
      <c r="S33" s="14">
        <v>1043.3932034073366</v>
      </c>
      <c r="T33" s="14">
        <f>S33*(0.7)</f>
        <v>730.37524238513561</v>
      </c>
      <c r="U33" s="14">
        <v>752.28649965668967</v>
      </c>
      <c r="V33" s="14">
        <v>774.8550946463904</v>
      </c>
      <c r="W33" s="14">
        <v>798.10074748578211</v>
      </c>
      <c r="X33" s="14">
        <f>W33*(0.7)</f>
        <v>558.67052324004749</v>
      </c>
      <c r="Y33" s="14">
        <v>575.43063893724889</v>
      </c>
      <c r="Z33" s="14">
        <v>592.69355810536638</v>
      </c>
      <c r="AA33" s="14">
        <v>610.47436484852733</v>
      </c>
      <c r="AB33" s="14">
        <v>628.78859579398318</v>
      </c>
      <c r="AC33" s="14">
        <v>647.65225366780271</v>
      </c>
      <c r="AD33" s="14">
        <v>667.08182127783687</v>
      </c>
      <c r="AE33" s="14">
        <v>687.09427591617202</v>
      </c>
      <c r="AF33" s="14">
        <v>707.70710419365719</v>
      </c>
      <c r="AG33" s="14">
        <v>728.93831731946693</v>
      </c>
      <c r="AH33" s="14">
        <v>750.80646683905093</v>
      </c>
      <c r="AI33" s="14">
        <v>773.33066084422251</v>
      </c>
      <c r="AJ33" s="14">
        <v>796.53058066954918</v>
      </c>
      <c r="AK33" s="14">
        <v>820.42649808963563</v>
      </c>
      <c r="AL33" s="14">
        <v>845.03929303232474</v>
      </c>
      <c r="AM33" s="14">
        <v>870.39047182329455</v>
      </c>
    </row>
    <row r="34" spans="2:39" s="12" customFormat="1" ht="21" customHeight="1" x14ac:dyDescent="0.3">
      <c r="B34" s="22" t="s">
        <v>31</v>
      </c>
      <c r="C34" s="10"/>
      <c r="D34" s="14">
        <v>50</v>
      </c>
      <c r="E34" s="14">
        <v>51.5</v>
      </c>
      <c r="F34" s="14">
        <v>53.045000000000002</v>
      </c>
      <c r="G34" s="14">
        <v>54.63635</v>
      </c>
      <c r="H34" s="14">
        <v>56.275440500000002</v>
      </c>
      <c r="I34" s="14">
        <v>57.963703715000001</v>
      </c>
      <c r="J34" s="14">
        <v>59.702614826450002</v>
      </c>
      <c r="K34" s="14">
        <v>61.493693271243501</v>
      </c>
      <c r="L34" s="14">
        <v>63.338504069380811</v>
      </c>
      <c r="M34" s="14">
        <v>65.238659191462233</v>
      </c>
      <c r="N34" s="14">
        <v>67.195818967206108</v>
      </c>
      <c r="O34" s="14">
        <v>69.211693536222299</v>
      </c>
      <c r="P34" s="14">
        <v>71.288044342308964</v>
      </c>
      <c r="Q34" s="14">
        <v>73.42668567257823</v>
      </c>
      <c r="R34" s="14">
        <v>75.629486242755576</v>
      </c>
      <c r="S34" s="14">
        <v>77.898370830038246</v>
      </c>
      <c r="T34" s="14">
        <v>80.235321954939394</v>
      </c>
      <c r="U34" s="14">
        <v>82.642381613587574</v>
      </c>
      <c r="V34" s="14">
        <v>85.121653061995204</v>
      </c>
      <c r="W34" s="14">
        <v>87.675302653855056</v>
      </c>
      <c r="X34" s="14">
        <v>90.305561733470711</v>
      </c>
      <c r="Y34" s="14">
        <v>93.014728585474828</v>
      </c>
      <c r="Z34" s="14">
        <v>95.805170443039074</v>
      </c>
      <c r="AA34" s="14">
        <v>98.679325556330255</v>
      </c>
      <c r="AB34" s="14">
        <v>101.63970532302017</v>
      </c>
      <c r="AC34" s="14">
        <v>104.68889648271077</v>
      </c>
      <c r="AD34" s="14">
        <v>107.8295633771921</v>
      </c>
      <c r="AE34" s="14">
        <v>111.06445027850786</v>
      </c>
      <c r="AF34" s="14">
        <v>114.3963837868631</v>
      </c>
      <c r="AG34" s="14">
        <v>117.82827530046899</v>
      </c>
      <c r="AH34" s="14">
        <v>121.36312355948306</v>
      </c>
      <c r="AI34" s="14">
        <v>125.00401726626755</v>
      </c>
      <c r="AJ34" s="14">
        <v>128.75413778425559</v>
      </c>
      <c r="AK34" s="14">
        <v>132.61676191778326</v>
      </c>
      <c r="AL34" s="14">
        <v>136.59526477531676</v>
      </c>
      <c r="AM34" s="14">
        <v>140.69312271857626</v>
      </c>
    </row>
    <row r="35" spans="2:39" s="12" customFormat="1" ht="21" customHeight="1" x14ac:dyDescent="0.3">
      <c r="B35" s="22" t="s">
        <v>32</v>
      </c>
      <c r="C35" s="10"/>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row>
    <row r="36" spans="2:39" s="12" customFormat="1" ht="21" customHeight="1" x14ac:dyDescent="0.3">
      <c r="B36" s="21" t="s">
        <v>33</v>
      </c>
      <c r="C36" s="10"/>
      <c r="D36" s="16">
        <f t="shared" ref="D36:AM36" si="17">SUM(D35, D34, D33, D32, D31 + D30)</f>
        <v>18000</v>
      </c>
      <c r="E36" s="16">
        <f t="shared" si="17"/>
        <v>18540</v>
      </c>
      <c r="F36" s="16">
        <f t="shared" si="17"/>
        <v>13997.7</v>
      </c>
      <c r="G36" s="16">
        <f t="shared" si="17"/>
        <v>14417.631000000001</v>
      </c>
      <c r="H36" s="16">
        <f t="shared" si="17"/>
        <v>14309.260065000002</v>
      </c>
      <c r="I36" s="16">
        <f t="shared" si="17"/>
        <v>14738.537866950002</v>
      </c>
      <c r="J36" s="16">
        <f t="shared" si="17"/>
        <v>14625.981358405952</v>
      </c>
      <c r="K36" s="16">
        <f t="shared" si="17"/>
        <v>15064.760799158132</v>
      </c>
      <c r="L36" s="16">
        <f t="shared" si="17"/>
        <v>15516.703623132875</v>
      </c>
      <c r="M36" s="16">
        <f t="shared" si="17"/>
        <v>11294.540493759967</v>
      </c>
      <c r="N36" s="16">
        <f t="shared" si="17"/>
        <v>11633.376708572767</v>
      </c>
      <c r="O36" s="16">
        <f t="shared" si="17"/>
        <v>11545.344231906345</v>
      </c>
      <c r="P36" s="16">
        <f t="shared" si="17"/>
        <v>11891.704558863536</v>
      </c>
      <c r="Q36" s="16">
        <f t="shared" si="17"/>
        <v>12248.45569562944</v>
      </c>
      <c r="R36" s="16">
        <f t="shared" si="17"/>
        <v>12615.909366498325</v>
      </c>
      <c r="S36" s="16">
        <f t="shared" si="17"/>
        <v>12994.386647493277</v>
      </c>
      <c r="T36" s="16">
        <f t="shared" si="17"/>
        <v>12683.705637595976</v>
      </c>
      <c r="U36" s="16">
        <f t="shared" si="17"/>
        <v>13064.216806723856</v>
      </c>
      <c r="V36" s="16">
        <f t="shared" si="17"/>
        <v>13456.143310925572</v>
      </c>
      <c r="W36" s="16">
        <f t="shared" si="17"/>
        <v>9703.0926443916687</v>
      </c>
      <c r="X36" s="16">
        <f t="shared" si="17"/>
        <v>9730.8121770531106</v>
      </c>
      <c r="Y36" s="16">
        <f t="shared" si="17"/>
        <v>10022.736542364704</v>
      </c>
      <c r="Z36" s="16">
        <f t="shared" si="17"/>
        <v>10323.418638635645</v>
      </c>
      <c r="AA36" s="16">
        <f t="shared" si="17"/>
        <v>10633.121197794717</v>
      </c>
      <c r="AB36" s="16">
        <f t="shared" si="17"/>
        <v>10952.114833728556</v>
      </c>
      <c r="AC36" s="16">
        <f t="shared" si="17"/>
        <v>11280.678278740414</v>
      </c>
      <c r="AD36" s="16">
        <f t="shared" si="17"/>
        <v>11619.098627102625</v>
      </c>
      <c r="AE36" s="16">
        <f t="shared" si="17"/>
        <v>11967.671585915705</v>
      </c>
      <c r="AF36" s="16">
        <f t="shared" si="17"/>
        <v>12326.701733493175</v>
      </c>
      <c r="AG36" s="16">
        <f t="shared" si="17"/>
        <v>12696.502785497971</v>
      </c>
      <c r="AH36" s="16">
        <f t="shared" si="17"/>
        <v>9415.8293854635958</v>
      </c>
      <c r="AI36" s="16">
        <f t="shared" si="17"/>
        <v>9698.3042670275045</v>
      </c>
      <c r="AJ36" s="16">
        <f t="shared" si="17"/>
        <v>9989.2533950383295</v>
      </c>
      <c r="AK36" s="16">
        <f t="shared" si="17"/>
        <v>10288.93099688948</v>
      </c>
      <c r="AL36" s="16">
        <f t="shared" si="17"/>
        <v>10597.598926796165</v>
      </c>
      <c r="AM36" s="16">
        <f t="shared" si="17"/>
        <v>8030.7375839034921</v>
      </c>
    </row>
    <row r="37" spans="2:39" s="12" customFormat="1" ht="21" customHeight="1" x14ac:dyDescent="0.3">
      <c r="B37" s="22" t="s">
        <v>34</v>
      </c>
      <c r="C37" s="10"/>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row>
    <row r="38" spans="2:39" s="18" customFormat="1" ht="21" customHeight="1" x14ac:dyDescent="0.3">
      <c r="B38" s="21" t="s">
        <v>35</v>
      </c>
      <c r="C38" s="19"/>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row>
    <row r="39" spans="2:39" s="12" customFormat="1" ht="21" customHeight="1" x14ac:dyDescent="0.3">
      <c r="B39" s="22" t="s">
        <v>36</v>
      </c>
      <c r="C39" s="10"/>
      <c r="D39" s="14">
        <v>850</v>
      </c>
      <c r="E39" s="14">
        <v>875.5</v>
      </c>
      <c r="F39" s="14">
        <v>901.76499999999999</v>
      </c>
      <c r="G39" s="14">
        <v>928.81795</v>
      </c>
      <c r="H39" s="14">
        <v>956.68248849999998</v>
      </c>
      <c r="I39" s="14">
        <v>985.38296315499997</v>
      </c>
      <c r="J39" s="14">
        <v>1014.94445204965</v>
      </c>
      <c r="K39" s="14">
        <v>1045.3927856111395</v>
      </c>
      <c r="L39" s="14">
        <v>1076.7545691794737</v>
      </c>
      <c r="M39" s="14">
        <v>1109.0572062548579</v>
      </c>
      <c r="N39" s="14">
        <v>1142.3289224425037</v>
      </c>
      <c r="O39" s="14">
        <v>1176.5987901157787</v>
      </c>
      <c r="P39" s="14">
        <v>1211.8967538192521</v>
      </c>
      <c r="Q39" s="14">
        <v>1248.2536564338297</v>
      </c>
      <c r="R39" s="14">
        <v>1285.7012661268448</v>
      </c>
      <c r="S39" s="14">
        <v>1324.2723041106501</v>
      </c>
      <c r="T39" s="14">
        <v>1364.0004732339696</v>
      </c>
      <c r="U39" s="14">
        <v>1404.9204874309887</v>
      </c>
      <c r="V39" s="14">
        <v>1447.0681020539184</v>
      </c>
      <c r="W39" s="14">
        <v>1490.4801451155361</v>
      </c>
      <c r="X39" s="14">
        <v>1535.1945494690021</v>
      </c>
      <c r="Y39" s="14">
        <v>1581.2503859530723</v>
      </c>
      <c r="Z39" s="14">
        <v>1628.6878975316645</v>
      </c>
      <c r="AA39" s="14">
        <v>1677.5485344576146</v>
      </c>
      <c r="AB39" s="14">
        <v>1727.8749904913429</v>
      </c>
      <c r="AC39" s="14">
        <v>1779.7112402060832</v>
      </c>
      <c r="AD39" s="14">
        <v>1833.1025774122656</v>
      </c>
      <c r="AE39" s="14">
        <v>1888.0956547346336</v>
      </c>
      <c r="AF39" s="14">
        <v>1944.7385243766728</v>
      </c>
      <c r="AG39" s="14">
        <v>2003.080680107973</v>
      </c>
      <c r="AH39" s="14">
        <v>2063.1731005112124</v>
      </c>
      <c r="AI39" s="14">
        <v>2125.068293526549</v>
      </c>
      <c r="AJ39" s="14">
        <v>2188.8203423323457</v>
      </c>
      <c r="AK39" s="14">
        <v>2254.4849526023163</v>
      </c>
      <c r="AL39" s="14">
        <v>2322.1195011803857</v>
      </c>
      <c r="AM39" s="14">
        <v>2391.7830862157971</v>
      </c>
    </row>
    <row r="40" spans="2:39" s="12" customFormat="1" ht="21" customHeight="1" x14ac:dyDescent="0.3">
      <c r="B40" s="22" t="s">
        <v>37</v>
      </c>
      <c r="C40" s="10"/>
      <c r="D40" s="14">
        <v>600</v>
      </c>
      <c r="E40" s="14">
        <v>618</v>
      </c>
      <c r="F40" s="14">
        <v>636.54</v>
      </c>
      <c r="G40" s="14">
        <v>655.63620000000003</v>
      </c>
      <c r="H40" s="14">
        <v>675.30528600000002</v>
      </c>
      <c r="I40" s="14">
        <v>695.56444457999999</v>
      </c>
      <c r="J40" s="14">
        <v>716.43137791740003</v>
      </c>
      <c r="K40" s="14">
        <v>737.92431925492201</v>
      </c>
      <c r="L40" s="14">
        <v>760.06204883256964</v>
      </c>
      <c r="M40" s="14">
        <v>782.86391029754679</v>
      </c>
      <c r="N40" s="14">
        <v>806.34982760647324</v>
      </c>
      <c r="O40" s="14">
        <v>830.54032243466747</v>
      </c>
      <c r="P40" s="14">
        <v>855.45653210770752</v>
      </c>
      <c r="Q40" s="14">
        <v>881.12022807093877</v>
      </c>
      <c r="R40" s="14">
        <v>907.55383491306691</v>
      </c>
      <c r="S40" s="14">
        <v>934.7804499604589</v>
      </c>
      <c r="T40" s="14">
        <v>962.82386345927273</v>
      </c>
      <c r="U40" s="14">
        <v>991.70857936305094</v>
      </c>
      <c r="V40" s="14">
        <v>1021.4598367439424</v>
      </c>
      <c r="W40" s="14">
        <v>1052.1036318462607</v>
      </c>
      <c r="X40" s="14">
        <v>1083.6667408016485</v>
      </c>
      <c r="Y40" s="14">
        <v>1116.176743025698</v>
      </c>
      <c r="Z40" s="14">
        <v>1149.6620453164689</v>
      </c>
      <c r="AA40" s="14">
        <v>1184.1519066759631</v>
      </c>
      <c r="AB40" s="14">
        <v>1219.676463876242</v>
      </c>
      <c r="AC40" s="14">
        <v>1256.2667577925292</v>
      </c>
      <c r="AD40" s="14">
        <v>1293.9547605263051</v>
      </c>
      <c r="AE40" s="14">
        <v>1332.7734033420943</v>
      </c>
      <c r="AF40" s="14">
        <v>1372.7566054423571</v>
      </c>
      <c r="AG40" s="14">
        <v>1413.9393036056279</v>
      </c>
      <c r="AH40" s="14">
        <v>1456.3574827137968</v>
      </c>
      <c r="AI40" s="14">
        <v>1500.0482071952108</v>
      </c>
      <c r="AJ40" s="14">
        <v>1545.0496534110671</v>
      </c>
      <c r="AK40" s="14">
        <v>1591.4011430133992</v>
      </c>
      <c r="AL40" s="14">
        <v>1639.1431773038012</v>
      </c>
      <c r="AM40" s="14">
        <v>1688.3174726229151</v>
      </c>
    </row>
    <row r="41" spans="2:39" s="12" customFormat="1" ht="21" customHeight="1" x14ac:dyDescent="0.3">
      <c r="B41" s="22" t="s">
        <v>38</v>
      </c>
      <c r="C41" s="10"/>
      <c r="D41" s="14">
        <v>250</v>
      </c>
      <c r="E41" s="14">
        <v>257.5</v>
      </c>
      <c r="F41" s="14">
        <v>265.22500000000002</v>
      </c>
      <c r="G41" s="14">
        <v>273.18175000000002</v>
      </c>
      <c r="H41" s="14">
        <v>281.37720250000001</v>
      </c>
      <c r="I41" s="14">
        <v>289.81851857500004</v>
      </c>
      <c r="J41" s="14">
        <v>298.51307413225004</v>
      </c>
      <c r="K41" s="14">
        <v>307.46846635621756</v>
      </c>
      <c r="L41" s="14">
        <v>316.69252034690408</v>
      </c>
      <c r="M41" s="14">
        <v>326.19329595731119</v>
      </c>
      <c r="N41" s="14">
        <v>335.97909483603053</v>
      </c>
      <c r="O41" s="14">
        <v>346.05846768111144</v>
      </c>
      <c r="P41" s="14">
        <v>356.44022171154478</v>
      </c>
      <c r="Q41" s="14">
        <v>367.13342836289115</v>
      </c>
      <c r="R41" s="14">
        <v>378.14743121377791</v>
      </c>
      <c r="S41" s="14">
        <v>389.49185415019127</v>
      </c>
      <c r="T41" s="14">
        <v>401.176609774697</v>
      </c>
      <c r="U41" s="14">
        <v>413.21190806793794</v>
      </c>
      <c r="V41" s="14">
        <v>425.6082653099761</v>
      </c>
      <c r="W41" s="14">
        <v>438.37651326927539</v>
      </c>
      <c r="X41" s="14">
        <v>451.52780866735367</v>
      </c>
      <c r="Y41" s="14">
        <v>465.07364292737429</v>
      </c>
      <c r="Z41" s="14">
        <v>479.02585221519553</v>
      </c>
      <c r="AA41" s="14">
        <v>493.39662778165143</v>
      </c>
      <c r="AB41" s="14">
        <v>508.198526615101</v>
      </c>
      <c r="AC41" s="14">
        <v>523.44448241355406</v>
      </c>
      <c r="AD41" s="14">
        <v>539.14781688596065</v>
      </c>
      <c r="AE41" s="14">
        <v>555.32225139253944</v>
      </c>
      <c r="AF41" s="14">
        <v>571.98191893431567</v>
      </c>
      <c r="AG41" s="14">
        <v>589.14137650234511</v>
      </c>
      <c r="AH41" s="14">
        <v>606.81561779741548</v>
      </c>
      <c r="AI41" s="14">
        <v>625.02008633133801</v>
      </c>
      <c r="AJ41" s="14">
        <v>643.77068892127818</v>
      </c>
      <c r="AK41" s="14">
        <v>663.08380958891655</v>
      </c>
      <c r="AL41" s="14">
        <v>682.97632387658405</v>
      </c>
      <c r="AM41" s="14">
        <v>703.4656135928816</v>
      </c>
    </row>
    <row r="42" spans="2:39" s="31" customFormat="1" ht="21" customHeight="1" x14ac:dyDescent="0.3">
      <c r="B42" s="28" t="s">
        <v>39</v>
      </c>
      <c r="C42" s="29"/>
      <c r="D42" s="30">
        <f t="shared" ref="D42" si="18">SUM(D41, D40, D39 + D38)</f>
        <v>1700</v>
      </c>
      <c r="E42" s="30">
        <v>1700</v>
      </c>
      <c r="F42" s="30">
        <v>1700</v>
      </c>
      <c r="G42" s="30">
        <v>1700</v>
      </c>
      <c r="H42" s="30">
        <v>1700</v>
      </c>
      <c r="I42" s="30">
        <v>1700</v>
      </c>
      <c r="J42" s="30">
        <v>1700</v>
      </c>
      <c r="K42" s="30">
        <v>1700</v>
      </c>
      <c r="L42" s="30">
        <v>1700</v>
      </c>
      <c r="M42" s="30">
        <v>1700</v>
      </c>
      <c r="N42" s="30">
        <v>1700</v>
      </c>
      <c r="O42" s="30">
        <v>1700</v>
      </c>
      <c r="P42" s="30">
        <v>1700</v>
      </c>
      <c r="Q42" s="30">
        <v>1700</v>
      </c>
      <c r="R42" s="30">
        <v>1700</v>
      </c>
      <c r="S42" s="30">
        <v>1700</v>
      </c>
      <c r="T42" s="30">
        <v>1700</v>
      </c>
      <c r="U42" s="30">
        <v>1700</v>
      </c>
      <c r="V42" s="30">
        <v>1700</v>
      </c>
      <c r="W42" s="30">
        <v>1700</v>
      </c>
      <c r="X42" s="30">
        <v>1700</v>
      </c>
      <c r="Y42" s="30">
        <v>1700</v>
      </c>
      <c r="Z42" s="30">
        <v>1700</v>
      </c>
      <c r="AA42" s="30">
        <v>1700</v>
      </c>
      <c r="AB42" s="30">
        <v>1700</v>
      </c>
      <c r="AC42" s="30">
        <v>1700</v>
      </c>
      <c r="AD42" s="30">
        <v>1700</v>
      </c>
      <c r="AE42" s="30">
        <v>1700</v>
      </c>
      <c r="AF42" s="30">
        <v>1700</v>
      </c>
      <c r="AG42" s="30">
        <v>1700</v>
      </c>
      <c r="AH42" s="30">
        <v>1700</v>
      </c>
      <c r="AI42" s="30">
        <v>1700</v>
      </c>
      <c r="AJ42" s="30">
        <v>1700</v>
      </c>
      <c r="AK42" s="30">
        <v>1700</v>
      </c>
      <c r="AL42" s="30">
        <v>1700</v>
      </c>
      <c r="AM42" s="30">
        <v>1700</v>
      </c>
    </row>
    <row r="43" spans="2:39" s="12" customFormat="1" ht="21" customHeight="1" x14ac:dyDescent="0.3">
      <c r="B43" s="15" t="s">
        <v>40</v>
      </c>
      <c r="C43" s="10"/>
      <c r="D43" s="16">
        <f t="shared" ref="D43:AM43" si="19">SUM(D41, D40, D39, D38, D37, D35, D34, D33, D32, D31, D30, D28, D27, D26, D25, D24, D22, D21, D20, D19, D18, D17, D16, D15, D14 + D13)</f>
        <v>43850</v>
      </c>
      <c r="E43" s="16">
        <f t="shared" si="19"/>
        <v>42465.5</v>
      </c>
      <c r="F43" s="16">
        <f t="shared" si="19"/>
        <v>38306.214999999997</v>
      </c>
      <c r="G43" s="16">
        <f t="shared" si="19"/>
        <v>38765.816450000006</v>
      </c>
      <c r="H43" s="16">
        <f t="shared" si="19"/>
        <v>39245.836568500003</v>
      </c>
      <c r="I43" s="16">
        <f t="shared" si="19"/>
        <v>40103.589018055005</v>
      </c>
      <c r="J43" s="16">
        <f t="shared" si="19"/>
        <v>40751.984044044104</v>
      </c>
      <c r="K43" s="16">
        <f t="shared" si="19"/>
        <v>41974.543565365428</v>
      </c>
      <c r="L43" s="16">
        <f t="shared" si="19"/>
        <v>43233.779872326399</v>
      </c>
      <c r="M43" s="16">
        <f t="shared" si="19"/>
        <v>37020.568509279212</v>
      </c>
      <c r="N43" s="16">
        <f t="shared" si="19"/>
        <v>34990.948623968274</v>
      </c>
      <c r="O43" s="16">
        <f t="shared" si="19"/>
        <v>35603.643304763711</v>
      </c>
      <c r="P43" s="16">
        <f t="shared" si="19"/>
        <v>36671.752603906629</v>
      </c>
      <c r="Q43" s="16">
        <f t="shared" si="19"/>
        <v>37609.949819149071</v>
      </c>
      <c r="R43" s="16">
        <f t="shared" si="19"/>
        <v>37645.049614318908</v>
      </c>
      <c r="S43" s="16">
        <f t="shared" si="19"/>
        <v>38118.481883105698</v>
      </c>
      <c r="T43" s="16">
        <f t="shared" si="19"/>
        <v>36197.416137763867</v>
      </c>
      <c r="U43" s="16">
        <f t="shared" si="19"/>
        <v>35273.847168260807</v>
      </c>
      <c r="V43" s="16">
        <f t="shared" si="19"/>
        <v>36332.062583308638</v>
      </c>
      <c r="W43" s="16">
        <f t="shared" si="19"/>
        <v>32251.101487757755</v>
      </c>
      <c r="X43" s="16">
        <f t="shared" si="19"/>
        <v>32042.492079250555</v>
      </c>
      <c r="Y43" s="16">
        <f t="shared" si="19"/>
        <v>33003.766841628072</v>
      </c>
      <c r="Z43" s="16">
        <f t="shared" si="19"/>
        <v>31886.790375003955</v>
      </c>
      <c r="AA43" s="16">
        <f t="shared" si="19"/>
        <v>31209.31559444272</v>
      </c>
      <c r="AB43" s="16">
        <f t="shared" si="19"/>
        <v>31818.882410318245</v>
      </c>
      <c r="AC43" s="16">
        <f t="shared" si="19"/>
        <v>31891.324722341862</v>
      </c>
      <c r="AD43" s="16">
        <f t="shared" si="19"/>
        <v>32318.789967840556</v>
      </c>
      <c r="AE43" s="16">
        <f t="shared" si="19"/>
        <v>31770.592231972463</v>
      </c>
      <c r="AF43" s="16">
        <f t="shared" si="19"/>
        <v>31240.964881794564</v>
      </c>
      <c r="AG43" s="16">
        <f t="shared" si="19"/>
        <v>31672.837246558836</v>
      </c>
      <c r="AH43" s="16">
        <f t="shared" si="19"/>
        <v>28208.781402660974</v>
      </c>
      <c r="AI43" s="16">
        <f t="shared" si="19"/>
        <v>29055.044844740802</v>
      </c>
      <c r="AJ43" s="16">
        <f t="shared" si="19"/>
        <v>29926.696190083028</v>
      </c>
      <c r="AK43" s="16">
        <f t="shared" si="19"/>
        <v>30824.497075785523</v>
      </c>
      <c r="AL43" s="16">
        <f t="shared" si="19"/>
        <v>29829.698032314416</v>
      </c>
      <c r="AM43" s="16">
        <f t="shared" si="19"/>
        <v>26457.534721207896</v>
      </c>
    </row>
    <row r="44" spans="2:39" s="18" customFormat="1" ht="21" customHeight="1" x14ac:dyDescent="0.3">
      <c r="B44" s="15" t="s">
        <v>41</v>
      </c>
      <c r="C44" s="19"/>
      <c r="D44" s="20">
        <f t="shared" ref="D44:AM44" si="20">D12-D43</f>
        <v>-43850</v>
      </c>
      <c r="E44" s="20">
        <f t="shared" si="20"/>
        <v>-42465.5</v>
      </c>
      <c r="F44" s="20">
        <f t="shared" si="20"/>
        <v>-38306.214999999997</v>
      </c>
      <c r="G44" s="20">
        <f t="shared" si="20"/>
        <v>-38765.816450000006</v>
      </c>
      <c r="H44" s="20">
        <f t="shared" si="20"/>
        <v>-39245.836568500003</v>
      </c>
      <c r="I44" s="20">
        <f t="shared" si="20"/>
        <v>-40103.589018055005</v>
      </c>
      <c r="J44" s="20">
        <f t="shared" si="20"/>
        <v>-40751.984044044104</v>
      </c>
      <c r="K44" s="20">
        <f t="shared" si="20"/>
        <v>-41974.543565365428</v>
      </c>
      <c r="L44" s="20">
        <f t="shared" si="20"/>
        <v>-43233.779872326399</v>
      </c>
      <c r="M44" s="20">
        <f t="shared" si="20"/>
        <v>-37020.568509279212</v>
      </c>
      <c r="N44" s="20">
        <f t="shared" si="20"/>
        <v>-34990.948623968274</v>
      </c>
      <c r="O44" s="20">
        <f t="shared" si="20"/>
        <v>-35603.643304763711</v>
      </c>
      <c r="P44" s="20">
        <f t="shared" si="20"/>
        <v>-36671.752603906629</v>
      </c>
      <c r="Q44" s="20">
        <f t="shared" si="20"/>
        <v>-37609.949819149071</v>
      </c>
      <c r="R44" s="20">
        <f t="shared" si="20"/>
        <v>-37645.049614318908</v>
      </c>
      <c r="S44" s="20">
        <f t="shared" si="20"/>
        <v>-38118.481883105698</v>
      </c>
      <c r="T44" s="20">
        <f t="shared" si="20"/>
        <v>-36197.416137763867</v>
      </c>
      <c r="U44" s="20">
        <f t="shared" si="20"/>
        <v>-35273.847168260807</v>
      </c>
      <c r="V44" s="20">
        <f t="shared" si="20"/>
        <v>-36332.062583308638</v>
      </c>
      <c r="W44" s="20">
        <f t="shared" si="20"/>
        <v>-32251.101487757755</v>
      </c>
      <c r="X44" s="20">
        <f t="shared" si="20"/>
        <v>-32042.492079250555</v>
      </c>
      <c r="Y44" s="20">
        <f t="shared" si="20"/>
        <v>-33003.766841628072</v>
      </c>
      <c r="Z44" s="20">
        <f t="shared" si="20"/>
        <v>-31886.790375003955</v>
      </c>
      <c r="AA44" s="20">
        <f t="shared" si="20"/>
        <v>-31209.31559444272</v>
      </c>
      <c r="AB44" s="20">
        <f t="shared" si="20"/>
        <v>-31818.882410318245</v>
      </c>
      <c r="AC44" s="20">
        <f t="shared" si="20"/>
        <v>-31891.324722341862</v>
      </c>
      <c r="AD44" s="20">
        <f t="shared" si="20"/>
        <v>-32318.789967840556</v>
      </c>
      <c r="AE44" s="20">
        <f t="shared" si="20"/>
        <v>-31770.592231972463</v>
      </c>
      <c r="AF44" s="20">
        <f t="shared" si="20"/>
        <v>-31240.964881794564</v>
      </c>
      <c r="AG44" s="20">
        <f t="shared" si="20"/>
        <v>-31672.837246558836</v>
      </c>
      <c r="AH44" s="20">
        <f t="shared" si="20"/>
        <v>-28208.781402660974</v>
      </c>
      <c r="AI44" s="20">
        <f t="shared" si="20"/>
        <v>-29055.044844740802</v>
      </c>
      <c r="AJ44" s="20">
        <f t="shared" si="20"/>
        <v>-29926.696190083028</v>
      </c>
      <c r="AK44" s="20">
        <f t="shared" si="20"/>
        <v>-30824.497075785523</v>
      </c>
      <c r="AL44" s="20">
        <f t="shared" si="20"/>
        <v>-29829.698032314416</v>
      </c>
      <c r="AM44" s="20">
        <f t="shared" si="20"/>
        <v>-26457.534721207896</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AM47" si="21">SUM(D46 + D45)</f>
        <v>0</v>
      </c>
      <c r="E47" s="16">
        <f t="shared" si="21"/>
        <v>0</v>
      </c>
      <c r="F47" s="16">
        <f t="shared" si="21"/>
        <v>0</v>
      </c>
      <c r="G47" s="16">
        <f t="shared" si="21"/>
        <v>0</v>
      </c>
      <c r="H47" s="16">
        <f t="shared" si="21"/>
        <v>0</v>
      </c>
      <c r="I47" s="16">
        <f t="shared" si="21"/>
        <v>0</v>
      </c>
      <c r="J47" s="16">
        <f t="shared" si="21"/>
        <v>0</v>
      </c>
      <c r="K47" s="16">
        <f t="shared" si="21"/>
        <v>0</v>
      </c>
      <c r="L47" s="16">
        <f t="shared" si="21"/>
        <v>0</v>
      </c>
      <c r="M47" s="16">
        <f t="shared" si="21"/>
        <v>0</v>
      </c>
      <c r="N47" s="16">
        <f t="shared" si="21"/>
        <v>0</v>
      </c>
      <c r="O47" s="16">
        <f t="shared" si="21"/>
        <v>0</v>
      </c>
      <c r="P47" s="16">
        <f t="shared" si="21"/>
        <v>0</v>
      </c>
      <c r="Q47" s="16">
        <f t="shared" si="21"/>
        <v>0</v>
      </c>
      <c r="R47" s="16">
        <f t="shared" si="21"/>
        <v>0</v>
      </c>
      <c r="S47" s="16">
        <f t="shared" si="21"/>
        <v>0</v>
      </c>
      <c r="T47" s="16">
        <f t="shared" si="21"/>
        <v>0</v>
      </c>
      <c r="U47" s="16">
        <f t="shared" si="21"/>
        <v>0</v>
      </c>
      <c r="V47" s="16">
        <f t="shared" si="21"/>
        <v>0</v>
      </c>
      <c r="W47" s="16">
        <f t="shared" si="21"/>
        <v>0</v>
      </c>
      <c r="X47" s="16">
        <f t="shared" si="21"/>
        <v>0</v>
      </c>
      <c r="Y47" s="16">
        <f t="shared" si="21"/>
        <v>0</v>
      </c>
      <c r="Z47" s="16">
        <f t="shared" si="21"/>
        <v>0</v>
      </c>
      <c r="AA47" s="16">
        <f t="shared" si="21"/>
        <v>0</v>
      </c>
      <c r="AB47" s="16">
        <f t="shared" si="21"/>
        <v>0</v>
      </c>
      <c r="AC47" s="16">
        <f t="shared" si="21"/>
        <v>0</v>
      </c>
      <c r="AD47" s="16">
        <f t="shared" si="21"/>
        <v>0</v>
      </c>
      <c r="AE47" s="16">
        <f t="shared" si="21"/>
        <v>0</v>
      </c>
      <c r="AF47" s="16">
        <f t="shared" si="21"/>
        <v>0</v>
      </c>
      <c r="AG47" s="16">
        <f t="shared" si="21"/>
        <v>0</v>
      </c>
      <c r="AH47" s="16">
        <f t="shared" si="21"/>
        <v>0</v>
      </c>
      <c r="AI47" s="16">
        <f t="shared" si="21"/>
        <v>0</v>
      </c>
      <c r="AJ47" s="16">
        <f t="shared" si="21"/>
        <v>0</v>
      </c>
      <c r="AK47" s="16">
        <f t="shared" si="21"/>
        <v>0</v>
      </c>
      <c r="AL47" s="16">
        <f t="shared" si="21"/>
        <v>0</v>
      </c>
      <c r="AM47" s="16">
        <f t="shared" si="21"/>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0</v>
      </c>
      <c r="E49" s="14">
        <v>0</v>
      </c>
      <c r="F49" s="14">
        <v>0</v>
      </c>
      <c r="G49" s="14">
        <v>0</v>
      </c>
      <c r="H49" s="14">
        <v>0</v>
      </c>
      <c r="I49" s="14">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0</v>
      </c>
      <c r="AD49" s="14">
        <v>0</v>
      </c>
      <c r="AE49" s="14">
        <v>0</v>
      </c>
      <c r="AF49" s="14">
        <v>0</v>
      </c>
      <c r="AG49" s="14">
        <v>0</v>
      </c>
      <c r="AH49" s="14">
        <v>0</v>
      </c>
      <c r="AI49" s="14">
        <v>0</v>
      </c>
      <c r="AJ49" s="14">
        <v>0</v>
      </c>
      <c r="AK49" s="14">
        <v>0</v>
      </c>
      <c r="AL49" s="14">
        <v>0</v>
      </c>
      <c r="AM49" s="14">
        <v>0</v>
      </c>
    </row>
    <row r="50" spans="2:39" s="12" customFormat="1" ht="21" customHeight="1" x14ac:dyDescent="0.3">
      <c r="B50" s="13" t="s">
        <v>47</v>
      </c>
      <c r="C50" s="10"/>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0</v>
      </c>
      <c r="AC50" s="14">
        <v>0</v>
      </c>
      <c r="AD50" s="14">
        <v>0</v>
      </c>
      <c r="AE50" s="14">
        <v>0</v>
      </c>
      <c r="AF50" s="14">
        <v>0</v>
      </c>
      <c r="AG50" s="14">
        <v>0</v>
      </c>
      <c r="AH50" s="14">
        <v>0</v>
      </c>
      <c r="AI50" s="14">
        <v>0</v>
      </c>
      <c r="AJ50" s="14">
        <v>0</v>
      </c>
      <c r="AK50" s="14">
        <v>0</v>
      </c>
      <c r="AL50" s="14">
        <v>0</v>
      </c>
      <c r="AM50" s="14">
        <v>0</v>
      </c>
    </row>
    <row r="51" spans="2:39" s="12" customFormat="1" ht="21" customHeight="1" x14ac:dyDescent="0.3">
      <c r="B51" s="15" t="s">
        <v>48</v>
      </c>
      <c r="C51" s="10"/>
      <c r="D51" s="16">
        <f t="shared" ref="D51:AM51" si="22">SUM(D50, D49 + D48)</f>
        <v>0</v>
      </c>
      <c r="E51" s="16">
        <f t="shared" si="22"/>
        <v>0</v>
      </c>
      <c r="F51" s="16">
        <f t="shared" si="22"/>
        <v>0</v>
      </c>
      <c r="G51" s="16">
        <f t="shared" si="22"/>
        <v>0</v>
      </c>
      <c r="H51" s="16">
        <f t="shared" si="22"/>
        <v>0</v>
      </c>
      <c r="I51" s="16">
        <f t="shared" si="22"/>
        <v>0</v>
      </c>
      <c r="J51" s="16">
        <f t="shared" si="22"/>
        <v>0</v>
      </c>
      <c r="K51" s="16">
        <f t="shared" si="22"/>
        <v>0</v>
      </c>
      <c r="L51" s="16">
        <f t="shared" si="22"/>
        <v>0</v>
      </c>
      <c r="M51" s="16">
        <f t="shared" si="22"/>
        <v>0</v>
      </c>
      <c r="N51" s="16">
        <f t="shared" si="22"/>
        <v>0</v>
      </c>
      <c r="O51" s="16">
        <f t="shared" si="22"/>
        <v>0</v>
      </c>
      <c r="P51" s="16">
        <f t="shared" si="22"/>
        <v>0</v>
      </c>
      <c r="Q51" s="16">
        <f t="shared" si="22"/>
        <v>0</v>
      </c>
      <c r="R51" s="16">
        <f t="shared" si="22"/>
        <v>0</v>
      </c>
      <c r="S51" s="16">
        <f t="shared" si="22"/>
        <v>0</v>
      </c>
      <c r="T51" s="16">
        <f t="shared" si="22"/>
        <v>0</v>
      </c>
      <c r="U51" s="16">
        <f t="shared" si="22"/>
        <v>0</v>
      </c>
      <c r="V51" s="16">
        <f t="shared" si="22"/>
        <v>0</v>
      </c>
      <c r="W51" s="16">
        <f t="shared" si="22"/>
        <v>0</v>
      </c>
      <c r="X51" s="16">
        <f t="shared" si="22"/>
        <v>0</v>
      </c>
      <c r="Y51" s="16">
        <f t="shared" si="22"/>
        <v>0</v>
      </c>
      <c r="Z51" s="16">
        <f t="shared" si="22"/>
        <v>0</v>
      </c>
      <c r="AA51" s="16">
        <f t="shared" si="22"/>
        <v>0</v>
      </c>
      <c r="AB51" s="16">
        <f t="shared" si="22"/>
        <v>0</v>
      </c>
      <c r="AC51" s="16">
        <f t="shared" si="22"/>
        <v>0</v>
      </c>
      <c r="AD51" s="16">
        <f t="shared" si="22"/>
        <v>0</v>
      </c>
      <c r="AE51" s="16">
        <f t="shared" si="22"/>
        <v>0</v>
      </c>
      <c r="AF51" s="16">
        <f t="shared" si="22"/>
        <v>0</v>
      </c>
      <c r="AG51" s="16">
        <f t="shared" si="22"/>
        <v>0</v>
      </c>
      <c r="AH51" s="16">
        <f t="shared" si="22"/>
        <v>0</v>
      </c>
      <c r="AI51" s="16">
        <f t="shared" si="22"/>
        <v>0</v>
      </c>
      <c r="AJ51" s="16">
        <f t="shared" si="22"/>
        <v>0</v>
      </c>
      <c r="AK51" s="16">
        <f t="shared" si="22"/>
        <v>0</v>
      </c>
      <c r="AL51" s="16">
        <f t="shared" si="22"/>
        <v>0</v>
      </c>
      <c r="AM51" s="16">
        <f t="shared" si="22"/>
        <v>0</v>
      </c>
    </row>
    <row r="52" spans="2:39" s="18" customFormat="1" ht="21" customHeight="1" x14ac:dyDescent="0.3">
      <c r="B52" s="15" t="s">
        <v>49</v>
      </c>
      <c r="C52" s="19"/>
      <c r="D52" s="20">
        <f t="shared" ref="D52:AM52" si="23">D47-D51</f>
        <v>0</v>
      </c>
      <c r="E52" s="20">
        <f t="shared" si="23"/>
        <v>0</v>
      </c>
      <c r="F52" s="20">
        <f t="shared" si="23"/>
        <v>0</v>
      </c>
      <c r="G52" s="20">
        <f t="shared" si="23"/>
        <v>0</v>
      </c>
      <c r="H52" s="20">
        <f t="shared" si="23"/>
        <v>0</v>
      </c>
      <c r="I52" s="20">
        <f t="shared" si="23"/>
        <v>0</v>
      </c>
      <c r="J52" s="20">
        <f t="shared" si="23"/>
        <v>0</v>
      </c>
      <c r="K52" s="20">
        <f t="shared" si="23"/>
        <v>0</v>
      </c>
      <c r="L52" s="20">
        <f t="shared" si="23"/>
        <v>0</v>
      </c>
      <c r="M52" s="20">
        <f t="shared" si="23"/>
        <v>0</v>
      </c>
      <c r="N52" s="20">
        <f t="shared" si="23"/>
        <v>0</v>
      </c>
      <c r="O52" s="20">
        <f t="shared" si="23"/>
        <v>0</v>
      </c>
      <c r="P52" s="20">
        <f t="shared" si="23"/>
        <v>0</v>
      </c>
      <c r="Q52" s="20">
        <f t="shared" si="23"/>
        <v>0</v>
      </c>
      <c r="R52" s="20">
        <f t="shared" si="23"/>
        <v>0</v>
      </c>
      <c r="S52" s="20">
        <f t="shared" si="23"/>
        <v>0</v>
      </c>
      <c r="T52" s="20">
        <f t="shared" si="23"/>
        <v>0</v>
      </c>
      <c r="U52" s="20">
        <f t="shared" si="23"/>
        <v>0</v>
      </c>
      <c r="V52" s="20">
        <f t="shared" si="23"/>
        <v>0</v>
      </c>
      <c r="W52" s="20">
        <f t="shared" si="23"/>
        <v>0</v>
      </c>
      <c r="X52" s="20">
        <f t="shared" si="23"/>
        <v>0</v>
      </c>
      <c r="Y52" s="20">
        <f t="shared" si="23"/>
        <v>0</v>
      </c>
      <c r="Z52" s="20">
        <f t="shared" si="23"/>
        <v>0</v>
      </c>
      <c r="AA52" s="20">
        <f t="shared" si="23"/>
        <v>0</v>
      </c>
      <c r="AB52" s="20">
        <f t="shared" si="23"/>
        <v>0</v>
      </c>
      <c r="AC52" s="20">
        <f t="shared" si="23"/>
        <v>0</v>
      </c>
      <c r="AD52" s="20">
        <f t="shared" si="23"/>
        <v>0</v>
      </c>
      <c r="AE52" s="20">
        <f t="shared" si="23"/>
        <v>0</v>
      </c>
      <c r="AF52" s="20">
        <f t="shared" si="23"/>
        <v>0</v>
      </c>
      <c r="AG52" s="20">
        <f t="shared" si="23"/>
        <v>0</v>
      </c>
      <c r="AH52" s="20">
        <f t="shared" si="23"/>
        <v>0</v>
      </c>
      <c r="AI52" s="20">
        <f t="shared" si="23"/>
        <v>0</v>
      </c>
      <c r="AJ52" s="20">
        <f t="shared" si="23"/>
        <v>0</v>
      </c>
      <c r="AK52" s="20">
        <f t="shared" si="23"/>
        <v>0</v>
      </c>
      <c r="AL52" s="20">
        <f t="shared" si="23"/>
        <v>0</v>
      </c>
      <c r="AM52" s="20">
        <f t="shared" si="23"/>
        <v>0</v>
      </c>
    </row>
    <row r="53" spans="2:39" s="18" customFormat="1" ht="21" customHeight="1" x14ac:dyDescent="0.3">
      <c r="B53" s="15" t="s">
        <v>50</v>
      </c>
      <c r="C53" s="19"/>
      <c r="D53" s="20">
        <f t="shared" ref="D53:AM53" si="24">D44+D52</f>
        <v>-43850</v>
      </c>
      <c r="E53" s="20">
        <f t="shared" si="24"/>
        <v>-42465.5</v>
      </c>
      <c r="F53" s="20">
        <f t="shared" si="24"/>
        <v>-38306.214999999997</v>
      </c>
      <c r="G53" s="20">
        <f t="shared" si="24"/>
        <v>-38765.816450000006</v>
      </c>
      <c r="H53" s="20">
        <f t="shared" si="24"/>
        <v>-39245.836568500003</v>
      </c>
      <c r="I53" s="20">
        <f t="shared" si="24"/>
        <v>-40103.589018055005</v>
      </c>
      <c r="J53" s="20">
        <f t="shared" si="24"/>
        <v>-40751.984044044104</v>
      </c>
      <c r="K53" s="20">
        <f t="shared" si="24"/>
        <v>-41974.543565365428</v>
      </c>
      <c r="L53" s="20">
        <f t="shared" si="24"/>
        <v>-43233.779872326399</v>
      </c>
      <c r="M53" s="20">
        <f t="shared" si="24"/>
        <v>-37020.568509279212</v>
      </c>
      <c r="N53" s="20">
        <f t="shared" si="24"/>
        <v>-34990.948623968274</v>
      </c>
      <c r="O53" s="20">
        <f t="shared" si="24"/>
        <v>-35603.643304763711</v>
      </c>
      <c r="P53" s="20">
        <f t="shared" si="24"/>
        <v>-36671.752603906629</v>
      </c>
      <c r="Q53" s="20">
        <f t="shared" si="24"/>
        <v>-37609.949819149071</v>
      </c>
      <c r="R53" s="20">
        <f t="shared" si="24"/>
        <v>-37645.049614318908</v>
      </c>
      <c r="S53" s="20">
        <f t="shared" si="24"/>
        <v>-38118.481883105698</v>
      </c>
      <c r="T53" s="20">
        <f t="shared" si="24"/>
        <v>-36197.416137763867</v>
      </c>
      <c r="U53" s="20">
        <f t="shared" si="24"/>
        <v>-35273.847168260807</v>
      </c>
      <c r="V53" s="20">
        <f t="shared" si="24"/>
        <v>-36332.062583308638</v>
      </c>
      <c r="W53" s="20">
        <f t="shared" si="24"/>
        <v>-32251.101487757755</v>
      </c>
      <c r="X53" s="20">
        <f t="shared" si="24"/>
        <v>-32042.492079250555</v>
      </c>
      <c r="Y53" s="20">
        <f t="shared" si="24"/>
        <v>-33003.766841628072</v>
      </c>
      <c r="Z53" s="20">
        <f t="shared" si="24"/>
        <v>-31886.790375003955</v>
      </c>
      <c r="AA53" s="20">
        <f t="shared" si="24"/>
        <v>-31209.31559444272</v>
      </c>
      <c r="AB53" s="20">
        <f t="shared" si="24"/>
        <v>-31818.882410318245</v>
      </c>
      <c r="AC53" s="20">
        <f t="shared" si="24"/>
        <v>-31891.324722341862</v>
      </c>
      <c r="AD53" s="20">
        <f t="shared" si="24"/>
        <v>-32318.789967840556</v>
      </c>
      <c r="AE53" s="20">
        <f t="shared" si="24"/>
        <v>-31770.592231972463</v>
      </c>
      <c r="AF53" s="20">
        <f t="shared" si="24"/>
        <v>-31240.964881794564</v>
      </c>
      <c r="AG53" s="20">
        <f t="shared" si="24"/>
        <v>-31672.837246558836</v>
      </c>
      <c r="AH53" s="20">
        <f t="shared" si="24"/>
        <v>-28208.781402660974</v>
      </c>
      <c r="AI53" s="20">
        <f t="shared" si="24"/>
        <v>-29055.044844740802</v>
      </c>
      <c r="AJ53" s="20">
        <f t="shared" si="24"/>
        <v>-29926.696190083028</v>
      </c>
      <c r="AK53" s="20">
        <f t="shared" si="24"/>
        <v>-30824.497075785523</v>
      </c>
      <c r="AL53" s="20">
        <f t="shared" si="24"/>
        <v>-29829.698032314416</v>
      </c>
      <c r="AM53" s="20">
        <f t="shared" si="24"/>
        <v>-26457.534721207896</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count="1">
    <dataValidation type="list" allowBlank="1" showInputMessage="1" showErrorMessage="1" sqref="D4" xr:uid="{4EB4D910-C616-4A8A-96CC-9D514D182F1D}">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0D24A-E365-4746-9633-88A417C539FA}">
  <sheetPr>
    <tabColor theme="9" tint="0.79998168889431442"/>
    <outlinePr summaryBelow="0" summaryRight="0"/>
  </sheetPr>
  <dimension ref="A1:NTP304"/>
  <sheetViews>
    <sheetView showGridLines="0" zoomScaleNormal="100" workbookViewId="0">
      <pane xSplit="3" ySplit="4" topLeftCell="D37" activePane="bottomRight" state="frozen"/>
      <selection activeCell="B8" sqref="B8"/>
      <selection pane="topRight" activeCell="B8" sqref="B8"/>
      <selection pane="bottomLeft" activeCell="B8" sqref="B8"/>
      <selection pane="bottomRight" activeCell="H46" sqref="H46"/>
    </sheetView>
  </sheetViews>
  <sheetFormatPr defaultColWidth="9.109375" defaultRowHeight="14.4" x14ac:dyDescent="0.3"/>
  <cols>
    <col min="1" max="1" width="2.5546875" customWidth="1"/>
    <col min="2" max="2" width="42.33203125" style="2" customWidth="1"/>
    <col min="3" max="3" width="2.6640625" customWidth="1"/>
    <col min="4" max="4" width="12.44140625" style="27" customWidth="1"/>
    <col min="5"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1</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95000</v>
      </c>
      <c r="E6" s="14">
        <v>97850</v>
      </c>
      <c r="F6" s="14">
        <f>E6*(0.96)</f>
        <v>93936</v>
      </c>
      <c r="G6" s="14">
        <v>96754.08</v>
      </c>
      <c r="H6" s="14">
        <v>99656.702400000009</v>
      </c>
      <c r="I6" s="14">
        <v>102646.40347200001</v>
      </c>
      <c r="J6" s="14">
        <v>105725.79557616</v>
      </c>
      <c r="K6" s="14">
        <f>J6*(0.96)</f>
        <v>101496.7637531136</v>
      </c>
      <c r="L6" s="14">
        <v>104541.66666570702</v>
      </c>
      <c r="M6" s="14">
        <v>107677.91666567823</v>
      </c>
      <c r="N6" s="14">
        <v>110908.25416564858</v>
      </c>
      <c r="O6" s="14">
        <f>N6*(0.96)</f>
        <v>106471.92399902263</v>
      </c>
      <c r="P6" s="14">
        <v>109666.08171899332</v>
      </c>
      <c r="Q6" s="14">
        <v>112956.06417056311</v>
      </c>
      <c r="R6" s="14">
        <v>116344.74609568001</v>
      </c>
      <c r="S6" s="14">
        <f>R6*(0.96)</f>
        <v>111690.9562518528</v>
      </c>
      <c r="T6" s="14">
        <v>115041.68493940838</v>
      </c>
      <c r="U6" s="14">
        <v>118492.93548759064</v>
      </c>
      <c r="V6" s="14">
        <v>122047.72355221836</v>
      </c>
      <c r="W6" s="14">
        <v>125709.15525878491</v>
      </c>
      <c r="X6" s="14">
        <v>129480.42991654847</v>
      </c>
      <c r="Y6" s="14">
        <v>133364.84281404494</v>
      </c>
      <c r="Z6" s="14">
        <v>137365.78809846629</v>
      </c>
      <c r="AA6" s="14">
        <f>Z6*(0.96)</f>
        <v>131871.15657452765</v>
      </c>
      <c r="AB6" s="14">
        <v>135827.29127176348</v>
      </c>
      <c r="AC6" s="14">
        <v>139902.11000991639</v>
      </c>
      <c r="AD6" s="14">
        <v>144099.1733102139</v>
      </c>
      <c r="AE6" s="14">
        <f>AD6*(0.96)</f>
        <v>138335.20637780533</v>
      </c>
      <c r="AF6" s="14">
        <v>142485.26256913948</v>
      </c>
      <c r="AG6" s="14">
        <v>146759.82044621368</v>
      </c>
      <c r="AH6" s="14">
        <f>AG6*(0.96)</f>
        <v>140889.42762836511</v>
      </c>
      <c r="AI6" s="14">
        <v>145116.11045721607</v>
      </c>
      <c r="AJ6" s="14">
        <v>149469.59377093255</v>
      </c>
      <c r="AK6" s="14">
        <v>153953.68158406054</v>
      </c>
      <c r="AL6" s="14">
        <f>AK6*(0.96)</f>
        <v>147795.53432069812</v>
      </c>
      <c r="AM6" s="14">
        <v>152229.40035031908</v>
      </c>
    </row>
    <row r="7" spans="1:39" s="12" customFormat="1" ht="21" customHeight="1" x14ac:dyDescent="0.3">
      <c r="A7" s="8"/>
      <c r="B7" s="15" t="s">
        <v>4</v>
      </c>
      <c r="C7" s="10"/>
      <c r="D7" s="16">
        <f t="shared" ref="D7" si="1">SUM(D6 + D5)</f>
        <v>95000</v>
      </c>
      <c r="E7" s="16">
        <f t="shared" ref="E7:AM7" si="2">SUM(E6 + E5)</f>
        <v>97850</v>
      </c>
      <c r="F7" s="16">
        <f t="shared" si="2"/>
        <v>93936</v>
      </c>
      <c r="G7" s="16">
        <f t="shared" si="2"/>
        <v>96754.08</v>
      </c>
      <c r="H7" s="16">
        <f t="shared" si="2"/>
        <v>99656.702400000009</v>
      </c>
      <c r="I7" s="16">
        <f t="shared" si="2"/>
        <v>102646.40347200001</v>
      </c>
      <c r="J7" s="16">
        <f t="shared" si="2"/>
        <v>105725.79557616</v>
      </c>
      <c r="K7" s="16">
        <f t="shared" si="2"/>
        <v>101496.7637531136</v>
      </c>
      <c r="L7" s="16">
        <f t="shared" si="2"/>
        <v>104541.66666570702</v>
      </c>
      <c r="M7" s="16">
        <f t="shared" si="2"/>
        <v>107677.91666567823</v>
      </c>
      <c r="N7" s="16">
        <f t="shared" si="2"/>
        <v>110908.25416564858</v>
      </c>
      <c r="O7" s="16">
        <f t="shared" si="2"/>
        <v>106471.92399902263</v>
      </c>
      <c r="P7" s="16">
        <f t="shared" si="2"/>
        <v>109666.08171899332</v>
      </c>
      <c r="Q7" s="16">
        <f t="shared" si="2"/>
        <v>112956.06417056311</v>
      </c>
      <c r="R7" s="16">
        <f t="shared" si="2"/>
        <v>116344.74609568001</v>
      </c>
      <c r="S7" s="16">
        <f t="shared" si="2"/>
        <v>111690.9562518528</v>
      </c>
      <c r="T7" s="16">
        <f t="shared" si="2"/>
        <v>115041.68493940838</v>
      </c>
      <c r="U7" s="16">
        <f t="shared" si="2"/>
        <v>118492.93548759064</v>
      </c>
      <c r="V7" s="16">
        <f t="shared" si="2"/>
        <v>122047.72355221836</v>
      </c>
      <c r="W7" s="16">
        <f t="shared" si="2"/>
        <v>125709.15525878491</v>
      </c>
      <c r="X7" s="16">
        <f t="shared" si="2"/>
        <v>129480.42991654847</v>
      </c>
      <c r="Y7" s="16">
        <f t="shared" si="2"/>
        <v>133364.84281404494</v>
      </c>
      <c r="Z7" s="16">
        <f t="shared" si="2"/>
        <v>137365.78809846629</v>
      </c>
      <c r="AA7" s="16">
        <f t="shared" si="2"/>
        <v>131871.15657452765</v>
      </c>
      <c r="AB7" s="16">
        <f t="shared" si="2"/>
        <v>135827.29127176348</v>
      </c>
      <c r="AC7" s="16">
        <f t="shared" si="2"/>
        <v>139902.11000991639</v>
      </c>
      <c r="AD7" s="16">
        <f t="shared" si="2"/>
        <v>144099.1733102139</v>
      </c>
      <c r="AE7" s="16">
        <f t="shared" si="2"/>
        <v>138335.20637780533</v>
      </c>
      <c r="AF7" s="16">
        <f t="shared" si="2"/>
        <v>142485.26256913948</v>
      </c>
      <c r="AG7" s="16">
        <f t="shared" si="2"/>
        <v>146759.82044621368</v>
      </c>
      <c r="AH7" s="16">
        <f t="shared" si="2"/>
        <v>140889.42762836511</v>
      </c>
      <c r="AI7" s="16">
        <f t="shared" si="2"/>
        <v>145116.11045721607</v>
      </c>
      <c r="AJ7" s="16">
        <f t="shared" si="2"/>
        <v>149469.59377093255</v>
      </c>
      <c r="AK7" s="16">
        <f t="shared" si="2"/>
        <v>153953.68158406054</v>
      </c>
      <c r="AL7" s="16">
        <f t="shared" si="2"/>
        <v>147795.53432069812</v>
      </c>
      <c r="AM7" s="16">
        <f t="shared" si="2"/>
        <v>152229.40035031908</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800</v>
      </c>
      <c r="E9" s="14">
        <v>832</v>
      </c>
      <c r="F9" s="14">
        <v>865.28</v>
      </c>
      <c r="G9" s="14">
        <v>899.89120000000003</v>
      </c>
      <c r="H9" s="14">
        <v>935.8868480000001</v>
      </c>
      <c r="I9" s="14">
        <v>973.32232192000015</v>
      </c>
      <c r="J9" s="14">
        <v>1012.2552147968001</v>
      </c>
      <c r="K9" s="14">
        <v>1052.7454233886722</v>
      </c>
      <c r="L9" s="14">
        <v>1094.855240324219</v>
      </c>
      <c r="M9" s="14">
        <v>1138.6494499371879</v>
      </c>
      <c r="N9" s="14">
        <v>1184.1954279346755</v>
      </c>
      <c r="O9" s="14">
        <v>1231.5632450520627</v>
      </c>
      <c r="P9" s="14">
        <v>1280.8257748541453</v>
      </c>
      <c r="Q9" s="14">
        <v>1332.0588058483111</v>
      </c>
      <c r="R9" s="14">
        <v>1385.3411580822435</v>
      </c>
      <c r="S9" s="14">
        <v>1440.7548044055334</v>
      </c>
      <c r="T9" s="14">
        <v>1498.3849965817549</v>
      </c>
      <c r="U9" s="14">
        <v>1558.3203964450252</v>
      </c>
      <c r="V9" s="14">
        <v>1620.6532123028262</v>
      </c>
      <c r="W9" s="14">
        <v>1685.4793407949394</v>
      </c>
      <c r="X9" s="14">
        <v>1752.8985144267369</v>
      </c>
      <c r="Y9" s="14">
        <v>1823.0144550038065</v>
      </c>
      <c r="Z9" s="14">
        <v>1895.9350332039587</v>
      </c>
      <c r="AA9" s="14">
        <v>1971.7724345321171</v>
      </c>
      <c r="AB9" s="14">
        <v>2050.6433319134021</v>
      </c>
      <c r="AC9" s="14">
        <v>2132.6690651899385</v>
      </c>
      <c r="AD9" s="14">
        <v>2217.9758277975361</v>
      </c>
      <c r="AE9" s="14">
        <v>2306.6948609094375</v>
      </c>
      <c r="AF9" s="14">
        <v>2398.9626553458152</v>
      </c>
      <c r="AG9" s="14">
        <v>2494.9211615596478</v>
      </c>
      <c r="AH9" s="14">
        <v>2594.7180080220337</v>
      </c>
      <c r="AI9" s="14">
        <v>2698.5067283429153</v>
      </c>
      <c r="AJ9" s="14">
        <v>2806.4469974766321</v>
      </c>
      <c r="AK9" s="14">
        <v>2918.7048773756974</v>
      </c>
      <c r="AL9" s="14">
        <v>3035.4530724707256</v>
      </c>
      <c r="AM9" s="14">
        <v>3156.8711953695547</v>
      </c>
    </row>
    <row r="10" spans="1:39" s="12" customFormat="1" ht="21" customHeight="1" x14ac:dyDescent="0.3">
      <c r="A10" s="8"/>
      <c r="B10" s="13" t="s">
        <v>7</v>
      </c>
      <c r="C10" s="10"/>
      <c r="D10" s="14">
        <v>250</v>
      </c>
      <c r="E10" s="14">
        <v>260</v>
      </c>
      <c r="F10" s="14">
        <v>270.40000000000003</v>
      </c>
      <c r="G10" s="14">
        <v>281.21600000000007</v>
      </c>
      <c r="H10" s="14">
        <v>292.46464000000009</v>
      </c>
      <c r="I10" s="14">
        <v>304.16322560000009</v>
      </c>
      <c r="J10" s="14">
        <v>316.32975462400009</v>
      </c>
      <c r="K10" s="14">
        <v>328.9829448089601</v>
      </c>
      <c r="L10" s="14">
        <v>342.14226260131852</v>
      </c>
      <c r="M10" s="14">
        <v>355.82795310537125</v>
      </c>
      <c r="N10" s="14">
        <v>370.0610712295861</v>
      </c>
      <c r="O10" s="14">
        <v>384.86351407876958</v>
      </c>
      <c r="P10" s="14">
        <v>400.25805464192035</v>
      </c>
      <c r="Q10" s="14">
        <v>416.26837682759719</v>
      </c>
      <c r="R10" s="14">
        <v>432.91911190070107</v>
      </c>
      <c r="S10" s="14">
        <v>450.23587637672915</v>
      </c>
      <c r="T10" s="14">
        <v>468.24531143179831</v>
      </c>
      <c r="U10" s="14">
        <v>486.97512388907029</v>
      </c>
      <c r="V10" s="14">
        <v>506.45412884463315</v>
      </c>
      <c r="W10" s="14">
        <v>526.71229399841855</v>
      </c>
      <c r="X10" s="14">
        <v>547.78078575835525</v>
      </c>
      <c r="Y10" s="14">
        <v>569.69201718868953</v>
      </c>
      <c r="Z10" s="14">
        <v>592.47969787623708</v>
      </c>
      <c r="AA10" s="14">
        <v>616.17888579128658</v>
      </c>
      <c r="AB10" s="14">
        <v>640.8260412229381</v>
      </c>
      <c r="AC10" s="14">
        <v>666.45908287185568</v>
      </c>
      <c r="AD10" s="14">
        <v>693.11744618672992</v>
      </c>
      <c r="AE10" s="14">
        <v>720.84214403419912</v>
      </c>
      <c r="AF10" s="14">
        <v>749.6758297955671</v>
      </c>
      <c r="AG10" s="14">
        <v>779.66286298738976</v>
      </c>
      <c r="AH10" s="14">
        <v>810.84937750688539</v>
      </c>
      <c r="AI10" s="14">
        <v>843.28335260716085</v>
      </c>
      <c r="AJ10" s="14">
        <v>877.01468671144733</v>
      </c>
      <c r="AK10" s="14">
        <v>912.09527417990523</v>
      </c>
      <c r="AL10" s="14">
        <v>948.57908514710152</v>
      </c>
      <c r="AM10" s="14">
        <v>986.52224855298562</v>
      </c>
    </row>
    <row r="11" spans="1:39" s="12" customFormat="1" ht="21" customHeight="1" x14ac:dyDescent="0.3">
      <c r="A11" s="8"/>
      <c r="B11" s="15" t="s">
        <v>8</v>
      </c>
      <c r="C11" s="10"/>
      <c r="D11" s="16">
        <f t="shared" ref="D11:AM11" si="3">SUM(D10, D9 + D8)</f>
        <v>1050</v>
      </c>
      <c r="E11" s="16">
        <f t="shared" si="3"/>
        <v>1092</v>
      </c>
      <c r="F11" s="16">
        <f t="shared" si="3"/>
        <v>1135.68</v>
      </c>
      <c r="G11" s="16">
        <f t="shared" si="3"/>
        <v>1181.1072000000001</v>
      </c>
      <c r="H11" s="16">
        <f t="shared" si="3"/>
        <v>1228.3514880000002</v>
      </c>
      <c r="I11" s="16">
        <f t="shared" si="3"/>
        <v>1277.4855475200002</v>
      </c>
      <c r="J11" s="16">
        <f t="shared" si="3"/>
        <v>1328.5849694208002</v>
      </c>
      <c r="K11" s="16">
        <f t="shared" si="3"/>
        <v>1381.7283681976323</v>
      </c>
      <c r="L11" s="16">
        <f t="shared" si="3"/>
        <v>1436.9975029255374</v>
      </c>
      <c r="M11" s="16">
        <f t="shared" si="3"/>
        <v>1494.4774030425592</v>
      </c>
      <c r="N11" s="16">
        <f t="shared" si="3"/>
        <v>1554.2564991642616</v>
      </c>
      <c r="O11" s="16">
        <f t="shared" si="3"/>
        <v>1616.4267591308324</v>
      </c>
      <c r="P11" s="16">
        <f t="shared" si="3"/>
        <v>1681.0838294960656</v>
      </c>
      <c r="Q11" s="16">
        <f t="shared" si="3"/>
        <v>1748.3271826759083</v>
      </c>
      <c r="R11" s="16">
        <f t="shared" si="3"/>
        <v>1818.2602699829445</v>
      </c>
      <c r="S11" s="16">
        <f t="shared" si="3"/>
        <v>1890.9906807822626</v>
      </c>
      <c r="T11" s="16">
        <f t="shared" si="3"/>
        <v>1966.6303080135531</v>
      </c>
      <c r="U11" s="16">
        <f t="shared" si="3"/>
        <v>2045.2955203340955</v>
      </c>
      <c r="V11" s="16">
        <f t="shared" si="3"/>
        <v>2127.1073411474595</v>
      </c>
      <c r="W11" s="16">
        <f t="shared" si="3"/>
        <v>2212.1916347933579</v>
      </c>
      <c r="X11" s="16">
        <f t="shared" si="3"/>
        <v>2300.679300185092</v>
      </c>
      <c r="Y11" s="16">
        <f t="shared" si="3"/>
        <v>2392.7064721924962</v>
      </c>
      <c r="Z11" s="16">
        <f t="shared" si="3"/>
        <v>2488.4147310801959</v>
      </c>
      <c r="AA11" s="16">
        <f t="shared" si="3"/>
        <v>2587.9513203234037</v>
      </c>
      <c r="AB11" s="16">
        <f t="shared" si="3"/>
        <v>2691.4693731363404</v>
      </c>
      <c r="AC11" s="16">
        <f t="shared" si="3"/>
        <v>2799.128148061794</v>
      </c>
      <c r="AD11" s="16">
        <f t="shared" si="3"/>
        <v>2911.093273984266</v>
      </c>
      <c r="AE11" s="16">
        <f t="shared" si="3"/>
        <v>3027.5370049436365</v>
      </c>
      <c r="AF11" s="16">
        <f t="shared" si="3"/>
        <v>3148.6384851413823</v>
      </c>
      <c r="AG11" s="16">
        <f t="shared" si="3"/>
        <v>3274.5840245470376</v>
      </c>
      <c r="AH11" s="16">
        <f t="shared" si="3"/>
        <v>3405.5673855289192</v>
      </c>
      <c r="AI11" s="16">
        <f t="shared" si="3"/>
        <v>3541.7900809500761</v>
      </c>
      <c r="AJ11" s="16">
        <f t="shared" si="3"/>
        <v>3683.4616841880793</v>
      </c>
      <c r="AK11" s="16">
        <f t="shared" si="3"/>
        <v>3830.8001515556025</v>
      </c>
      <c r="AL11" s="16">
        <f t="shared" si="3"/>
        <v>3984.0321576178271</v>
      </c>
      <c r="AM11" s="16">
        <f t="shared" si="3"/>
        <v>4143.3934439225404</v>
      </c>
    </row>
    <row r="12" spans="1:39" s="18" customFormat="1" ht="21" customHeight="1" x14ac:dyDescent="0.3">
      <c r="B12" s="15" t="s">
        <v>9</v>
      </c>
      <c r="C12" s="19"/>
      <c r="D12" s="20">
        <f t="shared" ref="D12:AM12" si="4">D7-D11</f>
        <v>93950</v>
      </c>
      <c r="E12" s="20">
        <f t="shared" si="4"/>
        <v>96758</v>
      </c>
      <c r="F12" s="20">
        <f t="shared" si="4"/>
        <v>92800.320000000007</v>
      </c>
      <c r="G12" s="20">
        <f t="shared" si="4"/>
        <v>95572.972800000003</v>
      </c>
      <c r="H12" s="20">
        <f t="shared" si="4"/>
        <v>98428.350912000009</v>
      </c>
      <c r="I12" s="20">
        <f t="shared" si="4"/>
        <v>101368.91792448</v>
      </c>
      <c r="J12" s="20">
        <f t="shared" si="4"/>
        <v>104397.2106067392</v>
      </c>
      <c r="K12" s="20">
        <f t="shared" si="4"/>
        <v>100115.03538491597</v>
      </c>
      <c r="L12" s="20">
        <f t="shared" si="4"/>
        <v>103104.66916278147</v>
      </c>
      <c r="M12" s="20">
        <f t="shared" si="4"/>
        <v>106183.43926263567</v>
      </c>
      <c r="N12" s="20">
        <f t="shared" si="4"/>
        <v>109353.99766648433</v>
      </c>
      <c r="O12" s="20">
        <f t="shared" si="4"/>
        <v>104855.4972398918</v>
      </c>
      <c r="P12" s="20">
        <f t="shared" si="4"/>
        <v>107984.99788949724</v>
      </c>
      <c r="Q12" s="20">
        <f t="shared" si="4"/>
        <v>111207.73698788721</v>
      </c>
      <c r="R12" s="20">
        <f t="shared" si="4"/>
        <v>114526.48582569706</v>
      </c>
      <c r="S12" s="20">
        <f t="shared" si="4"/>
        <v>109799.96557107053</v>
      </c>
      <c r="T12" s="20">
        <f t="shared" si="4"/>
        <v>113075.05463139483</v>
      </c>
      <c r="U12" s="20">
        <f t="shared" si="4"/>
        <v>116447.63996725655</v>
      </c>
      <c r="V12" s="20">
        <f t="shared" si="4"/>
        <v>119920.6162110709</v>
      </c>
      <c r="W12" s="20">
        <f t="shared" si="4"/>
        <v>123496.96362399156</v>
      </c>
      <c r="X12" s="20">
        <f t="shared" si="4"/>
        <v>127179.75061636338</v>
      </c>
      <c r="Y12" s="20">
        <f t="shared" si="4"/>
        <v>130972.13634185244</v>
      </c>
      <c r="Z12" s="20">
        <f t="shared" si="4"/>
        <v>134877.37336738608</v>
      </c>
      <c r="AA12" s="20">
        <f t="shared" si="4"/>
        <v>129283.20525420424</v>
      </c>
      <c r="AB12" s="20">
        <f t="shared" si="4"/>
        <v>133135.82189862712</v>
      </c>
      <c r="AC12" s="20">
        <f t="shared" si="4"/>
        <v>137102.98186185458</v>
      </c>
      <c r="AD12" s="20">
        <f t="shared" si="4"/>
        <v>141188.08003622963</v>
      </c>
      <c r="AE12" s="20">
        <f t="shared" si="4"/>
        <v>135307.66937286168</v>
      </c>
      <c r="AF12" s="20">
        <f t="shared" si="4"/>
        <v>139336.62408399809</v>
      </c>
      <c r="AG12" s="20">
        <f t="shared" si="4"/>
        <v>143485.23642166663</v>
      </c>
      <c r="AH12" s="20">
        <f t="shared" si="4"/>
        <v>137483.86024283621</v>
      </c>
      <c r="AI12" s="20">
        <f t="shared" si="4"/>
        <v>141574.320376266</v>
      </c>
      <c r="AJ12" s="20">
        <f t="shared" si="4"/>
        <v>145786.13208674447</v>
      </c>
      <c r="AK12" s="20">
        <f t="shared" si="4"/>
        <v>150122.88143250495</v>
      </c>
      <c r="AL12" s="20">
        <f t="shared" si="4"/>
        <v>143811.50216308029</v>
      </c>
      <c r="AM12" s="20">
        <f t="shared" si="4"/>
        <v>148086.00690639653</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0</v>
      </c>
      <c r="E14" s="14">
        <v>0</v>
      </c>
      <c r="F14" s="14">
        <v>0</v>
      </c>
      <c r="G14" s="14">
        <v>0</v>
      </c>
      <c r="H14" s="14">
        <v>0</v>
      </c>
      <c r="I14" s="14">
        <v>0</v>
      </c>
      <c r="J14" s="14">
        <v>0</v>
      </c>
      <c r="K14" s="14">
        <v>0</v>
      </c>
      <c r="L14" s="14">
        <v>0</v>
      </c>
      <c r="M14" s="14">
        <v>0</v>
      </c>
      <c r="N14" s="14">
        <v>0</v>
      </c>
      <c r="O14" s="14">
        <v>0</v>
      </c>
      <c r="P14" s="14">
        <v>0</v>
      </c>
      <c r="Q14" s="14">
        <v>0</v>
      </c>
      <c r="R14" s="14">
        <v>0</v>
      </c>
      <c r="S14" s="14">
        <v>0</v>
      </c>
      <c r="T14" s="14">
        <v>0</v>
      </c>
      <c r="U14" s="14">
        <v>0</v>
      </c>
      <c r="V14" s="14">
        <v>0</v>
      </c>
      <c r="W14" s="14">
        <v>0</v>
      </c>
      <c r="X14" s="14">
        <v>0</v>
      </c>
      <c r="Y14" s="14">
        <v>0</v>
      </c>
      <c r="Z14" s="14">
        <v>0</v>
      </c>
      <c r="AA14" s="14">
        <v>0</v>
      </c>
      <c r="AB14" s="14">
        <v>0</v>
      </c>
      <c r="AC14" s="14">
        <v>0</v>
      </c>
      <c r="AD14" s="14">
        <v>0</v>
      </c>
      <c r="AE14" s="14">
        <v>0</v>
      </c>
      <c r="AF14" s="14">
        <v>0</v>
      </c>
      <c r="AG14" s="14">
        <v>0</v>
      </c>
      <c r="AH14" s="14">
        <v>0</v>
      </c>
      <c r="AI14" s="14">
        <v>0</v>
      </c>
      <c r="AJ14" s="14">
        <v>0</v>
      </c>
      <c r="AK14" s="14">
        <v>0</v>
      </c>
      <c r="AL14" s="14">
        <v>0</v>
      </c>
      <c r="AM14" s="14">
        <v>0</v>
      </c>
    </row>
    <row r="15" spans="1:39" s="12" customFormat="1" ht="21" customHeight="1" x14ac:dyDescent="0.3">
      <c r="B15" s="13" t="s">
        <v>12</v>
      </c>
      <c r="C15" s="10"/>
      <c r="D15" s="14">
        <v>350</v>
      </c>
      <c r="E15" s="14">
        <v>364</v>
      </c>
      <c r="F15" s="14">
        <v>378.56</v>
      </c>
      <c r="G15" s="14">
        <v>393.70240000000001</v>
      </c>
      <c r="H15" s="14">
        <v>409.45049600000004</v>
      </c>
      <c r="I15" s="14">
        <v>425.82851584000008</v>
      </c>
      <c r="J15" s="14">
        <v>442.86165647360008</v>
      </c>
      <c r="K15" s="14">
        <v>460.57612273254409</v>
      </c>
      <c r="L15" s="14">
        <v>478.99916764184587</v>
      </c>
      <c r="M15" s="14">
        <v>498.15913434751974</v>
      </c>
      <c r="N15" s="14">
        <v>518.08549972142055</v>
      </c>
      <c r="O15" s="14">
        <v>538.80891971027734</v>
      </c>
      <c r="P15" s="14">
        <v>560.36127649868843</v>
      </c>
      <c r="Q15" s="14">
        <v>582.77572755863594</v>
      </c>
      <c r="R15" s="14">
        <v>606.08675666098145</v>
      </c>
      <c r="S15" s="14">
        <v>630.33022692742077</v>
      </c>
      <c r="T15" s="14">
        <v>655.54343600451762</v>
      </c>
      <c r="U15" s="14">
        <v>681.76517344469835</v>
      </c>
      <c r="V15" s="14">
        <v>709.03578038248634</v>
      </c>
      <c r="W15" s="14">
        <v>737.39721159778583</v>
      </c>
      <c r="X15" s="14">
        <v>766.89310006169728</v>
      </c>
      <c r="Y15" s="14">
        <v>797.56882406416526</v>
      </c>
      <c r="Z15" s="14">
        <v>829.47157702673189</v>
      </c>
      <c r="AA15" s="14">
        <v>862.65044010780116</v>
      </c>
      <c r="AB15" s="14">
        <v>897.15645771211325</v>
      </c>
      <c r="AC15" s="14">
        <v>933.04271602059782</v>
      </c>
      <c r="AD15" s="14">
        <v>970.36442466142182</v>
      </c>
      <c r="AE15" s="14">
        <v>1009.1790016478787</v>
      </c>
      <c r="AF15" s="14">
        <v>1049.5461617137939</v>
      </c>
      <c r="AG15" s="14">
        <v>1091.5280081823457</v>
      </c>
      <c r="AH15" s="14">
        <v>1135.1891285096397</v>
      </c>
      <c r="AI15" s="14">
        <v>1180.5966936500254</v>
      </c>
      <c r="AJ15" s="14">
        <v>1227.8205613960265</v>
      </c>
      <c r="AK15" s="14">
        <v>1276.9333838518676</v>
      </c>
      <c r="AL15" s="14">
        <v>1328.0107192059422</v>
      </c>
      <c r="AM15" s="14">
        <v>1381.1311479741801</v>
      </c>
    </row>
    <row r="16" spans="1:39" s="12" customFormat="1" ht="21" customHeight="1" x14ac:dyDescent="0.3">
      <c r="B16" s="13" t="s">
        <v>13</v>
      </c>
      <c r="C16" s="10"/>
      <c r="D16" s="14">
        <v>8000</v>
      </c>
      <c r="E16" s="14">
        <v>8400</v>
      </c>
      <c r="F16" s="14">
        <f>E16*(0.95)</f>
        <v>7980</v>
      </c>
      <c r="G16" s="14">
        <v>8379</v>
      </c>
      <c r="H16" s="14">
        <v>8797.9500000000007</v>
      </c>
      <c r="I16" s="14">
        <v>9237.8475000000017</v>
      </c>
      <c r="J16" s="14">
        <f t="shared" ref="J16:K16" si="5">I16*(0.95)</f>
        <v>8775.9551250000004</v>
      </c>
      <c r="K16" s="14">
        <f t="shared" si="5"/>
        <v>8337.1573687500004</v>
      </c>
      <c r="L16" s="14">
        <v>8754.015237187501</v>
      </c>
      <c r="M16" s="14">
        <v>9191.7159990468772</v>
      </c>
      <c r="N16" s="14">
        <f t="shared" ref="N16:O16" si="6">M16*(0.95)</f>
        <v>8732.1301990945321</v>
      </c>
      <c r="O16" s="14">
        <f t="shared" si="6"/>
        <v>8295.5236891398054</v>
      </c>
      <c r="P16" s="14">
        <v>8710.2998735967958</v>
      </c>
      <c r="Q16" s="14">
        <v>9145.8148672766365</v>
      </c>
      <c r="R16" s="14">
        <f t="shared" ref="R16:S16" si="7">Q16*(0.95)</f>
        <v>8688.5241239128045</v>
      </c>
      <c r="S16" s="14">
        <f t="shared" si="7"/>
        <v>8254.097917717163</v>
      </c>
      <c r="T16" s="14">
        <v>8666.8028136030207</v>
      </c>
      <c r="U16" s="14">
        <f t="shared" ref="U16:V16" si="8">T16*(0.95)</f>
        <v>8233.4626729228694</v>
      </c>
      <c r="V16" s="14">
        <f t="shared" si="8"/>
        <v>7821.7895392767259</v>
      </c>
      <c r="W16" s="14">
        <v>8212.8790162405621</v>
      </c>
      <c r="X16" s="14">
        <f t="shared" ref="X16:Y16" si="9">W16*(0.95)</f>
        <v>7802.2350654285337</v>
      </c>
      <c r="Y16" s="14">
        <f t="shared" si="9"/>
        <v>7412.1233121571067</v>
      </c>
      <c r="Z16" s="14">
        <v>7782.7294777649622</v>
      </c>
      <c r="AA16" s="14">
        <f t="shared" ref="AA16:AB16" si="10">Z16*(0.95)</f>
        <v>7393.5930038767137</v>
      </c>
      <c r="AB16" s="14">
        <f t="shared" si="10"/>
        <v>7023.9133536828776</v>
      </c>
      <c r="AC16" s="14">
        <v>7375.1090213670223</v>
      </c>
      <c r="AD16" s="14">
        <f t="shared" ref="AD16:AE16" si="11">AC16*(0.95)</f>
        <v>7006.353570298671</v>
      </c>
      <c r="AE16" s="14">
        <f t="shared" si="11"/>
        <v>6656.0358917837375</v>
      </c>
      <c r="AF16" s="14">
        <v>6988.8376863729245</v>
      </c>
      <c r="AG16" s="14">
        <v>7338.2795706915713</v>
      </c>
      <c r="AH16" s="14">
        <v>7705.19354922615</v>
      </c>
      <c r="AI16" s="14">
        <f>AH16*(0.95)</f>
        <v>7319.9338717648425</v>
      </c>
      <c r="AJ16" s="14">
        <v>7685.9305653530846</v>
      </c>
      <c r="AK16" s="14">
        <v>8070.2270936207387</v>
      </c>
      <c r="AL16" s="14">
        <v>8473.7384483017759</v>
      </c>
      <c r="AM16" s="14">
        <f>AL16*(0.95)</f>
        <v>8050.0515258866862</v>
      </c>
    </row>
    <row r="17" spans="2:39" s="12" customFormat="1" ht="21" customHeight="1" x14ac:dyDescent="0.3">
      <c r="B17" s="13" t="s">
        <v>14</v>
      </c>
      <c r="C17" s="10"/>
      <c r="D17" s="14">
        <v>6000</v>
      </c>
      <c r="E17" s="14">
        <f>D17*(0.9)</f>
        <v>5400</v>
      </c>
      <c r="F17" s="14">
        <v>5616</v>
      </c>
      <c r="G17" s="14">
        <v>5840.64</v>
      </c>
      <c r="H17" s="14">
        <v>6074.2656000000006</v>
      </c>
      <c r="I17" s="14">
        <v>6317.2362240000011</v>
      </c>
      <c r="J17" s="14">
        <v>6569.9256729600011</v>
      </c>
      <c r="K17" s="14">
        <f>J17*(0.9)</f>
        <v>5912.9331056640012</v>
      </c>
      <c r="L17" s="14">
        <v>6149.4504298905613</v>
      </c>
      <c r="M17" s="14">
        <v>6395.428447086184</v>
      </c>
      <c r="N17" s="14">
        <v>6651.2455849696316</v>
      </c>
      <c r="O17" s="14">
        <v>6917.2954083684172</v>
      </c>
      <c r="P17" s="14">
        <v>7193.9872247031544</v>
      </c>
      <c r="Q17" s="14">
        <f>P17*(0.9)</f>
        <v>6474.5885022328393</v>
      </c>
      <c r="R17" s="14">
        <v>6733.5720423221528</v>
      </c>
      <c r="S17" s="14">
        <v>7002.9149240150391</v>
      </c>
      <c r="T17" s="14">
        <v>7283.0315209756409</v>
      </c>
      <c r="U17" s="14">
        <v>7574.3527818146667</v>
      </c>
      <c r="V17" s="14">
        <v>7877.3268930872537</v>
      </c>
      <c r="W17" s="14">
        <f>V17*(0.9)</f>
        <v>7089.594203778528</v>
      </c>
      <c r="X17" s="14">
        <v>7373.1779719296692</v>
      </c>
      <c r="Y17" s="14">
        <v>7668.1050908068564</v>
      </c>
      <c r="Z17" s="14">
        <v>7974.8292944391305</v>
      </c>
      <c r="AA17" s="14">
        <v>8293.8224662166958</v>
      </c>
      <c r="AB17" s="14">
        <f>AA17*(0.9)</f>
        <v>7464.4402195950261</v>
      </c>
      <c r="AC17" s="14">
        <v>7763.0178283788273</v>
      </c>
      <c r="AD17" s="14">
        <v>8073.5385415139808</v>
      </c>
      <c r="AE17" s="14">
        <f>AD17*(0.9)</f>
        <v>7266.1846873625827</v>
      </c>
      <c r="AF17" s="14">
        <v>7556.8320748570859</v>
      </c>
      <c r="AG17" s="14">
        <v>7859.1053578513693</v>
      </c>
      <c r="AH17" s="14">
        <f>AG17*(0.9)</f>
        <v>7073.1948220662325</v>
      </c>
      <c r="AI17" s="14">
        <v>7356.1226149488821</v>
      </c>
      <c r="AJ17" s="14">
        <v>7650.3675195468377</v>
      </c>
      <c r="AK17" s="14">
        <v>7956.3822203287118</v>
      </c>
      <c r="AL17" s="14">
        <v>8274.6375091418613</v>
      </c>
      <c r="AM17" s="14">
        <v>8605.6230095075352</v>
      </c>
    </row>
    <row r="18" spans="2:39" s="12" customFormat="1" ht="21" customHeight="1" x14ac:dyDescent="0.3">
      <c r="B18" s="13" t="s">
        <v>15</v>
      </c>
      <c r="C18" s="10"/>
      <c r="D18" s="14">
        <v>250</v>
      </c>
      <c r="E18" s="14">
        <v>260</v>
      </c>
      <c r="F18" s="14">
        <v>270.40000000000003</v>
      </c>
      <c r="G18" s="14">
        <v>281.21600000000007</v>
      </c>
      <c r="H18" s="14">
        <v>292.46464000000009</v>
      </c>
      <c r="I18" s="14">
        <v>304.16322560000009</v>
      </c>
      <c r="J18" s="14">
        <v>316.32975462400009</v>
      </c>
      <c r="K18" s="14">
        <v>328.9829448089601</v>
      </c>
      <c r="L18" s="14">
        <v>342.14226260131852</v>
      </c>
      <c r="M18" s="14">
        <v>355.82795310537125</v>
      </c>
      <c r="N18" s="14">
        <v>370.0610712295861</v>
      </c>
      <c r="O18" s="14">
        <v>384.86351407876958</v>
      </c>
      <c r="P18" s="14">
        <v>400.25805464192035</v>
      </c>
      <c r="Q18" s="14">
        <v>416.26837682759719</v>
      </c>
      <c r="R18" s="14">
        <v>432.91911190070107</v>
      </c>
      <c r="S18" s="14">
        <v>450.23587637672915</v>
      </c>
      <c r="T18" s="14">
        <v>468.24531143179831</v>
      </c>
      <c r="U18" s="14">
        <v>486.97512388907029</v>
      </c>
      <c r="V18" s="14">
        <v>506.45412884463315</v>
      </c>
      <c r="W18" s="14">
        <v>526.71229399841855</v>
      </c>
      <c r="X18" s="14">
        <v>547.78078575835525</v>
      </c>
      <c r="Y18" s="14">
        <v>569.69201718868953</v>
      </c>
      <c r="Z18" s="14">
        <v>592.47969787623708</v>
      </c>
      <c r="AA18" s="14">
        <v>616.17888579128658</v>
      </c>
      <c r="AB18" s="14">
        <v>640.8260412229381</v>
      </c>
      <c r="AC18" s="14">
        <v>666.45908287185568</v>
      </c>
      <c r="AD18" s="14">
        <v>693.11744618672992</v>
      </c>
      <c r="AE18" s="14">
        <v>720.84214403419912</v>
      </c>
      <c r="AF18" s="14">
        <v>749.6758297955671</v>
      </c>
      <c r="AG18" s="14">
        <v>779.66286298738976</v>
      </c>
      <c r="AH18" s="14">
        <v>810.84937750688539</v>
      </c>
      <c r="AI18" s="14">
        <v>843.28335260716085</v>
      </c>
      <c r="AJ18" s="14">
        <v>877.01468671144733</v>
      </c>
      <c r="AK18" s="14">
        <v>912.09527417990523</v>
      </c>
      <c r="AL18" s="14">
        <v>948.57908514710152</v>
      </c>
      <c r="AM18" s="14">
        <v>986.52224855298562</v>
      </c>
    </row>
    <row r="19" spans="2:39" s="18" customFormat="1" ht="21" customHeight="1" x14ac:dyDescent="0.3">
      <c r="B19" s="21" t="s">
        <v>16</v>
      </c>
      <c r="C19" s="19"/>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row>
    <row r="20" spans="2:39" s="12" customFormat="1" ht="21" customHeight="1" x14ac:dyDescent="0.3">
      <c r="B20" s="22" t="s">
        <v>17</v>
      </c>
      <c r="C20" s="10"/>
      <c r="D20" s="14">
        <v>800</v>
      </c>
      <c r="E20" s="14">
        <v>816</v>
      </c>
      <c r="F20" s="14">
        <v>832.32</v>
      </c>
      <c r="G20" s="14">
        <v>848.96640000000002</v>
      </c>
      <c r="H20" s="14">
        <v>865.94572800000003</v>
      </c>
      <c r="I20" s="14">
        <v>883.26464256000008</v>
      </c>
      <c r="J20" s="14">
        <v>900.92993541120006</v>
      </c>
      <c r="K20" s="14">
        <v>918.94853411942404</v>
      </c>
      <c r="L20" s="14">
        <v>937.32750480181255</v>
      </c>
      <c r="M20" s="14">
        <v>956.07405489784878</v>
      </c>
      <c r="N20" s="14">
        <v>975.19553599580581</v>
      </c>
      <c r="O20" s="14">
        <v>994.69944671572193</v>
      </c>
      <c r="P20" s="14">
        <v>1014.5934356500364</v>
      </c>
      <c r="Q20" s="14">
        <v>1034.8853043630372</v>
      </c>
      <c r="R20" s="14">
        <v>1055.5830104502979</v>
      </c>
      <c r="S20" s="14">
        <v>1076.6946706593039</v>
      </c>
      <c r="T20" s="14">
        <v>1098.2285640724901</v>
      </c>
      <c r="U20" s="14">
        <v>1120.1931353539401</v>
      </c>
      <c r="V20" s="14">
        <v>1142.5969980610189</v>
      </c>
      <c r="W20" s="14">
        <v>1165.4489380222392</v>
      </c>
      <c r="X20" s="14">
        <v>1188.7579167826841</v>
      </c>
      <c r="Y20" s="14">
        <v>1212.5330751183378</v>
      </c>
      <c r="Z20" s="14">
        <v>1236.7837366207045</v>
      </c>
      <c r="AA20" s="14">
        <v>1261.5194113531186</v>
      </c>
      <c r="AB20" s="14">
        <v>1286.7497995801809</v>
      </c>
      <c r="AC20" s="14">
        <v>1312.4847955717846</v>
      </c>
      <c r="AD20" s="14">
        <v>1338.7344914832204</v>
      </c>
      <c r="AE20" s="14">
        <v>1365.5091813128847</v>
      </c>
      <c r="AF20" s="14">
        <v>1392.8193649391424</v>
      </c>
      <c r="AG20" s="14">
        <v>1420.6757522379253</v>
      </c>
      <c r="AH20" s="14">
        <v>1449.0892672826837</v>
      </c>
      <c r="AI20" s="14">
        <v>1478.0710526283374</v>
      </c>
      <c r="AJ20" s="14">
        <v>1507.6324736809042</v>
      </c>
      <c r="AK20" s="14">
        <v>1537.7851231545224</v>
      </c>
      <c r="AL20" s="14">
        <v>1568.5408256176129</v>
      </c>
      <c r="AM20" s="14">
        <v>1599.9116421299652</v>
      </c>
    </row>
    <row r="21" spans="2:39" s="12" customFormat="1" ht="21" customHeight="1" x14ac:dyDescent="0.3">
      <c r="B21" s="22" t="s">
        <v>18</v>
      </c>
      <c r="C21" s="10"/>
      <c r="D21" s="14">
        <v>3500</v>
      </c>
      <c r="E21" s="14">
        <f>D21*(0.7)</f>
        <v>2450</v>
      </c>
      <c r="F21" s="14">
        <v>2548</v>
      </c>
      <c r="G21" s="14">
        <v>2649.92</v>
      </c>
      <c r="H21" s="14">
        <v>2755.9168</v>
      </c>
      <c r="I21" s="14">
        <v>2866.153472</v>
      </c>
      <c r="J21" s="14">
        <f>I21*(0.7)</f>
        <v>2006.3074303999999</v>
      </c>
      <c r="K21" s="14">
        <v>2086.5597276160001</v>
      </c>
      <c r="L21" s="14">
        <v>2170.02211672064</v>
      </c>
      <c r="M21" s="14">
        <v>2256.8230013894658</v>
      </c>
      <c r="N21" s="14">
        <v>2347.0959214450445</v>
      </c>
      <c r="O21" s="14">
        <v>2440.9797583028462</v>
      </c>
      <c r="P21" s="14">
        <v>2538.6189486349604</v>
      </c>
      <c r="Q21" s="14">
        <f t="shared" ref="Q21:R21" si="12">P21*(0.7)</f>
        <v>1777.0332640444722</v>
      </c>
      <c r="R21" s="14">
        <f t="shared" si="12"/>
        <v>1243.9232848311303</v>
      </c>
      <c r="S21" s="14">
        <v>1293.6802162243755</v>
      </c>
      <c r="T21" s="14">
        <v>1345.4274248733507</v>
      </c>
      <c r="U21" s="14">
        <v>1399.2445218682847</v>
      </c>
      <c r="V21" s="14">
        <v>1455.2143027430161</v>
      </c>
      <c r="W21" s="14">
        <v>1513.4228748527369</v>
      </c>
      <c r="X21" s="14">
        <f>W21*(0.7)</f>
        <v>1059.3960123969157</v>
      </c>
      <c r="Y21" s="14">
        <v>1101.7718528927924</v>
      </c>
      <c r="Z21" s="14">
        <v>1145.8427270085042</v>
      </c>
      <c r="AA21" s="14">
        <v>1191.6764360888444</v>
      </c>
      <c r="AB21" s="14">
        <f>AA21*(0.7)</f>
        <v>834.17350526219104</v>
      </c>
      <c r="AC21" s="14">
        <v>867.5404454726787</v>
      </c>
      <c r="AD21" s="14">
        <v>902.24206329158585</v>
      </c>
      <c r="AE21" s="14">
        <v>938.33174582324932</v>
      </c>
      <c r="AF21" s="14">
        <f>AE21*(0.7)</f>
        <v>656.83222207627443</v>
      </c>
      <c r="AG21" s="14">
        <v>683.10551095932544</v>
      </c>
      <c r="AH21" s="14">
        <v>710.42973139769845</v>
      </c>
      <c r="AI21" s="14">
        <f>AH21*(0.7)</f>
        <v>497.30081197838888</v>
      </c>
      <c r="AJ21" s="14">
        <v>517.19284445752442</v>
      </c>
      <c r="AK21" s="14">
        <v>537.88055823582545</v>
      </c>
      <c r="AL21" s="14">
        <v>559.39578056525852</v>
      </c>
      <c r="AM21" s="14">
        <f>AL21*(0.7)</f>
        <v>391.57704639568095</v>
      </c>
    </row>
    <row r="22" spans="2:39" s="12" customFormat="1" ht="21" customHeight="1" x14ac:dyDescent="0.3">
      <c r="B22" s="22" t="s">
        <v>19</v>
      </c>
      <c r="C22" s="10"/>
      <c r="D22" s="14">
        <v>350</v>
      </c>
      <c r="E22" s="14">
        <v>364</v>
      </c>
      <c r="F22" s="14">
        <v>378.56</v>
      </c>
      <c r="G22" s="14">
        <v>393.70240000000001</v>
      </c>
      <c r="H22" s="14">
        <v>409.45049600000004</v>
      </c>
      <c r="I22" s="14">
        <v>425.82851584000008</v>
      </c>
      <c r="J22" s="14">
        <v>442.86165647360008</v>
      </c>
      <c r="K22" s="14">
        <v>460.57612273254409</v>
      </c>
      <c r="L22" s="14">
        <v>478.99916764184587</v>
      </c>
      <c r="M22" s="14">
        <v>498.15913434751974</v>
      </c>
      <c r="N22" s="14">
        <v>518.08549972142055</v>
      </c>
      <c r="O22" s="14">
        <v>538.80891971027734</v>
      </c>
      <c r="P22" s="14">
        <v>560.36127649868843</v>
      </c>
      <c r="Q22" s="14">
        <v>582.77572755863594</v>
      </c>
      <c r="R22" s="14">
        <v>606.08675666098145</v>
      </c>
      <c r="S22" s="14">
        <v>630.33022692742077</v>
      </c>
      <c r="T22" s="14">
        <v>655.54343600451762</v>
      </c>
      <c r="U22" s="14">
        <v>681.76517344469835</v>
      </c>
      <c r="V22" s="14">
        <v>709.03578038248634</v>
      </c>
      <c r="W22" s="14">
        <v>737.39721159778583</v>
      </c>
      <c r="X22" s="14">
        <v>766.89310006169728</v>
      </c>
      <c r="Y22" s="14">
        <v>797.56882406416526</v>
      </c>
      <c r="Z22" s="14">
        <v>829.47157702673189</v>
      </c>
      <c r="AA22" s="14">
        <v>862.65044010780116</v>
      </c>
      <c r="AB22" s="14">
        <v>897.15645771211325</v>
      </c>
      <c r="AC22" s="14">
        <v>933.04271602059782</v>
      </c>
      <c r="AD22" s="14">
        <v>970.36442466142182</v>
      </c>
      <c r="AE22" s="14">
        <v>1009.1790016478787</v>
      </c>
      <c r="AF22" s="14">
        <v>1049.5461617137939</v>
      </c>
      <c r="AG22" s="14">
        <v>1091.5280081823457</v>
      </c>
      <c r="AH22" s="14">
        <v>1135.1891285096397</v>
      </c>
      <c r="AI22" s="14">
        <v>1180.5966936500254</v>
      </c>
      <c r="AJ22" s="14">
        <v>1227.8205613960265</v>
      </c>
      <c r="AK22" s="14">
        <v>1276.9333838518676</v>
      </c>
      <c r="AL22" s="14">
        <v>1328.0107192059422</v>
      </c>
      <c r="AM22" s="14">
        <v>1381.1311479741801</v>
      </c>
    </row>
    <row r="23" spans="2:39" s="12" customFormat="1" ht="21" customHeight="1" x14ac:dyDescent="0.3">
      <c r="B23" s="21" t="s">
        <v>20</v>
      </c>
      <c r="C23" s="10"/>
      <c r="D23" s="16">
        <f t="shared" ref="D23:AM23" si="13">SUM(D22, D21, D20 + D19)</f>
        <v>4650</v>
      </c>
      <c r="E23" s="16">
        <f t="shared" si="13"/>
        <v>3630</v>
      </c>
      <c r="F23" s="16">
        <f t="shared" si="13"/>
        <v>3758.88</v>
      </c>
      <c r="G23" s="16">
        <f t="shared" si="13"/>
        <v>3892.5888000000004</v>
      </c>
      <c r="H23" s="16">
        <f t="shared" si="13"/>
        <v>4031.313024</v>
      </c>
      <c r="I23" s="16">
        <f t="shared" si="13"/>
        <v>4175.2466304</v>
      </c>
      <c r="J23" s="16">
        <f t="shared" si="13"/>
        <v>3350.0990222848</v>
      </c>
      <c r="K23" s="16">
        <f t="shared" si="13"/>
        <v>3466.0843844679684</v>
      </c>
      <c r="L23" s="16">
        <f t="shared" si="13"/>
        <v>3586.3487891642985</v>
      </c>
      <c r="M23" s="16">
        <f t="shared" si="13"/>
        <v>3711.0561906348344</v>
      </c>
      <c r="N23" s="16">
        <f t="shared" si="13"/>
        <v>3840.3769571622706</v>
      </c>
      <c r="O23" s="16">
        <f t="shared" si="13"/>
        <v>3974.4881247288454</v>
      </c>
      <c r="P23" s="16">
        <f t="shared" si="13"/>
        <v>4113.5736607836852</v>
      </c>
      <c r="Q23" s="16">
        <f t="shared" si="13"/>
        <v>3394.6942959661455</v>
      </c>
      <c r="R23" s="16">
        <f t="shared" si="13"/>
        <v>2905.5930519424096</v>
      </c>
      <c r="S23" s="16">
        <f t="shared" si="13"/>
        <v>3000.7051138111001</v>
      </c>
      <c r="T23" s="16">
        <f t="shared" si="13"/>
        <v>3099.1994249503587</v>
      </c>
      <c r="U23" s="16">
        <f t="shared" si="13"/>
        <v>3201.2028306669235</v>
      </c>
      <c r="V23" s="16">
        <f t="shared" si="13"/>
        <v>3306.8470811865213</v>
      </c>
      <c r="W23" s="16">
        <f t="shared" si="13"/>
        <v>3416.2690244727619</v>
      </c>
      <c r="X23" s="16">
        <f t="shared" si="13"/>
        <v>3015.0470292412974</v>
      </c>
      <c r="Y23" s="16">
        <f t="shared" si="13"/>
        <v>3111.8737520752957</v>
      </c>
      <c r="Z23" s="16">
        <f t="shared" si="13"/>
        <v>3212.0980406559406</v>
      </c>
      <c r="AA23" s="16">
        <f t="shared" si="13"/>
        <v>3315.8462875497644</v>
      </c>
      <c r="AB23" s="16">
        <f t="shared" si="13"/>
        <v>3018.0797625544851</v>
      </c>
      <c r="AC23" s="16">
        <f t="shared" si="13"/>
        <v>3113.0679570650609</v>
      </c>
      <c r="AD23" s="16">
        <f t="shared" si="13"/>
        <v>3211.3409794362278</v>
      </c>
      <c r="AE23" s="16">
        <f t="shared" si="13"/>
        <v>3313.0199287840128</v>
      </c>
      <c r="AF23" s="16">
        <f t="shared" si="13"/>
        <v>3099.1977487292106</v>
      </c>
      <c r="AG23" s="16">
        <f t="shared" si="13"/>
        <v>3195.3092713795963</v>
      </c>
      <c r="AH23" s="16">
        <f t="shared" si="13"/>
        <v>3294.7081271900215</v>
      </c>
      <c r="AI23" s="16">
        <f t="shared" si="13"/>
        <v>3155.9685582567517</v>
      </c>
      <c r="AJ23" s="16">
        <f t="shared" si="13"/>
        <v>3252.6458795344552</v>
      </c>
      <c r="AK23" s="16">
        <f t="shared" si="13"/>
        <v>3352.5990652422151</v>
      </c>
      <c r="AL23" s="16">
        <f t="shared" si="13"/>
        <v>3455.9473253888136</v>
      </c>
      <c r="AM23" s="16">
        <f t="shared" si="13"/>
        <v>3372.6198364998263</v>
      </c>
    </row>
    <row r="24" spans="2:39" s="18" customFormat="1" ht="21" customHeight="1" x14ac:dyDescent="0.3">
      <c r="B24" s="21" t="s">
        <v>21</v>
      </c>
      <c r="C24" s="19"/>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14">
        <v>0</v>
      </c>
      <c r="AB24" s="14">
        <v>0</v>
      </c>
      <c r="AC24" s="14">
        <v>0</v>
      </c>
      <c r="AD24" s="14">
        <v>0</v>
      </c>
      <c r="AE24" s="14">
        <v>0</v>
      </c>
      <c r="AF24" s="14">
        <v>0</v>
      </c>
      <c r="AG24" s="14">
        <v>0</v>
      </c>
      <c r="AH24" s="14">
        <v>0</v>
      </c>
      <c r="AI24" s="14">
        <v>0</v>
      </c>
      <c r="AJ24" s="14">
        <v>0</v>
      </c>
      <c r="AK24" s="14">
        <v>0</v>
      </c>
      <c r="AL24" s="14">
        <v>0</v>
      </c>
      <c r="AM24" s="14">
        <v>0</v>
      </c>
    </row>
    <row r="25" spans="2:39" s="12" customFormat="1" ht="21" customHeight="1" x14ac:dyDescent="0.3">
      <c r="B25" s="22" t="s">
        <v>22</v>
      </c>
      <c r="C25" s="10"/>
      <c r="D25" s="14">
        <v>1000</v>
      </c>
      <c r="E25" s="14">
        <v>1040</v>
      </c>
      <c r="F25" s="14">
        <v>1081.6000000000001</v>
      </c>
      <c r="G25" s="14">
        <v>1124.8640000000003</v>
      </c>
      <c r="H25" s="14">
        <v>1169.8585600000004</v>
      </c>
      <c r="I25" s="14">
        <v>1216.6529024000004</v>
      </c>
      <c r="J25" s="14">
        <f>I25*(0.7)</f>
        <v>851.65703168000016</v>
      </c>
      <c r="K25" s="14">
        <v>885.72331294720016</v>
      </c>
      <c r="L25" s="14">
        <v>921.15224546508819</v>
      </c>
      <c r="M25" s="14">
        <v>957.99833528369174</v>
      </c>
      <c r="N25" s="14">
        <v>996.31826869503948</v>
      </c>
      <c r="O25" s="14">
        <v>1036.1709994428411</v>
      </c>
      <c r="P25" s="14">
        <v>1077.6178394205547</v>
      </c>
      <c r="Q25" s="14">
        <v>1120.7225529973769</v>
      </c>
      <c r="R25" s="14">
        <v>1165.5514551172719</v>
      </c>
      <c r="S25" s="14">
        <v>1212.1735133219629</v>
      </c>
      <c r="T25" s="14">
        <v>1260.6604538548415</v>
      </c>
      <c r="U25" s="14">
        <v>1311.0868720090352</v>
      </c>
      <c r="V25" s="14">
        <v>1363.5303468893967</v>
      </c>
      <c r="W25" s="14">
        <f>V25*(0.7)</f>
        <v>954.47124282257766</v>
      </c>
      <c r="X25" s="14">
        <v>992.65009253548078</v>
      </c>
      <c r="Y25" s="14">
        <v>1032.3560962369002</v>
      </c>
      <c r="Z25" s="14">
        <v>1073.6503400863762</v>
      </c>
      <c r="AA25" s="14">
        <v>1116.5963536898314</v>
      </c>
      <c r="AB25" s="14">
        <v>1161.2602078374248</v>
      </c>
      <c r="AC25" s="14">
        <f>AB25*(0.7)</f>
        <v>812.88214548619726</v>
      </c>
      <c r="AD25" s="14">
        <v>845.39743130564523</v>
      </c>
      <c r="AE25" s="14">
        <v>879.21332855787102</v>
      </c>
      <c r="AF25" s="14">
        <v>914.38186170018594</v>
      </c>
      <c r="AG25" s="14">
        <v>950.95713616819341</v>
      </c>
      <c r="AH25" s="14">
        <v>988.99542161492116</v>
      </c>
      <c r="AI25" s="14">
        <v>1028.555238479518</v>
      </c>
      <c r="AJ25" s="14">
        <f>AI25*(0.7)</f>
        <v>719.98866693566254</v>
      </c>
      <c r="AK25" s="14">
        <v>748.78821361308906</v>
      </c>
      <c r="AL25" s="14">
        <v>778.73974215761268</v>
      </c>
      <c r="AM25" s="14">
        <v>809.88933184391726</v>
      </c>
    </row>
    <row r="26" spans="2:39" s="12" customFormat="1" ht="21" customHeight="1" x14ac:dyDescent="0.3">
      <c r="B26" s="22" t="s">
        <v>23</v>
      </c>
      <c r="C26" s="10"/>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row>
    <row r="27" spans="2:39" s="12" customFormat="1" ht="21" customHeight="1" x14ac:dyDescent="0.3">
      <c r="B27" s="22" t="s">
        <v>24</v>
      </c>
      <c r="C27" s="10"/>
      <c r="D27" s="14">
        <v>1500</v>
      </c>
      <c r="E27" s="14">
        <v>1530</v>
      </c>
      <c r="F27" s="14">
        <v>1560.6000000000001</v>
      </c>
      <c r="G27" s="14">
        <v>1591.8120000000001</v>
      </c>
      <c r="H27" s="14">
        <v>1623.6482400000002</v>
      </c>
      <c r="I27" s="14">
        <f>H27*(0.7)</f>
        <v>1136.553768</v>
      </c>
      <c r="J27" s="14">
        <v>1159.28484336</v>
      </c>
      <c r="K27" s="14">
        <v>1182.4705402272</v>
      </c>
      <c r="L27" s="14">
        <v>1206.119951031744</v>
      </c>
      <c r="M27" s="14">
        <v>1230.2423500523789</v>
      </c>
      <c r="N27" s="14">
        <v>1254.8471970534265</v>
      </c>
      <c r="O27" s="14">
        <v>1279.944140994495</v>
      </c>
      <c r="P27" s="14">
        <f>O27*(0.7)</f>
        <v>895.96089869614639</v>
      </c>
      <c r="Q27" s="14">
        <v>913.88011667006936</v>
      </c>
      <c r="R27" s="14">
        <v>932.15771900347079</v>
      </c>
      <c r="S27" s="14">
        <v>950.80087338354019</v>
      </c>
      <c r="T27" s="14">
        <v>969.81689085121104</v>
      </c>
      <c r="U27" s="14">
        <v>989.21322866823527</v>
      </c>
      <c r="V27" s="14">
        <f>U27*(0.7)</f>
        <v>692.44926006776461</v>
      </c>
      <c r="W27" s="14">
        <v>706.29824526911989</v>
      </c>
      <c r="X27" s="14">
        <v>720.42421017450226</v>
      </c>
      <c r="Y27" s="14">
        <v>734.83269437799231</v>
      </c>
      <c r="Z27" s="14">
        <f>Y27*(0.7)</f>
        <v>514.38288606459457</v>
      </c>
      <c r="AA27" s="14">
        <v>524.67054378588648</v>
      </c>
      <c r="AB27" s="14">
        <v>535.16395466160418</v>
      </c>
      <c r="AC27" s="14">
        <v>545.86723375483632</v>
      </c>
      <c r="AD27" s="14">
        <v>556.78457842993305</v>
      </c>
      <c r="AE27" s="14">
        <v>567.92026999853169</v>
      </c>
      <c r="AF27" s="14">
        <v>579.27867539850229</v>
      </c>
      <c r="AG27" s="14">
        <v>590.86424890647231</v>
      </c>
      <c r="AH27" s="14">
        <v>602.68153388460178</v>
      </c>
      <c r="AI27" s="14">
        <v>614.73516456229379</v>
      </c>
      <c r="AJ27" s="14">
        <v>627.02986785353971</v>
      </c>
      <c r="AK27" s="14">
        <v>639.57046521061056</v>
      </c>
      <c r="AL27" s="14">
        <v>652.36187451482283</v>
      </c>
      <c r="AM27" s="14">
        <v>665.40911200511925</v>
      </c>
    </row>
    <row r="28" spans="2:39" s="12" customFormat="1" ht="21" customHeight="1" x14ac:dyDescent="0.3">
      <c r="B28" s="22" t="s">
        <v>25</v>
      </c>
      <c r="C28" s="10"/>
      <c r="D28" s="14">
        <v>2000</v>
      </c>
      <c r="E28" s="14">
        <f>D28*(0.6)</f>
        <v>1200</v>
      </c>
      <c r="F28" s="14">
        <v>1248</v>
      </c>
      <c r="G28" s="14">
        <v>1297.92</v>
      </c>
      <c r="H28" s="14">
        <v>1349.8368</v>
      </c>
      <c r="I28" s="14">
        <v>1403.8302720000002</v>
      </c>
      <c r="J28" s="14">
        <v>1459.9834828800001</v>
      </c>
      <c r="K28" s="14">
        <v>1518.3828221952001</v>
      </c>
      <c r="L28" s="14">
        <f>K28*(0.6)</f>
        <v>911.02969331712006</v>
      </c>
      <c r="M28" s="14">
        <v>947.47088104980492</v>
      </c>
      <c r="N28" s="14">
        <v>985.36971629179709</v>
      </c>
      <c r="O28" s="14">
        <v>1024.7845049434691</v>
      </c>
      <c r="P28" s="14">
        <v>1065.7758851412079</v>
      </c>
      <c r="Q28" s="14">
        <v>1108.4069205468563</v>
      </c>
      <c r="R28" s="14">
        <v>1152.7431973687305</v>
      </c>
      <c r="S28" s="14">
        <v>1198.8529252634798</v>
      </c>
      <c r="T28" s="14">
        <v>1246.8070422740191</v>
      </c>
      <c r="U28" s="14">
        <v>1296.6793239649799</v>
      </c>
      <c r="V28" s="14">
        <v>1348.5464969235791</v>
      </c>
      <c r="W28" s="14">
        <f>V28*(0.6)</f>
        <v>809.12789815414737</v>
      </c>
      <c r="X28" s="14">
        <v>841.49301408031329</v>
      </c>
      <c r="Y28" s="14">
        <v>875.15273464352583</v>
      </c>
      <c r="Z28" s="14">
        <v>910.1588440292669</v>
      </c>
      <c r="AA28" s="14">
        <v>946.56519779043765</v>
      </c>
      <c r="AB28" s="14">
        <v>984.42780570205514</v>
      </c>
      <c r="AC28" s="14">
        <v>1023.8049179301374</v>
      </c>
      <c r="AD28" s="14">
        <v>1064.7571146473429</v>
      </c>
      <c r="AE28" s="14">
        <f>AD28*(0.6)</f>
        <v>638.85426878840565</v>
      </c>
      <c r="AF28" s="14">
        <v>664.40843953994192</v>
      </c>
      <c r="AG28" s="14">
        <v>690.98477712153965</v>
      </c>
      <c r="AH28" s="14">
        <v>718.62416820640124</v>
      </c>
      <c r="AI28" s="14">
        <v>747.36913493465727</v>
      </c>
      <c r="AJ28" s="14">
        <v>777.26390033204359</v>
      </c>
      <c r="AK28" s="14">
        <v>808.35445634532539</v>
      </c>
      <c r="AL28" s="14">
        <v>840.68863459913848</v>
      </c>
      <c r="AM28" s="14">
        <v>874.31617998310401</v>
      </c>
    </row>
    <row r="29" spans="2:39" s="12" customFormat="1" ht="21" customHeight="1" x14ac:dyDescent="0.3">
      <c r="B29" s="21" t="s">
        <v>26</v>
      </c>
      <c r="C29" s="10"/>
      <c r="D29" s="16">
        <f t="shared" ref="D29:AM29" si="14">SUM(D28, D27, D26, D25 + D24)</f>
        <v>4500</v>
      </c>
      <c r="E29" s="16">
        <f t="shared" si="14"/>
        <v>3770</v>
      </c>
      <c r="F29" s="16">
        <f t="shared" si="14"/>
        <v>3890.2000000000007</v>
      </c>
      <c r="G29" s="16">
        <f t="shared" si="14"/>
        <v>4014.5960000000005</v>
      </c>
      <c r="H29" s="16">
        <f t="shared" si="14"/>
        <v>4143.3436000000011</v>
      </c>
      <c r="I29" s="16">
        <f t="shared" si="14"/>
        <v>3757.0369424</v>
      </c>
      <c r="J29" s="16">
        <f t="shared" si="14"/>
        <v>3470.9253579200004</v>
      </c>
      <c r="K29" s="16">
        <f t="shared" si="14"/>
        <v>3586.5766753696003</v>
      </c>
      <c r="L29" s="16">
        <f t="shared" si="14"/>
        <v>3038.3018898139521</v>
      </c>
      <c r="M29" s="16">
        <f t="shared" si="14"/>
        <v>3135.7115663858754</v>
      </c>
      <c r="N29" s="16">
        <f t="shared" si="14"/>
        <v>3236.535182040263</v>
      </c>
      <c r="O29" s="16">
        <f t="shared" si="14"/>
        <v>3340.8996453808049</v>
      </c>
      <c r="P29" s="16">
        <f t="shared" si="14"/>
        <v>3039.3546232579092</v>
      </c>
      <c r="Q29" s="16">
        <f t="shared" si="14"/>
        <v>3143.0095902143025</v>
      </c>
      <c r="R29" s="16">
        <f t="shared" si="14"/>
        <v>3250.4523714894731</v>
      </c>
      <c r="S29" s="16">
        <f t="shared" si="14"/>
        <v>3361.8273119689829</v>
      </c>
      <c r="T29" s="16">
        <f t="shared" si="14"/>
        <v>3477.2843869800718</v>
      </c>
      <c r="U29" s="16">
        <f t="shared" si="14"/>
        <v>3596.9794246422503</v>
      </c>
      <c r="V29" s="16">
        <f t="shared" si="14"/>
        <v>3404.5261038807403</v>
      </c>
      <c r="W29" s="16">
        <f t="shared" si="14"/>
        <v>2469.8973862458447</v>
      </c>
      <c r="X29" s="16">
        <f t="shared" si="14"/>
        <v>2554.5673167902964</v>
      </c>
      <c r="Y29" s="16">
        <f t="shared" si="14"/>
        <v>2642.3415252584182</v>
      </c>
      <c r="Z29" s="16">
        <f t="shared" si="14"/>
        <v>2498.1920701802378</v>
      </c>
      <c r="AA29" s="16">
        <f t="shared" si="14"/>
        <v>2587.8320952661552</v>
      </c>
      <c r="AB29" s="16">
        <f t="shared" si="14"/>
        <v>2680.8519682010842</v>
      </c>
      <c r="AC29" s="16">
        <f t="shared" si="14"/>
        <v>2382.5542971711711</v>
      </c>
      <c r="AD29" s="16">
        <f t="shared" si="14"/>
        <v>2466.9391243829209</v>
      </c>
      <c r="AE29" s="16">
        <f t="shared" si="14"/>
        <v>2085.9878673448084</v>
      </c>
      <c r="AF29" s="16">
        <f t="shared" si="14"/>
        <v>2158.0689766386304</v>
      </c>
      <c r="AG29" s="16">
        <f t="shared" si="14"/>
        <v>2232.8061621962052</v>
      </c>
      <c r="AH29" s="16">
        <f t="shared" si="14"/>
        <v>2310.3011237059241</v>
      </c>
      <c r="AI29" s="16">
        <f t="shared" si="14"/>
        <v>2390.6595379764694</v>
      </c>
      <c r="AJ29" s="16">
        <f t="shared" si="14"/>
        <v>2124.2824351212457</v>
      </c>
      <c r="AK29" s="16">
        <f t="shared" si="14"/>
        <v>2196.713135169025</v>
      </c>
      <c r="AL29" s="16">
        <f t="shared" si="14"/>
        <v>2271.7902512715737</v>
      </c>
      <c r="AM29" s="16">
        <f t="shared" si="14"/>
        <v>2349.6146238321408</v>
      </c>
    </row>
    <row r="30" spans="2:39" s="18" customFormat="1" ht="21" customHeight="1" x14ac:dyDescent="0.3">
      <c r="B30" s="21" t="s">
        <v>27</v>
      </c>
      <c r="C30" s="19"/>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row>
    <row r="31" spans="2:39" s="12" customFormat="1" ht="21" customHeight="1" x14ac:dyDescent="0.3">
      <c r="B31" s="22" t="s">
        <v>28</v>
      </c>
      <c r="C31" s="10"/>
      <c r="D31" s="14">
        <v>6500</v>
      </c>
      <c r="E31" s="14">
        <v>6630</v>
      </c>
      <c r="F31" s="14">
        <f>E31*(0.9)</f>
        <v>5967</v>
      </c>
      <c r="G31" s="14">
        <v>6086.34</v>
      </c>
      <c r="H31" s="14">
        <v>6208.0668000000005</v>
      </c>
      <c r="I31" s="14">
        <v>6332.2281360000006</v>
      </c>
      <c r="J31" s="14">
        <v>6458.8726987200007</v>
      </c>
      <c r="K31" s="14">
        <v>6588.0501526944008</v>
      </c>
      <c r="L31" s="14">
        <f>K31*(0.9)</f>
        <v>5929.2451374249613</v>
      </c>
      <c r="M31" s="14">
        <v>6047.8300401734605</v>
      </c>
      <c r="N31" s="14">
        <v>6168.7866409769294</v>
      </c>
      <c r="O31" s="14">
        <v>6292.1623737964683</v>
      </c>
      <c r="P31" s="14">
        <v>6418.0056212723975</v>
      </c>
      <c r="Q31" s="14">
        <v>6546.3657336978458</v>
      </c>
      <c r="R31" s="14">
        <v>6677.2930483718028</v>
      </c>
      <c r="S31" s="14">
        <v>6810.8389093392389</v>
      </c>
      <c r="T31" s="14">
        <v>6947.0556875260236</v>
      </c>
      <c r="U31" s="14">
        <f>T31*(0.9)</f>
        <v>6252.3501187734209</v>
      </c>
      <c r="V31" s="14">
        <v>6377.3971211488897</v>
      </c>
      <c r="W31" s="14">
        <v>6504.9450635718676</v>
      </c>
      <c r="X31" s="14">
        <v>6635.0439648433048</v>
      </c>
      <c r="Y31" s="14">
        <v>6767.7448441401712</v>
      </c>
      <c r="Z31" s="14">
        <v>6903.0997410229747</v>
      </c>
      <c r="AA31" s="14">
        <v>7041.1617358434341</v>
      </c>
      <c r="AB31" s="14">
        <f>AA31*(0.9)</f>
        <v>6337.0455622590907</v>
      </c>
      <c r="AC31" s="14">
        <v>6463.7864735042731</v>
      </c>
      <c r="AD31" s="14">
        <v>6593.062202974359</v>
      </c>
      <c r="AE31" s="14">
        <v>6724.9234470338461</v>
      </c>
      <c r="AF31" s="14">
        <v>6859.4219159745235</v>
      </c>
      <c r="AG31" s="14">
        <v>6996.6103542940136</v>
      </c>
      <c r="AH31" s="14">
        <v>7136.5425613798943</v>
      </c>
      <c r="AI31" s="14">
        <v>7279.273412607492</v>
      </c>
      <c r="AJ31" s="14">
        <v>7424.8588808596423</v>
      </c>
      <c r="AK31" s="14">
        <f>AJ31*(0.9)</f>
        <v>6682.3729927736786</v>
      </c>
      <c r="AL31" s="14">
        <v>6816.0204526291518</v>
      </c>
      <c r="AM31" s="14">
        <v>6952.3408616817351</v>
      </c>
    </row>
    <row r="32" spans="2:39" s="12" customFormat="1" ht="21" customHeight="1" x14ac:dyDescent="0.3">
      <c r="B32" s="22" t="s">
        <v>29</v>
      </c>
      <c r="C32" s="10"/>
      <c r="D32" s="14">
        <v>918</v>
      </c>
      <c r="E32" s="14">
        <v>936.36</v>
      </c>
      <c r="F32" s="14">
        <v>955.08720000000005</v>
      </c>
      <c r="G32" s="14">
        <v>974.18894400000011</v>
      </c>
      <c r="H32" s="14">
        <v>993.67272288000015</v>
      </c>
      <c r="I32" s="14">
        <v>1013.5461773376002</v>
      </c>
      <c r="J32" s="14">
        <v>1033.8171008843522</v>
      </c>
      <c r="K32" s="14">
        <v>1054.4934429020393</v>
      </c>
      <c r="L32" s="14">
        <v>1075.5833117600801</v>
      </c>
      <c r="M32" s="14">
        <v>1097.0949779952816</v>
      </c>
      <c r="N32" s="14">
        <v>1119.0368775551872</v>
      </c>
      <c r="O32" s="14">
        <v>1141.4176151062909</v>
      </c>
      <c r="P32" s="14">
        <v>1164.2459674084168</v>
      </c>
      <c r="Q32" s="14">
        <v>1187.5308867565852</v>
      </c>
      <c r="R32" s="14">
        <v>1211.281504491717</v>
      </c>
      <c r="S32" s="14">
        <v>1235.5071345815513</v>
      </c>
      <c r="T32" s="14">
        <v>1260.2172772731824</v>
      </c>
      <c r="U32" s="14">
        <v>1285.421622818646</v>
      </c>
      <c r="V32" s="14">
        <v>1311.130055275019</v>
      </c>
      <c r="W32" s="14">
        <v>1337.3526563805194</v>
      </c>
      <c r="X32" s="14">
        <v>1364.0997095081298</v>
      </c>
      <c r="Y32" s="14">
        <v>1391.3817036982923</v>
      </c>
      <c r="Z32" s="14">
        <v>1419.2093377722581</v>
      </c>
      <c r="AA32" s="14">
        <v>1447.5935245277033</v>
      </c>
      <c r="AB32" s="14">
        <v>1476.5453950182573</v>
      </c>
      <c r="AC32" s="14">
        <v>1506.0763029186226</v>
      </c>
      <c r="AD32" s="14">
        <v>1536.197828976995</v>
      </c>
      <c r="AE32" s="14">
        <v>1566.9217855565348</v>
      </c>
      <c r="AF32" s="14">
        <v>1598.2602212676654</v>
      </c>
      <c r="AG32" s="14">
        <v>1630.2254256930187</v>
      </c>
      <c r="AH32" s="14">
        <v>1662.829934206879</v>
      </c>
      <c r="AI32" s="14">
        <v>1696.0865328910165</v>
      </c>
      <c r="AJ32" s="14">
        <v>1730.0082635488368</v>
      </c>
      <c r="AK32" s="14">
        <v>1764.6084288198135</v>
      </c>
      <c r="AL32" s="14">
        <v>1799.9005973962098</v>
      </c>
      <c r="AM32" s="14">
        <v>1835.898609344134</v>
      </c>
    </row>
    <row r="33" spans="2:39" s="12" customFormat="1" ht="21" customHeight="1" x14ac:dyDescent="0.3">
      <c r="B33" s="22" t="s">
        <v>30</v>
      </c>
      <c r="C33" s="10"/>
      <c r="D33" s="14">
        <v>700</v>
      </c>
      <c r="E33" s="14">
        <v>728</v>
      </c>
      <c r="F33" s="14">
        <v>757.12</v>
      </c>
      <c r="G33" s="14">
        <v>787.40480000000002</v>
      </c>
      <c r="H33" s="14">
        <v>818.90099200000009</v>
      </c>
      <c r="I33" s="14">
        <v>851.65703168000016</v>
      </c>
      <c r="J33" s="14">
        <v>885.72331294720016</v>
      </c>
      <c r="K33" s="14">
        <v>921.15224546508819</v>
      </c>
      <c r="L33" s="14">
        <v>957.99833528369174</v>
      </c>
      <c r="M33" s="14">
        <v>996.31826869503948</v>
      </c>
      <c r="N33" s="14">
        <v>1036.1709994428411</v>
      </c>
      <c r="O33" s="14">
        <v>1077.6178394205547</v>
      </c>
      <c r="P33" s="14">
        <v>1120.7225529973769</v>
      </c>
      <c r="Q33" s="14">
        <v>1165.5514551172719</v>
      </c>
      <c r="R33" s="14">
        <v>1212.1735133219629</v>
      </c>
      <c r="S33" s="14">
        <v>1260.6604538548415</v>
      </c>
      <c r="T33" s="14">
        <v>1311.0868720090352</v>
      </c>
      <c r="U33" s="14">
        <v>1363.5303468893967</v>
      </c>
      <c r="V33" s="14">
        <v>1418.0715607649727</v>
      </c>
      <c r="W33" s="14">
        <v>1474.7944231955717</v>
      </c>
      <c r="X33" s="14">
        <v>1533.7862001233946</v>
      </c>
      <c r="Y33" s="14">
        <v>1595.1376481283305</v>
      </c>
      <c r="Z33" s="14">
        <v>1658.9431540534638</v>
      </c>
      <c r="AA33" s="14">
        <v>1725.3008802156023</v>
      </c>
      <c r="AB33" s="14">
        <v>1794.3129154242265</v>
      </c>
      <c r="AC33" s="14">
        <v>1866.0854320411956</v>
      </c>
      <c r="AD33" s="14">
        <v>1940.7288493228436</v>
      </c>
      <c r="AE33" s="14">
        <v>2018.3580032957575</v>
      </c>
      <c r="AF33" s="14">
        <v>2099.0923234275879</v>
      </c>
      <c r="AG33" s="14">
        <v>2183.0560163646915</v>
      </c>
      <c r="AH33" s="14">
        <v>2270.3782570192793</v>
      </c>
      <c r="AI33" s="14">
        <v>2361.1933873000507</v>
      </c>
      <c r="AJ33" s="14">
        <v>2455.641122792053</v>
      </c>
      <c r="AK33" s="14">
        <v>2553.8667677037351</v>
      </c>
      <c r="AL33" s="14">
        <v>2656.0214384118844</v>
      </c>
      <c r="AM33" s="14">
        <v>2762.2622959483601</v>
      </c>
    </row>
    <row r="34" spans="2:39" s="12" customFormat="1" ht="21" customHeight="1" x14ac:dyDescent="0.3">
      <c r="B34" s="22" t="s">
        <v>31</v>
      </c>
      <c r="C34" s="10"/>
      <c r="D34" s="14">
        <v>57.375</v>
      </c>
      <c r="E34" s="14">
        <v>59.67</v>
      </c>
      <c r="F34" s="14">
        <v>62.056800000000003</v>
      </c>
      <c r="G34" s="14">
        <v>64.539072000000004</v>
      </c>
      <c r="H34" s="14">
        <v>67.120634880000011</v>
      </c>
      <c r="I34" s="14">
        <v>69.805460275200019</v>
      </c>
      <c r="J34" s="14">
        <v>72.597678686208027</v>
      </c>
      <c r="K34" s="14">
        <v>75.50158583365635</v>
      </c>
      <c r="L34" s="14">
        <v>78.521649267002601</v>
      </c>
      <c r="M34" s="14">
        <v>81.662515237682712</v>
      </c>
      <c r="N34" s="14">
        <v>84.92901584719003</v>
      </c>
      <c r="O34" s="14">
        <v>88.326176481077638</v>
      </c>
      <c r="P34" s="14">
        <v>91.859223540320741</v>
      </c>
      <c r="Q34" s="14">
        <v>95.533592481933567</v>
      </c>
      <c r="R34" s="14">
        <v>99.354936181210917</v>
      </c>
      <c r="S34" s="14">
        <v>103.32913362845936</v>
      </c>
      <c r="T34" s="14">
        <v>107.46229897359774</v>
      </c>
      <c r="U34" s="14">
        <v>111.76079093254165</v>
      </c>
      <c r="V34" s="14">
        <v>116.23122256984333</v>
      </c>
      <c r="W34" s="14">
        <v>120.88047147263707</v>
      </c>
      <c r="X34" s="14">
        <v>125.71569033154256</v>
      </c>
      <c r="Y34" s="14">
        <v>130.74431794480427</v>
      </c>
      <c r="Z34" s="14">
        <v>135.97409066259644</v>
      </c>
      <c r="AA34" s="14">
        <v>141.4130542891003</v>
      </c>
      <c r="AB34" s="14">
        <v>147.06957646066431</v>
      </c>
      <c r="AC34" s="14">
        <v>152.95235951909089</v>
      </c>
      <c r="AD34" s="14">
        <v>159.07045389985453</v>
      </c>
      <c r="AE34" s="14">
        <v>165.4332720558487</v>
      </c>
      <c r="AF34" s="14">
        <v>172.05060293808265</v>
      </c>
      <c r="AG34" s="14">
        <v>178.93262705560596</v>
      </c>
      <c r="AH34" s="14">
        <v>186.0899321378302</v>
      </c>
      <c r="AI34" s="14">
        <v>193.53352942334342</v>
      </c>
      <c r="AJ34" s="14">
        <v>201.27487060027715</v>
      </c>
      <c r="AK34" s="14">
        <v>209.32586542428825</v>
      </c>
      <c r="AL34" s="14">
        <v>217.6989000412598</v>
      </c>
      <c r="AM34" s="14">
        <v>226.40685604291019</v>
      </c>
    </row>
    <row r="35" spans="2:39" s="12" customFormat="1" ht="21" customHeight="1" x14ac:dyDescent="0.3">
      <c r="B35" s="22" t="s">
        <v>32</v>
      </c>
      <c r="C35" s="10"/>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row>
    <row r="36" spans="2:39" s="12" customFormat="1" ht="21" customHeight="1" x14ac:dyDescent="0.3">
      <c r="B36" s="21" t="s">
        <v>33</v>
      </c>
      <c r="C36" s="10"/>
      <c r="D36" s="16">
        <f t="shared" ref="D36:AM36" si="15">SUM(D35, D34, D33, D32, D31 + D30)</f>
        <v>8175.375</v>
      </c>
      <c r="E36" s="16">
        <f t="shared" si="15"/>
        <v>8354.0300000000007</v>
      </c>
      <c r="F36" s="16">
        <f t="shared" si="15"/>
        <v>7741.2640000000001</v>
      </c>
      <c r="G36" s="16">
        <f t="shared" si="15"/>
        <v>7912.4728160000004</v>
      </c>
      <c r="H36" s="16">
        <f t="shared" si="15"/>
        <v>8087.761149760001</v>
      </c>
      <c r="I36" s="16">
        <f t="shared" si="15"/>
        <v>8267.2368052928014</v>
      </c>
      <c r="J36" s="16">
        <f t="shared" si="15"/>
        <v>8451.0107912377607</v>
      </c>
      <c r="K36" s="16">
        <f t="shared" si="15"/>
        <v>8639.1974268951853</v>
      </c>
      <c r="L36" s="16">
        <f t="shared" si="15"/>
        <v>8041.3484337357359</v>
      </c>
      <c r="M36" s="16">
        <f t="shared" si="15"/>
        <v>8222.9058021014644</v>
      </c>
      <c r="N36" s="16">
        <f t="shared" si="15"/>
        <v>8408.9235338221479</v>
      </c>
      <c r="O36" s="16">
        <f t="shared" si="15"/>
        <v>8599.5240048043925</v>
      </c>
      <c r="P36" s="16">
        <f t="shared" si="15"/>
        <v>8794.833365218512</v>
      </c>
      <c r="Q36" s="16">
        <f t="shared" si="15"/>
        <v>8994.9816680536369</v>
      </c>
      <c r="R36" s="16">
        <f t="shared" si="15"/>
        <v>9200.1030023666935</v>
      </c>
      <c r="S36" s="16">
        <f t="shared" si="15"/>
        <v>9410.3356314040902</v>
      </c>
      <c r="T36" s="16">
        <f t="shared" si="15"/>
        <v>9625.8221357818384</v>
      </c>
      <c r="U36" s="16">
        <f t="shared" si="15"/>
        <v>9013.0628794140048</v>
      </c>
      <c r="V36" s="16">
        <f t="shared" si="15"/>
        <v>9222.8299597587247</v>
      </c>
      <c r="W36" s="16">
        <f t="shared" si="15"/>
        <v>9437.9726146205958</v>
      </c>
      <c r="X36" s="16">
        <f t="shared" si="15"/>
        <v>9658.6455648063711</v>
      </c>
      <c r="Y36" s="16">
        <f t="shared" si="15"/>
        <v>9885.0085139115981</v>
      </c>
      <c r="Z36" s="16">
        <f t="shared" si="15"/>
        <v>10117.226323511293</v>
      </c>
      <c r="AA36" s="16">
        <f t="shared" si="15"/>
        <v>10355.469194875841</v>
      </c>
      <c r="AB36" s="16">
        <f t="shared" si="15"/>
        <v>9754.9734491622385</v>
      </c>
      <c r="AC36" s="16">
        <f t="shared" si="15"/>
        <v>9988.9005679831826</v>
      </c>
      <c r="AD36" s="16">
        <f t="shared" si="15"/>
        <v>10229.059335174052</v>
      </c>
      <c r="AE36" s="16">
        <f t="shared" si="15"/>
        <v>10475.636507941987</v>
      </c>
      <c r="AF36" s="16">
        <f t="shared" si="15"/>
        <v>10728.825063607859</v>
      </c>
      <c r="AG36" s="16">
        <f t="shared" si="15"/>
        <v>10988.82442340733</v>
      </c>
      <c r="AH36" s="16">
        <f t="shared" si="15"/>
        <v>11255.840684743882</v>
      </c>
      <c r="AI36" s="16">
        <f t="shared" si="15"/>
        <v>11530.086862221902</v>
      </c>
      <c r="AJ36" s="16">
        <f t="shared" si="15"/>
        <v>11811.783137800809</v>
      </c>
      <c r="AK36" s="16">
        <f t="shared" si="15"/>
        <v>11210.174054721516</v>
      </c>
      <c r="AL36" s="16">
        <f t="shared" si="15"/>
        <v>11489.641388478507</v>
      </c>
      <c r="AM36" s="16">
        <f t="shared" si="15"/>
        <v>11776.908623017138</v>
      </c>
    </row>
    <row r="37" spans="2:39" s="12" customFormat="1" ht="21" customHeight="1" x14ac:dyDescent="0.3">
      <c r="B37" s="22" t="s">
        <v>34</v>
      </c>
      <c r="C37" s="10"/>
      <c r="D37" s="14">
        <v>150</v>
      </c>
      <c r="E37" s="14">
        <v>156</v>
      </c>
      <c r="F37" s="14">
        <v>162.24</v>
      </c>
      <c r="G37" s="14">
        <v>168.7296</v>
      </c>
      <c r="H37" s="14">
        <v>175.47878400000002</v>
      </c>
      <c r="I37" s="14">
        <v>182.49793536000001</v>
      </c>
      <c r="J37" s="14">
        <v>189.79785277440001</v>
      </c>
      <c r="K37" s="14">
        <v>197.38976688537602</v>
      </c>
      <c r="L37" s="14">
        <v>205.28535756079106</v>
      </c>
      <c r="M37" s="14">
        <v>213.4967718632227</v>
      </c>
      <c r="N37" s="14">
        <v>222.03664273775163</v>
      </c>
      <c r="O37" s="14">
        <v>230.91810844726172</v>
      </c>
      <c r="P37" s="14">
        <v>240.15483278515219</v>
      </c>
      <c r="Q37" s="14">
        <v>249.76102609655828</v>
      </c>
      <c r="R37" s="14">
        <v>259.75146714042063</v>
      </c>
      <c r="S37" s="14">
        <v>270.14152582603748</v>
      </c>
      <c r="T37" s="14">
        <v>280.94718685907901</v>
      </c>
      <c r="U37" s="14">
        <v>292.18507433344217</v>
      </c>
      <c r="V37" s="14">
        <v>303.8724773067799</v>
      </c>
      <c r="W37" s="14">
        <v>316.02737639905109</v>
      </c>
      <c r="X37" s="14">
        <v>328.66847145501316</v>
      </c>
      <c r="Y37" s="14">
        <v>341.8152103132137</v>
      </c>
      <c r="Z37" s="14">
        <v>355.48781872574227</v>
      </c>
      <c r="AA37" s="14">
        <v>369.70733147477199</v>
      </c>
      <c r="AB37" s="14">
        <v>384.4956247337629</v>
      </c>
      <c r="AC37" s="14">
        <v>399.87544972311343</v>
      </c>
      <c r="AD37" s="14">
        <v>415.87046771203796</v>
      </c>
      <c r="AE37" s="14">
        <v>432.5052864205195</v>
      </c>
      <c r="AF37" s="14">
        <v>449.80549787734031</v>
      </c>
      <c r="AG37" s="14">
        <v>467.79771779243396</v>
      </c>
      <c r="AH37" s="14">
        <v>486.50962650413135</v>
      </c>
      <c r="AI37" s="14">
        <v>505.97001156429661</v>
      </c>
      <c r="AJ37" s="14">
        <v>526.20881202686849</v>
      </c>
      <c r="AK37" s="14">
        <v>547.25716450794323</v>
      </c>
      <c r="AL37" s="14">
        <v>569.14745108826094</v>
      </c>
      <c r="AM37" s="14">
        <v>591.91334913179139</v>
      </c>
    </row>
    <row r="38" spans="2:39" s="18" customFormat="1" ht="21" customHeight="1" x14ac:dyDescent="0.3">
      <c r="B38" s="21" t="s">
        <v>35</v>
      </c>
      <c r="C38" s="19"/>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row>
    <row r="39" spans="2:39" s="12" customFormat="1" ht="21" customHeight="1" x14ac:dyDescent="0.3">
      <c r="B39" s="22" t="s">
        <v>36</v>
      </c>
      <c r="C39" s="10"/>
      <c r="D39" s="14">
        <v>850</v>
      </c>
      <c r="E39" s="14">
        <v>884</v>
      </c>
      <c r="F39" s="14">
        <v>919.36</v>
      </c>
      <c r="G39" s="14">
        <v>956.13440000000003</v>
      </c>
      <c r="H39" s="14">
        <v>994.37977600000011</v>
      </c>
      <c r="I39" s="14">
        <v>1034.1549670400002</v>
      </c>
      <c r="J39" s="14">
        <v>1075.5211657216003</v>
      </c>
      <c r="K39" s="14">
        <v>1118.5420123504643</v>
      </c>
      <c r="L39" s="14">
        <v>1163.2836928444829</v>
      </c>
      <c r="M39" s="14">
        <v>1209.8150405582621</v>
      </c>
      <c r="N39" s="14">
        <v>1258.2076421805928</v>
      </c>
      <c r="O39" s="14">
        <v>1308.5359478678165</v>
      </c>
      <c r="P39" s="14">
        <v>1360.8773857825292</v>
      </c>
      <c r="Q39" s="14">
        <v>1415.3124812138306</v>
      </c>
      <c r="R39" s="14">
        <v>1471.9249804623839</v>
      </c>
      <c r="S39" s="14">
        <v>1530.8019796808794</v>
      </c>
      <c r="T39" s="14">
        <v>1592.0340588681147</v>
      </c>
      <c r="U39" s="14">
        <v>1655.7154212228393</v>
      </c>
      <c r="V39" s="14">
        <v>1721.9440380717529</v>
      </c>
      <c r="W39" s="14">
        <v>1790.8217995946231</v>
      </c>
      <c r="X39" s="14">
        <v>1862.4546715784081</v>
      </c>
      <c r="Y39" s="14">
        <v>1936.9528584415445</v>
      </c>
      <c r="Z39" s="14">
        <v>2014.4309727792065</v>
      </c>
      <c r="AA39" s="14">
        <v>2095.008211690375</v>
      </c>
      <c r="AB39" s="14">
        <v>2178.8085401579901</v>
      </c>
      <c r="AC39" s="14">
        <v>2265.9608817643098</v>
      </c>
      <c r="AD39" s="14">
        <v>2356.599317034882</v>
      </c>
      <c r="AE39" s="14">
        <v>2450.8632897162774</v>
      </c>
      <c r="AF39" s="14">
        <v>2548.8978213049286</v>
      </c>
      <c r="AG39" s="14">
        <v>2650.8537341571259</v>
      </c>
      <c r="AH39" s="14">
        <v>2756.8878835234109</v>
      </c>
      <c r="AI39" s="14">
        <v>2867.1633988643475</v>
      </c>
      <c r="AJ39" s="14">
        <v>2981.8499348189216</v>
      </c>
      <c r="AK39" s="14">
        <v>3101.1239322116785</v>
      </c>
      <c r="AL39" s="14">
        <v>3225.1688895001457</v>
      </c>
      <c r="AM39" s="14">
        <v>3354.1756450801518</v>
      </c>
    </row>
    <row r="40" spans="2:39" s="12" customFormat="1" ht="21" customHeight="1" x14ac:dyDescent="0.3">
      <c r="B40" s="22" t="s">
        <v>37</v>
      </c>
      <c r="C40" s="10"/>
      <c r="D40" s="14">
        <v>600</v>
      </c>
      <c r="E40" s="14">
        <v>612</v>
      </c>
      <c r="F40" s="14">
        <v>624.24</v>
      </c>
      <c r="G40" s="14">
        <v>636.72480000000007</v>
      </c>
      <c r="H40" s="14">
        <v>649.45929600000011</v>
      </c>
      <c r="I40" s="14">
        <v>662.44848192000018</v>
      </c>
      <c r="J40" s="14">
        <v>675.69745155840019</v>
      </c>
      <c r="K40" s="14">
        <v>689.21140058956826</v>
      </c>
      <c r="L40" s="14">
        <v>702.99562860135961</v>
      </c>
      <c r="M40" s="14">
        <v>717.05554117338681</v>
      </c>
      <c r="N40" s="14">
        <v>731.39665199685453</v>
      </c>
      <c r="O40" s="14">
        <v>746.02458503679168</v>
      </c>
      <c r="P40" s="14">
        <v>760.94507673752753</v>
      </c>
      <c r="Q40" s="14">
        <v>776.16397827227809</v>
      </c>
      <c r="R40" s="14">
        <v>791.68725783772368</v>
      </c>
      <c r="S40" s="14">
        <v>807.52100299447818</v>
      </c>
      <c r="T40" s="14">
        <v>823.67142305436778</v>
      </c>
      <c r="U40" s="14">
        <v>840.14485151545512</v>
      </c>
      <c r="V40" s="14">
        <v>856.94774854576428</v>
      </c>
      <c r="W40" s="14">
        <v>874.08670351667956</v>
      </c>
      <c r="X40" s="14">
        <v>891.56843758701314</v>
      </c>
      <c r="Y40" s="14">
        <v>909.39980633875336</v>
      </c>
      <c r="Z40" s="14">
        <v>927.5878024655284</v>
      </c>
      <c r="AA40" s="14">
        <v>946.139558514839</v>
      </c>
      <c r="AB40" s="14">
        <v>965.06234968513581</v>
      </c>
      <c r="AC40" s="14">
        <v>984.36359667883858</v>
      </c>
      <c r="AD40" s="14">
        <v>1004.0508686124153</v>
      </c>
      <c r="AE40" s="14">
        <v>1024.1318859846638</v>
      </c>
      <c r="AF40" s="14">
        <v>1044.614523704357</v>
      </c>
      <c r="AG40" s="14">
        <v>1065.5068141784441</v>
      </c>
      <c r="AH40" s="14">
        <v>1086.816950462013</v>
      </c>
      <c r="AI40" s="14">
        <v>1108.5532894712533</v>
      </c>
      <c r="AJ40" s="14">
        <v>1130.7243552606783</v>
      </c>
      <c r="AK40" s="14">
        <v>1153.3388423658919</v>
      </c>
      <c r="AL40" s="14">
        <v>1176.4056192132098</v>
      </c>
      <c r="AM40" s="14">
        <v>1199.933731597474</v>
      </c>
    </row>
    <row r="41" spans="2:39" s="12" customFormat="1" ht="21" customHeight="1" x14ac:dyDescent="0.3">
      <c r="B41" s="22" t="s">
        <v>38</v>
      </c>
      <c r="C41" s="10"/>
      <c r="D41" s="14">
        <v>250</v>
      </c>
      <c r="E41" s="14">
        <v>255</v>
      </c>
      <c r="F41" s="14">
        <v>260.10000000000002</v>
      </c>
      <c r="G41" s="14">
        <v>265.30200000000002</v>
      </c>
      <c r="H41" s="14">
        <v>270.60804000000002</v>
      </c>
      <c r="I41" s="14">
        <v>276.0202008</v>
      </c>
      <c r="J41" s="14">
        <v>281.54060481599998</v>
      </c>
      <c r="K41" s="14">
        <v>287.17141691232001</v>
      </c>
      <c r="L41" s="14">
        <v>292.91484525056643</v>
      </c>
      <c r="M41" s="14">
        <v>298.77314215557777</v>
      </c>
      <c r="N41" s="14">
        <v>304.74860499868936</v>
      </c>
      <c r="O41" s="14">
        <v>310.84357709866316</v>
      </c>
      <c r="P41" s="14">
        <v>317.06044864063642</v>
      </c>
      <c r="Q41" s="14">
        <v>323.40165761344917</v>
      </c>
      <c r="R41" s="14">
        <v>329.86969076571819</v>
      </c>
      <c r="S41" s="14">
        <v>336.46708458103257</v>
      </c>
      <c r="T41" s="14">
        <v>343.19642627265324</v>
      </c>
      <c r="U41" s="14">
        <v>350.06035479810629</v>
      </c>
      <c r="V41" s="14">
        <v>357.0615618940684</v>
      </c>
      <c r="W41" s="14">
        <v>364.20279313194976</v>
      </c>
      <c r="X41" s="14">
        <v>371.48684899458874</v>
      </c>
      <c r="Y41" s="14">
        <v>378.91658597448054</v>
      </c>
      <c r="Z41" s="14">
        <v>386.49491769397014</v>
      </c>
      <c r="AA41" s="14">
        <v>394.22481604784957</v>
      </c>
      <c r="AB41" s="14">
        <v>402.10931236880657</v>
      </c>
      <c r="AC41" s="14">
        <v>410.15149861618272</v>
      </c>
      <c r="AD41" s="14">
        <v>418.35452858850635</v>
      </c>
      <c r="AE41" s="14">
        <v>426.72161916027648</v>
      </c>
      <c r="AF41" s="14">
        <v>435.25605154348199</v>
      </c>
      <c r="AG41" s="14">
        <v>443.96117257435162</v>
      </c>
      <c r="AH41" s="14">
        <v>452.84039602583869</v>
      </c>
      <c r="AI41" s="14">
        <v>461.89720394635549</v>
      </c>
      <c r="AJ41" s="14">
        <v>471.1351480252826</v>
      </c>
      <c r="AK41" s="14">
        <v>480.55785098578826</v>
      </c>
      <c r="AL41" s="14">
        <v>490.16900800550405</v>
      </c>
      <c r="AM41" s="14">
        <v>499.97238816561412</v>
      </c>
    </row>
    <row r="42" spans="2:39" s="31" customFormat="1" ht="21" customHeight="1" x14ac:dyDescent="0.3">
      <c r="B42" s="28" t="s">
        <v>39</v>
      </c>
      <c r="C42" s="29"/>
      <c r="D42" s="30">
        <f t="shared" ref="D42" si="16">SUM(D41, D40, D39 + D38)</f>
        <v>1700</v>
      </c>
      <c r="E42" s="30">
        <v>1700</v>
      </c>
      <c r="F42" s="30">
        <v>1700</v>
      </c>
      <c r="G42" s="30">
        <v>1700</v>
      </c>
      <c r="H42" s="30">
        <v>1700</v>
      </c>
      <c r="I42" s="30">
        <v>1700</v>
      </c>
      <c r="J42" s="30">
        <v>1700</v>
      </c>
      <c r="K42" s="30">
        <v>1700</v>
      </c>
      <c r="L42" s="30">
        <v>1700</v>
      </c>
      <c r="M42" s="30">
        <v>1700</v>
      </c>
      <c r="N42" s="30">
        <v>1700</v>
      </c>
      <c r="O42" s="30">
        <v>1700</v>
      </c>
      <c r="P42" s="30">
        <v>1700</v>
      </c>
      <c r="Q42" s="30">
        <v>1700</v>
      </c>
      <c r="R42" s="30">
        <v>1700</v>
      </c>
      <c r="S42" s="30">
        <v>1700</v>
      </c>
      <c r="T42" s="30">
        <v>1700</v>
      </c>
      <c r="U42" s="30">
        <v>1700</v>
      </c>
      <c r="V42" s="30">
        <v>1700</v>
      </c>
      <c r="W42" s="30">
        <v>1700</v>
      </c>
      <c r="X42" s="30">
        <v>1700</v>
      </c>
      <c r="Y42" s="30">
        <v>1700</v>
      </c>
      <c r="Z42" s="30">
        <v>1700</v>
      </c>
      <c r="AA42" s="30">
        <v>1700</v>
      </c>
      <c r="AB42" s="30">
        <v>1700</v>
      </c>
      <c r="AC42" s="30">
        <v>1700</v>
      </c>
      <c r="AD42" s="30">
        <v>1700</v>
      </c>
      <c r="AE42" s="30">
        <v>1700</v>
      </c>
      <c r="AF42" s="30">
        <v>1700</v>
      </c>
      <c r="AG42" s="30">
        <v>1700</v>
      </c>
      <c r="AH42" s="30">
        <v>1700</v>
      </c>
      <c r="AI42" s="30">
        <v>1700</v>
      </c>
      <c r="AJ42" s="30">
        <v>1700</v>
      </c>
      <c r="AK42" s="30">
        <v>1700</v>
      </c>
      <c r="AL42" s="30">
        <v>1700</v>
      </c>
      <c r="AM42" s="30">
        <v>1700</v>
      </c>
    </row>
    <row r="43" spans="2:39" s="12" customFormat="1" ht="21" customHeight="1" x14ac:dyDescent="0.3">
      <c r="B43" s="15" t="s">
        <v>40</v>
      </c>
      <c r="C43" s="10"/>
      <c r="D43" s="16">
        <f t="shared" ref="D43:AM43" si="17">SUM(D41, D40, D39, D38, D37, D35, D34, D33, D32, D31, D30, D28, D27, D26, D25, D24, D22, D21, D20, D19, D18, D17, D16, D15, D14 + D13)</f>
        <v>33775.375</v>
      </c>
      <c r="E43" s="16">
        <f t="shared" si="17"/>
        <v>32085.03</v>
      </c>
      <c r="F43" s="16">
        <f t="shared" si="17"/>
        <v>31601.244000000002</v>
      </c>
      <c r="G43" s="16">
        <f t="shared" si="17"/>
        <v>32741.106816</v>
      </c>
      <c r="H43" s="16">
        <f t="shared" si="17"/>
        <v>33926.474405759996</v>
      </c>
      <c r="I43" s="16">
        <f t="shared" si="17"/>
        <v>34639.71742865281</v>
      </c>
      <c r="J43" s="16">
        <f t="shared" si="17"/>
        <v>33599.664455370563</v>
      </c>
      <c r="K43" s="16">
        <f t="shared" si="17"/>
        <v>33023.822625425979</v>
      </c>
      <c r="L43" s="16">
        <f t="shared" si="17"/>
        <v>32755.08573429241</v>
      </c>
      <c r="M43" s="16">
        <f t="shared" si="17"/>
        <v>33949.945588458577</v>
      </c>
      <c r="N43" s="16">
        <f t="shared" si="17"/>
        <v>34273.747569953732</v>
      </c>
      <c r="O43" s="16">
        <f t="shared" si="17"/>
        <v>34647.725524661844</v>
      </c>
      <c r="P43" s="16">
        <f t="shared" si="17"/>
        <v>35491.705822646516</v>
      </c>
      <c r="Q43" s="16">
        <f t="shared" si="17"/>
        <v>34916.772171325909</v>
      </c>
      <c r="R43" s="16">
        <f t="shared" si="17"/>
        <v>34670.483856801467</v>
      </c>
      <c r="S43" s="16">
        <f t="shared" si="17"/>
        <v>35055.378595302958</v>
      </c>
      <c r="T43" s="16">
        <f t="shared" si="17"/>
        <v>36315.778124781464</v>
      </c>
      <c r="U43" s="16">
        <f t="shared" si="17"/>
        <v>35925.906588664329</v>
      </c>
      <c r="V43" s="16">
        <f t="shared" si="17"/>
        <v>36088.635312235456</v>
      </c>
      <c r="W43" s="16">
        <f t="shared" si="17"/>
        <v>35235.860423596809</v>
      </c>
      <c r="X43" s="16">
        <f t="shared" si="17"/>
        <v>35172.525263631243</v>
      </c>
      <c r="Y43" s="16">
        <f t="shared" si="17"/>
        <v>35653.797496530125</v>
      </c>
      <c r="Z43" s="16">
        <f t="shared" si="17"/>
        <v>36691.02799311898</v>
      </c>
      <c r="AA43" s="16">
        <f t="shared" si="17"/>
        <v>37230.472291412087</v>
      </c>
      <c r="AB43" s="16">
        <f t="shared" si="17"/>
        <v>35410.717079076458</v>
      </c>
      <c r="AC43" s="16">
        <f t="shared" si="17"/>
        <v>36282.502897640159</v>
      </c>
      <c r="AD43" s="16">
        <f t="shared" si="17"/>
        <v>36845.588603601842</v>
      </c>
      <c r="AE43" s="16">
        <f t="shared" si="17"/>
        <v>35861.10811018094</v>
      </c>
      <c r="AF43" s="16">
        <f t="shared" si="17"/>
        <v>36809.557436145187</v>
      </c>
      <c r="AG43" s="16">
        <f t="shared" si="17"/>
        <v>38113.63509539816</v>
      </c>
      <c r="AH43" s="16">
        <f t="shared" si="17"/>
        <v>38368.331669464133</v>
      </c>
      <c r="AI43" s="16">
        <f t="shared" si="17"/>
        <v>38720.235395272284</v>
      </c>
      <c r="AJ43" s="16">
        <f t="shared" si="17"/>
        <v>39739.763035595657</v>
      </c>
      <c r="AK43" s="16">
        <f t="shared" si="17"/>
        <v>40257.402017185275</v>
      </c>
      <c r="AL43" s="16">
        <f t="shared" si="17"/>
        <v>41703.235694742689</v>
      </c>
      <c r="AM43" s="16">
        <f t="shared" si="17"/>
        <v>42168.466129245528</v>
      </c>
    </row>
    <row r="44" spans="2:39" s="18" customFormat="1" ht="21" customHeight="1" x14ac:dyDescent="0.3">
      <c r="B44" s="15" t="s">
        <v>41</v>
      </c>
      <c r="C44" s="19"/>
      <c r="D44" s="20">
        <f t="shared" ref="D44:AM44" si="18">D12-D43</f>
        <v>60174.625</v>
      </c>
      <c r="E44" s="20">
        <f t="shared" si="18"/>
        <v>64672.97</v>
      </c>
      <c r="F44" s="20">
        <f t="shared" si="18"/>
        <v>61199.076000000001</v>
      </c>
      <c r="G44" s="20">
        <f t="shared" si="18"/>
        <v>62831.865984000004</v>
      </c>
      <c r="H44" s="20">
        <f t="shared" si="18"/>
        <v>64501.876506240013</v>
      </c>
      <c r="I44" s="20">
        <f t="shared" si="18"/>
        <v>66729.200495827186</v>
      </c>
      <c r="J44" s="20">
        <f t="shared" si="18"/>
        <v>70797.546151368646</v>
      </c>
      <c r="K44" s="20">
        <f t="shared" si="18"/>
        <v>67091.212759489994</v>
      </c>
      <c r="L44" s="20">
        <f t="shared" si="18"/>
        <v>70349.583428489059</v>
      </c>
      <c r="M44" s="20">
        <f t="shared" si="18"/>
        <v>72233.493674177094</v>
      </c>
      <c r="N44" s="20">
        <f t="shared" si="18"/>
        <v>75080.250096530595</v>
      </c>
      <c r="O44" s="20">
        <f t="shared" si="18"/>
        <v>70207.771715229959</v>
      </c>
      <c r="P44" s="20">
        <f t="shared" si="18"/>
        <v>72493.292066850729</v>
      </c>
      <c r="Q44" s="20">
        <f t="shared" si="18"/>
        <v>76290.964816561303</v>
      </c>
      <c r="R44" s="20">
        <f t="shared" si="18"/>
        <v>79856.001968895594</v>
      </c>
      <c r="S44" s="20">
        <f t="shared" si="18"/>
        <v>74744.586975767568</v>
      </c>
      <c r="T44" s="20">
        <f t="shared" si="18"/>
        <v>76759.276506613358</v>
      </c>
      <c r="U44" s="20">
        <f t="shared" si="18"/>
        <v>80521.733378592209</v>
      </c>
      <c r="V44" s="20">
        <f t="shared" si="18"/>
        <v>83831.980898835434</v>
      </c>
      <c r="W44" s="20">
        <f t="shared" si="18"/>
        <v>88261.103200394748</v>
      </c>
      <c r="X44" s="20">
        <f t="shared" si="18"/>
        <v>92007.225352732145</v>
      </c>
      <c r="Y44" s="20">
        <f t="shared" si="18"/>
        <v>95318.338845322316</v>
      </c>
      <c r="Z44" s="20">
        <f t="shared" si="18"/>
        <v>98186.345374267112</v>
      </c>
      <c r="AA44" s="20">
        <f t="shared" si="18"/>
        <v>92052.732962792157</v>
      </c>
      <c r="AB44" s="20">
        <f t="shared" si="18"/>
        <v>97725.104819550674</v>
      </c>
      <c r="AC44" s="20">
        <f t="shared" si="18"/>
        <v>100820.47896421442</v>
      </c>
      <c r="AD44" s="20">
        <f t="shared" si="18"/>
        <v>104342.49143262778</v>
      </c>
      <c r="AE44" s="20">
        <f t="shared" si="18"/>
        <v>99446.561262680741</v>
      </c>
      <c r="AF44" s="20">
        <f t="shared" si="18"/>
        <v>102527.0666478529</v>
      </c>
      <c r="AG44" s="20">
        <f t="shared" si="18"/>
        <v>105371.60132626847</v>
      </c>
      <c r="AH44" s="20">
        <f t="shared" si="18"/>
        <v>99115.528573372081</v>
      </c>
      <c r="AI44" s="20">
        <f t="shared" si="18"/>
        <v>102854.08498099371</v>
      </c>
      <c r="AJ44" s="20">
        <f t="shared" si="18"/>
        <v>106046.36905114882</v>
      </c>
      <c r="AK44" s="20">
        <f t="shared" si="18"/>
        <v>109865.47941531967</v>
      </c>
      <c r="AL44" s="20">
        <f t="shared" si="18"/>
        <v>102108.26646833761</v>
      </c>
      <c r="AM44" s="20">
        <f t="shared" si="18"/>
        <v>105917.54077715101</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AM47" si="19">SUM(D46 + D45)</f>
        <v>0</v>
      </c>
      <c r="E47" s="16">
        <f t="shared" si="19"/>
        <v>0</v>
      </c>
      <c r="F47" s="16">
        <f t="shared" si="19"/>
        <v>0</v>
      </c>
      <c r="G47" s="16">
        <f t="shared" si="19"/>
        <v>0</v>
      </c>
      <c r="H47" s="16">
        <f t="shared" si="19"/>
        <v>0</v>
      </c>
      <c r="I47" s="16">
        <f t="shared" si="19"/>
        <v>0</v>
      </c>
      <c r="J47" s="16">
        <f t="shared" si="19"/>
        <v>0</v>
      </c>
      <c r="K47" s="16">
        <f t="shared" si="19"/>
        <v>0</v>
      </c>
      <c r="L47" s="16">
        <f t="shared" si="19"/>
        <v>0</v>
      </c>
      <c r="M47" s="16">
        <f t="shared" si="19"/>
        <v>0</v>
      </c>
      <c r="N47" s="16">
        <f t="shared" si="19"/>
        <v>0</v>
      </c>
      <c r="O47" s="16">
        <f t="shared" si="19"/>
        <v>0</v>
      </c>
      <c r="P47" s="16">
        <f t="shared" si="19"/>
        <v>0</v>
      </c>
      <c r="Q47" s="16">
        <f t="shared" si="19"/>
        <v>0</v>
      </c>
      <c r="R47" s="16">
        <f t="shared" si="19"/>
        <v>0</v>
      </c>
      <c r="S47" s="16">
        <f t="shared" si="19"/>
        <v>0</v>
      </c>
      <c r="T47" s="16">
        <f t="shared" si="19"/>
        <v>0</v>
      </c>
      <c r="U47" s="16">
        <f t="shared" si="19"/>
        <v>0</v>
      </c>
      <c r="V47" s="16">
        <f t="shared" si="19"/>
        <v>0</v>
      </c>
      <c r="W47" s="16">
        <f t="shared" si="19"/>
        <v>0</v>
      </c>
      <c r="X47" s="16">
        <f t="shared" si="19"/>
        <v>0</v>
      </c>
      <c r="Y47" s="16">
        <f t="shared" si="19"/>
        <v>0</v>
      </c>
      <c r="Z47" s="16">
        <f t="shared" si="19"/>
        <v>0</v>
      </c>
      <c r="AA47" s="16">
        <f t="shared" si="19"/>
        <v>0</v>
      </c>
      <c r="AB47" s="16">
        <f t="shared" si="19"/>
        <v>0</v>
      </c>
      <c r="AC47" s="16">
        <f t="shared" si="19"/>
        <v>0</v>
      </c>
      <c r="AD47" s="16">
        <f t="shared" si="19"/>
        <v>0</v>
      </c>
      <c r="AE47" s="16">
        <f t="shared" si="19"/>
        <v>0</v>
      </c>
      <c r="AF47" s="16">
        <f t="shared" si="19"/>
        <v>0</v>
      </c>
      <c r="AG47" s="16">
        <f t="shared" si="19"/>
        <v>0</v>
      </c>
      <c r="AH47" s="16">
        <f t="shared" si="19"/>
        <v>0</v>
      </c>
      <c r="AI47" s="16">
        <f t="shared" si="19"/>
        <v>0</v>
      </c>
      <c r="AJ47" s="16">
        <f t="shared" si="19"/>
        <v>0</v>
      </c>
      <c r="AK47" s="16">
        <f t="shared" si="19"/>
        <v>0</v>
      </c>
      <c r="AL47" s="16">
        <f t="shared" si="19"/>
        <v>0</v>
      </c>
      <c r="AM47" s="16">
        <f t="shared" si="19"/>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69.444444444444443</v>
      </c>
      <c r="E49" s="14">
        <v>72.222222222222229</v>
      </c>
      <c r="F49" s="14">
        <v>75.111111111111114</v>
      </c>
      <c r="G49" s="14">
        <v>78.115555555555559</v>
      </c>
      <c r="H49" s="14">
        <v>81.240177777777788</v>
      </c>
      <c r="I49" s="14">
        <v>84.489784888888906</v>
      </c>
      <c r="J49" s="14">
        <v>87.869376284444471</v>
      </c>
      <c r="K49" s="14">
        <v>91.384151335822253</v>
      </c>
      <c r="L49" s="14">
        <v>95.039517389255153</v>
      </c>
      <c r="M49" s="14">
        <v>98.841098084825362</v>
      </c>
      <c r="N49" s="14">
        <v>102.79474200821838</v>
      </c>
      <c r="O49" s="14">
        <v>106.90653168854712</v>
      </c>
      <c r="P49" s="14">
        <v>111.182792956089</v>
      </c>
      <c r="Q49" s="14">
        <v>115.63010467433257</v>
      </c>
      <c r="R49" s="14">
        <v>120.25530886130588</v>
      </c>
      <c r="S49" s="14">
        <v>125.06552121575811</v>
      </c>
      <c r="T49" s="14">
        <v>130.06814206438844</v>
      </c>
      <c r="U49" s="14">
        <v>135.27086774696397</v>
      </c>
      <c r="V49" s="14">
        <v>140.68170245684254</v>
      </c>
      <c r="W49" s="14">
        <v>146.30897055511625</v>
      </c>
      <c r="X49" s="14">
        <v>152.1613293773209</v>
      </c>
      <c r="Y49" s="14">
        <v>158.24778255241372</v>
      </c>
      <c r="Z49" s="14">
        <v>164.57769385451027</v>
      </c>
      <c r="AA49" s="14">
        <v>171.16080160869069</v>
      </c>
      <c r="AB49" s="14">
        <v>178.00723367303831</v>
      </c>
      <c r="AC49" s="14">
        <v>185.12752301995985</v>
      </c>
      <c r="AD49" s="14">
        <v>192.53262394075824</v>
      </c>
      <c r="AE49" s="14">
        <v>200.23392889838857</v>
      </c>
      <c r="AF49" s="14">
        <v>208.24328605432413</v>
      </c>
      <c r="AG49" s="14">
        <v>216.5730174964971</v>
      </c>
      <c r="AH49" s="14">
        <v>225.23593819635698</v>
      </c>
      <c r="AI49" s="14">
        <v>234.24537572421127</v>
      </c>
      <c r="AJ49" s="14">
        <v>243.61519075317972</v>
      </c>
      <c r="AK49" s="14">
        <v>253.35979838330692</v>
      </c>
      <c r="AL49" s="14">
        <v>263.4941903186392</v>
      </c>
      <c r="AM49" s="14">
        <v>274.03395793138475</v>
      </c>
    </row>
    <row r="50" spans="2:39" s="12" customFormat="1" ht="21" customHeight="1" x14ac:dyDescent="0.3">
      <c r="B50" s="13" t="s">
        <v>47</v>
      </c>
      <c r="C50" s="10"/>
      <c r="D50" s="14">
        <v>2500</v>
      </c>
      <c r="E50" s="14">
        <v>2600</v>
      </c>
      <c r="F50" s="14">
        <v>2704</v>
      </c>
      <c r="G50" s="14">
        <v>2812.1600000000003</v>
      </c>
      <c r="H50" s="14">
        <v>2924.6464000000005</v>
      </c>
      <c r="I50" s="14">
        <v>3041.6322560000008</v>
      </c>
      <c r="J50" s="14">
        <v>3163.2975462400009</v>
      </c>
      <c r="K50" s="14">
        <v>3289.8294480896011</v>
      </c>
      <c r="L50" s="14">
        <v>3421.4226260131854</v>
      </c>
      <c r="M50" s="14">
        <v>3558.2795310537131</v>
      </c>
      <c r="N50" s="14">
        <v>3700.6107122958615</v>
      </c>
      <c r="O50" s="14">
        <v>3848.6351407876959</v>
      </c>
      <c r="P50" s="14">
        <v>4002.580546419204</v>
      </c>
      <c r="Q50" s="14">
        <v>4162.6837682759724</v>
      </c>
      <c r="R50" s="14">
        <v>4329.1911190070114</v>
      </c>
      <c r="S50" s="14">
        <v>4502.3587637672917</v>
      </c>
      <c r="T50" s="14">
        <v>4682.4531143179838</v>
      </c>
      <c r="U50" s="14">
        <v>4869.7512388907035</v>
      </c>
      <c r="V50" s="14">
        <v>5064.5412884463321</v>
      </c>
      <c r="W50" s="14">
        <v>5267.1229399841859</v>
      </c>
      <c r="X50" s="14">
        <v>5477.8078575835534</v>
      </c>
      <c r="Y50" s="14">
        <v>5696.9201718868953</v>
      </c>
      <c r="Z50" s="14">
        <v>5924.7969787623715</v>
      </c>
      <c r="AA50" s="14">
        <v>6161.7888579128667</v>
      </c>
      <c r="AB50" s="14">
        <v>6408.2604122293815</v>
      </c>
      <c r="AC50" s="14">
        <v>6664.5908287185566</v>
      </c>
      <c r="AD50" s="14">
        <v>6931.1744618672992</v>
      </c>
      <c r="AE50" s="14">
        <v>7208.421440341991</v>
      </c>
      <c r="AF50" s="14">
        <v>7496.758297955671</v>
      </c>
      <c r="AG50" s="14">
        <v>7796.6286298738978</v>
      </c>
      <c r="AH50" s="14">
        <v>8108.4937750688541</v>
      </c>
      <c r="AI50" s="14">
        <v>8432.8335260716085</v>
      </c>
      <c r="AJ50" s="14">
        <v>8770.1468671144739</v>
      </c>
      <c r="AK50" s="14">
        <v>9120.9527417990539</v>
      </c>
      <c r="AL50" s="14">
        <v>9485.7908514710161</v>
      </c>
      <c r="AM50" s="14">
        <v>9865.2224855298573</v>
      </c>
    </row>
    <row r="51" spans="2:39" s="12" customFormat="1" ht="21" customHeight="1" x14ac:dyDescent="0.3">
      <c r="B51" s="15" t="s">
        <v>48</v>
      </c>
      <c r="C51" s="10"/>
      <c r="D51" s="16">
        <f t="shared" ref="D51:AM51" si="20">SUM(D50, D49 + D48)</f>
        <v>2569.4444444444443</v>
      </c>
      <c r="E51" s="16">
        <f t="shared" si="20"/>
        <v>2672.2222222222222</v>
      </c>
      <c r="F51" s="16">
        <f t="shared" si="20"/>
        <v>2779.1111111111113</v>
      </c>
      <c r="G51" s="16">
        <f t="shared" si="20"/>
        <v>2890.2755555555559</v>
      </c>
      <c r="H51" s="16">
        <f t="shared" si="20"/>
        <v>3005.8865777777783</v>
      </c>
      <c r="I51" s="16">
        <f t="shared" si="20"/>
        <v>3126.1220408888898</v>
      </c>
      <c r="J51" s="16">
        <f t="shared" si="20"/>
        <v>3251.1669225244455</v>
      </c>
      <c r="K51" s="16">
        <f t="shared" si="20"/>
        <v>3381.2135994254231</v>
      </c>
      <c r="L51" s="16">
        <f t="shared" si="20"/>
        <v>3516.4621434024407</v>
      </c>
      <c r="M51" s="16">
        <f t="shared" si="20"/>
        <v>3657.1206291385383</v>
      </c>
      <c r="N51" s="16">
        <f t="shared" si="20"/>
        <v>3803.4054543040797</v>
      </c>
      <c r="O51" s="16">
        <f t="shared" si="20"/>
        <v>3955.5416724762431</v>
      </c>
      <c r="P51" s="16">
        <f t="shared" si="20"/>
        <v>4113.7633393752931</v>
      </c>
      <c r="Q51" s="16">
        <f t="shared" si="20"/>
        <v>4278.3138729503053</v>
      </c>
      <c r="R51" s="16">
        <f t="shared" si="20"/>
        <v>4449.4464278683172</v>
      </c>
      <c r="S51" s="16">
        <f t="shared" si="20"/>
        <v>4627.4242849830498</v>
      </c>
      <c r="T51" s="16">
        <f t="shared" si="20"/>
        <v>4812.5212563823725</v>
      </c>
      <c r="U51" s="16">
        <f t="shared" si="20"/>
        <v>5005.0221066376671</v>
      </c>
      <c r="V51" s="16">
        <f t="shared" si="20"/>
        <v>5205.2229909031748</v>
      </c>
      <c r="W51" s="16">
        <f t="shared" si="20"/>
        <v>5413.4319105393024</v>
      </c>
      <c r="X51" s="16">
        <f t="shared" si="20"/>
        <v>5629.9691869608741</v>
      </c>
      <c r="Y51" s="16">
        <f t="shared" si="20"/>
        <v>5855.1679544393091</v>
      </c>
      <c r="Z51" s="16">
        <f t="shared" si="20"/>
        <v>6089.374672616882</v>
      </c>
      <c r="AA51" s="16">
        <f t="shared" si="20"/>
        <v>6332.9496595215569</v>
      </c>
      <c r="AB51" s="16">
        <f t="shared" si="20"/>
        <v>6586.2676459024196</v>
      </c>
      <c r="AC51" s="16">
        <f t="shared" si="20"/>
        <v>6849.7183517385165</v>
      </c>
      <c r="AD51" s="16">
        <f t="shared" si="20"/>
        <v>7123.7070858080579</v>
      </c>
      <c r="AE51" s="16">
        <f t="shared" si="20"/>
        <v>7408.6553692403795</v>
      </c>
      <c r="AF51" s="16">
        <f t="shared" si="20"/>
        <v>7705.001584009995</v>
      </c>
      <c r="AG51" s="16">
        <f t="shared" si="20"/>
        <v>8013.2016473703952</v>
      </c>
      <c r="AH51" s="16">
        <f t="shared" si="20"/>
        <v>8333.7297132652111</v>
      </c>
      <c r="AI51" s="16">
        <f t="shared" si="20"/>
        <v>8667.0789017958195</v>
      </c>
      <c r="AJ51" s="16">
        <f t="shared" si="20"/>
        <v>9013.7620578676542</v>
      </c>
      <c r="AK51" s="16">
        <f t="shared" si="20"/>
        <v>9374.31254018236</v>
      </c>
      <c r="AL51" s="16">
        <f t="shared" si="20"/>
        <v>9749.2850417896552</v>
      </c>
      <c r="AM51" s="16">
        <f t="shared" si="20"/>
        <v>10139.256443461241</v>
      </c>
    </row>
    <row r="52" spans="2:39" s="18" customFormat="1" ht="21" customHeight="1" x14ac:dyDescent="0.3">
      <c r="B52" s="15" t="s">
        <v>49</v>
      </c>
      <c r="C52" s="19"/>
      <c r="D52" s="20">
        <f t="shared" ref="D52:AM52" si="21">D47-D51</f>
        <v>-2569.4444444444443</v>
      </c>
      <c r="E52" s="20">
        <f t="shared" si="21"/>
        <v>-2672.2222222222222</v>
      </c>
      <c r="F52" s="20">
        <f t="shared" si="21"/>
        <v>-2779.1111111111113</v>
      </c>
      <c r="G52" s="20">
        <f t="shared" si="21"/>
        <v>-2890.2755555555559</v>
      </c>
      <c r="H52" s="20">
        <f t="shared" si="21"/>
        <v>-3005.8865777777783</v>
      </c>
      <c r="I52" s="20">
        <f t="shared" si="21"/>
        <v>-3126.1220408888898</v>
      </c>
      <c r="J52" s="20">
        <f t="shared" si="21"/>
        <v>-3251.1669225244455</v>
      </c>
      <c r="K52" s="20">
        <f t="shared" si="21"/>
        <v>-3381.2135994254231</v>
      </c>
      <c r="L52" s="20">
        <f t="shared" si="21"/>
        <v>-3516.4621434024407</v>
      </c>
      <c r="M52" s="20">
        <f t="shared" si="21"/>
        <v>-3657.1206291385383</v>
      </c>
      <c r="N52" s="20">
        <f t="shared" si="21"/>
        <v>-3803.4054543040797</v>
      </c>
      <c r="O52" s="20">
        <f t="shared" si="21"/>
        <v>-3955.5416724762431</v>
      </c>
      <c r="P52" s="20">
        <f t="shared" si="21"/>
        <v>-4113.7633393752931</v>
      </c>
      <c r="Q52" s="20">
        <f t="shared" si="21"/>
        <v>-4278.3138729503053</v>
      </c>
      <c r="R52" s="20">
        <f t="shared" si="21"/>
        <v>-4449.4464278683172</v>
      </c>
      <c r="S52" s="20">
        <f t="shared" si="21"/>
        <v>-4627.4242849830498</v>
      </c>
      <c r="T52" s="20">
        <f t="shared" si="21"/>
        <v>-4812.5212563823725</v>
      </c>
      <c r="U52" s="20">
        <f t="shared" si="21"/>
        <v>-5005.0221066376671</v>
      </c>
      <c r="V52" s="20">
        <f t="shared" si="21"/>
        <v>-5205.2229909031748</v>
      </c>
      <c r="W52" s="20">
        <f t="shared" si="21"/>
        <v>-5413.4319105393024</v>
      </c>
      <c r="X52" s="20">
        <f t="shared" si="21"/>
        <v>-5629.9691869608741</v>
      </c>
      <c r="Y52" s="20">
        <f t="shared" si="21"/>
        <v>-5855.1679544393091</v>
      </c>
      <c r="Z52" s="20">
        <f t="shared" si="21"/>
        <v>-6089.374672616882</v>
      </c>
      <c r="AA52" s="20">
        <f t="shared" si="21"/>
        <v>-6332.9496595215569</v>
      </c>
      <c r="AB52" s="20">
        <f t="shared" si="21"/>
        <v>-6586.2676459024196</v>
      </c>
      <c r="AC52" s="20">
        <f t="shared" si="21"/>
        <v>-6849.7183517385165</v>
      </c>
      <c r="AD52" s="20">
        <f t="shared" si="21"/>
        <v>-7123.7070858080579</v>
      </c>
      <c r="AE52" s="20">
        <f t="shared" si="21"/>
        <v>-7408.6553692403795</v>
      </c>
      <c r="AF52" s="20">
        <f t="shared" si="21"/>
        <v>-7705.001584009995</v>
      </c>
      <c r="AG52" s="20">
        <f t="shared" si="21"/>
        <v>-8013.2016473703952</v>
      </c>
      <c r="AH52" s="20">
        <f t="shared" si="21"/>
        <v>-8333.7297132652111</v>
      </c>
      <c r="AI52" s="20">
        <f t="shared" si="21"/>
        <v>-8667.0789017958195</v>
      </c>
      <c r="AJ52" s="20">
        <f t="shared" si="21"/>
        <v>-9013.7620578676542</v>
      </c>
      <c r="AK52" s="20">
        <f t="shared" si="21"/>
        <v>-9374.31254018236</v>
      </c>
      <c r="AL52" s="20">
        <f t="shared" si="21"/>
        <v>-9749.2850417896552</v>
      </c>
      <c r="AM52" s="20">
        <f t="shared" si="21"/>
        <v>-10139.256443461241</v>
      </c>
    </row>
    <row r="53" spans="2:39" s="18" customFormat="1" ht="21" customHeight="1" x14ac:dyDescent="0.3">
      <c r="B53" s="15" t="s">
        <v>50</v>
      </c>
      <c r="C53" s="19"/>
      <c r="D53" s="20">
        <f t="shared" ref="D53:AM53" si="22">D44+D52</f>
        <v>57605.180555555555</v>
      </c>
      <c r="E53" s="20">
        <f t="shared" si="22"/>
        <v>62000.747777777782</v>
      </c>
      <c r="F53" s="20">
        <f t="shared" si="22"/>
        <v>58419.964888888891</v>
      </c>
      <c r="G53" s="20">
        <f t="shared" si="22"/>
        <v>59941.590428444448</v>
      </c>
      <c r="H53" s="20">
        <f t="shared" si="22"/>
        <v>61495.989928462237</v>
      </c>
      <c r="I53" s="20">
        <f t="shared" si="22"/>
        <v>63603.078454938295</v>
      </c>
      <c r="J53" s="20">
        <f t="shared" si="22"/>
        <v>67546.379228844205</v>
      </c>
      <c r="K53" s="20">
        <f t="shared" si="22"/>
        <v>63709.999160064574</v>
      </c>
      <c r="L53" s="20">
        <f t="shared" si="22"/>
        <v>66833.121285086614</v>
      </c>
      <c r="M53" s="20">
        <f t="shared" si="22"/>
        <v>68576.373045038563</v>
      </c>
      <c r="N53" s="20">
        <f t="shared" si="22"/>
        <v>71276.844642226511</v>
      </c>
      <c r="O53" s="20">
        <f t="shared" si="22"/>
        <v>66252.230042753712</v>
      </c>
      <c r="P53" s="20">
        <f t="shared" si="22"/>
        <v>68379.528727475437</v>
      </c>
      <c r="Q53" s="20">
        <f t="shared" si="22"/>
        <v>72012.650943610992</v>
      </c>
      <c r="R53" s="20">
        <f t="shared" si="22"/>
        <v>75406.555541027279</v>
      </c>
      <c r="S53" s="20">
        <f t="shared" si="22"/>
        <v>70117.16269078452</v>
      </c>
      <c r="T53" s="20">
        <f t="shared" si="22"/>
        <v>71946.755250230985</v>
      </c>
      <c r="U53" s="20">
        <f t="shared" si="22"/>
        <v>75516.71127195454</v>
      </c>
      <c r="V53" s="20">
        <f t="shared" si="22"/>
        <v>78626.75790793226</v>
      </c>
      <c r="W53" s="20">
        <f t="shared" si="22"/>
        <v>82847.67128985544</v>
      </c>
      <c r="X53" s="20">
        <f t="shared" si="22"/>
        <v>86377.256165771265</v>
      </c>
      <c r="Y53" s="20">
        <f t="shared" si="22"/>
        <v>89463.170890883004</v>
      </c>
      <c r="Z53" s="20">
        <f t="shared" si="22"/>
        <v>92096.970701650236</v>
      </c>
      <c r="AA53" s="20">
        <f t="shared" si="22"/>
        <v>85719.783303270597</v>
      </c>
      <c r="AB53" s="20">
        <f t="shared" si="22"/>
        <v>91138.837173648251</v>
      </c>
      <c r="AC53" s="20">
        <f t="shared" si="22"/>
        <v>93970.760612475904</v>
      </c>
      <c r="AD53" s="20">
        <f t="shared" si="22"/>
        <v>97218.784346819724</v>
      </c>
      <c r="AE53" s="20">
        <f t="shared" si="22"/>
        <v>92037.905893440358</v>
      </c>
      <c r="AF53" s="20">
        <f t="shared" si="22"/>
        <v>94822.065063842907</v>
      </c>
      <c r="AG53" s="20">
        <f t="shared" si="22"/>
        <v>97358.399678898073</v>
      </c>
      <c r="AH53" s="20">
        <f t="shared" si="22"/>
        <v>90781.798860106865</v>
      </c>
      <c r="AI53" s="20">
        <f t="shared" si="22"/>
        <v>94187.00607919789</v>
      </c>
      <c r="AJ53" s="20">
        <f t="shared" si="22"/>
        <v>97032.606993281166</v>
      </c>
      <c r="AK53" s="20">
        <f t="shared" si="22"/>
        <v>100491.16687513731</v>
      </c>
      <c r="AL53" s="20">
        <f t="shared" si="22"/>
        <v>92358.981426547951</v>
      </c>
      <c r="AM53" s="20">
        <f t="shared" si="22"/>
        <v>95778.284333689764</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count="1">
    <dataValidation type="list" allowBlank="1" showInputMessage="1" showErrorMessage="1" sqref="D4" xr:uid="{3A22DCE4-E658-45CA-888C-3CFB35CFF11A}">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F98D8-F4C0-4A37-9236-F073158F41FE}">
  <sheetPr>
    <tabColor theme="9" tint="0.79998168889431442"/>
    <outlinePr summaryBelow="0" summaryRight="0"/>
  </sheetPr>
  <dimension ref="A1:NTP304"/>
  <sheetViews>
    <sheetView showGridLines="0" zoomScaleNormal="100" workbookViewId="0">
      <pane xSplit="3" ySplit="4" topLeftCell="D5" activePane="bottomRight" state="frozen"/>
      <selection activeCell="B8" sqref="B8"/>
      <selection pane="topRight" activeCell="B8" sqref="B8"/>
      <selection pane="bottomLeft" activeCell="B8" sqref="B8"/>
      <selection pane="bottomRight" activeCell="A2" sqref="A2"/>
    </sheetView>
  </sheetViews>
  <sheetFormatPr defaultColWidth="9.109375" defaultRowHeight="14.4" x14ac:dyDescent="0.3"/>
  <cols>
    <col min="1" max="1" width="2.5546875" customWidth="1"/>
    <col min="2" max="2" width="42.33203125" style="2" customWidth="1"/>
    <col min="3" max="3" width="2.6640625" customWidth="1"/>
    <col min="4" max="4" width="12.44140625" style="27" customWidth="1"/>
    <col min="5"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53</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0</v>
      </c>
      <c r="E6" s="14">
        <v>0</v>
      </c>
      <c r="F6" s="14">
        <v>0</v>
      </c>
      <c r="G6" s="14">
        <v>0</v>
      </c>
      <c r="H6" s="14">
        <v>0</v>
      </c>
      <c r="I6" s="14">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0</v>
      </c>
      <c r="AF6" s="14">
        <v>0</v>
      </c>
      <c r="AG6" s="14">
        <v>0</v>
      </c>
      <c r="AH6" s="14">
        <v>0</v>
      </c>
      <c r="AI6" s="14">
        <v>0</v>
      </c>
      <c r="AJ6" s="14">
        <v>0</v>
      </c>
      <c r="AK6" s="14">
        <v>0</v>
      </c>
      <c r="AL6" s="14">
        <v>0</v>
      </c>
      <c r="AM6" s="14">
        <v>0</v>
      </c>
    </row>
    <row r="7" spans="1:39" s="12" customFormat="1" ht="21" customHeight="1" x14ac:dyDescent="0.3">
      <c r="A7" s="8"/>
      <c r="B7" s="15" t="s">
        <v>4</v>
      </c>
      <c r="C7" s="10"/>
      <c r="D7" s="16">
        <f t="shared" ref="D7:AM7" si="1">SUM(D6 + D5)</f>
        <v>0</v>
      </c>
      <c r="E7" s="16">
        <f t="shared" ref="E7:AL7" si="2">SUM(E6 + E5)</f>
        <v>0</v>
      </c>
      <c r="F7" s="16">
        <f t="shared" si="2"/>
        <v>0</v>
      </c>
      <c r="G7" s="16">
        <f t="shared" si="2"/>
        <v>0</v>
      </c>
      <c r="H7" s="16">
        <f t="shared" si="2"/>
        <v>0</v>
      </c>
      <c r="I7" s="16">
        <f t="shared" si="2"/>
        <v>0</v>
      </c>
      <c r="J7" s="16">
        <f t="shared" si="2"/>
        <v>0</v>
      </c>
      <c r="K7" s="16">
        <f t="shared" si="2"/>
        <v>0</v>
      </c>
      <c r="L7" s="16">
        <f t="shared" si="2"/>
        <v>0</v>
      </c>
      <c r="M7" s="16">
        <f t="shared" si="2"/>
        <v>0</v>
      </c>
      <c r="N7" s="16">
        <f t="shared" si="2"/>
        <v>0</v>
      </c>
      <c r="O7" s="16">
        <f t="shared" si="2"/>
        <v>0</v>
      </c>
      <c r="P7" s="16">
        <f t="shared" si="2"/>
        <v>0</v>
      </c>
      <c r="Q7" s="16">
        <f t="shared" si="2"/>
        <v>0</v>
      </c>
      <c r="R7" s="16">
        <f t="shared" si="2"/>
        <v>0</v>
      </c>
      <c r="S7" s="16">
        <f t="shared" si="2"/>
        <v>0</v>
      </c>
      <c r="T7" s="16">
        <f t="shared" si="2"/>
        <v>0</v>
      </c>
      <c r="U7" s="16">
        <f t="shared" si="2"/>
        <v>0</v>
      </c>
      <c r="V7" s="16">
        <f t="shared" si="2"/>
        <v>0</v>
      </c>
      <c r="W7" s="16">
        <f t="shared" si="2"/>
        <v>0</v>
      </c>
      <c r="X7" s="16">
        <f t="shared" si="2"/>
        <v>0</v>
      </c>
      <c r="Y7" s="16">
        <f t="shared" si="2"/>
        <v>0</v>
      </c>
      <c r="Z7" s="16">
        <f t="shared" si="2"/>
        <v>0</v>
      </c>
      <c r="AA7" s="16">
        <f t="shared" si="2"/>
        <v>0</v>
      </c>
      <c r="AB7" s="16">
        <f t="shared" si="2"/>
        <v>0</v>
      </c>
      <c r="AC7" s="16">
        <f t="shared" si="2"/>
        <v>0</v>
      </c>
      <c r="AD7" s="16">
        <f t="shared" si="2"/>
        <v>0</v>
      </c>
      <c r="AE7" s="16">
        <f t="shared" si="2"/>
        <v>0</v>
      </c>
      <c r="AF7" s="16">
        <f t="shared" si="2"/>
        <v>0</v>
      </c>
      <c r="AG7" s="16">
        <f t="shared" si="2"/>
        <v>0</v>
      </c>
      <c r="AH7" s="16">
        <f t="shared" si="2"/>
        <v>0</v>
      </c>
      <c r="AI7" s="16">
        <f t="shared" si="2"/>
        <v>0</v>
      </c>
      <c r="AJ7" s="16">
        <f t="shared" si="2"/>
        <v>0</v>
      </c>
      <c r="AK7" s="16">
        <f t="shared" si="2"/>
        <v>0</v>
      </c>
      <c r="AL7" s="16">
        <f t="shared" si="2"/>
        <v>0</v>
      </c>
      <c r="AM7" s="16">
        <f t="shared" si="1"/>
        <v>0</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800</v>
      </c>
      <c r="E9" s="14">
        <v>832</v>
      </c>
      <c r="F9" s="14">
        <v>865.28</v>
      </c>
      <c r="G9" s="14">
        <v>899.89120000000003</v>
      </c>
      <c r="H9" s="14">
        <v>935.8868480000001</v>
      </c>
      <c r="I9" s="14">
        <v>973.32232192000015</v>
      </c>
      <c r="J9" s="14">
        <v>1012.2552147968001</v>
      </c>
      <c r="K9" s="14">
        <v>1052.7454233886722</v>
      </c>
      <c r="L9" s="14">
        <v>1094.855240324219</v>
      </c>
      <c r="M9" s="14">
        <v>1138.6494499371879</v>
      </c>
      <c r="N9" s="14">
        <v>1184.1954279346755</v>
      </c>
      <c r="O9" s="14">
        <v>1231.5632450520627</v>
      </c>
      <c r="P9" s="14">
        <v>1280.8257748541453</v>
      </c>
      <c r="Q9" s="14">
        <v>1332.0588058483111</v>
      </c>
      <c r="R9" s="14">
        <v>1385.3411580822435</v>
      </c>
      <c r="S9" s="14">
        <v>1440.7548044055334</v>
      </c>
      <c r="T9" s="14">
        <v>1498.3849965817549</v>
      </c>
      <c r="U9" s="14">
        <v>1558.3203964450252</v>
      </c>
      <c r="V9" s="14">
        <v>1620.6532123028262</v>
      </c>
      <c r="W9" s="14">
        <v>1685.4793407949394</v>
      </c>
      <c r="X9" s="14">
        <v>1752.8985144267369</v>
      </c>
      <c r="Y9" s="14">
        <v>1823.0144550038065</v>
      </c>
      <c r="Z9" s="14">
        <v>1895.9350332039587</v>
      </c>
      <c r="AA9" s="14">
        <v>1971.7724345321171</v>
      </c>
      <c r="AB9" s="14">
        <v>2050.6433319134021</v>
      </c>
      <c r="AC9" s="14">
        <v>2132.6690651899385</v>
      </c>
      <c r="AD9" s="14">
        <v>2217.9758277975361</v>
      </c>
      <c r="AE9" s="14">
        <v>2306.6948609094375</v>
      </c>
      <c r="AF9" s="14">
        <v>2398.9626553458152</v>
      </c>
      <c r="AG9" s="14">
        <v>2494.9211615596478</v>
      </c>
      <c r="AH9" s="14">
        <v>2594.7180080220337</v>
      </c>
      <c r="AI9" s="14">
        <v>2698.5067283429153</v>
      </c>
      <c r="AJ9" s="14">
        <v>2806.4469974766321</v>
      </c>
      <c r="AK9" s="14">
        <v>2918.7048773756974</v>
      </c>
      <c r="AL9" s="14">
        <v>3035.4530724707256</v>
      </c>
      <c r="AM9" s="14">
        <v>3156.8711953695547</v>
      </c>
    </row>
    <row r="10" spans="1:39" s="12" customFormat="1" ht="21" customHeight="1" x14ac:dyDescent="0.3">
      <c r="A10" s="8"/>
      <c r="B10" s="13" t="s">
        <v>7</v>
      </c>
      <c r="C10" s="10"/>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0</v>
      </c>
      <c r="AM10" s="14">
        <v>0</v>
      </c>
    </row>
    <row r="11" spans="1:39" s="12" customFormat="1" ht="21" customHeight="1" x14ac:dyDescent="0.3">
      <c r="A11" s="8"/>
      <c r="B11" s="15" t="s">
        <v>8</v>
      </c>
      <c r="C11" s="10"/>
      <c r="D11" s="16">
        <f t="shared" ref="D11:AM11" si="3">SUM(D10, D9 + D8)</f>
        <v>800</v>
      </c>
      <c r="E11" s="16">
        <f t="shared" si="3"/>
        <v>832</v>
      </c>
      <c r="F11" s="16">
        <f t="shared" si="3"/>
        <v>865.28</v>
      </c>
      <c r="G11" s="16">
        <f t="shared" si="3"/>
        <v>899.89120000000003</v>
      </c>
      <c r="H11" s="16">
        <f t="shared" si="3"/>
        <v>935.8868480000001</v>
      </c>
      <c r="I11" s="16">
        <f t="shared" si="3"/>
        <v>973.32232192000015</v>
      </c>
      <c r="J11" s="16">
        <f t="shared" si="3"/>
        <v>1012.2552147968001</v>
      </c>
      <c r="K11" s="16">
        <f t="shared" si="3"/>
        <v>1052.7454233886722</v>
      </c>
      <c r="L11" s="16">
        <f t="shared" si="3"/>
        <v>1094.855240324219</v>
      </c>
      <c r="M11" s="16">
        <f t="shared" si="3"/>
        <v>1138.6494499371879</v>
      </c>
      <c r="N11" s="16">
        <f t="shared" si="3"/>
        <v>1184.1954279346755</v>
      </c>
      <c r="O11" s="16">
        <f t="shared" si="3"/>
        <v>1231.5632450520627</v>
      </c>
      <c r="P11" s="16">
        <f t="shared" si="3"/>
        <v>1280.8257748541453</v>
      </c>
      <c r="Q11" s="16">
        <f t="shared" si="3"/>
        <v>1332.0588058483111</v>
      </c>
      <c r="R11" s="16">
        <f t="shared" si="3"/>
        <v>1385.3411580822435</v>
      </c>
      <c r="S11" s="16">
        <f t="shared" si="3"/>
        <v>1440.7548044055334</v>
      </c>
      <c r="T11" s="16">
        <f t="shared" si="3"/>
        <v>1498.3849965817549</v>
      </c>
      <c r="U11" s="16">
        <f t="shared" si="3"/>
        <v>1558.3203964450252</v>
      </c>
      <c r="V11" s="16">
        <f t="shared" si="3"/>
        <v>1620.6532123028262</v>
      </c>
      <c r="W11" s="16">
        <f t="shared" si="3"/>
        <v>1685.4793407949394</v>
      </c>
      <c r="X11" s="16">
        <f t="shared" si="3"/>
        <v>1752.8985144267369</v>
      </c>
      <c r="Y11" s="16">
        <f t="shared" si="3"/>
        <v>1823.0144550038065</v>
      </c>
      <c r="Z11" s="16">
        <f t="shared" si="3"/>
        <v>1895.9350332039587</v>
      </c>
      <c r="AA11" s="16">
        <f t="shared" si="3"/>
        <v>1971.7724345321171</v>
      </c>
      <c r="AB11" s="16">
        <f t="shared" si="3"/>
        <v>2050.6433319134021</v>
      </c>
      <c r="AC11" s="16">
        <f t="shared" si="3"/>
        <v>2132.6690651899385</v>
      </c>
      <c r="AD11" s="16">
        <f t="shared" si="3"/>
        <v>2217.9758277975361</v>
      </c>
      <c r="AE11" s="16">
        <f t="shared" si="3"/>
        <v>2306.6948609094375</v>
      </c>
      <c r="AF11" s="16">
        <f t="shared" si="3"/>
        <v>2398.9626553458152</v>
      </c>
      <c r="AG11" s="16">
        <f t="shared" si="3"/>
        <v>2494.9211615596478</v>
      </c>
      <c r="AH11" s="16">
        <f t="shared" si="3"/>
        <v>2594.7180080220337</v>
      </c>
      <c r="AI11" s="16">
        <f t="shared" si="3"/>
        <v>2698.5067283429153</v>
      </c>
      <c r="AJ11" s="16">
        <f t="shared" si="3"/>
        <v>2806.4469974766321</v>
      </c>
      <c r="AK11" s="16">
        <f t="shared" si="3"/>
        <v>2918.7048773756974</v>
      </c>
      <c r="AL11" s="16">
        <f t="shared" si="3"/>
        <v>3035.4530724707256</v>
      </c>
      <c r="AM11" s="16">
        <f t="shared" si="3"/>
        <v>3156.8711953695547</v>
      </c>
    </row>
    <row r="12" spans="1:39" s="18" customFormat="1" ht="21" customHeight="1" x14ac:dyDescent="0.3">
      <c r="B12" s="15" t="s">
        <v>9</v>
      </c>
      <c r="C12" s="19"/>
      <c r="D12" s="20">
        <f t="shared" ref="D12:AM12" si="4">D7-D11</f>
        <v>-800</v>
      </c>
      <c r="E12" s="20">
        <f t="shared" si="4"/>
        <v>-832</v>
      </c>
      <c r="F12" s="20">
        <f t="shared" si="4"/>
        <v>-865.28</v>
      </c>
      <c r="G12" s="20">
        <f t="shared" si="4"/>
        <v>-899.89120000000003</v>
      </c>
      <c r="H12" s="20">
        <f t="shared" si="4"/>
        <v>-935.8868480000001</v>
      </c>
      <c r="I12" s="20">
        <f t="shared" si="4"/>
        <v>-973.32232192000015</v>
      </c>
      <c r="J12" s="20">
        <f t="shared" si="4"/>
        <v>-1012.2552147968001</v>
      </c>
      <c r="K12" s="20">
        <f t="shared" si="4"/>
        <v>-1052.7454233886722</v>
      </c>
      <c r="L12" s="20">
        <f t="shared" si="4"/>
        <v>-1094.855240324219</v>
      </c>
      <c r="M12" s="20">
        <f t="shared" si="4"/>
        <v>-1138.6494499371879</v>
      </c>
      <c r="N12" s="20">
        <f t="shared" si="4"/>
        <v>-1184.1954279346755</v>
      </c>
      <c r="O12" s="20">
        <f t="shared" si="4"/>
        <v>-1231.5632450520627</v>
      </c>
      <c r="P12" s="20">
        <f t="shared" si="4"/>
        <v>-1280.8257748541453</v>
      </c>
      <c r="Q12" s="20">
        <f t="shared" si="4"/>
        <v>-1332.0588058483111</v>
      </c>
      <c r="R12" s="20">
        <f t="shared" si="4"/>
        <v>-1385.3411580822435</v>
      </c>
      <c r="S12" s="20">
        <f t="shared" si="4"/>
        <v>-1440.7548044055334</v>
      </c>
      <c r="T12" s="20">
        <f t="shared" si="4"/>
        <v>-1498.3849965817549</v>
      </c>
      <c r="U12" s="20">
        <f t="shared" si="4"/>
        <v>-1558.3203964450252</v>
      </c>
      <c r="V12" s="20">
        <f t="shared" si="4"/>
        <v>-1620.6532123028262</v>
      </c>
      <c r="W12" s="20">
        <f t="shared" si="4"/>
        <v>-1685.4793407949394</v>
      </c>
      <c r="X12" s="20">
        <f t="shared" si="4"/>
        <v>-1752.8985144267369</v>
      </c>
      <c r="Y12" s="20">
        <f t="shared" si="4"/>
        <v>-1823.0144550038065</v>
      </c>
      <c r="Z12" s="20">
        <f t="shared" si="4"/>
        <v>-1895.9350332039587</v>
      </c>
      <c r="AA12" s="20">
        <f t="shared" si="4"/>
        <v>-1971.7724345321171</v>
      </c>
      <c r="AB12" s="20">
        <f t="shared" si="4"/>
        <v>-2050.6433319134021</v>
      </c>
      <c r="AC12" s="20">
        <f t="shared" si="4"/>
        <v>-2132.6690651899385</v>
      </c>
      <c r="AD12" s="20">
        <f t="shared" si="4"/>
        <v>-2217.9758277975361</v>
      </c>
      <c r="AE12" s="20">
        <f t="shared" si="4"/>
        <v>-2306.6948609094375</v>
      </c>
      <c r="AF12" s="20">
        <f t="shared" si="4"/>
        <v>-2398.9626553458152</v>
      </c>
      <c r="AG12" s="20">
        <f t="shared" si="4"/>
        <v>-2494.9211615596478</v>
      </c>
      <c r="AH12" s="20">
        <f t="shared" si="4"/>
        <v>-2594.7180080220337</v>
      </c>
      <c r="AI12" s="20">
        <f t="shared" si="4"/>
        <v>-2698.5067283429153</v>
      </c>
      <c r="AJ12" s="20">
        <f t="shared" si="4"/>
        <v>-2806.4469974766321</v>
      </c>
      <c r="AK12" s="20">
        <f t="shared" si="4"/>
        <v>-2918.7048773756974</v>
      </c>
      <c r="AL12" s="20">
        <f t="shared" si="4"/>
        <v>-3035.4530724707256</v>
      </c>
      <c r="AM12" s="20">
        <f t="shared" si="4"/>
        <v>-3156.8711953695547</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0</v>
      </c>
      <c r="E14" s="14">
        <v>0</v>
      </c>
      <c r="F14" s="14">
        <v>0</v>
      </c>
      <c r="G14" s="14">
        <v>0</v>
      </c>
      <c r="H14" s="14">
        <v>0</v>
      </c>
      <c r="I14" s="14">
        <v>0</v>
      </c>
      <c r="J14" s="14">
        <v>0</v>
      </c>
      <c r="K14" s="14">
        <v>0</v>
      </c>
      <c r="L14" s="14">
        <v>0</v>
      </c>
      <c r="M14" s="14">
        <v>0</v>
      </c>
      <c r="N14" s="14">
        <v>0</v>
      </c>
      <c r="O14" s="14">
        <v>0</v>
      </c>
      <c r="P14" s="14">
        <v>0</v>
      </c>
      <c r="Q14" s="14">
        <v>0</v>
      </c>
      <c r="R14" s="14">
        <v>0</v>
      </c>
      <c r="S14" s="14">
        <v>0</v>
      </c>
      <c r="T14" s="14">
        <v>0</v>
      </c>
      <c r="U14" s="14">
        <v>0</v>
      </c>
      <c r="V14" s="14">
        <v>0</v>
      </c>
      <c r="W14" s="14">
        <v>0</v>
      </c>
      <c r="X14" s="14">
        <v>0</v>
      </c>
      <c r="Y14" s="14">
        <v>0</v>
      </c>
      <c r="Z14" s="14">
        <v>0</v>
      </c>
      <c r="AA14" s="14">
        <v>0</v>
      </c>
      <c r="AB14" s="14">
        <v>0</v>
      </c>
      <c r="AC14" s="14">
        <v>0</v>
      </c>
      <c r="AD14" s="14">
        <v>0</v>
      </c>
      <c r="AE14" s="14">
        <v>0</v>
      </c>
      <c r="AF14" s="14">
        <v>0</v>
      </c>
      <c r="AG14" s="14">
        <v>0</v>
      </c>
      <c r="AH14" s="14">
        <v>0</v>
      </c>
      <c r="AI14" s="14">
        <v>0</v>
      </c>
      <c r="AJ14" s="14">
        <v>0</v>
      </c>
      <c r="AK14" s="14">
        <v>0</v>
      </c>
      <c r="AL14" s="14">
        <v>0</v>
      </c>
      <c r="AM14" s="14">
        <v>0</v>
      </c>
    </row>
    <row r="15" spans="1:39" s="12" customFormat="1" ht="21" customHeight="1" x14ac:dyDescent="0.3">
      <c r="B15" s="13" t="s">
        <v>12</v>
      </c>
      <c r="C15" s="10"/>
      <c r="D15" s="14">
        <v>0</v>
      </c>
      <c r="E15" s="14">
        <v>0</v>
      </c>
      <c r="F15" s="14">
        <v>0</v>
      </c>
      <c r="G15" s="14">
        <v>0</v>
      </c>
      <c r="H15" s="14">
        <v>0</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row>
    <row r="16" spans="1:39" s="12" customFormat="1" ht="21" customHeight="1" x14ac:dyDescent="0.3">
      <c r="B16" s="13" t="s">
        <v>13</v>
      </c>
      <c r="C16" s="10"/>
      <c r="D16" s="14">
        <v>4000</v>
      </c>
      <c r="E16" s="14">
        <v>4160</v>
      </c>
      <c r="F16" s="14">
        <f>E16*(0.9)</f>
        <v>3744</v>
      </c>
      <c r="G16" s="14">
        <v>3893.76</v>
      </c>
      <c r="H16" s="14">
        <v>4049.5104000000006</v>
      </c>
      <c r="I16" s="14">
        <v>4211.4908160000005</v>
      </c>
      <c r="J16" s="14">
        <v>4379.950448640001</v>
      </c>
      <c r="K16" s="14">
        <v>4555.1484665856015</v>
      </c>
      <c r="L16" s="14">
        <v>4737.3544052490261</v>
      </c>
      <c r="M16" s="14">
        <f t="shared" ref="M16:N16" si="5">L16*(0.9)</f>
        <v>4263.6189647241235</v>
      </c>
      <c r="N16" s="14">
        <f t="shared" si="5"/>
        <v>3837.2570682517112</v>
      </c>
      <c r="O16" s="14">
        <v>3990.7473509817796</v>
      </c>
      <c r="P16" s="14">
        <v>4150.3772450210508</v>
      </c>
      <c r="Q16" s="14">
        <v>4316.3923348218932</v>
      </c>
      <c r="R16" s="14">
        <f>Q16*(0.9)</f>
        <v>3884.7531013397038</v>
      </c>
      <c r="S16" s="14">
        <v>4040.1432253932921</v>
      </c>
      <c r="T16" s="14">
        <v>4201.748954409024</v>
      </c>
      <c r="U16" s="14">
        <v>4369.8189125853851</v>
      </c>
      <c r="V16" s="14">
        <f t="shared" ref="V16:W16" si="6">U16*(0.9)</f>
        <v>3932.8370213268468</v>
      </c>
      <c r="W16" s="14">
        <f t="shared" si="6"/>
        <v>3539.5533191941622</v>
      </c>
      <c r="X16" s="14">
        <v>3681.135451961929</v>
      </c>
      <c r="Y16" s="14">
        <v>3828.3808700404061</v>
      </c>
      <c r="Z16" s="14">
        <v>3981.5161048420223</v>
      </c>
      <c r="AA16" s="14">
        <v>4140.7767490357037</v>
      </c>
      <c r="AB16" s="14">
        <v>4306.4078189971324</v>
      </c>
      <c r="AC16" s="14">
        <f>AB16*(0.9)</f>
        <v>3875.7670370974192</v>
      </c>
      <c r="AD16" s="14">
        <v>4030.7977185813161</v>
      </c>
      <c r="AE16" s="14">
        <v>4192.0296273245685</v>
      </c>
      <c r="AF16" s="14">
        <v>4359.7108124175511</v>
      </c>
      <c r="AG16" s="14">
        <f>AF16*(0.9)</f>
        <v>3923.7397311757959</v>
      </c>
      <c r="AH16" s="14">
        <v>4080.6893204228277</v>
      </c>
      <c r="AI16" s="14">
        <v>4243.9168932397406</v>
      </c>
      <c r="AJ16" s="14">
        <v>4413.6735689693305</v>
      </c>
      <c r="AK16" s="14">
        <v>4590.2205117281037</v>
      </c>
      <c r="AL16" s="14">
        <v>4773.8293321972278</v>
      </c>
      <c r="AM16" s="14">
        <f>AL16*(0.9)</f>
        <v>4296.4463989775049</v>
      </c>
    </row>
    <row r="17" spans="2:39" s="12" customFormat="1" ht="21" customHeight="1" x14ac:dyDescent="0.3">
      <c r="B17" s="13" t="s">
        <v>14</v>
      </c>
      <c r="C17" s="10"/>
      <c r="D17" s="14">
        <v>6000</v>
      </c>
      <c r="E17" s="14">
        <v>6180</v>
      </c>
      <c r="F17" s="14">
        <v>6365.4000000000005</v>
      </c>
      <c r="G17" s="14">
        <f>F17*(0.9)</f>
        <v>5728.8600000000006</v>
      </c>
      <c r="H17" s="14">
        <v>5900.7258000000011</v>
      </c>
      <c r="I17" s="14">
        <v>6077.7475740000009</v>
      </c>
      <c r="J17" s="14">
        <v>6260.0800012200007</v>
      </c>
      <c r="K17" s="14">
        <v>6447.882401256601</v>
      </c>
      <c r="L17" s="14">
        <v>6641.318873294299</v>
      </c>
      <c r="M17" s="14">
        <v>6840.5584394931284</v>
      </c>
      <c r="N17" s="14">
        <f>M17*(0.9)</f>
        <v>6156.5025955438159</v>
      </c>
      <c r="O17" s="14">
        <v>6341.1976734101308</v>
      </c>
      <c r="P17" s="14">
        <v>6531.433603612435</v>
      </c>
      <c r="Q17" s="14">
        <v>6727.3766117208079</v>
      </c>
      <c r="R17" s="14">
        <f>Q17*(0.9)</f>
        <v>6054.6389505487268</v>
      </c>
      <c r="S17" s="14">
        <v>6236.2781190651885</v>
      </c>
      <c r="T17" s="14">
        <v>6423.3664626371447</v>
      </c>
      <c r="U17" s="14">
        <v>6616.067456516259</v>
      </c>
      <c r="V17" s="14">
        <v>6814.5494802117473</v>
      </c>
      <c r="W17" s="14">
        <v>7018.9859646181003</v>
      </c>
      <c r="X17" s="14">
        <v>7229.5555435566439</v>
      </c>
      <c r="Y17" s="14">
        <f>X17*(0.9)</f>
        <v>6506.5999892009795</v>
      </c>
      <c r="Z17" s="14">
        <v>6701.7979888770087</v>
      </c>
      <c r="AA17" s="14">
        <v>6902.8519285433194</v>
      </c>
      <c r="AB17" s="14">
        <v>7109.937486399619</v>
      </c>
      <c r="AC17" s="14">
        <f>AB17*(0.9)</f>
        <v>6398.9437377596569</v>
      </c>
      <c r="AD17" s="14">
        <v>6590.9120498924467</v>
      </c>
      <c r="AE17" s="14">
        <v>6788.6394113892202</v>
      </c>
      <c r="AF17" s="14">
        <v>6992.2985937308968</v>
      </c>
      <c r="AG17" s="14">
        <f>AF17*(0.9)</f>
        <v>6293.0687343578074</v>
      </c>
      <c r="AH17" s="14">
        <v>6481.8607963885415</v>
      </c>
      <c r="AI17" s="14">
        <v>6676.3166202801976</v>
      </c>
      <c r="AJ17" s="14">
        <v>6876.6061188886033</v>
      </c>
      <c r="AK17" s="14">
        <v>7082.904302455262</v>
      </c>
      <c r="AL17" s="14">
        <f>AK17*(0.9)</f>
        <v>6374.6138722097357</v>
      </c>
      <c r="AM17" s="14">
        <v>6565.8522883760279</v>
      </c>
    </row>
    <row r="18" spans="2:39" s="12" customFormat="1" ht="21" customHeight="1" x14ac:dyDescent="0.3">
      <c r="B18" s="13" t="s">
        <v>15</v>
      </c>
      <c r="C18" s="10"/>
      <c r="D18" s="14">
        <v>0</v>
      </c>
      <c r="E18" s="14">
        <v>0</v>
      </c>
      <c r="F18" s="14">
        <v>0</v>
      </c>
      <c r="G18" s="14">
        <v>0</v>
      </c>
      <c r="H18" s="14">
        <v>0</v>
      </c>
      <c r="I18" s="14">
        <v>0</v>
      </c>
      <c r="J18" s="14">
        <v>0</v>
      </c>
      <c r="K18" s="14">
        <v>0</v>
      </c>
      <c r="L18" s="14">
        <v>0</v>
      </c>
      <c r="M18" s="14">
        <v>0</v>
      </c>
      <c r="N18" s="14">
        <v>0</v>
      </c>
      <c r="O18" s="14">
        <v>0</v>
      </c>
      <c r="P18" s="14">
        <v>0</v>
      </c>
      <c r="Q18" s="14">
        <v>0</v>
      </c>
      <c r="R18" s="14">
        <v>0</v>
      </c>
      <c r="S18" s="14">
        <v>0</v>
      </c>
      <c r="T18" s="14">
        <v>0</v>
      </c>
      <c r="U18" s="14">
        <v>0</v>
      </c>
      <c r="V18" s="14">
        <v>0</v>
      </c>
      <c r="W18" s="14">
        <v>0</v>
      </c>
      <c r="X18" s="14">
        <v>0</v>
      </c>
      <c r="Y18" s="14">
        <v>0</v>
      </c>
      <c r="Z18" s="14">
        <v>0</v>
      </c>
      <c r="AA18" s="14">
        <v>0</v>
      </c>
      <c r="AB18" s="14">
        <v>0</v>
      </c>
      <c r="AC18" s="14">
        <v>0</v>
      </c>
      <c r="AD18" s="14">
        <v>0</v>
      </c>
      <c r="AE18" s="14">
        <v>0</v>
      </c>
      <c r="AF18" s="14">
        <v>0</v>
      </c>
      <c r="AG18" s="14">
        <v>0</v>
      </c>
      <c r="AH18" s="14">
        <v>0</v>
      </c>
      <c r="AI18" s="14">
        <v>0</v>
      </c>
      <c r="AJ18" s="14">
        <v>0</v>
      </c>
      <c r="AK18" s="14">
        <v>0</v>
      </c>
      <c r="AL18" s="14">
        <v>0</v>
      </c>
      <c r="AM18" s="14">
        <v>0</v>
      </c>
    </row>
    <row r="19" spans="2:39" s="18" customFormat="1" ht="21" customHeight="1" x14ac:dyDescent="0.3">
      <c r="B19" s="21" t="s">
        <v>16</v>
      </c>
      <c r="C19" s="19"/>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row>
    <row r="20" spans="2:39" s="12" customFormat="1" ht="21" customHeight="1" x14ac:dyDescent="0.3">
      <c r="B20" s="22" t="s">
        <v>17</v>
      </c>
      <c r="C20" s="10"/>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c r="Z20" s="14">
        <v>0</v>
      </c>
      <c r="AA20" s="14">
        <v>0</v>
      </c>
      <c r="AB20" s="14">
        <v>0</v>
      </c>
      <c r="AC20" s="14">
        <v>0</v>
      </c>
      <c r="AD20" s="14">
        <v>0</v>
      </c>
      <c r="AE20" s="14">
        <v>0</v>
      </c>
      <c r="AF20" s="14">
        <v>0</v>
      </c>
      <c r="AG20" s="14">
        <v>0</v>
      </c>
      <c r="AH20" s="14">
        <v>0</v>
      </c>
      <c r="AI20" s="14">
        <v>0</v>
      </c>
      <c r="AJ20" s="14">
        <v>0</v>
      </c>
      <c r="AK20" s="14">
        <v>0</v>
      </c>
      <c r="AL20" s="14">
        <v>0</v>
      </c>
      <c r="AM20" s="14">
        <v>0</v>
      </c>
    </row>
    <row r="21" spans="2:39" s="12" customFormat="1" ht="21" customHeight="1" x14ac:dyDescent="0.3">
      <c r="B21" s="22" t="s">
        <v>18</v>
      </c>
      <c r="C21" s="10"/>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row>
    <row r="22" spans="2:39" s="12" customFormat="1" ht="21" customHeight="1" x14ac:dyDescent="0.3">
      <c r="B22" s="22" t="s">
        <v>19</v>
      </c>
      <c r="C22" s="10"/>
      <c r="D22" s="14">
        <v>0</v>
      </c>
      <c r="E22" s="14">
        <v>0</v>
      </c>
      <c r="F22" s="14">
        <v>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0</v>
      </c>
      <c r="AD22" s="14">
        <v>0</v>
      </c>
      <c r="AE22" s="14">
        <v>0</v>
      </c>
      <c r="AF22" s="14">
        <v>0</v>
      </c>
      <c r="AG22" s="14">
        <v>0</v>
      </c>
      <c r="AH22" s="14">
        <v>0</v>
      </c>
      <c r="AI22" s="14">
        <v>0</v>
      </c>
      <c r="AJ22" s="14">
        <v>0</v>
      </c>
      <c r="AK22" s="14">
        <v>0</v>
      </c>
      <c r="AL22" s="14">
        <v>0</v>
      </c>
      <c r="AM22" s="14">
        <v>0</v>
      </c>
    </row>
    <row r="23" spans="2:39" s="12" customFormat="1" ht="21" customHeight="1" x14ac:dyDescent="0.3">
      <c r="B23" s="21" t="s">
        <v>20</v>
      </c>
      <c r="C23" s="10"/>
      <c r="D23" s="16">
        <f t="shared" ref="D23:AM23" si="7">SUM(D22, D21, D20 + D19)</f>
        <v>0</v>
      </c>
      <c r="E23" s="16">
        <f t="shared" si="7"/>
        <v>0</v>
      </c>
      <c r="F23" s="16">
        <f t="shared" si="7"/>
        <v>0</v>
      </c>
      <c r="G23" s="16">
        <f t="shared" si="7"/>
        <v>0</v>
      </c>
      <c r="H23" s="16">
        <f t="shared" si="7"/>
        <v>0</v>
      </c>
      <c r="I23" s="16">
        <f t="shared" si="7"/>
        <v>0</v>
      </c>
      <c r="J23" s="16">
        <f t="shared" si="7"/>
        <v>0</v>
      </c>
      <c r="K23" s="16">
        <f t="shared" si="7"/>
        <v>0</v>
      </c>
      <c r="L23" s="16">
        <f t="shared" si="7"/>
        <v>0</v>
      </c>
      <c r="M23" s="16">
        <f t="shared" si="7"/>
        <v>0</v>
      </c>
      <c r="N23" s="16">
        <f t="shared" si="7"/>
        <v>0</v>
      </c>
      <c r="O23" s="16">
        <f t="shared" si="7"/>
        <v>0</v>
      </c>
      <c r="P23" s="16">
        <f t="shared" si="7"/>
        <v>0</v>
      </c>
      <c r="Q23" s="16">
        <f t="shared" si="7"/>
        <v>0</v>
      </c>
      <c r="R23" s="16">
        <f t="shared" si="7"/>
        <v>0</v>
      </c>
      <c r="S23" s="16">
        <f t="shared" si="7"/>
        <v>0</v>
      </c>
      <c r="T23" s="16">
        <f t="shared" si="7"/>
        <v>0</v>
      </c>
      <c r="U23" s="16">
        <f t="shared" si="7"/>
        <v>0</v>
      </c>
      <c r="V23" s="16">
        <f t="shared" si="7"/>
        <v>0</v>
      </c>
      <c r="W23" s="16">
        <f t="shared" si="7"/>
        <v>0</v>
      </c>
      <c r="X23" s="16">
        <f t="shared" si="7"/>
        <v>0</v>
      </c>
      <c r="Y23" s="16">
        <f t="shared" si="7"/>
        <v>0</v>
      </c>
      <c r="Z23" s="16">
        <f t="shared" si="7"/>
        <v>0</v>
      </c>
      <c r="AA23" s="16">
        <f t="shared" si="7"/>
        <v>0</v>
      </c>
      <c r="AB23" s="16">
        <f t="shared" si="7"/>
        <v>0</v>
      </c>
      <c r="AC23" s="16">
        <f t="shared" si="7"/>
        <v>0</v>
      </c>
      <c r="AD23" s="16">
        <f t="shared" si="7"/>
        <v>0</v>
      </c>
      <c r="AE23" s="16">
        <f t="shared" si="7"/>
        <v>0</v>
      </c>
      <c r="AF23" s="16">
        <f t="shared" si="7"/>
        <v>0</v>
      </c>
      <c r="AG23" s="16">
        <f t="shared" si="7"/>
        <v>0</v>
      </c>
      <c r="AH23" s="16">
        <f t="shared" si="7"/>
        <v>0</v>
      </c>
      <c r="AI23" s="16">
        <f t="shared" si="7"/>
        <v>0</v>
      </c>
      <c r="AJ23" s="16">
        <f t="shared" si="7"/>
        <v>0</v>
      </c>
      <c r="AK23" s="16">
        <f t="shared" si="7"/>
        <v>0</v>
      </c>
      <c r="AL23" s="16">
        <f t="shared" si="7"/>
        <v>0</v>
      </c>
      <c r="AM23" s="16">
        <f t="shared" si="7"/>
        <v>0</v>
      </c>
    </row>
    <row r="24" spans="2:39" s="18" customFormat="1" ht="21" customHeight="1" x14ac:dyDescent="0.3">
      <c r="B24" s="21" t="s">
        <v>21</v>
      </c>
      <c r="C24" s="19"/>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14">
        <v>0</v>
      </c>
      <c r="AB24" s="14">
        <v>0</v>
      </c>
      <c r="AC24" s="14">
        <v>0</v>
      </c>
      <c r="AD24" s="14">
        <v>0</v>
      </c>
      <c r="AE24" s="14">
        <v>0</v>
      </c>
      <c r="AF24" s="14">
        <v>0</v>
      </c>
      <c r="AG24" s="14">
        <v>0</v>
      </c>
      <c r="AH24" s="14">
        <v>0</v>
      </c>
      <c r="AI24" s="14">
        <v>0</v>
      </c>
      <c r="AJ24" s="14">
        <v>0</v>
      </c>
      <c r="AK24" s="14">
        <v>0</v>
      </c>
      <c r="AL24" s="14">
        <v>0</v>
      </c>
      <c r="AM24" s="14">
        <v>0</v>
      </c>
    </row>
    <row r="25" spans="2:39" s="12" customFormat="1" ht="21" customHeight="1" x14ac:dyDescent="0.3">
      <c r="B25" s="22" t="s">
        <v>22</v>
      </c>
      <c r="C25" s="10"/>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c r="U25" s="14">
        <v>0</v>
      </c>
      <c r="V25" s="14">
        <v>0</v>
      </c>
      <c r="W25" s="14">
        <v>0</v>
      </c>
      <c r="X25" s="14">
        <v>0</v>
      </c>
      <c r="Y25" s="14">
        <v>0</v>
      </c>
      <c r="Z25" s="14">
        <v>0</v>
      </c>
      <c r="AA25" s="14">
        <v>0</v>
      </c>
      <c r="AB25" s="14">
        <v>0</v>
      </c>
      <c r="AC25" s="14">
        <v>0</v>
      </c>
      <c r="AD25" s="14">
        <v>0</v>
      </c>
      <c r="AE25" s="14">
        <v>0</v>
      </c>
      <c r="AF25" s="14">
        <v>0</v>
      </c>
      <c r="AG25" s="14">
        <v>0</v>
      </c>
      <c r="AH25" s="14">
        <v>0</v>
      </c>
      <c r="AI25" s="14">
        <v>0</v>
      </c>
      <c r="AJ25" s="14">
        <v>0</v>
      </c>
      <c r="AK25" s="14">
        <v>0</v>
      </c>
      <c r="AL25" s="14">
        <v>0</v>
      </c>
      <c r="AM25" s="14">
        <v>0</v>
      </c>
    </row>
    <row r="26" spans="2:39" s="12" customFormat="1" ht="21" customHeight="1" x14ac:dyDescent="0.3">
      <c r="B26" s="22" t="s">
        <v>23</v>
      </c>
      <c r="C26" s="10"/>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row>
    <row r="27" spans="2:39" s="12" customFormat="1" ht="21" customHeight="1" x14ac:dyDescent="0.3">
      <c r="B27" s="22" t="s">
        <v>24</v>
      </c>
      <c r="C27" s="10"/>
      <c r="D27" s="14">
        <v>0</v>
      </c>
      <c r="E27" s="14">
        <v>0</v>
      </c>
      <c r="F27" s="14">
        <v>0</v>
      </c>
      <c r="G27" s="14">
        <v>0</v>
      </c>
      <c r="H27" s="14">
        <v>0</v>
      </c>
      <c r="I27" s="14">
        <v>0</v>
      </c>
      <c r="J27" s="14">
        <v>0</v>
      </c>
      <c r="K27" s="14">
        <v>0</v>
      </c>
      <c r="L27" s="14">
        <v>0</v>
      </c>
      <c r="M27" s="14">
        <v>0</v>
      </c>
      <c r="N27" s="14">
        <v>0</v>
      </c>
      <c r="O27" s="14">
        <v>0</v>
      </c>
      <c r="P27" s="14">
        <v>0</v>
      </c>
      <c r="Q27" s="14">
        <v>0</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row>
    <row r="28" spans="2:39" s="12" customFormat="1" ht="21" customHeight="1" x14ac:dyDescent="0.3">
      <c r="B28" s="22" t="s">
        <v>25</v>
      </c>
      <c r="C28" s="10"/>
      <c r="D28" s="14">
        <v>1500</v>
      </c>
      <c r="E28" s="14">
        <v>1515</v>
      </c>
      <c r="F28" s="14">
        <v>1530.15</v>
      </c>
      <c r="G28" s="14">
        <v>1545.4515000000001</v>
      </c>
      <c r="H28" s="14">
        <v>1560.9060150000003</v>
      </c>
      <c r="I28" s="14">
        <v>1576.5150751500003</v>
      </c>
      <c r="J28" s="14">
        <v>1592.2802259015002</v>
      </c>
      <c r="K28" s="14">
        <v>1608.2030281605153</v>
      </c>
      <c r="L28" s="14">
        <v>1624.2850584421203</v>
      </c>
      <c r="M28" s="14">
        <f>L28*(0.9)</f>
        <v>1461.8565525979084</v>
      </c>
      <c r="N28" s="14">
        <v>1476.4751181238876</v>
      </c>
      <c r="O28" s="14">
        <v>1491.2398693051264</v>
      </c>
      <c r="P28" s="14">
        <v>1506.1522679981776</v>
      </c>
      <c r="Q28" s="14">
        <v>1521.2137906781595</v>
      </c>
      <c r="R28" s="14">
        <v>1536.4259285849412</v>
      </c>
      <c r="S28" s="14">
        <v>1551.7901878707905</v>
      </c>
      <c r="T28" s="14">
        <f>S28*(0.9)</f>
        <v>1396.6111690837115</v>
      </c>
      <c r="U28" s="14">
        <v>1410.5772807745486</v>
      </c>
      <c r="V28" s="14">
        <v>1424.6830535822942</v>
      </c>
      <c r="W28" s="14">
        <v>1438.9298841181171</v>
      </c>
      <c r="X28" s="14">
        <v>1453.3191829592984</v>
      </c>
      <c r="Y28" s="14">
        <f>X28*(0.9)</f>
        <v>1307.9872646633685</v>
      </c>
      <c r="Z28" s="14">
        <v>1321.0671373100022</v>
      </c>
      <c r="AA28" s="14">
        <v>1334.2778086831022</v>
      </c>
      <c r="AB28" s="14">
        <v>1347.6205867699332</v>
      </c>
      <c r="AC28" s="14">
        <v>1361.0967926376325</v>
      </c>
      <c r="AD28" s="14">
        <f>AC28*(0.9)</f>
        <v>1224.9871133738693</v>
      </c>
      <c r="AE28" s="14">
        <v>1237.236984507608</v>
      </c>
      <c r="AF28" s="14">
        <v>1249.609354352684</v>
      </c>
      <c r="AG28" s="14">
        <v>1262.1054478962108</v>
      </c>
      <c r="AH28" s="14">
        <v>1274.7265023751729</v>
      </c>
      <c r="AI28" s="14">
        <v>1287.4737673989246</v>
      </c>
      <c r="AJ28" s="14">
        <f>AI28*(0.9)</f>
        <v>1158.7263906590322</v>
      </c>
      <c r="AK28" s="14">
        <v>1170.3136545656225</v>
      </c>
      <c r="AL28" s="14">
        <v>1182.0167911112787</v>
      </c>
      <c r="AM28" s="14">
        <v>1193.8369590223915</v>
      </c>
    </row>
    <row r="29" spans="2:39" s="12" customFormat="1" ht="21" customHeight="1" x14ac:dyDescent="0.3">
      <c r="B29" s="21" t="s">
        <v>26</v>
      </c>
      <c r="C29" s="10"/>
      <c r="D29" s="16">
        <f t="shared" ref="D29:AM29" si="8">SUM(D28, D27, D26, D25 + D24)</f>
        <v>1500</v>
      </c>
      <c r="E29" s="16">
        <f t="shared" si="8"/>
        <v>1515</v>
      </c>
      <c r="F29" s="16">
        <f t="shared" si="8"/>
        <v>1530.15</v>
      </c>
      <c r="G29" s="16">
        <f t="shared" si="8"/>
        <v>1545.4515000000001</v>
      </c>
      <c r="H29" s="16">
        <f t="shared" si="8"/>
        <v>1560.9060150000003</v>
      </c>
      <c r="I29" s="16">
        <f t="shared" si="8"/>
        <v>1576.5150751500003</v>
      </c>
      <c r="J29" s="16">
        <f t="shared" si="8"/>
        <v>1592.2802259015002</v>
      </c>
      <c r="K29" s="16">
        <f t="shared" si="8"/>
        <v>1608.2030281605153</v>
      </c>
      <c r="L29" s="16">
        <f t="shared" si="8"/>
        <v>1624.2850584421203</v>
      </c>
      <c r="M29" s="16">
        <f t="shared" si="8"/>
        <v>1461.8565525979084</v>
      </c>
      <c r="N29" s="16">
        <f t="shared" si="8"/>
        <v>1476.4751181238876</v>
      </c>
      <c r="O29" s="16">
        <f t="shared" si="8"/>
        <v>1491.2398693051264</v>
      </c>
      <c r="P29" s="16">
        <f t="shared" si="8"/>
        <v>1506.1522679981776</v>
      </c>
      <c r="Q29" s="16">
        <f t="shared" si="8"/>
        <v>1521.2137906781595</v>
      </c>
      <c r="R29" s="16">
        <f t="shared" si="8"/>
        <v>1536.4259285849412</v>
      </c>
      <c r="S29" s="16">
        <f t="shared" si="8"/>
        <v>1551.7901878707905</v>
      </c>
      <c r="T29" s="16">
        <f t="shared" si="8"/>
        <v>1396.6111690837115</v>
      </c>
      <c r="U29" s="16">
        <f t="shared" si="8"/>
        <v>1410.5772807745486</v>
      </c>
      <c r="V29" s="16">
        <f t="shared" si="8"/>
        <v>1424.6830535822942</v>
      </c>
      <c r="W29" s="16">
        <f t="shared" si="8"/>
        <v>1438.9298841181171</v>
      </c>
      <c r="X29" s="16">
        <f t="shared" si="8"/>
        <v>1453.3191829592984</v>
      </c>
      <c r="Y29" s="16">
        <f t="shared" si="8"/>
        <v>1307.9872646633685</v>
      </c>
      <c r="Z29" s="16">
        <f t="shared" si="8"/>
        <v>1321.0671373100022</v>
      </c>
      <c r="AA29" s="16">
        <f t="shared" si="8"/>
        <v>1334.2778086831022</v>
      </c>
      <c r="AB29" s="16">
        <f t="shared" si="8"/>
        <v>1347.6205867699332</v>
      </c>
      <c r="AC29" s="16">
        <f t="shared" si="8"/>
        <v>1361.0967926376325</v>
      </c>
      <c r="AD29" s="16">
        <f t="shared" si="8"/>
        <v>1224.9871133738693</v>
      </c>
      <c r="AE29" s="16">
        <f t="shared" si="8"/>
        <v>1237.236984507608</v>
      </c>
      <c r="AF29" s="16">
        <f t="shared" si="8"/>
        <v>1249.609354352684</v>
      </c>
      <c r="AG29" s="16">
        <f t="shared" si="8"/>
        <v>1262.1054478962108</v>
      </c>
      <c r="AH29" s="16">
        <f t="shared" si="8"/>
        <v>1274.7265023751729</v>
      </c>
      <c r="AI29" s="16">
        <f t="shared" si="8"/>
        <v>1287.4737673989246</v>
      </c>
      <c r="AJ29" s="16">
        <f t="shared" si="8"/>
        <v>1158.7263906590322</v>
      </c>
      <c r="AK29" s="16">
        <f t="shared" si="8"/>
        <v>1170.3136545656225</v>
      </c>
      <c r="AL29" s="16">
        <f t="shared" si="8"/>
        <v>1182.0167911112787</v>
      </c>
      <c r="AM29" s="16">
        <f t="shared" si="8"/>
        <v>1193.8369590223915</v>
      </c>
    </row>
    <row r="30" spans="2:39" s="18" customFormat="1" ht="21" customHeight="1" x14ac:dyDescent="0.3">
      <c r="B30" s="21" t="s">
        <v>27</v>
      </c>
      <c r="C30" s="19"/>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row>
    <row r="31" spans="2:39" s="12" customFormat="1" ht="21" customHeight="1" x14ac:dyDescent="0.3">
      <c r="B31" s="22" t="s">
        <v>28</v>
      </c>
      <c r="C31" s="10"/>
      <c r="D31" s="14">
        <v>8000</v>
      </c>
      <c r="E31" s="14">
        <v>8160</v>
      </c>
      <c r="F31" s="14">
        <v>8323.2000000000007</v>
      </c>
      <c r="G31" s="14">
        <v>8489.6640000000007</v>
      </c>
      <c r="H31" s="14">
        <v>8659.4572800000005</v>
      </c>
      <c r="I31" s="14">
        <v>8832.6464255999999</v>
      </c>
      <c r="J31" s="14">
        <f>I31*(0.9)</f>
        <v>7949.3817830400003</v>
      </c>
      <c r="K31" s="14">
        <v>8108.3694187008005</v>
      </c>
      <c r="L31" s="14">
        <v>8270.5368070748173</v>
      </c>
      <c r="M31" s="14">
        <v>8435.9475432163144</v>
      </c>
      <c r="N31" s="14">
        <v>8604.6664940806404</v>
      </c>
      <c r="O31" s="14">
        <f>N31*(0.9)</f>
        <v>7744.1998446725765</v>
      </c>
      <c r="P31" s="14">
        <v>7899.0838415660282</v>
      </c>
      <c r="Q31" s="14">
        <v>8057.0655183973486</v>
      </c>
      <c r="R31" s="14">
        <v>8218.2068287652965</v>
      </c>
      <c r="S31" s="14">
        <v>8382.5709653406029</v>
      </c>
      <c r="T31" s="14">
        <v>8550.2223846474153</v>
      </c>
      <c r="U31" s="14">
        <v>8721.2268323403641</v>
      </c>
      <c r="V31" s="14">
        <f>U31*(0.9)</f>
        <v>7849.1041491063279</v>
      </c>
      <c r="W31" s="14">
        <v>8006.0862320884544</v>
      </c>
      <c r="X31" s="14">
        <v>8166.2079567302235</v>
      </c>
      <c r="Y31" s="14">
        <v>8329.5321158648276</v>
      </c>
      <c r="Z31" s="14">
        <v>8496.122758182124</v>
      </c>
      <c r="AA31" s="14">
        <v>8666.0452133457675</v>
      </c>
      <c r="AB31" s="14">
        <v>8839.3661176126825</v>
      </c>
      <c r="AC31" s="14">
        <f>AB31*(0.9)</f>
        <v>7955.4295058514144</v>
      </c>
      <c r="AD31" s="14">
        <v>8114.5380959684426</v>
      </c>
      <c r="AE31" s="14">
        <v>8276.828857887811</v>
      </c>
      <c r="AF31" s="14">
        <v>8442.3654350455672</v>
      </c>
      <c r="AG31" s="14">
        <v>8611.2127437464787</v>
      </c>
      <c r="AH31" s="14">
        <v>8783.4369986214078</v>
      </c>
      <c r="AI31" s="14">
        <f>AH31*(0.9)</f>
        <v>7905.0932987592669</v>
      </c>
      <c r="AJ31" s="14">
        <v>8063.1951647344522</v>
      </c>
      <c r="AK31" s="14">
        <v>8224.4590680291421</v>
      </c>
      <c r="AL31" s="14">
        <v>8388.9482493897249</v>
      </c>
      <c r="AM31" s="14">
        <v>8556.727214377519</v>
      </c>
    </row>
    <row r="32" spans="2:39" s="12" customFormat="1" ht="21" customHeight="1" x14ac:dyDescent="0.3">
      <c r="B32" s="22" t="s">
        <v>29</v>
      </c>
      <c r="C32" s="10"/>
      <c r="D32" s="14">
        <v>918</v>
      </c>
      <c r="E32" s="14">
        <v>954.72</v>
      </c>
      <c r="F32" s="14">
        <v>992.90880000000004</v>
      </c>
      <c r="G32" s="14">
        <f>F32*(0.9)</f>
        <v>893.61792000000003</v>
      </c>
      <c r="H32" s="14">
        <v>929.36263680000002</v>
      </c>
      <c r="I32" s="14">
        <v>966.5371422720001</v>
      </c>
      <c r="J32" s="14">
        <v>1005.1986279628801</v>
      </c>
      <c r="K32" s="14">
        <v>1045.4065730813954</v>
      </c>
      <c r="L32" s="14">
        <v>1087.2228360046513</v>
      </c>
      <c r="M32" s="14">
        <v>1130.7117494448373</v>
      </c>
      <c r="N32" s="14">
        <v>1175.9402194226309</v>
      </c>
      <c r="O32" s="14">
        <v>1222.9778281995361</v>
      </c>
      <c r="P32" s="14">
        <v>1271.8969413275177</v>
      </c>
      <c r="Q32" s="14">
        <f>P32*(0.9)</f>
        <v>1144.7072471947658</v>
      </c>
      <c r="R32" s="14">
        <v>1190.4955370825564</v>
      </c>
      <c r="S32" s="14">
        <v>1238.1153585658587</v>
      </c>
      <c r="T32" s="14">
        <v>1287.6399729084931</v>
      </c>
      <c r="U32" s="14">
        <v>1339.1455718248328</v>
      </c>
      <c r="V32" s="14">
        <v>1392.7113946978261</v>
      </c>
      <c r="W32" s="14">
        <v>1448.4198504857393</v>
      </c>
      <c r="X32" s="14">
        <f>W32*(0.9)</f>
        <v>1303.5778654371654</v>
      </c>
      <c r="Y32" s="14">
        <v>1355.720980054652</v>
      </c>
      <c r="Z32" s="14">
        <v>1409.9498192568383</v>
      </c>
      <c r="AA32" s="14">
        <v>1466.3478120271118</v>
      </c>
      <c r="AB32" s="14">
        <v>1525.0017245081963</v>
      </c>
      <c r="AC32" s="14">
        <v>1586.0017934885241</v>
      </c>
      <c r="AD32" s="14">
        <v>1649.4418652280651</v>
      </c>
      <c r="AE32" s="14">
        <f>AD32*(0.9)</f>
        <v>1484.4976787052587</v>
      </c>
      <c r="AF32" s="14">
        <v>1543.8775858534691</v>
      </c>
      <c r="AG32" s="14">
        <v>1605.6326892876079</v>
      </c>
      <c r="AH32" s="14">
        <f>AG32*(0.9)</f>
        <v>1445.0694203588471</v>
      </c>
      <c r="AI32" s="14">
        <v>1502.8721971732011</v>
      </c>
      <c r="AJ32" s="14">
        <v>1562.9870850601292</v>
      </c>
      <c r="AK32" s="14">
        <v>1625.5065684625345</v>
      </c>
      <c r="AL32" s="14">
        <f>AK32*(0.9)</f>
        <v>1462.9559116162811</v>
      </c>
      <c r="AM32" s="14">
        <v>1521.4741480809325</v>
      </c>
    </row>
    <row r="33" spans="2:39" s="12" customFormat="1" ht="21" customHeight="1" x14ac:dyDescent="0.3">
      <c r="B33" s="22" t="s">
        <v>30</v>
      </c>
      <c r="C33" s="10"/>
      <c r="D33" s="14">
        <v>800</v>
      </c>
      <c r="E33" s="14">
        <v>832</v>
      </c>
      <c r="F33" s="14">
        <v>865.28</v>
      </c>
      <c r="G33" s="14">
        <v>899.89120000000003</v>
      </c>
      <c r="H33" s="14">
        <v>935.8868480000001</v>
      </c>
      <c r="I33" s="14">
        <v>973.32232192000015</v>
      </c>
      <c r="J33" s="14">
        <v>1012.2552147968001</v>
      </c>
      <c r="K33" s="14">
        <v>1052.7454233886722</v>
      </c>
      <c r="L33" s="14">
        <v>1094.855240324219</v>
      </c>
      <c r="M33" s="14">
        <v>1138.6494499371879</v>
      </c>
      <c r="N33" s="14">
        <v>1184.1954279346755</v>
      </c>
      <c r="O33" s="14">
        <v>1231.5632450520627</v>
      </c>
      <c r="P33" s="14">
        <v>1280.8257748541453</v>
      </c>
      <c r="Q33" s="14">
        <v>1332.0588058483111</v>
      </c>
      <c r="R33" s="14">
        <v>1385.3411580822435</v>
      </c>
      <c r="S33" s="14">
        <v>1440.7548044055334</v>
      </c>
      <c r="T33" s="14">
        <v>1498.3849965817549</v>
      </c>
      <c r="U33" s="14">
        <v>1558.3203964450252</v>
      </c>
      <c r="V33" s="14">
        <v>1620.6532123028262</v>
      </c>
      <c r="W33" s="14">
        <v>1685.4793407949394</v>
      </c>
      <c r="X33" s="14">
        <v>1752.8985144267369</v>
      </c>
      <c r="Y33" s="14">
        <v>1823.0144550038065</v>
      </c>
      <c r="Z33" s="14">
        <v>1895.9350332039587</v>
      </c>
      <c r="AA33" s="14">
        <v>1971.7724345321171</v>
      </c>
      <c r="AB33" s="14">
        <v>2050.6433319134021</v>
      </c>
      <c r="AC33" s="14">
        <v>2132.6690651899385</v>
      </c>
      <c r="AD33" s="14">
        <v>2217.9758277975361</v>
      </c>
      <c r="AE33" s="14">
        <v>2306.6948609094375</v>
      </c>
      <c r="AF33" s="14">
        <v>2398.9626553458152</v>
      </c>
      <c r="AG33" s="14">
        <v>2494.9211615596478</v>
      </c>
      <c r="AH33" s="14">
        <v>2594.7180080220337</v>
      </c>
      <c r="AI33" s="14">
        <v>2698.5067283429153</v>
      </c>
      <c r="AJ33" s="14">
        <v>2806.4469974766321</v>
      </c>
      <c r="AK33" s="14">
        <v>2918.7048773756974</v>
      </c>
      <c r="AL33" s="14">
        <v>3035.4530724707256</v>
      </c>
      <c r="AM33" s="14">
        <v>3156.8711953695547</v>
      </c>
    </row>
    <row r="34" spans="2:39" s="12" customFormat="1" ht="21" customHeight="1" x14ac:dyDescent="0.3">
      <c r="B34" s="22" t="s">
        <v>31</v>
      </c>
      <c r="C34" s="10"/>
      <c r="D34" s="14">
        <v>57.375</v>
      </c>
      <c r="E34" s="14">
        <v>59.67</v>
      </c>
      <c r="F34" s="14">
        <v>62.056800000000003</v>
      </c>
      <c r="G34" s="14">
        <v>64.539072000000004</v>
      </c>
      <c r="H34" s="14">
        <v>67.120634880000011</v>
      </c>
      <c r="I34" s="14">
        <v>69.805460275200019</v>
      </c>
      <c r="J34" s="14">
        <v>72.597678686208027</v>
      </c>
      <c r="K34" s="14">
        <v>75.50158583365635</v>
      </c>
      <c r="L34" s="14">
        <v>78.521649267002601</v>
      </c>
      <c r="M34" s="14">
        <v>81.662515237682712</v>
      </c>
      <c r="N34" s="14">
        <v>84.92901584719003</v>
      </c>
      <c r="O34" s="14">
        <v>88.326176481077638</v>
      </c>
      <c r="P34" s="14">
        <v>91.859223540320741</v>
      </c>
      <c r="Q34" s="14">
        <v>95.533592481933567</v>
      </c>
      <c r="R34" s="14">
        <v>99.354936181210917</v>
      </c>
      <c r="S34" s="14">
        <v>103.32913362845936</v>
      </c>
      <c r="T34" s="14">
        <v>107.46229897359774</v>
      </c>
      <c r="U34" s="14">
        <v>111.76079093254165</v>
      </c>
      <c r="V34" s="14">
        <v>116.23122256984333</v>
      </c>
      <c r="W34" s="14">
        <v>120.88047147263707</v>
      </c>
      <c r="X34" s="14">
        <v>125.71569033154256</v>
      </c>
      <c r="Y34" s="14">
        <v>130.74431794480427</v>
      </c>
      <c r="Z34" s="14">
        <v>135.97409066259644</v>
      </c>
      <c r="AA34" s="14">
        <v>141.4130542891003</v>
      </c>
      <c r="AB34" s="14">
        <v>147.06957646066431</v>
      </c>
      <c r="AC34" s="14">
        <v>152.95235951909089</v>
      </c>
      <c r="AD34" s="14">
        <v>159.07045389985453</v>
      </c>
      <c r="AE34" s="14">
        <v>165.4332720558487</v>
      </c>
      <c r="AF34" s="14">
        <v>172.05060293808265</v>
      </c>
      <c r="AG34" s="14">
        <v>178.93262705560596</v>
      </c>
      <c r="AH34" s="14">
        <v>186.0899321378302</v>
      </c>
      <c r="AI34" s="14">
        <v>193.53352942334342</v>
      </c>
      <c r="AJ34" s="14">
        <v>201.27487060027715</v>
      </c>
      <c r="AK34" s="14">
        <v>209.32586542428825</v>
      </c>
      <c r="AL34" s="14">
        <v>217.6989000412598</v>
      </c>
      <c r="AM34" s="14">
        <v>226.40685604291019</v>
      </c>
    </row>
    <row r="35" spans="2:39" s="12" customFormat="1" ht="21" customHeight="1" x14ac:dyDescent="0.3">
      <c r="B35" s="22" t="s">
        <v>32</v>
      </c>
      <c r="C35" s="10"/>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row>
    <row r="36" spans="2:39" s="12" customFormat="1" ht="21" customHeight="1" x14ac:dyDescent="0.3">
      <c r="B36" s="21" t="s">
        <v>33</v>
      </c>
      <c r="C36" s="10"/>
      <c r="D36" s="16">
        <f t="shared" ref="D36:AM36" si="9">SUM(D35, D34, D33, D32, D31 + D30)</f>
        <v>9775.375</v>
      </c>
      <c r="E36" s="16">
        <f t="shared" si="9"/>
        <v>10006.39</v>
      </c>
      <c r="F36" s="16">
        <f t="shared" si="9"/>
        <v>10243.445600000001</v>
      </c>
      <c r="G36" s="16">
        <f t="shared" si="9"/>
        <v>10347.712192000001</v>
      </c>
      <c r="H36" s="16">
        <f t="shared" si="9"/>
        <v>10591.827399680002</v>
      </c>
      <c r="I36" s="16">
        <f t="shared" si="9"/>
        <v>10842.311350067201</v>
      </c>
      <c r="J36" s="16">
        <f t="shared" si="9"/>
        <v>10039.433304485889</v>
      </c>
      <c r="K36" s="16">
        <f t="shared" si="9"/>
        <v>10282.023001004523</v>
      </c>
      <c r="L36" s="16">
        <f t="shared" si="9"/>
        <v>10531.136532670691</v>
      </c>
      <c r="M36" s="16">
        <f t="shared" si="9"/>
        <v>10786.971257836023</v>
      </c>
      <c r="N36" s="16">
        <f t="shared" si="9"/>
        <v>11049.731157285136</v>
      </c>
      <c r="O36" s="16">
        <f t="shared" si="9"/>
        <v>10287.067094405253</v>
      </c>
      <c r="P36" s="16">
        <f t="shared" si="9"/>
        <v>10543.665781288011</v>
      </c>
      <c r="Q36" s="16">
        <f t="shared" si="9"/>
        <v>10629.365163922359</v>
      </c>
      <c r="R36" s="16">
        <f t="shared" si="9"/>
        <v>10893.398460111308</v>
      </c>
      <c r="S36" s="16">
        <f t="shared" si="9"/>
        <v>11164.770261940455</v>
      </c>
      <c r="T36" s="16">
        <f t="shared" si="9"/>
        <v>11443.709653111262</v>
      </c>
      <c r="U36" s="16">
        <f t="shared" si="9"/>
        <v>11730.453591542764</v>
      </c>
      <c r="V36" s="16">
        <f t="shared" si="9"/>
        <v>10978.699978676825</v>
      </c>
      <c r="W36" s="16">
        <f t="shared" si="9"/>
        <v>11260.865894841771</v>
      </c>
      <c r="X36" s="16">
        <f t="shared" si="9"/>
        <v>11348.400026925668</v>
      </c>
      <c r="Y36" s="16">
        <f t="shared" si="9"/>
        <v>11639.01186886809</v>
      </c>
      <c r="Z36" s="16">
        <f t="shared" si="9"/>
        <v>11937.981701305518</v>
      </c>
      <c r="AA36" s="16">
        <f t="shared" si="9"/>
        <v>12245.578514194098</v>
      </c>
      <c r="AB36" s="16">
        <f t="shared" si="9"/>
        <v>12562.080750494944</v>
      </c>
      <c r="AC36" s="16">
        <f t="shared" si="9"/>
        <v>11827.052724048968</v>
      </c>
      <c r="AD36" s="16">
        <f t="shared" si="9"/>
        <v>12141.026242893899</v>
      </c>
      <c r="AE36" s="16">
        <f t="shared" si="9"/>
        <v>12233.454669558356</v>
      </c>
      <c r="AF36" s="16">
        <f t="shared" si="9"/>
        <v>12557.256279182933</v>
      </c>
      <c r="AG36" s="16">
        <f t="shared" si="9"/>
        <v>12890.69922164934</v>
      </c>
      <c r="AH36" s="16">
        <f t="shared" si="9"/>
        <v>13009.314359140119</v>
      </c>
      <c r="AI36" s="16">
        <f t="shared" si="9"/>
        <v>12300.005753698726</v>
      </c>
      <c r="AJ36" s="16">
        <f t="shared" si="9"/>
        <v>12633.904117871491</v>
      </c>
      <c r="AK36" s="16">
        <f t="shared" si="9"/>
        <v>12977.996379291662</v>
      </c>
      <c r="AL36" s="16">
        <f t="shared" si="9"/>
        <v>13105.056133517992</v>
      </c>
      <c r="AM36" s="16">
        <f t="shared" si="9"/>
        <v>13461.479413870917</v>
      </c>
    </row>
    <row r="37" spans="2:39" s="12" customFormat="1" ht="21" customHeight="1" x14ac:dyDescent="0.3">
      <c r="B37" s="22" t="s">
        <v>34</v>
      </c>
      <c r="C37" s="10"/>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row>
    <row r="38" spans="2:39" s="18" customFormat="1" ht="21" customHeight="1" x14ac:dyDescent="0.3">
      <c r="B38" s="21" t="s">
        <v>35</v>
      </c>
      <c r="C38" s="19"/>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row>
    <row r="39" spans="2:39" s="12" customFormat="1" ht="21" customHeight="1" x14ac:dyDescent="0.3">
      <c r="B39" s="22" t="s">
        <v>36</v>
      </c>
      <c r="C39" s="10"/>
      <c r="D39" s="14">
        <v>850</v>
      </c>
      <c r="E39" s="14">
        <v>918.00000000000011</v>
      </c>
      <c r="F39" s="14">
        <v>991.44000000000017</v>
      </c>
      <c r="G39" s="14">
        <v>1070.7552000000003</v>
      </c>
      <c r="H39" s="14">
        <f>G39*(0.85)</f>
        <v>910.14192000000025</v>
      </c>
      <c r="I39" s="14">
        <v>982.95327360000033</v>
      </c>
      <c r="J39" s="14">
        <v>1061.5895354880004</v>
      </c>
      <c r="K39" s="14">
        <v>1146.5166983270406</v>
      </c>
      <c r="L39" s="14">
        <v>1238.2380341932039</v>
      </c>
      <c r="M39" s="14">
        <v>1337.2970769286603</v>
      </c>
      <c r="N39" s="14">
        <v>1444.2808430829532</v>
      </c>
      <c r="O39" s="14">
        <f>N39*(0.85)</f>
        <v>1227.6387166205102</v>
      </c>
      <c r="P39" s="14">
        <v>1325.8498139501512</v>
      </c>
      <c r="Q39" s="14">
        <v>1431.9177990661633</v>
      </c>
      <c r="R39" s="14">
        <v>1546.4712229914564</v>
      </c>
      <c r="S39" s="14">
        <v>1670.188920830773</v>
      </c>
      <c r="T39" s="14">
        <v>1803.8040344972349</v>
      </c>
      <c r="U39" s="14">
        <v>1948.1083572570137</v>
      </c>
      <c r="V39" s="14">
        <f>U39*(0.85)</f>
        <v>1655.8921036684617</v>
      </c>
      <c r="W39" s="14">
        <v>1788.3634719619388</v>
      </c>
      <c r="X39" s="14">
        <v>1931.4325497188941</v>
      </c>
      <c r="Y39" s="14">
        <v>2085.9471536964056</v>
      </c>
      <c r="Z39" s="14">
        <v>2252.8229259921181</v>
      </c>
      <c r="AA39" s="14">
        <v>2433.0487600714878</v>
      </c>
      <c r="AB39" s="14">
        <f>AA39*(0.85)</f>
        <v>2068.0914460607646</v>
      </c>
      <c r="AC39" s="14">
        <v>2233.5387617456258</v>
      </c>
      <c r="AD39" s="14">
        <v>2412.2218626852759</v>
      </c>
      <c r="AE39" s="14">
        <v>2605.1996117000981</v>
      </c>
      <c r="AF39" s="14">
        <v>2813.6155806361062</v>
      </c>
      <c r="AG39" s="14">
        <v>3038.704827086995</v>
      </c>
      <c r="AH39" s="14">
        <v>3281.8012132539548</v>
      </c>
      <c r="AI39" s="14">
        <v>3544.3453103142715</v>
      </c>
      <c r="AJ39" s="14">
        <f>AI39*(0.85)</f>
        <v>3012.6935137671308</v>
      </c>
      <c r="AK39" s="14">
        <v>3253.7089948685016</v>
      </c>
      <c r="AL39" s="14">
        <v>3514.0057144579819</v>
      </c>
      <c r="AM39" s="14">
        <v>3795.1261716146205</v>
      </c>
    </row>
    <row r="40" spans="2:39" s="12" customFormat="1" ht="21" customHeight="1" x14ac:dyDescent="0.3">
      <c r="B40" s="22" t="s">
        <v>37</v>
      </c>
      <c r="C40" s="10"/>
      <c r="D40" s="14">
        <v>600</v>
      </c>
      <c r="E40" s="14">
        <v>624</v>
      </c>
      <c r="F40" s="14">
        <v>648.96</v>
      </c>
      <c r="G40" s="14">
        <v>674.91840000000002</v>
      </c>
      <c r="H40" s="14">
        <v>701.91513600000008</v>
      </c>
      <c r="I40" s="14">
        <v>729.99174144000006</v>
      </c>
      <c r="J40" s="14">
        <v>759.19141109760005</v>
      </c>
      <c r="K40" s="14">
        <v>789.55906754150408</v>
      </c>
      <c r="L40" s="14">
        <v>821.14143024316422</v>
      </c>
      <c r="M40" s="14">
        <v>853.98708745289082</v>
      </c>
      <c r="N40" s="14">
        <v>888.14657095100654</v>
      </c>
      <c r="O40" s="14">
        <v>923.67243378904686</v>
      </c>
      <c r="P40" s="14">
        <v>960.61933114060878</v>
      </c>
      <c r="Q40" s="14">
        <v>999.04410438623313</v>
      </c>
      <c r="R40" s="14">
        <v>1039.0058685616825</v>
      </c>
      <c r="S40" s="14">
        <v>1080.5661033041499</v>
      </c>
      <c r="T40" s="14">
        <v>1123.788747436316</v>
      </c>
      <c r="U40" s="14">
        <v>1168.7402973337687</v>
      </c>
      <c r="V40" s="14">
        <v>1215.4899092271196</v>
      </c>
      <c r="W40" s="14">
        <v>1264.1095055962044</v>
      </c>
      <c r="X40" s="14">
        <v>1314.6738858200526</v>
      </c>
      <c r="Y40" s="14">
        <v>1367.2608412528548</v>
      </c>
      <c r="Z40" s="14">
        <v>1421.9512749029691</v>
      </c>
      <c r="AA40" s="14">
        <v>1478.829325899088</v>
      </c>
      <c r="AB40" s="14">
        <v>1537.9824989350516</v>
      </c>
      <c r="AC40" s="14">
        <v>1599.5017988924537</v>
      </c>
      <c r="AD40" s="14">
        <v>1663.4818708481519</v>
      </c>
      <c r="AE40" s="14">
        <v>1730.021145682078</v>
      </c>
      <c r="AF40" s="14">
        <v>1799.2219915093613</v>
      </c>
      <c r="AG40" s="14">
        <v>1871.1908711697358</v>
      </c>
      <c r="AH40" s="14">
        <v>1946.0385060165254</v>
      </c>
      <c r="AI40" s="14">
        <v>2023.8800462571865</v>
      </c>
      <c r="AJ40" s="14">
        <v>2104.8352481074739</v>
      </c>
      <c r="AK40" s="14">
        <v>2189.0286580317729</v>
      </c>
      <c r="AL40" s="14">
        <v>2276.5898043530437</v>
      </c>
      <c r="AM40" s="14">
        <v>2367.6533965271656</v>
      </c>
    </row>
    <row r="41" spans="2:39" s="12" customFormat="1" ht="21" customHeight="1" x14ac:dyDescent="0.3">
      <c r="B41" s="22" t="s">
        <v>38</v>
      </c>
      <c r="C41" s="10"/>
      <c r="D41" s="14">
        <v>250</v>
      </c>
      <c r="E41" s="14">
        <v>260</v>
      </c>
      <c r="F41" s="14">
        <v>270.40000000000003</v>
      </c>
      <c r="G41" s="14">
        <v>281.21600000000007</v>
      </c>
      <c r="H41" s="14">
        <v>292.46464000000009</v>
      </c>
      <c r="I41" s="14">
        <v>304.16322560000009</v>
      </c>
      <c r="J41" s="14">
        <v>316.32975462400009</v>
      </c>
      <c r="K41" s="14">
        <v>328.9829448089601</v>
      </c>
      <c r="L41" s="14">
        <v>342.14226260131852</v>
      </c>
      <c r="M41" s="14">
        <v>355.82795310537125</v>
      </c>
      <c r="N41" s="14">
        <v>370.0610712295861</v>
      </c>
      <c r="O41" s="14">
        <v>384.86351407876958</v>
      </c>
      <c r="P41" s="14">
        <v>400.25805464192035</v>
      </c>
      <c r="Q41" s="14">
        <v>416.26837682759719</v>
      </c>
      <c r="R41" s="14">
        <v>432.91911190070107</v>
      </c>
      <c r="S41" s="14">
        <v>450.23587637672915</v>
      </c>
      <c r="T41" s="14">
        <v>468.24531143179831</v>
      </c>
      <c r="U41" s="14">
        <v>486.97512388907029</v>
      </c>
      <c r="V41" s="14">
        <v>506.45412884463315</v>
      </c>
      <c r="W41" s="14">
        <v>526.71229399841855</v>
      </c>
      <c r="X41" s="14">
        <v>547.78078575835525</v>
      </c>
      <c r="Y41" s="14">
        <v>569.69201718868953</v>
      </c>
      <c r="Z41" s="14">
        <v>592.47969787623708</v>
      </c>
      <c r="AA41" s="14">
        <v>616.17888579128658</v>
      </c>
      <c r="AB41" s="14">
        <v>640.8260412229381</v>
      </c>
      <c r="AC41" s="14">
        <v>666.45908287185568</v>
      </c>
      <c r="AD41" s="14">
        <v>693.11744618672992</v>
      </c>
      <c r="AE41" s="14">
        <v>720.84214403419912</v>
      </c>
      <c r="AF41" s="14">
        <v>749.6758297955671</v>
      </c>
      <c r="AG41" s="14">
        <v>779.66286298738976</v>
      </c>
      <c r="AH41" s="14">
        <v>810.84937750688539</v>
      </c>
      <c r="AI41" s="14">
        <v>843.28335260716085</v>
      </c>
      <c r="AJ41" s="14">
        <v>877.01468671144733</v>
      </c>
      <c r="AK41" s="14">
        <v>912.09527417990523</v>
      </c>
      <c r="AL41" s="14">
        <v>948.57908514710152</v>
      </c>
      <c r="AM41" s="14">
        <v>986.52224855298562</v>
      </c>
    </row>
    <row r="42" spans="2:39" s="31" customFormat="1" ht="21" customHeight="1" x14ac:dyDescent="0.3">
      <c r="B42" s="28" t="s">
        <v>39</v>
      </c>
      <c r="C42" s="29"/>
      <c r="D42" s="30">
        <f t="shared" ref="D42" si="10">SUM(D41, D40, D39 + D38)</f>
        <v>1700</v>
      </c>
      <c r="E42" s="30">
        <v>1700</v>
      </c>
      <c r="F42" s="30">
        <v>1700</v>
      </c>
      <c r="G42" s="30">
        <v>1700</v>
      </c>
      <c r="H42" s="30">
        <v>1700</v>
      </c>
      <c r="I42" s="30">
        <v>1700</v>
      </c>
      <c r="J42" s="30">
        <v>1700</v>
      </c>
      <c r="K42" s="30">
        <v>1700</v>
      </c>
      <c r="L42" s="30">
        <v>1700</v>
      </c>
      <c r="M42" s="30">
        <v>1700</v>
      </c>
      <c r="N42" s="30">
        <v>1700</v>
      </c>
      <c r="O42" s="30">
        <v>1700</v>
      </c>
      <c r="P42" s="30">
        <v>1700</v>
      </c>
      <c r="Q42" s="30">
        <v>1700</v>
      </c>
      <c r="R42" s="30">
        <v>1700</v>
      </c>
      <c r="S42" s="30">
        <v>1700</v>
      </c>
      <c r="T42" s="30">
        <v>1700</v>
      </c>
      <c r="U42" s="30">
        <v>1700</v>
      </c>
      <c r="V42" s="30">
        <v>1700</v>
      </c>
      <c r="W42" s="30">
        <v>1700</v>
      </c>
      <c r="X42" s="30">
        <v>1700</v>
      </c>
      <c r="Y42" s="30">
        <v>1700</v>
      </c>
      <c r="Z42" s="30">
        <v>1700</v>
      </c>
      <c r="AA42" s="30">
        <v>1700</v>
      </c>
      <c r="AB42" s="30">
        <v>1700</v>
      </c>
      <c r="AC42" s="30">
        <v>1700</v>
      </c>
      <c r="AD42" s="30">
        <v>1700</v>
      </c>
      <c r="AE42" s="30">
        <v>1700</v>
      </c>
      <c r="AF42" s="30">
        <v>1700</v>
      </c>
      <c r="AG42" s="30">
        <v>1700</v>
      </c>
      <c r="AH42" s="30">
        <v>1700</v>
      </c>
      <c r="AI42" s="30">
        <v>1700</v>
      </c>
      <c r="AJ42" s="30">
        <v>1700</v>
      </c>
      <c r="AK42" s="30">
        <v>1700</v>
      </c>
      <c r="AL42" s="30">
        <v>1700</v>
      </c>
      <c r="AM42" s="30">
        <v>1700</v>
      </c>
    </row>
    <row r="43" spans="2:39" s="12" customFormat="1" ht="21" customHeight="1" x14ac:dyDescent="0.3">
      <c r="B43" s="15" t="s">
        <v>40</v>
      </c>
      <c r="C43" s="10"/>
      <c r="D43" s="16">
        <f t="shared" ref="D43:AM43" si="11">SUM(D41, D40, D39, D38, D37, D35, D34, D33, D32, D31, D30, D28, D27, D26, D25, D24, D22, D21, D20, D19, D18, D17, D16, D15, D14 + D13)</f>
        <v>22975.375</v>
      </c>
      <c r="E43" s="16">
        <f t="shared" si="11"/>
        <v>23663.39</v>
      </c>
      <c r="F43" s="16">
        <f t="shared" si="11"/>
        <v>23793.795600000001</v>
      </c>
      <c r="G43" s="16">
        <f t="shared" si="11"/>
        <v>23542.673291999999</v>
      </c>
      <c r="H43" s="16">
        <f t="shared" si="11"/>
        <v>24007.491310680001</v>
      </c>
      <c r="I43" s="16">
        <f t="shared" si="11"/>
        <v>24725.173055857205</v>
      </c>
      <c r="J43" s="16">
        <f t="shared" si="11"/>
        <v>24408.854681456989</v>
      </c>
      <c r="K43" s="16">
        <f t="shared" si="11"/>
        <v>25158.315607684744</v>
      </c>
      <c r="L43" s="16">
        <f t="shared" si="11"/>
        <v>25935.616596693821</v>
      </c>
      <c r="M43" s="16">
        <f t="shared" si="11"/>
        <v>25900.117332138103</v>
      </c>
      <c r="N43" s="16">
        <f t="shared" si="11"/>
        <v>25222.454424468098</v>
      </c>
      <c r="O43" s="16">
        <f t="shared" si="11"/>
        <v>24646.426652590613</v>
      </c>
      <c r="P43" s="16">
        <f t="shared" si="11"/>
        <v>25418.356097652359</v>
      </c>
      <c r="Q43" s="16">
        <f t="shared" si="11"/>
        <v>26041.578181423214</v>
      </c>
      <c r="R43" s="16">
        <f t="shared" si="11"/>
        <v>25387.61264403852</v>
      </c>
      <c r="S43" s="16">
        <f t="shared" si="11"/>
        <v>26193.972694781376</v>
      </c>
      <c r="T43" s="16">
        <f t="shared" si="11"/>
        <v>26861.274332606492</v>
      </c>
      <c r="U43" s="16">
        <f t="shared" si="11"/>
        <v>27730.741019898811</v>
      </c>
      <c r="V43" s="16">
        <f t="shared" si="11"/>
        <v>26528.605675537925</v>
      </c>
      <c r="W43" s="16">
        <f t="shared" si="11"/>
        <v>26837.52033432871</v>
      </c>
      <c r="X43" s="16">
        <f t="shared" si="11"/>
        <v>27506.297426700839</v>
      </c>
      <c r="Y43" s="16">
        <f t="shared" si="11"/>
        <v>27304.880004910796</v>
      </c>
      <c r="Z43" s="16">
        <f t="shared" si="11"/>
        <v>28209.616831105875</v>
      </c>
      <c r="AA43" s="16">
        <f t="shared" si="11"/>
        <v>29151.541972218085</v>
      </c>
      <c r="AB43" s="16">
        <f t="shared" si="11"/>
        <v>29572.946628880385</v>
      </c>
      <c r="AC43" s="16">
        <f t="shared" si="11"/>
        <v>27962.359935053613</v>
      </c>
      <c r="AD43" s="16">
        <f t="shared" si="11"/>
        <v>28756.544304461691</v>
      </c>
      <c r="AE43" s="16">
        <f t="shared" si="11"/>
        <v>29507.423594196127</v>
      </c>
      <c r="AF43" s="16">
        <f t="shared" si="11"/>
        <v>30521.388441625095</v>
      </c>
      <c r="AG43" s="16">
        <f t="shared" si="11"/>
        <v>30059.171696323272</v>
      </c>
      <c r="AH43" s="16">
        <f t="shared" si="11"/>
        <v>30885.280075104023</v>
      </c>
      <c r="AI43" s="16">
        <f t="shared" si="11"/>
        <v>30919.22174379621</v>
      </c>
      <c r="AJ43" s="16">
        <f t="shared" si="11"/>
        <v>31077.453644974506</v>
      </c>
      <c r="AK43" s="16">
        <f t="shared" si="11"/>
        <v>32176.267775120836</v>
      </c>
      <c r="AL43" s="16">
        <f t="shared" si="11"/>
        <v>32174.690732994361</v>
      </c>
      <c r="AM43" s="16">
        <f t="shared" si="11"/>
        <v>32666.916876941614</v>
      </c>
    </row>
    <row r="44" spans="2:39" s="18" customFormat="1" ht="21" customHeight="1" x14ac:dyDescent="0.3">
      <c r="B44" s="15" t="s">
        <v>41</v>
      </c>
      <c r="C44" s="19"/>
      <c r="D44" s="20">
        <f t="shared" ref="D44:AM44" si="12">D12-D43</f>
        <v>-23775.375</v>
      </c>
      <c r="E44" s="20">
        <f t="shared" si="12"/>
        <v>-24495.39</v>
      </c>
      <c r="F44" s="20">
        <f t="shared" si="12"/>
        <v>-24659.0756</v>
      </c>
      <c r="G44" s="20">
        <f t="shared" si="12"/>
        <v>-24442.564491999998</v>
      </c>
      <c r="H44" s="20">
        <f t="shared" si="12"/>
        <v>-24943.378158680003</v>
      </c>
      <c r="I44" s="20">
        <f t="shared" si="12"/>
        <v>-25698.495377777206</v>
      </c>
      <c r="J44" s="20">
        <f t="shared" si="12"/>
        <v>-25421.109896253791</v>
      </c>
      <c r="K44" s="20">
        <f t="shared" si="12"/>
        <v>-26211.061031073416</v>
      </c>
      <c r="L44" s="20">
        <f t="shared" si="12"/>
        <v>-27030.471837018038</v>
      </c>
      <c r="M44" s="20">
        <f t="shared" si="12"/>
        <v>-27038.76678207529</v>
      </c>
      <c r="N44" s="20">
        <f t="shared" si="12"/>
        <v>-26406.649852402774</v>
      </c>
      <c r="O44" s="20">
        <f t="shared" si="12"/>
        <v>-25877.989897642678</v>
      </c>
      <c r="P44" s="20">
        <f t="shared" si="12"/>
        <v>-26699.181872506502</v>
      </c>
      <c r="Q44" s="20">
        <f t="shared" si="12"/>
        <v>-27373.636987271526</v>
      </c>
      <c r="R44" s="20">
        <f t="shared" si="12"/>
        <v>-26772.953802120763</v>
      </c>
      <c r="S44" s="20">
        <f t="shared" si="12"/>
        <v>-27634.727499186909</v>
      </c>
      <c r="T44" s="20">
        <f t="shared" si="12"/>
        <v>-28359.659329188245</v>
      </c>
      <c r="U44" s="20">
        <f t="shared" si="12"/>
        <v>-29289.061416343837</v>
      </c>
      <c r="V44" s="20">
        <f t="shared" si="12"/>
        <v>-28149.258887840751</v>
      </c>
      <c r="W44" s="20">
        <f t="shared" si="12"/>
        <v>-28522.99967512365</v>
      </c>
      <c r="X44" s="20">
        <f t="shared" si="12"/>
        <v>-29259.195941127575</v>
      </c>
      <c r="Y44" s="20">
        <f t="shared" si="12"/>
        <v>-29127.894459914602</v>
      </c>
      <c r="Z44" s="20">
        <f t="shared" si="12"/>
        <v>-30105.551864309833</v>
      </c>
      <c r="AA44" s="20">
        <f t="shared" si="12"/>
        <v>-31123.314406750203</v>
      </c>
      <c r="AB44" s="20">
        <f t="shared" si="12"/>
        <v>-31623.589960793786</v>
      </c>
      <c r="AC44" s="20">
        <f t="shared" si="12"/>
        <v>-30095.02900024355</v>
      </c>
      <c r="AD44" s="20">
        <f t="shared" si="12"/>
        <v>-30974.520132259226</v>
      </c>
      <c r="AE44" s="20">
        <f t="shared" si="12"/>
        <v>-31814.118455105563</v>
      </c>
      <c r="AF44" s="20">
        <f t="shared" si="12"/>
        <v>-32920.35109697091</v>
      </c>
      <c r="AG44" s="20">
        <f t="shared" si="12"/>
        <v>-32554.092857882919</v>
      </c>
      <c r="AH44" s="20">
        <f t="shared" si="12"/>
        <v>-33479.998083126055</v>
      </c>
      <c r="AI44" s="20">
        <f t="shared" si="12"/>
        <v>-33617.728472139126</v>
      </c>
      <c r="AJ44" s="20">
        <f t="shared" si="12"/>
        <v>-33883.900642451139</v>
      </c>
      <c r="AK44" s="20">
        <f t="shared" si="12"/>
        <v>-35094.97265249653</v>
      </c>
      <c r="AL44" s="20">
        <f t="shared" si="12"/>
        <v>-35210.143805465086</v>
      </c>
      <c r="AM44" s="20">
        <f t="shared" si="12"/>
        <v>-35823.788072311167</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AM47" si="13">SUM(D46 + D45)</f>
        <v>0</v>
      </c>
      <c r="E47" s="16">
        <f t="shared" si="13"/>
        <v>0</v>
      </c>
      <c r="F47" s="16">
        <f t="shared" si="13"/>
        <v>0</v>
      </c>
      <c r="G47" s="16">
        <f t="shared" si="13"/>
        <v>0</v>
      </c>
      <c r="H47" s="16">
        <f t="shared" si="13"/>
        <v>0</v>
      </c>
      <c r="I47" s="16">
        <f t="shared" si="13"/>
        <v>0</v>
      </c>
      <c r="J47" s="16">
        <f t="shared" si="13"/>
        <v>0</v>
      </c>
      <c r="K47" s="16">
        <f t="shared" si="13"/>
        <v>0</v>
      </c>
      <c r="L47" s="16">
        <f t="shared" si="13"/>
        <v>0</v>
      </c>
      <c r="M47" s="16">
        <f t="shared" si="13"/>
        <v>0</v>
      </c>
      <c r="N47" s="16">
        <f t="shared" si="13"/>
        <v>0</v>
      </c>
      <c r="O47" s="16">
        <f t="shared" si="13"/>
        <v>0</v>
      </c>
      <c r="P47" s="16">
        <f t="shared" si="13"/>
        <v>0</v>
      </c>
      <c r="Q47" s="16">
        <f t="shared" si="13"/>
        <v>0</v>
      </c>
      <c r="R47" s="16">
        <f t="shared" si="13"/>
        <v>0</v>
      </c>
      <c r="S47" s="16">
        <f t="shared" si="13"/>
        <v>0</v>
      </c>
      <c r="T47" s="16">
        <f t="shared" si="13"/>
        <v>0</v>
      </c>
      <c r="U47" s="16">
        <f t="shared" si="13"/>
        <v>0</v>
      </c>
      <c r="V47" s="16">
        <f t="shared" si="13"/>
        <v>0</v>
      </c>
      <c r="W47" s="16">
        <f t="shared" si="13"/>
        <v>0</v>
      </c>
      <c r="X47" s="16">
        <f t="shared" si="13"/>
        <v>0</v>
      </c>
      <c r="Y47" s="16">
        <f t="shared" si="13"/>
        <v>0</v>
      </c>
      <c r="Z47" s="16">
        <f t="shared" si="13"/>
        <v>0</v>
      </c>
      <c r="AA47" s="16">
        <f t="shared" si="13"/>
        <v>0</v>
      </c>
      <c r="AB47" s="16">
        <f t="shared" si="13"/>
        <v>0</v>
      </c>
      <c r="AC47" s="16">
        <f t="shared" si="13"/>
        <v>0</v>
      </c>
      <c r="AD47" s="16">
        <f t="shared" si="13"/>
        <v>0</v>
      </c>
      <c r="AE47" s="16">
        <f t="shared" si="13"/>
        <v>0</v>
      </c>
      <c r="AF47" s="16">
        <f t="shared" si="13"/>
        <v>0</v>
      </c>
      <c r="AG47" s="16">
        <f t="shared" si="13"/>
        <v>0</v>
      </c>
      <c r="AH47" s="16">
        <f t="shared" si="13"/>
        <v>0</v>
      </c>
      <c r="AI47" s="16">
        <f t="shared" si="13"/>
        <v>0</v>
      </c>
      <c r="AJ47" s="16">
        <f t="shared" si="13"/>
        <v>0</v>
      </c>
      <c r="AK47" s="16">
        <f t="shared" si="13"/>
        <v>0</v>
      </c>
      <c r="AL47" s="16">
        <f t="shared" si="13"/>
        <v>0</v>
      </c>
      <c r="AM47" s="16">
        <f t="shared" si="13"/>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0</v>
      </c>
      <c r="E49" s="14">
        <v>0</v>
      </c>
      <c r="F49" s="14">
        <v>0</v>
      </c>
      <c r="G49" s="14">
        <v>0</v>
      </c>
      <c r="H49" s="14">
        <v>0</v>
      </c>
      <c r="I49" s="14">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0</v>
      </c>
      <c r="AD49" s="14">
        <v>0</v>
      </c>
      <c r="AE49" s="14">
        <v>0</v>
      </c>
      <c r="AF49" s="14">
        <v>0</v>
      </c>
      <c r="AG49" s="14">
        <v>0</v>
      </c>
      <c r="AH49" s="14">
        <v>0</v>
      </c>
      <c r="AI49" s="14">
        <v>0</v>
      </c>
      <c r="AJ49" s="14">
        <v>0</v>
      </c>
      <c r="AK49" s="14">
        <v>0</v>
      </c>
      <c r="AL49" s="14">
        <v>0</v>
      </c>
      <c r="AM49" s="14">
        <v>0</v>
      </c>
    </row>
    <row r="50" spans="2:39" s="12" customFormat="1" ht="21" customHeight="1" x14ac:dyDescent="0.3">
      <c r="B50" s="13" t="s">
        <v>47</v>
      </c>
      <c r="C50" s="10"/>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0</v>
      </c>
      <c r="AC50" s="14">
        <v>0</v>
      </c>
      <c r="AD50" s="14">
        <v>0</v>
      </c>
      <c r="AE50" s="14">
        <v>0</v>
      </c>
      <c r="AF50" s="14">
        <v>0</v>
      </c>
      <c r="AG50" s="14">
        <v>0</v>
      </c>
      <c r="AH50" s="14">
        <v>0</v>
      </c>
      <c r="AI50" s="14">
        <v>0</v>
      </c>
      <c r="AJ50" s="14">
        <v>0</v>
      </c>
      <c r="AK50" s="14">
        <v>0</v>
      </c>
      <c r="AL50" s="14">
        <v>0</v>
      </c>
      <c r="AM50" s="14">
        <v>0</v>
      </c>
    </row>
    <row r="51" spans="2:39" s="12" customFormat="1" ht="21" customHeight="1" x14ac:dyDescent="0.3">
      <c r="B51" s="15" t="s">
        <v>48</v>
      </c>
      <c r="C51" s="10"/>
      <c r="D51" s="16">
        <f t="shared" ref="D51:AM51" si="14">SUM(D50, D49 + D48)</f>
        <v>0</v>
      </c>
      <c r="E51" s="16">
        <f t="shared" si="14"/>
        <v>0</v>
      </c>
      <c r="F51" s="16">
        <f t="shared" si="14"/>
        <v>0</v>
      </c>
      <c r="G51" s="16">
        <f t="shared" si="14"/>
        <v>0</v>
      </c>
      <c r="H51" s="16">
        <f t="shared" si="14"/>
        <v>0</v>
      </c>
      <c r="I51" s="16">
        <f t="shared" si="14"/>
        <v>0</v>
      </c>
      <c r="J51" s="16">
        <f t="shared" si="14"/>
        <v>0</v>
      </c>
      <c r="K51" s="16">
        <f t="shared" si="14"/>
        <v>0</v>
      </c>
      <c r="L51" s="16">
        <f t="shared" si="14"/>
        <v>0</v>
      </c>
      <c r="M51" s="16">
        <f t="shared" si="14"/>
        <v>0</v>
      </c>
      <c r="N51" s="16">
        <f t="shared" si="14"/>
        <v>0</v>
      </c>
      <c r="O51" s="16">
        <f t="shared" si="14"/>
        <v>0</v>
      </c>
      <c r="P51" s="16">
        <f t="shared" si="14"/>
        <v>0</v>
      </c>
      <c r="Q51" s="16">
        <f t="shared" si="14"/>
        <v>0</v>
      </c>
      <c r="R51" s="16">
        <f t="shared" si="14"/>
        <v>0</v>
      </c>
      <c r="S51" s="16">
        <f t="shared" si="14"/>
        <v>0</v>
      </c>
      <c r="T51" s="16">
        <f t="shared" si="14"/>
        <v>0</v>
      </c>
      <c r="U51" s="16">
        <f t="shared" si="14"/>
        <v>0</v>
      </c>
      <c r="V51" s="16">
        <f t="shared" si="14"/>
        <v>0</v>
      </c>
      <c r="W51" s="16">
        <f t="shared" si="14"/>
        <v>0</v>
      </c>
      <c r="X51" s="16">
        <f t="shared" si="14"/>
        <v>0</v>
      </c>
      <c r="Y51" s="16">
        <f t="shared" si="14"/>
        <v>0</v>
      </c>
      <c r="Z51" s="16">
        <f t="shared" si="14"/>
        <v>0</v>
      </c>
      <c r="AA51" s="16">
        <f t="shared" si="14"/>
        <v>0</v>
      </c>
      <c r="AB51" s="16">
        <f t="shared" si="14"/>
        <v>0</v>
      </c>
      <c r="AC51" s="16">
        <f t="shared" si="14"/>
        <v>0</v>
      </c>
      <c r="AD51" s="16">
        <f t="shared" si="14"/>
        <v>0</v>
      </c>
      <c r="AE51" s="16">
        <f t="shared" si="14"/>
        <v>0</v>
      </c>
      <c r="AF51" s="16">
        <f t="shared" si="14"/>
        <v>0</v>
      </c>
      <c r="AG51" s="16">
        <f t="shared" si="14"/>
        <v>0</v>
      </c>
      <c r="AH51" s="16">
        <f t="shared" si="14"/>
        <v>0</v>
      </c>
      <c r="AI51" s="16">
        <f t="shared" si="14"/>
        <v>0</v>
      </c>
      <c r="AJ51" s="16">
        <f t="shared" si="14"/>
        <v>0</v>
      </c>
      <c r="AK51" s="16">
        <f t="shared" si="14"/>
        <v>0</v>
      </c>
      <c r="AL51" s="16">
        <f t="shared" si="14"/>
        <v>0</v>
      </c>
      <c r="AM51" s="16">
        <f t="shared" si="14"/>
        <v>0</v>
      </c>
    </row>
    <row r="52" spans="2:39" s="18" customFormat="1" ht="21" customHeight="1" x14ac:dyDescent="0.3">
      <c r="B52" s="15" t="s">
        <v>49</v>
      </c>
      <c r="C52" s="19"/>
      <c r="D52" s="20">
        <f t="shared" ref="D52:AM52" si="15">D47-D51</f>
        <v>0</v>
      </c>
      <c r="E52" s="20">
        <f t="shared" si="15"/>
        <v>0</v>
      </c>
      <c r="F52" s="20">
        <f t="shared" si="15"/>
        <v>0</v>
      </c>
      <c r="G52" s="20">
        <f t="shared" si="15"/>
        <v>0</v>
      </c>
      <c r="H52" s="20">
        <f t="shared" si="15"/>
        <v>0</v>
      </c>
      <c r="I52" s="20">
        <f t="shared" si="15"/>
        <v>0</v>
      </c>
      <c r="J52" s="20">
        <f t="shared" si="15"/>
        <v>0</v>
      </c>
      <c r="K52" s="20">
        <f t="shared" si="15"/>
        <v>0</v>
      </c>
      <c r="L52" s="20">
        <f t="shared" si="15"/>
        <v>0</v>
      </c>
      <c r="M52" s="20">
        <f t="shared" si="15"/>
        <v>0</v>
      </c>
      <c r="N52" s="20">
        <f t="shared" si="15"/>
        <v>0</v>
      </c>
      <c r="O52" s="20">
        <f t="shared" si="15"/>
        <v>0</v>
      </c>
      <c r="P52" s="20">
        <f t="shared" si="15"/>
        <v>0</v>
      </c>
      <c r="Q52" s="20">
        <f t="shared" si="15"/>
        <v>0</v>
      </c>
      <c r="R52" s="20">
        <f t="shared" si="15"/>
        <v>0</v>
      </c>
      <c r="S52" s="20">
        <f t="shared" si="15"/>
        <v>0</v>
      </c>
      <c r="T52" s="20">
        <f t="shared" si="15"/>
        <v>0</v>
      </c>
      <c r="U52" s="20">
        <f t="shared" si="15"/>
        <v>0</v>
      </c>
      <c r="V52" s="20">
        <f t="shared" si="15"/>
        <v>0</v>
      </c>
      <c r="W52" s="20">
        <f t="shared" si="15"/>
        <v>0</v>
      </c>
      <c r="X52" s="20">
        <f t="shared" si="15"/>
        <v>0</v>
      </c>
      <c r="Y52" s="20">
        <f t="shared" si="15"/>
        <v>0</v>
      </c>
      <c r="Z52" s="20">
        <f t="shared" si="15"/>
        <v>0</v>
      </c>
      <c r="AA52" s="20">
        <f t="shared" si="15"/>
        <v>0</v>
      </c>
      <c r="AB52" s="20">
        <f t="shared" si="15"/>
        <v>0</v>
      </c>
      <c r="AC52" s="20">
        <f t="shared" si="15"/>
        <v>0</v>
      </c>
      <c r="AD52" s="20">
        <f t="shared" si="15"/>
        <v>0</v>
      </c>
      <c r="AE52" s="20">
        <f t="shared" si="15"/>
        <v>0</v>
      </c>
      <c r="AF52" s="20">
        <f t="shared" si="15"/>
        <v>0</v>
      </c>
      <c r="AG52" s="20">
        <f t="shared" si="15"/>
        <v>0</v>
      </c>
      <c r="AH52" s="20">
        <f t="shared" si="15"/>
        <v>0</v>
      </c>
      <c r="AI52" s="20">
        <f t="shared" si="15"/>
        <v>0</v>
      </c>
      <c r="AJ52" s="20">
        <f t="shared" si="15"/>
        <v>0</v>
      </c>
      <c r="AK52" s="20">
        <f t="shared" si="15"/>
        <v>0</v>
      </c>
      <c r="AL52" s="20">
        <f t="shared" si="15"/>
        <v>0</v>
      </c>
      <c r="AM52" s="20">
        <f t="shared" si="15"/>
        <v>0</v>
      </c>
    </row>
    <row r="53" spans="2:39" s="18" customFormat="1" ht="21" customHeight="1" x14ac:dyDescent="0.3">
      <c r="B53" s="15" t="s">
        <v>50</v>
      </c>
      <c r="C53" s="19"/>
      <c r="D53" s="20">
        <f t="shared" ref="D53:AM53" si="16">D44+D52</f>
        <v>-23775.375</v>
      </c>
      <c r="E53" s="20">
        <f t="shared" si="16"/>
        <v>-24495.39</v>
      </c>
      <c r="F53" s="20">
        <f t="shared" si="16"/>
        <v>-24659.0756</v>
      </c>
      <c r="G53" s="20">
        <f t="shared" si="16"/>
        <v>-24442.564491999998</v>
      </c>
      <c r="H53" s="20">
        <f t="shared" si="16"/>
        <v>-24943.378158680003</v>
      </c>
      <c r="I53" s="20">
        <f t="shared" si="16"/>
        <v>-25698.495377777206</v>
      </c>
      <c r="J53" s="20">
        <f t="shared" si="16"/>
        <v>-25421.109896253791</v>
      </c>
      <c r="K53" s="20">
        <f t="shared" si="16"/>
        <v>-26211.061031073416</v>
      </c>
      <c r="L53" s="20">
        <f t="shared" si="16"/>
        <v>-27030.471837018038</v>
      </c>
      <c r="M53" s="20">
        <f t="shared" si="16"/>
        <v>-27038.76678207529</v>
      </c>
      <c r="N53" s="20">
        <f t="shared" si="16"/>
        <v>-26406.649852402774</v>
      </c>
      <c r="O53" s="20">
        <f t="shared" si="16"/>
        <v>-25877.989897642678</v>
      </c>
      <c r="P53" s="20">
        <f t="shared" si="16"/>
        <v>-26699.181872506502</v>
      </c>
      <c r="Q53" s="20">
        <f t="shared" si="16"/>
        <v>-27373.636987271526</v>
      </c>
      <c r="R53" s="20">
        <f t="shared" si="16"/>
        <v>-26772.953802120763</v>
      </c>
      <c r="S53" s="20">
        <f t="shared" si="16"/>
        <v>-27634.727499186909</v>
      </c>
      <c r="T53" s="20">
        <f t="shared" si="16"/>
        <v>-28359.659329188245</v>
      </c>
      <c r="U53" s="20">
        <f t="shared" si="16"/>
        <v>-29289.061416343837</v>
      </c>
      <c r="V53" s="20">
        <f t="shared" si="16"/>
        <v>-28149.258887840751</v>
      </c>
      <c r="W53" s="20">
        <f t="shared" si="16"/>
        <v>-28522.99967512365</v>
      </c>
      <c r="X53" s="20">
        <f t="shared" si="16"/>
        <v>-29259.195941127575</v>
      </c>
      <c r="Y53" s="20">
        <f t="shared" si="16"/>
        <v>-29127.894459914602</v>
      </c>
      <c r="Z53" s="20">
        <f t="shared" si="16"/>
        <v>-30105.551864309833</v>
      </c>
      <c r="AA53" s="20">
        <f t="shared" si="16"/>
        <v>-31123.314406750203</v>
      </c>
      <c r="AB53" s="20">
        <f t="shared" si="16"/>
        <v>-31623.589960793786</v>
      </c>
      <c r="AC53" s="20">
        <f t="shared" si="16"/>
        <v>-30095.02900024355</v>
      </c>
      <c r="AD53" s="20">
        <f t="shared" si="16"/>
        <v>-30974.520132259226</v>
      </c>
      <c r="AE53" s="20">
        <f t="shared" si="16"/>
        <v>-31814.118455105563</v>
      </c>
      <c r="AF53" s="20">
        <f t="shared" si="16"/>
        <v>-32920.35109697091</v>
      </c>
      <c r="AG53" s="20">
        <f t="shared" si="16"/>
        <v>-32554.092857882919</v>
      </c>
      <c r="AH53" s="20">
        <f t="shared" si="16"/>
        <v>-33479.998083126055</v>
      </c>
      <c r="AI53" s="20">
        <f t="shared" si="16"/>
        <v>-33617.728472139126</v>
      </c>
      <c r="AJ53" s="20">
        <f t="shared" si="16"/>
        <v>-33883.900642451139</v>
      </c>
      <c r="AK53" s="20">
        <f t="shared" si="16"/>
        <v>-35094.97265249653</v>
      </c>
      <c r="AL53" s="20">
        <f t="shared" si="16"/>
        <v>-35210.143805465086</v>
      </c>
      <c r="AM53" s="20">
        <f t="shared" si="16"/>
        <v>-35823.788072311167</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count="1">
    <dataValidation type="list" allowBlank="1" showInputMessage="1" showErrorMessage="1" sqref="D4" xr:uid="{2A7D6D6A-5BAE-40EB-9C96-F4CC55C2CDEC}">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C57B5-2A61-4AF1-A1D5-A48C8ABFEB9E}">
  <sheetPr>
    <tabColor theme="9" tint="0.79998168889431442"/>
    <outlinePr summaryBelow="0" summaryRight="0"/>
  </sheetPr>
  <dimension ref="A1:NTP304"/>
  <sheetViews>
    <sheetView showGridLines="0" zoomScaleNormal="100" workbookViewId="0">
      <pane xSplit="3" ySplit="4" topLeftCell="D5" activePane="bottomRight" state="frozen"/>
      <selection activeCell="B8" sqref="B8"/>
      <selection pane="topRight" activeCell="B8" sqref="B8"/>
      <selection pane="bottomLeft" activeCell="B8" sqref="B8"/>
      <selection pane="bottomRight" activeCell="A2" sqref="A2"/>
    </sheetView>
  </sheetViews>
  <sheetFormatPr defaultColWidth="9.109375" defaultRowHeight="14.4" x14ac:dyDescent="0.3"/>
  <cols>
    <col min="1" max="1" width="2.5546875" customWidth="1"/>
    <col min="2" max="2" width="42.33203125" style="2" customWidth="1"/>
    <col min="3" max="3" width="2.6640625" customWidth="1"/>
    <col min="4" max="4" width="12.44140625" style="27" customWidth="1"/>
    <col min="5"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54</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0</v>
      </c>
      <c r="E6" s="14">
        <v>0</v>
      </c>
      <c r="F6" s="14">
        <v>0</v>
      </c>
      <c r="G6" s="14">
        <v>0</v>
      </c>
      <c r="H6" s="14">
        <v>0</v>
      </c>
      <c r="I6" s="14">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0</v>
      </c>
      <c r="AF6" s="14">
        <v>0</v>
      </c>
      <c r="AG6" s="14">
        <v>0</v>
      </c>
      <c r="AH6" s="14">
        <v>0</v>
      </c>
      <c r="AI6" s="14">
        <v>0</v>
      </c>
      <c r="AJ6" s="14">
        <v>0</v>
      </c>
      <c r="AK6" s="14">
        <v>0</v>
      </c>
      <c r="AL6" s="14">
        <v>0</v>
      </c>
      <c r="AM6" s="14">
        <v>0</v>
      </c>
    </row>
    <row r="7" spans="1:39" s="12" customFormat="1" ht="21" customHeight="1" x14ac:dyDescent="0.3">
      <c r="A7" s="8"/>
      <c r="B7" s="15" t="s">
        <v>4</v>
      </c>
      <c r="C7" s="10"/>
      <c r="D7" s="16">
        <f t="shared" ref="D7:AM7" si="1">SUM(D6 + D5)</f>
        <v>0</v>
      </c>
      <c r="E7" s="16">
        <f t="shared" ref="E7:AL7" si="2">SUM(E6 + E5)</f>
        <v>0</v>
      </c>
      <c r="F7" s="16">
        <f t="shared" si="2"/>
        <v>0</v>
      </c>
      <c r="G7" s="16">
        <f t="shared" si="2"/>
        <v>0</v>
      </c>
      <c r="H7" s="16">
        <f t="shared" si="2"/>
        <v>0</v>
      </c>
      <c r="I7" s="16">
        <f t="shared" si="2"/>
        <v>0</v>
      </c>
      <c r="J7" s="16">
        <f t="shared" si="2"/>
        <v>0</v>
      </c>
      <c r="K7" s="16">
        <f t="shared" si="2"/>
        <v>0</v>
      </c>
      <c r="L7" s="16">
        <f t="shared" si="2"/>
        <v>0</v>
      </c>
      <c r="M7" s="16">
        <f t="shared" si="2"/>
        <v>0</v>
      </c>
      <c r="N7" s="16">
        <f t="shared" si="2"/>
        <v>0</v>
      </c>
      <c r="O7" s="16">
        <f t="shared" si="2"/>
        <v>0</v>
      </c>
      <c r="P7" s="16">
        <f t="shared" si="2"/>
        <v>0</v>
      </c>
      <c r="Q7" s="16">
        <f t="shared" si="2"/>
        <v>0</v>
      </c>
      <c r="R7" s="16">
        <f t="shared" si="2"/>
        <v>0</v>
      </c>
      <c r="S7" s="16">
        <f t="shared" si="2"/>
        <v>0</v>
      </c>
      <c r="T7" s="16">
        <f t="shared" si="2"/>
        <v>0</v>
      </c>
      <c r="U7" s="16">
        <f t="shared" si="2"/>
        <v>0</v>
      </c>
      <c r="V7" s="16">
        <f t="shared" si="2"/>
        <v>0</v>
      </c>
      <c r="W7" s="16">
        <f t="shared" si="2"/>
        <v>0</v>
      </c>
      <c r="X7" s="16">
        <f t="shared" si="2"/>
        <v>0</v>
      </c>
      <c r="Y7" s="16">
        <f t="shared" si="2"/>
        <v>0</v>
      </c>
      <c r="Z7" s="16">
        <f t="shared" si="2"/>
        <v>0</v>
      </c>
      <c r="AA7" s="16">
        <f t="shared" si="2"/>
        <v>0</v>
      </c>
      <c r="AB7" s="16">
        <f t="shared" si="2"/>
        <v>0</v>
      </c>
      <c r="AC7" s="16">
        <f t="shared" si="2"/>
        <v>0</v>
      </c>
      <c r="AD7" s="16">
        <f t="shared" si="2"/>
        <v>0</v>
      </c>
      <c r="AE7" s="16">
        <f t="shared" si="2"/>
        <v>0</v>
      </c>
      <c r="AF7" s="16">
        <f t="shared" si="2"/>
        <v>0</v>
      </c>
      <c r="AG7" s="16">
        <f t="shared" si="2"/>
        <v>0</v>
      </c>
      <c r="AH7" s="16">
        <f t="shared" si="2"/>
        <v>0</v>
      </c>
      <c r="AI7" s="16">
        <f t="shared" si="2"/>
        <v>0</v>
      </c>
      <c r="AJ7" s="16">
        <f t="shared" si="2"/>
        <v>0</v>
      </c>
      <c r="AK7" s="16">
        <f t="shared" si="2"/>
        <v>0</v>
      </c>
      <c r="AL7" s="16">
        <f t="shared" si="2"/>
        <v>0</v>
      </c>
      <c r="AM7" s="16">
        <f t="shared" si="1"/>
        <v>0</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0</v>
      </c>
      <c r="E9" s="14">
        <v>0</v>
      </c>
      <c r="F9" s="14">
        <v>0</v>
      </c>
      <c r="G9" s="14">
        <v>0</v>
      </c>
      <c r="H9" s="14">
        <v>0</v>
      </c>
      <c r="I9" s="14">
        <v>0</v>
      </c>
      <c r="J9" s="14">
        <v>0</v>
      </c>
      <c r="K9" s="14">
        <v>0</v>
      </c>
      <c r="L9" s="14">
        <v>0</v>
      </c>
      <c r="M9" s="14">
        <v>0</v>
      </c>
      <c r="N9" s="14">
        <v>0</v>
      </c>
      <c r="O9" s="14">
        <v>0</v>
      </c>
      <c r="P9" s="14">
        <v>0</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0</v>
      </c>
      <c r="AJ9" s="14">
        <v>0</v>
      </c>
      <c r="AK9" s="14">
        <v>0</v>
      </c>
      <c r="AL9" s="14">
        <v>0</v>
      </c>
      <c r="AM9" s="14">
        <v>0</v>
      </c>
    </row>
    <row r="10" spans="1:39" s="12" customFormat="1" ht="21" customHeight="1" x14ac:dyDescent="0.3">
      <c r="A10" s="8"/>
      <c r="B10" s="13" t="s">
        <v>7</v>
      </c>
      <c r="C10" s="10"/>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0</v>
      </c>
      <c r="AM10" s="14">
        <v>0</v>
      </c>
    </row>
    <row r="11" spans="1:39" s="12" customFormat="1" ht="21" customHeight="1" x14ac:dyDescent="0.3">
      <c r="A11" s="8"/>
      <c r="B11" s="15" t="s">
        <v>8</v>
      </c>
      <c r="C11" s="10"/>
      <c r="D11" s="16">
        <f t="shared" ref="D11:AM11" si="3">SUM(D10, D9 + D8)</f>
        <v>0</v>
      </c>
      <c r="E11" s="16">
        <f t="shared" si="3"/>
        <v>0</v>
      </c>
      <c r="F11" s="16">
        <f t="shared" si="3"/>
        <v>0</v>
      </c>
      <c r="G11" s="16">
        <f t="shared" si="3"/>
        <v>0</v>
      </c>
      <c r="H11" s="16">
        <f t="shared" si="3"/>
        <v>0</v>
      </c>
      <c r="I11" s="16">
        <f t="shared" si="3"/>
        <v>0</v>
      </c>
      <c r="J11" s="16">
        <f t="shared" si="3"/>
        <v>0</v>
      </c>
      <c r="K11" s="16">
        <f t="shared" si="3"/>
        <v>0</v>
      </c>
      <c r="L11" s="16">
        <f t="shared" si="3"/>
        <v>0</v>
      </c>
      <c r="M11" s="16">
        <f t="shared" si="3"/>
        <v>0</v>
      </c>
      <c r="N11" s="16">
        <f t="shared" si="3"/>
        <v>0</v>
      </c>
      <c r="O11" s="16">
        <f t="shared" si="3"/>
        <v>0</v>
      </c>
      <c r="P11" s="16">
        <f t="shared" si="3"/>
        <v>0</v>
      </c>
      <c r="Q11" s="16">
        <f t="shared" si="3"/>
        <v>0</v>
      </c>
      <c r="R11" s="16">
        <f t="shared" si="3"/>
        <v>0</v>
      </c>
      <c r="S11" s="16">
        <f t="shared" si="3"/>
        <v>0</v>
      </c>
      <c r="T11" s="16">
        <f t="shared" si="3"/>
        <v>0</v>
      </c>
      <c r="U11" s="16">
        <f t="shared" si="3"/>
        <v>0</v>
      </c>
      <c r="V11" s="16">
        <f t="shared" si="3"/>
        <v>0</v>
      </c>
      <c r="W11" s="16">
        <f t="shared" si="3"/>
        <v>0</v>
      </c>
      <c r="X11" s="16">
        <f t="shared" si="3"/>
        <v>0</v>
      </c>
      <c r="Y11" s="16">
        <f t="shared" si="3"/>
        <v>0</v>
      </c>
      <c r="Z11" s="16">
        <f t="shared" si="3"/>
        <v>0</v>
      </c>
      <c r="AA11" s="16">
        <f t="shared" si="3"/>
        <v>0</v>
      </c>
      <c r="AB11" s="16">
        <f t="shared" si="3"/>
        <v>0</v>
      </c>
      <c r="AC11" s="16">
        <f t="shared" si="3"/>
        <v>0</v>
      </c>
      <c r="AD11" s="16">
        <f t="shared" si="3"/>
        <v>0</v>
      </c>
      <c r="AE11" s="16">
        <f t="shared" si="3"/>
        <v>0</v>
      </c>
      <c r="AF11" s="16">
        <f t="shared" si="3"/>
        <v>0</v>
      </c>
      <c r="AG11" s="16">
        <f t="shared" si="3"/>
        <v>0</v>
      </c>
      <c r="AH11" s="16">
        <f t="shared" si="3"/>
        <v>0</v>
      </c>
      <c r="AI11" s="16">
        <f t="shared" si="3"/>
        <v>0</v>
      </c>
      <c r="AJ11" s="16">
        <f t="shared" si="3"/>
        <v>0</v>
      </c>
      <c r="AK11" s="16">
        <f t="shared" si="3"/>
        <v>0</v>
      </c>
      <c r="AL11" s="16">
        <f t="shared" si="3"/>
        <v>0</v>
      </c>
      <c r="AM11" s="16">
        <f t="shared" si="3"/>
        <v>0</v>
      </c>
    </row>
    <row r="12" spans="1:39" s="18" customFormat="1" ht="21" customHeight="1" x14ac:dyDescent="0.3">
      <c r="B12" s="15" t="s">
        <v>9</v>
      </c>
      <c r="C12" s="19"/>
      <c r="D12" s="20">
        <f t="shared" ref="D12:AM12" si="4">D7-D11</f>
        <v>0</v>
      </c>
      <c r="E12" s="20">
        <f t="shared" si="4"/>
        <v>0</v>
      </c>
      <c r="F12" s="20">
        <f t="shared" si="4"/>
        <v>0</v>
      </c>
      <c r="G12" s="20">
        <f t="shared" si="4"/>
        <v>0</v>
      </c>
      <c r="H12" s="20">
        <f t="shared" si="4"/>
        <v>0</v>
      </c>
      <c r="I12" s="20">
        <f t="shared" si="4"/>
        <v>0</v>
      </c>
      <c r="J12" s="20">
        <f t="shared" si="4"/>
        <v>0</v>
      </c>
      <c r="K12" s="20">
        <f t="shared" si="4"/>
        <v>0</v>
      </c>
      <c r="L12" s="20">
        <f t="shared" si="4"/>
        <v>0</v>
      </c>
      <c r="M12" s="20">
        <f t="shared" si="4"/>
        <v>0</v>
      </c>
      <c r="N12" s="20">
        <f t="shared" si="4"/>
        <v>0</v>
      </c>
      <c r="O12" s="20">
        <f t="shared" si="4"/>
        <v>0</v>
      </c>
      <c r="P12" s="20">
        <f t="shared" si="4"/>
        <v>0</v>
      </c>
      <c r="Q12" s="20">
        <f t="shared" si="4"/>
        <v>0</v>
      </c>
      <c r="R12" s="20">
        <f t="shared" si="4"/>
        <v>0</v>
      </c>
      <c r="S12" s="20">
        <f t="shared" si="4"/>
        <v>0</v>
      </c>
      <c r="T12" s="20">
        <f t="shared" si="4"/>
        <v>0</v>
      </c>
      <c r="U12" s="20">
        <f t="shared" si="4"/>
        <v>0</v>
      </c>
      <c r="V12" s="20">
        <f t="shared" si="4"/>
        <v>0</v>
      </c>
      <c r="W12" s="20">
        <f t="shared" si="4"/>
        <v>0</v>
      </c>
      <c r="X12" s="20">
        <f t="shared" si="4"/>
        <v>0</v>
      </c>
      <c r="Y12" s="20">
        <f t="shared" si="4"/>
        <v>0</v>
      </c>
      <c r="Z12" s="20">
        <f t="shared" si="4"/>
        <v>0</v>
      </c>
      <c r="AA12" s="20">
        <f t="shared" si="4"/>
        <v>0</v>
      </c>
      <c r="AB12" s="20">
        <f t="shared" si="4"/>
        <v>0</v>
      </c>
      <c r="AC12" s="20">
        <f t="shared" si="4"/>
        <v>0</v>
      </c>
      <c r="AD12" s="20">
        <f t="shared" si="4"/>
        <v>0</v>
      </c>
      <c r="AE12" s="20">
        <f t="shared" si="4"/>
        <v>0</v>
      </c>
      <c r="AF12" s="20">
        <f t="shared" si="4"/>
        <v>0</v>
      </c>
      <c r="AG12" s="20">
        <f t="shared" si="4"/>
        <v>0</v>
      </c>
      <c r="AH12" s="20">
        <f t="shared" si="4"/>
        <v>0</v>
      </c>
      <c r="AI12" s="20">
        <f t="shared" si="4"/>
        <v>0</v>
      </c>
      <c r="AJ12" s="20">
        <f t="shared" si="4"/>
        <v>0</v>
      </c>
      <c r="AK12" s="20">
        <f t="shared" si="4"/>
        <v>0</v>
      </c>
      <c r="AL12" s="20">
        <f t="shared" si="4"/>
        <v>0</v>
      </c>
      <c r="AM12" s="20">
        <f t="shared" si="4"/>
        <v>0</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0</v>
      </c>
      <c r="E14" s="14">
        <v>0</v>
      </c>
      <c r="F14" s="14">
        <v>0</v>
      </c>
      <c r="G14" s="14">
        <v>0</v>
      </c>
      <c r="H14" s="14">
        <v>0</v>
      </c>
      <c r="I14" s="14">
        <v>0</v>
      </c>
      <c r="J14" s="14">
        <v>0</v>
      </c>
      <c r="K14" s="14">
        <v>0</v>
      </c>
      <c r="L14" s="14">
        <v>0</v>
      </c>
      <c r="M14" s="14">
        <v>0</v>
      </c>
      <c r="N14" s="14">
        <v>0</v>
      </c>
      <c r="O14" s="14">
        <v>0</v>
      </c>
      <c r="P14" s="14">
        <v>0</v>
      </c>
      <c r="Q14" s="14">
        <v>0</v>
      </c>
      <c r="R14" s="14">
        <v>0</v>
      </c>
      <c r="S14" s="14">
        <v>0</v>
      </c>
      <c r="T14" s="14">
        <v>0</v>
      </c>
      <c r="U14" s="14">
        <v>0</v>
      </c>
      <c r="V14" s="14">
        <v>0</v>
      </c>
      <c r="W14" s="14">
        <v>0</v>
      </c>
      <c r="X14" s="14">
        <v>0</v>
      </c>
      <c r="Y14" s="14">
        <v>0</v>
      </c>
      <c r="Z14" s="14">
        <v>0</v>
      </c>
      <c r="AA14" s="14">
        <v>0</v>
      </c>
      <c r="AB14" s="14">
        <v>0</v>
      </c>
      <c r="AC14" s="14">
        <v>0</v>
      </c>
      <c r="AD14" s="14">
        <v>0</v>
      </c>
      <c r="AE14" s="14">
        <v>0</v>
      </c>
      <c r="AF14" s="14">
        <v>0</v>
      </c>
      <c r="AG14" s="14">
        <v>0</v>
      </c>
      <c r="AH14" s="14">
        <v>0</v>
      </c>
      <c r="AI14" s="14">
        <v>0</v>
      </c>
      <c r="AJ14" s="14">
        <v>0</v>
      </c>
      <c r="AK14" s="14">
        <v>0</v>
      </c>
      <c r="AL14" s="14">
        <v>0</v>
      </c>
      <c r="AM14" s="14">
        <v>0</v>
      </c>
    </row>
    <row r="15" spans="1:39" s="12" customFormat="1" ht="21" customHeight="1" x14ac:dyDescent="0.3">
      <c r="B15" s="13" t="s">
        <v>12</v>
      </c>
      <c r="C15" s="10"/>
      <c r="D15" s="14">
        <v>0</v>
      </c>
      <c r="E15" s="14">
        <v>0</v>
      </c>
      <c r="F15" s="14">
        <v>0</v>
      </c>
      <c r="G15" s="14">
        <v>0</v>
      </c>
      <c r="H15" s="14">
        <v>0</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row>
    <row r="16" spans="1:39" s="12" customFormat="1" ht="21" customHeight="1" x14ac:dyDescent="0.3">
      <c r="B16" s="13" t="s">
        <v>13</v>
      </c>
      <c r="C16" s="10"/>
      <c r="D16" s="14">
        <v>1500</v>
      </c>
      <c r="E16" s="14">
        <v>1545</v>
      </c>
      <c r="F16" s="14">
        <v>1591.3500000000001</v>
      </c>
      <c r="G16" s="14">
        <v>1639.0905000000002</v>
      </c>
      <c r="H16" s="14">
        <v>1688.2632150000004</v>
      </c>
      <c r="I16" s="14">
        <v>1738.9111114500004</v>
      </c>
      <c r="J16" s="14">
        <f>I16*(0.9)</f>
        <v>1565.0200003050004</v>
      </c>
      <c r="K16" s="14">
        <v>1611.9706003141505</v>
      </c>
      <c r="L16" s="14">
        <v>1660.329718323575</v>
      </c>
      <c r="M16" s="14">
        <v>1710.1396098732823</v>
      </c>
      <c r="N16" s="14">
        <v>1761.4437981694809</v>
      </c>
      <c r="O16" s="14">
        <v>1814.2871121145654</v>
      </c>
      <c r="P16" s="14">
        <v>1868.7157254780025</v>
      </c>
      <c r="Q16" s="14">
        <v>1924.7771972423425</v>
      </c>
      <c r="R16" s="14">
        <v>1982.5205131596128</v>
      </c>
      <c r="S16" s="14">
        <v>2041.9961285544014</v>
      </c>
      <c r="T16" s="14">
        <v>2103.2560124110337</v>
      </c>
      <c r="U16" s="14">
        <v>2166.3536927833647</v>
      </c>
      <c r="V16" s="14">
        <v>2231.3443035668656</v>
      </c>
      <c r="W16" s="14">
        <f>V16*(0.9)</f>
        <v>2008.209873210179</v>
      </c>
      <c r="X16" s="14">
        <v>2068.4561694064846</v>
      </c>
      <c r="Y16" s="14">
        <v>2130.5098544886791</v>
      </c>
      <c r="Z16" s="14">
        <v>2194.4251501233398</v>
      </c>
      <c r="AA16" s="14">
        <v>2260.2579046270403</v>
      </c>
      <c r="AB16" s="14">
        <v>2328.0656417658515</v>
      </c>
      <c r="AC16" s="14">
        <v>2397.9076110188271</v>
      </c>
      <c r="AD16" s="14">
        <v>2469.8448393493918</v>
      </c>
      <c r="AE16" s="14">
        <f>AD16*(0.9)</f>
        <v>2222.8603554144529</v>
      </c>
      <c r="AF16" s="14">
        <v>2289.5461660768865</v>
      </c>
      <c r="AG16" s="14">
        <v>2358.2325510591932</v>
      </c>
      <c r="AH16" s="14">
        <v>2428.9795275909692</v>
      </c>
      <c r="AI16" s="14">
        <v>2501.8489134186984</v>
      </c>
      <c r="AJ16" s="14">
        <v>2576.9043808212596</v>
      </c>
      <c r="AK16" s="14">
        <v>2654.2115122458972</v>
      </c>
      <c r="AL16" s="14">
        <f>AK16*(0.9)</f>
        <v>2388.7903610213075</v>
      </c>
      <c r="AM16" s="14">
        <v>2460.454071851947</v>
      </c>
    </row>
    <row r="17" spans="2:39" s="12" customFormat="1" ht="21" customHeight="1" x14ac:dyDescent="0.3">
      <c r="B17" s="13" t="s">
        <v>14</v>
      </c>
      <c r="C17" s="10"/>
      <c r="D17" s="14">
        <v>4500</v>
      </c>
      <c r="E17" s="14">
        <v>4590</v>
      </c>
      <c r="F17" s="14">
        <v>4681.8</v>
      </c>
      <c r="G17" s="14">
        <f>F17*(0.7)</f>
        <v>3277.2599999999998</v>
      </c>
      <c r="H17" s="14">
        <v>3342.8051999999998</v>
      </c>
      <c r="I17" s="14">
        <v>3409.6613039999997</v>
      </c>
      <c r="J17" s="14">
        <v>3477.8545300799997</v>
      </c>
      <c r="K17" s="14">
        <v>3547.4116206815997</v>
      </c>
      <c r="L17" s="14">
        <v>3618.3598530952318</v>
      </c>
      <c r="M17" s="14">
        <v>3690.7270501571365</v>
      </c>
      <c r="N17" s="14">
        <v>3764.5415911602795</v>
      </c>
      <c r="O17" s="14">
        <v>3839.8324229834852</v>
      </c>
      <c r="P17" s="14">
        <v>3916.6290714431552</v>
      </c>
      <c r="Q17" s="14">
        <v>3994.9616528720185</v>
      </c>
      <c r="R17" s="14">
        <f>Q17*(0.7)</f>
        <v>2796.4731570104127</v>
      </c>
      <c r="S17" s="14">
        <v>2852.4026201506208</v>
      </c>
      <c r="T17" s="14">
        <v>2909.4506725536335</v>
      </c>
      <c r="U17" s="14">
        <v>2967.6396860047062</v>
      </c>
      <c r="V17" s="14">
        <v>3026.9924797248004</v>
      </c>
      <c r="W17" s="14">
        <v>3087.5323293192964</v>
      </c>
      <c r="X17" s="14">
        <v>3149.2829759056826</v>
      </c>
      <c r="Y17" s="14">
        <v>3212.2686354237962</v>
      </c>
      <c r="Z17" s="14">
        <v>3276.514008132272</v>
      </c>
      <c r="AA17" s="14">
        <v>3342.0442882949174</v>
      </c>
      <c r="AB17" s="14">
        <f>AA17*(0.7)</f>
        <v>2339.4310018064421</v>
      </c>
      <c r="AC17" s="14">
        <v>2386.2196218425711</v>
      </c>
      <c r="AD17" s="14">
        <v>2433.9440142794224</v>
      </c>
      <c r="AE17" s="14">
        <v>2482.6228945650109</v>
      </c>
      <c r="AF17" s="14">
        <v>2532.2753524563113</v>
      </c>
      <c r="AG17" s="14">
        <v>2582.9208595054374</v>
      </c>
      <c r="AH17" s="14">
        <v>2634.579276695546</v>
      </c>
      <c r="AI17" s="14">
        <v>2687.2708622294572</v>
      </c>
      <c r="AJ17" s="14">
        <f>AI17*(0.7)</f>
        <v>1881.0896035606199</v>
      </c>
      <c r="AK17" s="14">
        <v>1918.7113956318324</v>
      </c>
      <c r="AL17" s="14">
        <v>1957.0856235444689</v>
      </c>
      <c r="AM17" s="14">
        <v>1996.2273360153583</v>
      </c>
    </row>
    <row r="18" spans="2:39" s="12" customFormat="1" ht="21" customHeight="1" x14ac:dyDescent="0.3">
      <c r="B18" s="13" t="s">
        <v>15</v>
      </c>
      <c r="C18" s="10"/>
      <c r="D18" s="14">
        <v>0</v>
      </c>
      <c r="E18" s="14">
        <v>0</v>
      </c>
      <c r="F18" s="14">
        <v>0</v>
      </c>
      <c r="G18" s="14">
        <v>0</v>
      </c>
      <c r="H18" s="14">
        <v>0</v>
      </c>
      <c r="I18" s="14">
        <v>0</v>
      </c>
      <c r="J18" s="14">
        <v>0</v>
      </c>
      <c r="K18" s="14">
        <v>0</v>
      </c>
      <c r="L18" s="14">
        <v>0</v>
      </c>
      <c r="M18" s="14">
        <v>0</v>
      </c>
      <c r="N18" s="14">
        <v>0</v>
      </c>
      <c r="O18" s="14">
        <v>0</v>
      </c>
      <c r="P18" s="14">
        <v>0</v>
      </c>
      <c r="Q18" s="14">
        <v>0</v>
      </c>
      <c r="R18" s="14">
        <v>0</v>
      </c>
      <c r="S18" s="14">
        <v>0</v>
      </c>
      <c r="T18" s="14">
        <v>0</v>
      </c>
      <c r="U18" s="14">
        <v>0</v>
      </c>
      <c r="V18" s="14">
        <v>0</v>
      </c>
      <c r="W18" s="14">
        <v>0</v>
      </c>
      <c r="X18" s="14">
        <v>0</v>
      </c>
      <c r="Y18" s="14">
        <v>0</v>
      </c>
      <c r="Z18" s="14">
        <v>0</v>
      </c>
      <c r="AA18" s="14">
        <v>0</v>
      </c>
      <c r="AB18" s="14">
        <v>0</v>
      </c>
      <c r="AC18" s="14">
        <v>0</v>
      </c>
      <c r="AD18" s="14">
        <v>0</v>
      </c>
      <c r="AE18" s="14">
        <v>0</v>
      </c>
      <c r="AF18" s="14">
        <v>0</v>
      </c>
      <c r="AG18" s="14">
        <v>0</v>
      </c>
      <c r="AH18" s="14">
        <v>0</v>
      </c>
      <c r="AI18" s="14">
        <v>0</v>
      </c>
      <c r="AJ18" s="14">
        <v>0</v>
      </c>
      <c r="AK18" s="14">
        <v>0</v>
      </c>
      <c r="AL18" s="14">
        <v>0</v>
      </c>
      <c r="AM18" s="14">
        <v>0</v>
      </c>
    </row>
    <row r="19" spans="2:39" s="18" customFormat="1" ht="21" customHeight="1" x14ac:dyDescent="0.3">
      <c r="B19" s="21" t="s">
        <v>16</v>
      </c>
      <c r="C19" s="19"/>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row>
    <row r="20" spans="2:39" s="12" customFormat="1" ht="21" customHeight="1" x14ac:dyDescent="0.3">
      <c r="B20" s="22" t="s">
        <v>17</v>
      </c>
      <c r="C20" s="10"/>
      <c r="D20" s="14">
        <v>800</v>
      </c>
      <c r="E20" s="14">
        <v>840</v>
      </c>
      <c r="F20" s="14">
        <v>882</v>
      </c>
      <c r="G20" s="14">
        <v>926.1</v>
      </c>
      <c r="H20" s="14">
        <v>972.40500000000009</v>
      </c>
      <c r="I20" s="14">
        <v>1021.0252500000001</v>
      </c>
      <c r="J20" s="14">
        <v>1072.0765125000003</v>
      </c>
      <c r="K20" s="14">
        <v>1125.6803381250004</v>
      </c>
      <c r="L20" s="14">
        <v>1181.9643550312505</v>
      </c>
      <c r="M20" s="14">
        <v>1241.062572782813</v>
      </c>
      <c r="N20" s="14">
        <v>1303.1157014219536</v>
      </c>
      <c r="O20" s="14">
        <v>1368.2714864930515</v>
      </c>
      <c r="P20" s="14">
        <v>1436.6850608177042</v>
      </c>
      <c r="Q20" s="14">
        <v>1508.5193138585894</v>
      </c>
      <c r="R20" s="14">
        <v>1583.945279551519</v>
      </c>
      <c r="S20" s="14">
        <v>1663.1425435290951</v>
      </c>
      <c r="T20" s="14">
        <v>1746.2996707055499</v>
      </c>
      <c r="U20" s="14">
        <v>1833.6146542408276</v>
      </c>
      <c r="V20" s="14">
        <v>1925.295386952869</v>
      </c>
      <c r="W20" s="14">
        <v>2021.5601563005125</v>
      </c>
      <c r="X20" s="14">
        <v>2122.6381641155381</v>
      </c>
      <c r="Y20" s="14">
        <v>2228.7700723213152</v>
      </c>
      <c r="Z20" s="14">
        <v>2340.2085759373808</v>
      </c>
      <c r="AA20" s="14">
        <v>2457.2190047342501</v>
      </c>
      <c r="AB20" s="14">
        <v>2580.0799549709627</v>
      </c>
      <c r="AC20" s="14">
        <v>2709.0839527195108</v>
      </c>
      <c r="AD20" s="14">
        <v>2844.5381503554863</v>
      </c>
      <c r="AE20" s="14">
        <v>2986.765057873261</v>
      </c>
      <c r="AF20" s="14">
        <v>3136.1033107669241</v>
      </c>
      <c r="AG20" s="14">
        <v>3292.9084763052706</v>
      </c>
      <c r="AH20" s="14">
        <v>3457.5539001205343</v>
      </c>
      <c r="AI20" s="14">
        <v>3630.4315951265612</v>
      </c>
      <c r="AJ20" s="14">
        <v>3811.9531748828895</v>
      </c>
      <c r="AK20" s="14">
        <v>4002.5508336270341</v>
      </c>
      <c r="AL20" s="14">
        <v>4202.6783753083855</v>
      </c>
      <c r="AM20" s="14">
        <v>4412.8122940738049</v>
      </c>
    </row>
    <row r="21" spans="2:39" s="12" customFormat="1" ht="21" customHeight="1" x14ac:dyDescent="0.3">
      <c r="B21" s="22" t="s">
        <v>18</v>
      </c>
      <c r="C21" s="10"/>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row>
    <row r="22" spans="2:39" s="12" customFormat="1" ht="21" customHeight="1" x14ac:dyDescent="0.3">
      <c r="B22" s="22" t="s">
        <v>19</v>
      </c>
      <c r="C22" s="10"/>
      <c r="D22" s="14">
        <v>0</v>
      </c>
      <c r="E22" s="14">
        <v>0</v>
      </c>
      <c r="F22" s="14">
        <v>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0</v>
      </c>
      <c r="AD22" s="14">
        <v>0</v>
      </c>
      <c r="AE22" s="14">
        <v>0</v>
      </c>
      <c r="AF22" s="14">
        <v>0</v>
      </c>
      <c r="AG22" s="14">
        <v>0</v>
      </c>
      <c r="AH22" s="14">
        <v>0</v>
      </c>
      <c r="AI22" s="14">
        <v>0</v>
      </c>
      <c r="AJ22" s="14">
        <v>0</v>
      </c>
      <c r="AK22" s="14">
        <v>0</v>
      </c>
      <c r="AL22" s="14">
        <v>0</v>
      </c>
      <c r="AM22" s="14">
        <v>0</v>
      </c>
    </row>
    <row r="23" spans="2:39" s="12" customFormat="1" ht="21" customHeight="1" x14ac:dyDescent="0.3">
      <c r="B23" s="21" t="s">
        <v>20</v>
      </c>
      <c r="C23" s="10"/>
      <c r="D23" s="16">
        <f t="shared" ref="D23:AM23" si="5">SUM(D22, D21, D20 + D19)</f>
        <v>800</v>
      </c>
      <c r="E23" s="16">
        <f t="shared" si="5"/>
        <v>840</v>
      </c>
      <c r="F23" s="16">
        <f t="shared" si="5"/>
        <v>882</v>
      </c>
      <c r="G23" s="16">
        <f t="shared" si="5"/>
        <v>926.1</v>
      </c>
      <c r="H23" s="16">
        <f t="shared" si="5"/>
        <v>972.40500000000009</v>
      </c>
      <c r="I23" s="16">
        <f t="shared" si="5"/>
        <v>1021.0252500000001</v>
      </c>
      <c r="J23" s="16">
        <f t="shared" si="5"/>
        <v>1072.0765125000003</v>
      </c>
      <c r="K23" s="16">
        <f t="shared" si="5"/>
        <v>1125.6803381250004</v>
      </c>
      <c r="L23" s="16">
        <f t="shared" si="5"/>
        <v>1181.9643550312505</v>
      </c>
      <c r="M23" s="16">
        <f t="shared" si="5"/>
        <v>1241.062572782813</v>
      </c>
      <c r="N23" s="16">
        <f t="shared" si="5"/>
        <v>1303.1157014219536</v>
      </c>
      <c r="O23" s="16">
        <f t="shared" si="5"/>
        <v>1368.2714864930515</v>
      </c>
      <c r="P23" s="16">
        <f t="shared" si="5"/>
        <v>1436.6850608177042</v>
      </c>
      <c r="Q23" s="16">
        <f t="shared" si="5"/>
        <v>1508.5193138585894</v>
      </c>
      <c r="R23" s="16">
        <f t="shared" si="5"/>
        <v>1583.945279551519</v>
      </c>
      <c r="S23" s="16">
        <f t="shared" si="5"/>
        <v>1663.1425435290951</v>
      </c>
      <c r="T23" s="16">
        <f t="shared" si="5"/>
        <v>1746.2996707055499</v>
      </c>
      <c r="U23" s="16">
        <f t="shared" si="5"/>
        <v>1833.6146542408276</v>
      </c>
      <c r="V23" s="16">
        <f t="shared" si="5"/>
        <v>1925.295386952869</v>
      </c>
      <c r="W23" s="16">
        <f t="shared" si="5"/>
        <v>2021.5601563005125</v>
      </c>
      <c r="X23" s="16">
        <f t="shared" si="5"/>
        <v>2122.6381641155381</v>
      </c>
      <c r="Y23" s="16">
        <f t="shared" si="5"/>
        <v>2228.7700723213152</v>
      </c>
      <c r="Z23" s="16">
        <f t="shared" si="5"/>
        <v>2340.2085759373808</v>
      </c>
      <c r="AA23" s="16">
        <f t="shared" si="5"/>
        <v>2457.2190047342501</v>
      </c>
      <c r="AB23" s="16">
        <f t="shared" si="5"/>
        <v>2580.0799549709627</v>
      </c>
      <c r="AC23" s="16">
        <f t="shared" si="5"/>
        <v>2709.0839527195108</v>
      </c>
      <c r="AD23" s="16">
        <f t="shared" si="5"/>
        <v>2844.5381503554863</v>
      </c>
      <c r="AE23" s="16">
        <f t="shared" si="5"/>
        <v>2986.765057873261</v>
      </c>
      <c r="AF23" s="16">
        <f t="shared" si="5"/>
        <v>3136.1033107669241</v>
      </c>
      <c r="AG23" s="16">
        <f t="shared" si="5"/>
        <v>3292.9084763052706</v>
      </c>
      <c r="AH23" s="16">
        <f t="shared" si="5"/>
        <v>3457.5539001205343</v>
      </c>
      <c r="AI23" s="16">
        <f t="shared" si="5"/>
        <v>3630.4315951265612</v>
      </c>
      <c r="AJ23" s="16">
        <f t="shared" si="5"/>
        <v>3811.9531748828895</v>
      </c>
      <c r="AK23" s="16">
        <f t="shared" si="5"/>
        <v>4002.5508336270341</v>
      </c>
      <c r="AL23" s="16">
        <f t="shared" si="5"/>
        <v>4202.6783753083855</v>
      </c>
      <c r="AM23" s="16">
        <f t="shared" si="5"/>
        <v>4412.8122940738049</v>
      </c>
    </row>
    <row r="24" spans="2:39" s="18" customFormat="1" ht="21" customHeight="1" x14ac:dyDescent="0.3">
      <c r="B24" s="21" t="s">
        <v>21</v>
      </c>
      <c r="C24" s="19"/>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14">
        <v>0</v>
      </c>
      <c r="AB24" s="14">
        <v>0</v>
      </c>
      <c r="AC24" s="14">
        <v>0</v>
      </c>
      <c r="AD24" s="14">
        <v>0</v>
      </c>
      <c r="AE24" s="14">
        <v>0</v>
      </c>
      <c r="AF24" s="14">
        <v>0</v>
      </c>
      <c r="AG24" s="14">
        <v>0</v>
      </c>
      <c r="AH24" s="14">
        <v>0</v>
      </c>
      <c r="AI24" s="14">
        <v>0</v>
      </c>
      <c r="AJ24" s="14">
        <v>0</v>
      </c>
      <c r="AK24" s="14">
        <v>0</v>
      </c>
      <c r="AL24" s="14">
        <v>0</v>
      </c>
      <c r="AM24" s="14">
        <v>0</v>
      </c>
    </row>
    <row r="25" spans="2:39" s="12" customFormat="1" ht="21" customHeight="1" x14ac:dyDescent="0.3">
      <c r="B25" s="22" t="s">
        <v>22</v>
      </c>
      <c r="C25" s="10"/>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c r="U25" s="14">
        <v>0</v>
      </c>
      <c r="V25" s="14">
        <v>0</v>
      </c>
      <c r="W25" s="14">
        <v>0</v>
      </c>
      <c r="X25" s="14">
        <v>0</v>
      </c>
      <c r="Y25" s="14">
        <v>0</v>
      </c>
      <c r="Z25" s="14">
        <v>0</v>
      </c>
      <c r="AA25" s="14">
        <v>0</v>
      </c>
      <c r="AB25" s="14">
        <v>0</v>
      </c>
      <c r="AC25" s="14">
        <v>0</v>
      </c>
      <c r="AD25" s="14">
        <v>0</v>
      </c>
      <c r="AE25" s="14">
        <v>0</v>
      </c>
      <c r="AF25" s="14">
        <v>0</v>
      </c>
      <c r="AG25" s="14">
        <v>0</v>
      </c>
      <c r="AH25" s="14">
        <v>0</v>
      </c>
      <c r="AI25" s="14">
        <v>0</v>
      </c>
      <c r="AJ25" s="14">
        <v>0</v>
      </c>
      <c r="AK25" s="14">
        <v>0</v>
      </c>
      <c r="AL25" s="14">
        <v>0</v>
      </c>
      <c r="AM25" s="14">
        <v>0</v>
      </c>
    </row>
    <row r="26" spans="2:39" s="12" customFormat="1" ht="21" customHeight="1" x14ac:dyDescent="0.3">
      <c r="B26" s="22" t="s">
        <v>23</v>
      </c>
      <c r="C26" s="10"/>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row>
    <row r="27" spans="2:39" s="12" customFormat="1" ht="21" customHeight="1" x14ac:dyDescent="0.3">
      <c r="B27" s="22" t="s">
        <v>24</v>
      </c>
      <c r="C27" s="10"/>
      <c r="D27" s="14">
        <v>0</v>
      </c>
      <c r="E27" s="14">
        <v>0</v>
      </c>
      <c r="F27" s="14">
        <v>0</v>
      </c>
      <c r="G27" s="14">
        <v>0</v>
      </c>
      <c r="H27" s="14">
        <v>0</v>
      </c>
      <c r="I27" s="14">
        <v>0</v>
      </c>
      <c r="J27" s="14">
        <v>0</v>
      </c>
      <c r="K27" s="14">
        <v>0</v>
      </c>
      <c r="L27" s="14">
        <v>0</v>
      </c>
      <c r="M27" s="14">
        <v>0</v>
      </c>
      <c r="N27" s="14">
        <v>0</v>
      </c>
      <c r="O27" s="14">
        <v>0</v>
      </c>
      <c r="P27" s="14">
        <v>0</v>
      </c>
      <c r="Q27" s="14">
        <v>0</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row>
    <row r="28" spans="2:39" s="12" customFormat="1" ht="21" customHeight="1" x14ac:dyDescent="0.3">
      <c r="B28" s="22" t="s">
        <v>25</v>
      </c>
      <c r="C28" s="10"/>
      <c r="D28" s="14">
        <v>600</v>
      </c>
      <c r="E28" s="14">
        <v>648</v>
      </c>
      <c r="F28" s="14">
        <v>699.84</v>
      </c>
      <c r="G28" s="14">
        <v>755.82720000000006</v>
      </c>
      <c r="H28" s="14">
        <v>816.29337600000008</v>
      </c>
      <c r="I28" s="14">
        <v>881.59684608000009</v>
      </c>
      <c r="J28" s="14">
        <v>952.12459376640015</v>
      </c>
      <c r="K28" s="14">
        <v>1028.2945612677122</v>
      </c>
      <c r="L28" s="14">
        <v>1110.5581261691293</v>
      </c>
      <c r="M28" s="14">
        <v>1199.4027762626597</v>
      </c>
      <c r="N28" s="14">
        <v>1295.3549983636726</v>
      </c>
      <c r="O28" s="14">
        <v>1398.9833982327666</v>
      </c>
      <c r="P28" s="14">
        <v>1510.9020700913879</v>
      </c>
      <c r="Q28" s="14">
        <v>1631.7742356986992</v>
      </c>
      <c r="R28" s="14">
        <v>1762.3161745545951</v>
      </c>
      <c r="S28" s="14">
        <v>1903.3014685189628</v>
      </c>
      <c r="T28" s="14">
        <v>2055.5655860004799</v>
      </c>
      <c r="U28" s="14">
        <v>2220.0108328805186</v>
      </c>
      <c r="V28" s="14">
        <v>2397.6116995109601</v>
      </c>
      <c r="W28" s="14">
        <v>2589.4206354718372</v>
      </c>
      <c r="X28" s="14">
        <v>2796.5742863095843</v>
      </c>
      <c r="Y28" s="14">
        <v>3020.300229214351</v>
      </c>
      <c r="Z28" s="14">
        <v>3261.9242475514993</v>
      </c>
      <c r="AA28" s="14">
        <v>3522.8781873556195</v>
      </c>
      <c r="AB28" s="14">
        <v>3804.7084423440692</v>
      </c>
      <c r="AC28" s="14">
        <v>4109.0851177315953</v>
      </c>
      <c r="AD28" s="14">
        <v>4437.8119271501237</v>
      </c>
      <c r="AE28" s="14">
        <v>4792.8368813221341</v>
      </c>
      <c r="AF28" s="14">
        <v>5176.2638318279051</v>
      </c>
      <c r="AG28" s="14">
        <v>5590.3649383741376</v>
      </c>
      <c r="AH28" s="14">
        <v>6037.5941334440695</v>
      </c>
      <c r="AI28" s="14">
        <v>6520.6016641195956</v>
      </c>
      <c r="AJ28" s="14">
        <v>7042.2497972491637</v>
      </c>
      <c r="AK28" s="14">
        <v>7605.6297810290971</v>
      </c>
      <c r="AL28" s="14">
        <v>8214.0801635114258</v>
      </c>
      <c r="AM28" s="14">
        <v>8871.2065765923398</v>
      </c>
    </row>
    <row r="29" spans="2:39" s="12" customFormat="1" ht="21" customHeight="1" x14ac:dyDescent="0.3">
      <c r="B29" s="21" t="s">
        <v>26</v>
      </c>
      <c r="C29" s="10"/>
      <c r="D29" s="16">
        <f t="shared" ref="D29:AM29" si="6">SUM(D28, D27, D26, D25 + D24)</f>
        <v>600</v>
      </c>
      <c r="E29" s="16">
        <f t="shared" si="6"/>
        <v>648</v>
      </c>
      <c r="F29" s="16">
        <f t="shared" si="6"/>
        <v>699.84</v>
      </c>
      <c r="G29" s="16">
        <f t="shared" si="6"/>
        <v>755.82720000000006</v>
      </c>
      <c r="H29" s="16">
        <f t="shared" si="6"/>
        <v>816.29337600000008</v>
      </c>
      <c r="I29" s="16">
        <f t="shared" si="6"/>
        <v>881.59684608000009</v>
      </c>
      <c r="J29" s="16">
        <f t="shared" si="6"/>
        <v>952.12459376640015</v>
      </c>
      <c r="K29" s="16">
        <f t="shared" si="6"/>
        <v>1028.2945612677122</v>
      </c>
      <c r="L29" s="16">
        <f t="shared" si="6"/>
        <v>1110.5581261691293</v>
      </c>
      <c r="M29" s="16">
        <f t="shared" si="6"/>
        <v>1199.4027762626597</v>
      </c>
      <c r="N29" s="16">
        <f t="shared" si="6"/>
        <v>1295.3549983636726</v>
      </c>
      <c r="O29" s="16">
        <f t="shared" si="6"/>
        <v>1398.9833982327666</v>
      </c>
      <c r="P29" s="16">
        <f t="shared" si="6"/>
        <v>1510.9020700913879</v>
      </c>
      <c r="Q29" s="16">
        <f t="shared" si="6"/>
        <v>1631.7742356986992</v>
      </c>
      <c r="R29" s="16">
        <f t="shared" si="6"/>
        <v>1762.3161745545951</v>
      </c>
      <c r="S29" s="16">
        <f t="shared" si="6"/>
        <v>1903.3014685189628</v>
      </c>
      <c r="T29" s="16">
        <f t="shared" si="6"/>
        <v>2055.5655860004799</v>
      </c>
      <c r="U29" s="16">
        <f t="shared" si="6"/>
        <v>2220.0108328805186</v>
      </c>
      <c r="V29" s="16">
        <f t="shared" si="6"/>
        <v>2397.6116995109601</v>
      </c>
      <c r="W29" s="16">
        <f t="shared" si="6"/>
        <v>2589.4206354718372</v>
      </c>
      <c r="X29" s="16">
        <f t="shared" si="6"/>
        <v>2796.5742863095843</v>
      </c>
      <c r="Y29" s="16">
        <f t="shared" si="6"/>
        <v>3020.300229214351</v>
      </c>
      <c r="Z29" s="16">
        <f t="shared" si="6"/>
        <v>3261.9242475514993</v>
      </c>
      <c r="AA29" s="16">
        <f t="shared" si="6"/>
        <v>3522.8781873556195</v>
      </c>
      <c r="AB29" s="16">
        <f t="shared" si="6"/>
        <v>3804.7084423440692</v>
      </c>
      <c r="AC29" s="16">
        <f t="shared" si="6"/>
        <v>4109.0851177315953</v>
      </c>
      <c r="AD29" s="16">
        <f t="shared" si="6"/>
        <v>4437.8119271501237</v>
      </c>
      <c r="AE29" s="16">
        <f t="shared" si="6"/>
        <v>4792.8368813221341</v>
      </c>
      <c r="AF29" s="16">
        <f t="shared" si="6"/>
        <v>5176.2638318279051</v>
      </c>
      <c r="AG29" s="16">
        <f t="shared" si="6"/>
        <v>5590.3649383741376</v>
      </c>
      <c r="AH29" s="16">
        <f t="shared" si="6"/>
        <v>6037.5941334440695</v>
      </c>
      <c r="AI29" s="16">
        <f t="shared" si="6"/>
        <v>6520.6016641195956</v>
      </c>
      <c r="AJ29" s="16">
        <f t="shared" si="6"/>
        <v>7042.2497972491637</v>
      </c>
      <c r="AK29" s="16">
        <f t="shared" si="6"/>
        <v>7605.6297810290971</v>
      </c>
      <c r="AL29" s="16">
        <f t="shared" si="6"/>
        <v>8214.0801635114258</v>
      </c>
      <c r="AM29" s="16">
        <f t="shared" si="6"/>
        <v>8871.2065765923398</v>
      </c>
    </row>
    <row r="30" spans="2:39" s="18" customFormat="1" ht="21" customHeight="1" x14ac:dyDescent="0.3">
      <c r="B30" s="21" t="s">
        <v>27</v>
      </c>
      <c r="C30" s="19"/>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row>
    <row r="31" spans="2:39" s="12" customFormat="1" ht="21" customHeight="1" x14ac:dyDescent="0.3">
      <c r="B31" s="22" t="s">
        <v>28</v>
      </c>
      <c r="C31" s="10"/>
      <c r="D31" s="14">
        <v>6000</v>
      </c>
      <c r="E31" s="14">
        <v>6420</v>
      </c>
      <c r="F31" s="14">
        <v>6869.4000000000005</v>
      </c>
      <c r="G31" s="14">
        <v>7350.2580000000007</v>
      </c>
      <c r="H31" s="14">
        <f>G31*(0.7)</f>
        <v>5145.1806000000006</v>
      </c>
      <c r="I31" s="14">
        <v>5505.3432420000008</v>
      </c>
      <c r="J31" s="14">
        <v>5890.7172689400013</v>
      </c>
      <c r="K31" s="14">
        <v>6303.0674777658014</v>
      </c>
      <c r="L31" s="14">
        <v>6744.2822012094075</v>
      </c>
      <c r="M31" s="14">
        <v>7216.3819552940668</v>
      </c>
      <c r="N31" s="14">
        <v>7721.5286921646521</v>
      </c>
      <c r="O31" s="14">
        <v>8262.0357006161776</v>
      </c>
      <c r="P31" s="14">
        <v>8840.3781996593098</v>
      </c>
      <c r="Q31" s="14">
        <v>9459.2046736354623</v>
      </c>
      <c r="R31" s="14">
        <v>10121.349000789945</v>
      </c>
      <c r="S31" s="14">
        <v>10829.843430845242</v>
      </c>
      <c r="T31" s="14">
        <v>11587.932471004409</v>
      </c>
      <c r="U31" s="14">
        <f>T31*(0.7)</f>
        <v>8111.5527297030858</v>
      </c>
      <c r="V31" s="14">
        <v>8679.361420782303</v>
      </c>
      <c r="W31" s="14">
        <v>9286.9167202370645</v>
      </c>
      <c r="X31" s="14">
        <v>9937.0008906536605</v>
      </c>
      <c r="Y31" s="14">
        <v>10632.590952999417</v>
      </c>
      <c r="Z31" s="14">
        <v>11376.872319709377</v>
      </c>
      <c r="AA31" s="14">
        <v>12173.253382089033</v>
      </c>
      <c r="AB31" s="14">
        <f t="shared" ref="AB31:AC31" si="7">AA31*(0.7)</f>
        <v>8521.2773674623222</v>
      </c>
      <c r="AC31" s="14">
        <f t="shared" si="7"/>
        <v>5964.8941572236254</v>
      </c>
      <c r="AD31" s="14">
        <v>6382.4367482292791</v>
      </c>
      <c r="AE31" s="14">
        <v>6829.2073206053292</v>
      </c>
      <c r="AF31" s="14">
        <v>7307.2518330477023</v>
      </c>
      <c r="AG31" s="14">
        <v>7818.7594613610418</v>
      </c>
      <c r="AH31" s="14">
        <v>8366.072623656315</v>
      </c>
      <c r="AI31" s="14">
        <v>8951.697707312258</v>
      </c>
      <c r="AJ31" s="14">
        <v>9578.3165468241168</v>
      </c>
      <c r="AK31" s="14">
        <f>AJ31*(0.7)</f>
        <v>6704.8215827768818</v>
      </c>
      <c r="AL31" s="14">
        <v>7174.1590935712638</v>
      </c>
      <c r="AM31" s="14">
        <v>7676.3502301212529</v>
      </c>
    </row>
    <row r="32" spans="2:39" s="12" customFormat="1" ht="21" customHeight="1" x14ac:dyDescent="0.3">
      <c r="B32" s="22" t="s">
        <v>29</v>
      </c>
      <c r="C32" s="10"/>
      <c r="D32" s="14">
        <f>D31*0.1</f>
        <v>600</v>
      </c>
      <c r="E32" s="14">
        <v>624</v>
      </c>
      <c r="F32" s="14">
        <v>648.96</v>
      </c>
      <c r="G32" s="14">
        <v>674.91840000000002</v>
      </c>
      <c r="H32" s="14">
        <v>701.91513600000008</v>
      </c>
      <c r="I32" s="14">
        <v>729.99174144000006</v>
      </c>
      <c r="J32" s="14">
        <v>759.19141109760005</v>
      </c>
      <c r="K32" s="14">
        <v>789.55906754150408</v>
      </c>
      <c r="L32" s="14">
        <v>821.14143024316422</v>
      </c>
      <c r="M32" s="14">
        <v>853.98708745289082</v>
      </c>
      <c r="N32" s="14">
        <v>888.14657095100654</v>
      </c>
      <c r="O32" s="14">
        <v>923.67243378904686</v>
      </c>
      <c r="P32" s="14">
        <v>960.61933114060878</v>
      </c>
      <c r="Q32" s="14">
        <v>999.04410438623313</v>
      </c>
      <c r="R32" s="14">
        <v>1039.0058685616825</v>
      </c>
      <c r="S32" s="14">
        <v>1080.5661033041499</v>
      </c>
      <c r="T32" s="14">
        <v>1123.788747436316</v>
      </c>
      <c r="U32" s="14">
        <v>1168.7402973337687</v>
      </c>
      <c r="V32" s="14">
        <v>1215.4899092271196</v>
      </c>
      <c r="W32" s="14">
        <v>1264.1095055962044</v>
      </c>
      <c r="X32" s="14">
        <v>1314.6738858200526</v>
      </c>
      <c r="Y32" s="14">
        <v>1367.2608412528548</v>
      </c>
      <c r="Z32" s="14">
        <v>1421.9512749029691</v>
      </c>
      <c r="AA32" s="14">
        <v>1478.829325899088</v>
      </c>
      <c r="AB32" s="14">
        <v>1537.9824989350516</v>
      </c>
      <c r="AC32" s="14">
        <v>1599.5017988924537</v>
      </c>
      <c r="AD32" s="14">
        <v>1663.4818708481519</v>
      </c>
      <c r="AE32" s="14">
        <v>1730.021145682078</v>
      </c>
      <c r="AF32" s="14">
        <v>1799.2219915093613</v>
      </c>
      <c r="AG32" s="14">
        <v>1871.1908711697358</v>
      </c>
      <c r="AH32" s="14">
        <v>1946.0385060165254</v>
      </c>
      <c r="AI32" s="14">
        <v>2023.8800462571865</v>
      </c>
      <c r="AJ32" s="14">
        <v>2104.8352481074739</v>
      </c>
      <c r="AK32" s="14">
        <v>2189.0286580317729</v>
      </c>
      <c r="AL32" s="14">
        <v>2276.5898043530437</v>
      </c>
      <c r="AM32" s="14">
        <v>2367.6533965271656</v>
      </c>
    </row>
    <row r="33" spans="2:39" s="12" customFormat="1" ht="21" customHeight="1" x14ac:dyDescent="0.3">
      <c r="B33" s="22" t="s">
        <v>30</v>
      </c>
      <c r="C33" s="10"/>
      <c r="D33" s="14">
        <v>550</v>
      </c>
      <c r="E33" s="14">
        <v>572</v>
      </c>
      <c r="F33" s="14">
        <v>594.88</v>
      </c>
      <c r="G33" s="14">
        <v>618.67520000000002</v>
      </c>
      <c r="H33" s="14">
        <v>643.42220800000007</v>
      </c>
      <c r="I33" s="14">
        <v>669.15909632000012</v>
      </c>
      <c r="J33" s="14">
        <v>695.92546017280017</v>
      </c>
      <c r="K33" s="14">
        <v>723.76247857971225</v>
      </c>
      <c r="L33" s="14">
        <v>752.71297772290075</v>
      </c>
      <c r="M33" s="14">
        <v>782.82149683181683</v>
      </c>
      <c r="N33" s="14">
        <v>814.13435670508954</v>
      </c>
      <c r="O33" s="14">
        <v>846.69973097329319</v>
      </c>
      <c r="P33" s="14">
        <v>880.56772021222491</v>
      </c>
      <c r="Q33" s="14">
        <v>915.79042902071399</v>
      </c>
      <c r="R33" s="14">
        <v>952.42204618154256</v>
      </c>
      <c r="S33" s="14">
        <v>990.51892802880434</v>
      </c>
      <c r="T33" s="14">
        <v>1030.1396851499564</v>
      </c>
      <c r="U33" s="14">
        <v>1071.3452725559548</v>
      </c>
      <c r="V33" s="14">
        <v>1114.1990834581929</v>
      </c>
      <c r="W33" s="14">
        <v>1158.7670467965206</v>
      </c>
      <c r="X33" s="14">
        <v>1205.1177286683815</v>
      </c>
      <c r="Y33" s="14">
        <v>1253.3224378151167</v>
      </c>
      <c r="Z33" s="14">
        <v>1303.4553353277215</v>
      </c>
      <c r="AA33" s="14">
        <v>1355.5935487408303</v>
      </c>
      <c r="AB33" s="14">
        <v>1409.8172906904636</v>
      </c>
      <c r="AC33" s="14">
        <v>1466.2099823180822</v>
      </c>
      <c r="AD33" s="14">
        <v>1524.8583816108055</v>
      </c>
      <c r="AE33" s="14">
        <v>1585.8527168752378</v>
      </c>
      <c r="AF33" s="14">
        <v>1649.2868255502474</v>
      </c>
      <c r="AG33" s="14">
        <v>1715.2582985722574</v>
      </c>
      <c r="AH33" s="14">
        <v>1783.8686305151477</v>
      </c>
      <c r="AI33" s="14">
        <v>1855.2233757357537</v>
      </c>
      <c r="AJ33" s="14">
        <v>1929.432310765184</v>
      </c>
      <c r="AK33" s="14">
        <v>2006.6096031957914</v>
      </c>
      <c r="AL33" s="14">
        <v>2086.8739873236232</v>
      </c>
      <c r="AM33" s="14">
        <v>2170.3489468165681</v>
      </c>
    </row>
    <row r="34" spans="2:39" s="12" customFormat="1" ht="21" customHeight="1" x14ac:dyDescent="0.3">
      <c r="B34" s="22" t="s">
        <v>31</v>
      </c>
      <c r="C34" s="10"/>
      <c r="D34" s="14">
        <v>57.375</v>
      </c>
      <c r="E34" s="14">
        <v>59.67</v>
      </c>
      <c r="F34" s="14">
        <v>62.056800000000003</v>
      </c>
      <c r="G34" s="14">
        <v>64.539072000000004</v>
      </c>
      <c r="H34" s="14">
        <v>67.120634880000011</v>
      </c>
      <c r="I34" s="14">
        <v>69.805460275200019</v>
      </c>
      <c r="J34" s="14">
        <v>72.597678686208027</v>
      </c>
      <c r="K34" s="14">
        <v>75.50158583365635</v>
      </c>
      <c r="L34" s="14">
        <v>78.521649267002601</v>
      </c>
      <c r="M34" s="14">
        <v>81.662515237682712</v>
      </c>
      <c r="N34" s="14">
        <v>84.92901584719003</v>
      </c>
      <c r="O34" s="14">
        <v>88.326176481077638</v>
      </c>
      <c r="P34" s="14">
        <v>91.859223540320741</v>
      </c>
      <c r="Q34" s="14">
        <v>95.533592481933567</v>
      </c>
      <c r="R34" s="14">
        <v>99.354936181210917</v>
      </c>
      <c r="S34" s="14">
        <v>103.32913362845936</v>
      </c>
      <c r="T34" s="14">
        <v>107.46229897359774</v>
      </c>
      <c r="U34" s="14">
        <v>111.76079093254165</v>
      </c>
      <c r="V34" s="14">
        <v>116.23122256984333</v>
      </c>
      <c r="W34" s="14">
        <v>120.88047147263707</v>
      </c>
      <c r="X34" s="14">
        <v>125.71569033154256</v>
      </c>
      <c r="Y34" s="14">
        <v>130.74431794480427</v>
      </c>
      <c r="Z34" s="14">
        <v>135.97409066259644</v>
      </c>
      <c r="AA34" s="14">
        <v>141.4130542891003</v>
      </c>
      <c r="AB34" s="14">
        <v>147.06957646066431</v>
      </c>
      <c r="AC34" s="14">
        <v>152.95235951909089</v>
      </c>
      <c r="AD34" s="14">
        <v>159.07045389985453</v>
      </c>
      <c r="AE34" s="14">
        <v>165.4332720558487</v>
      </c>
      <c r="AF34" s="14">
        <v>172.05060293808265</v>
      </c>
      <c r="AG34" s="14">
        <v>178.93262705560596</v>
      </c>
      <c r="AH34" s="14">
        <v>186.0899321378302</v>
      </c>
      <c r="AI34" s="14">
        <v>193.53352942334342</v>
      </c>
      <c r="AJ34" s="14">
        <v>201.27487060027715</v>
      </c>
      <c r="AK34" s="14">
        <v>209.32586542428825</v>
      </c>
      <c r="AL34" s="14">
        <v>217.6989000412598</v>
      </c>
      <c r="AM34" s="14">
        <v>226.40685604291019</v>
      </c>
    </row>
    <row r="35" spans="2:39" s="12" customFormat="1" ht="21" customHeight="1" x14ac:dyDescent="0.3">
      <c r="B35" s="22" t="s">
        <v>32</v>
      </c>
      <c r="C35" s="10"/>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row>
    <row r="36" spans="2:39" s="12" customFormat="1" ht="21" customHeight="1" x14ac:dyDescent="0.3">
      <c r="B36" s="21" t="s">
        <v>33</v>
      </c>
      <c r="C36" s="10"/>
      <c r="D36" s="16">
        <f t="shared" ref="D36:AM36" si="8">SUM(D35, D34, D33, D32, D31 + D30)</f>
        <v>7207.375</v>
      </c>
      <c r="E36" s="16">
        <f t="shared" si="8"/>
        <v>7675.67</v>
      </c>
      <c r="F36" s="16">
        <f t="shared" si="8"/>
        <v>8175.2968000000001</v>
      </c>
      <c r="G36" s="16">
        <f t="shared" si="8"/>
        <v>8708.3906720000014</v>
      </c>
      <c r="H36" s="16">
        <f t="shared" si="8"/>
        <v>6557.6385788800008</v>
      </c>
      <c r="I36" s="16">
        <f t="shared" si="8"/>
        <v>6974.2995400352011</v>
      </c>
      <c r="J36" s="16">
        <f t="shared" si="8"/>
        <v>7418.4318188966099</v>
      </c>
      <c r="K36" s="16">
        <f t="shared" si="8"/>
        <v>7891.8906097206745</v>
      </c>
      <c r="L36" s="16">
        <f t="shared" si="8"/>
        <v>8396.6582584424759</v>
      </c>
      <c r="M36" s="16">
        <f t="shared" si="8"/>
        <v>8934.8530548164563</v>
      </c>
      <c r="N36" s="16">
        <f t="shared" si="8"/>
        <v>9508.7386356679381</v>
      </c>
      <c r="O36" s="16">
        <f t="shared" si="8"/>
        <v>10120.734041859596</v>
      </c>
      <c r="P36" s="16">
        <f t="shared" si="8"/>
        <v>10773.424474552465</v>
      </c>
      <c r="Q36" s="16">
        <f t="shared" si="8"/>
        <v>11469.572799524343</v>
      </c>
      <c r="R36" s="16">
        <f t="shared" si="8"/>
        <v>12212.131851714381</v>
      </c>
      <c r="S36" s="16">
        <f t="shared" si="8"/>
        <v>13004.257595806655</v>
      </c>
      <c r="T36" s="16">
        <f t="shared" si="8"/>
        <v>13849.323202564279</v>
      </c>
      <c r="U36" s="16">
        <f t="shared" si="8"/>
        <v>10463.39909052535</v>
      </c>
      <c r="V36" s="16">
        <f t="shared" si="8"/>
        <v>11125.28163603746</v>
      </c>
      <c r="W36" s="16">
        <f t="shared" si="8"/>
        <v>11830.673744102427</v>
      </c>
      <c r="X36" s="16">
        <f t="shared" si="8"/>
        <v>12582.508195473638</v>
      </c>
      <c r="Y36" s="16">
        <f t="shared" si="8"/>
        <v>13383.918550012193</v>
      </c>
      <c r="Z36" s="16">
        <f t="shared" si="8"/>
        <v>14238.253020602664</v>
      </c>
      <c r="AA36" s="16">
        <f t="shared" si="8"/>
        <v>15149.089311018051</v>
      </c>
      <c r="AB36" s="16">
        <f t="shared" si="8"/>
        <v>11616.146733548501</v>
      </c>
      <c r="AC36" s="16">
        <f t="shared" si="8"/>
        <v>9183.5582979532519</v>
      </c>
      <c r="AD36" s="16">
        <f t="shared" si="8"/>
        <v>9729.8474545880908</v>
      </c>
      <c r="AE36" s="16">
        <f t="shared" si="8"/>
        <v>10310.514455218494</v>
      </c>
      <c r="AF36" s="16">
        <f t="shared" si="8"/>
        <v>10927.811253045395</v>
      </c>
      <c r="AG36" s="16">
        <f t="shared" si="8"/>
        <v>11584.141258158641</v>
      </c>
      <c r="AH36" s="16">
        <f t="shared" si="8"/>
        <v>12282.069692325818</v>
      </c>
      <c r="AI36" s="16">
        <f t="shared" si="8"/>
        <v>13024.334658728541</v>
      </c>
      <c r="AJ36" s="16">
        <f t="shared" si="8"/>
        <v>13813.858976297051</v>
      </c>
      <c r="AK36" s="16">
        <f t="shared" si="8"/>
        <v>11109.785709428734</v>
      </c>
      <c r="AL36" s="16">
        <f t="shared" si="8"/>
        <v>11755.32178528919</v>
      </c>
      <c r="AM36" s="16">
        <f t="shared" si="8"/>
        <v>12440.759429507896</v>
      </c>
    </row>
    <row r="37" spans="2:39" s="12" customFormat="1" ht="21" customHeight="1" x14ac:dyDescent="0.3">
      <c r="B37" s="22" t="s">
        <v>34</v>
      </c>
      <c r="C37" s="10"/>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row>
    <row r="38" spans="2:39" s="18" customFormat="1" ht="21" customHeight="1" x14ac:dyDescent="0.3">
      <c r="B38" s="21" t="s">
        <v>35</v>
      </c>
      <c r="C38" s="19"/>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row>
    <row r="39" spans="2:39" s="12" customFormat="1" ht="21" customHeight="1" x14ac:dyDescent="0.3">
      <c r="B39" s="22" t="s">
        <v>36</v>
      </c>
      <c r="C39" s="10"/>
      <c r="D39" s="14">
        <v>200</v>
      </c>
      <c r="E39" s="14">
        <v>208</v>
      </c>
      <c r="F39" s="14">
        <v>216.32</v>
      </c>
      <c r="G39" s="14">
        <v>224.97280000000001</v>
      </c>
      <c r="H39" s="14">
        <v>233.97171200000003</v>
      </c>
      <c r="I39" s="14">
        <v>243.33058048000004</v>
      </c>
      <c r="J39" s="14">
        <v>253.06380369920004</v>
      </c>
      <c r="K39" s="14">
        <v>263.18635584716804</v>
      </c>
      <c r="L39" s="14">
        <v>273.71381008105476</v>
      </c>
      <c r="M39" s="14">
        <v>284.66236248429698</v>
      </c>
      <c r="N39" s="14">
        <v>296.04885698366888</v>
      </c>
      <c r="O39" s="14">
        <v>307.89081126301568</v>
      </c>
      <c r="P39" s="14">
        <v>320.20644371353632</v>
      </c>
      <c r="Q39" s="14">
        <v>333.01470146207777</v>
      </c>
      <c r="R39" s="14">
        <v>346.33528952056088</v>
      </c>
      <c r="S39" s="14">
        <v>360.18870110138334</v>
      </c>
      <c r="T39" s="14">
        <v>374.59624914543872</v>
      </c>
      <c r="U39" s="14">
        <v>389.58009911125629</v>
      </c>
      <c r="V39" s="14">
        <v>405.16330307570655</v>
      </c>
      <c r="W39" s="14">
        <v>421.36983519873485</v>
      </c>
      <c r="X39" s="14">
        <v>438.22462860668423</v>
      </c>
      <c r="Y39" s="14">
        <v>455.75361375095162</v>
      </c>
      <c r="Z39" s="14">
        <v>473.98375830098968</v>
      </c>
      <c r="AA39" s="14">
        <v>492.94310863302928</v>
      </c>
      <c r="AB39" s="14">
        <v>512.66083297835053</v>
      </c>
      <c r="AC39" s="14">
        <v>533.16726629748462</v>
      </c>
      <c r="AD39" s="14">
        <v>554.49395694938403</v>
      </c>
      <c r="AE39" s="14">
        <v>576.67371522735937</v>
      </c>
      <c r="AF39" s="14">
        <v>599.74066383645379</v>
      </c>
      <c r="AG39" s="14">
        <v>623.73029038991194</v>
      </c>
      <c r="AH39" s="14">
        <v>648.67950200550843</v>
      </c>
      <c r="AI39" s="14">
        <v>674.62668208572882</v>
      </c>
      <c r="AJ39" s="14">
        <v>701.61174936915802</v>
      </c>
      <c r="AK39" s="14">
        <v>729.67621934392434</v>
      </c>
      <c r="AL39" s="14">
        <v>758.8632681176814</v>
      </c>
      <c r="AM39" s="14">
        <v>789.21779884238867</v>
      </c>
    </row>
    <row r="40" spans="2:39" s="12" customFormat="1" ht="21" customHeight="1" x14ac:dyDescent="0.3">
      <c r="B40" s="22" t="s">
        <v>37</v>
      </c>
      <c r="C40" s="10"/>
      <c r="D40" s="14">
        <v>200</v>
      </c>
      <c r="E40" s="14">
        <v>204</v>
      </c>
      <c r="F40" s="14">
        <v>208.08</v>
      </c>
      <c r="G40" s="14">
        <v>212.24160000000001</v>
      </c>
      <c r="H40" s="14">
        <v>216.48643200000001</v>
      </c>
      <c r="I40" s="14">
        <v>220.81616064000002</v>
      </c>
      <c r="J40" s="14">
        <v>225.23248385280002</v>
      </c>
      <c r="K40" s="14">
        <v>229.73713352985601</v>
      </c>
      <c r="L40" s="14">
        <v>234.33187620045314</v>
      </c>
      <c r="M40" s="14">
        <v>239.0185137244622</v>
      </c>
      <c r="N40" s="14">
        <v>243.79888399895145</v>
      </c>
      <c r="O40" s="14">
        <v>248.67486167893048</v>
      </c>
      <c r="P40" s="14">
        <v>253.64835891250911</v>
      </c>
      <c r="Q40" s="14">
        <v>258.72132609075931</v>
      </c>
      <c r="R40" s="14">
        <v>263.89575261257448</v>
      </c>
      <c r="S40" s="14">
        <v>269.17366766482598</v>
      </c>
      <c r="T40" s="14">
        <v>274.55714101812254</v>
      </c>
      <c r="U40" s="14">
        <v>280.04828383848502</v>
      </c>
      <c r="V40" s="14">
        <v>285.64924951525472</v>
      </c>
      <c r="W40" s="14">
        <v>291.3622345055598</v>
      </c>
      <c r="X40" s="14">
        <v>297.18947919567103</v>
      </c>
      <c r="Y40" s="14">
        <v>303.13326877958445</v>
      </c>
      <c r="Z40" s="14">
        <v>309.19593415517613</v>
      </c>
      <c r="AA40" s="14">
        <v>315.37985283827965</v>
      </c>
      <c r="AB40" s="14">
        <v>321.68744989504523</v>
      </c>
      <c r="AC40" s="14">
        <v>328.12119889294615</v>
      </c>
      <c r="AD40" s="14">
        <v>334.6836228708051</v>
      </c>
      <c r="AE40" s="14">
        <v>341.37729532822118</v>
      </c>
      <c r="AF40" s="14">
        <v>348.20484123478559</v>
      </c>
      <c r="AG40" s="14">
        <v>355.16893805948132</v>
      </c>
      <c r="AH40" s="14">
        <v>362.27231682067094</v>
      </c>
      <c r="AI40" s="14">
        <v>369.51776315708435</v>
      </c>
      <c r="AJ40" s="14">
        <v>376.90811842022606</v>
      </c>
      <c r="AK40" s="14">
        <v>384.44628078863059</v>
      </c>
      <c r="AL40" s="14">
        <v>392.13520640440322</v>
      </c>
      <c r="AM40" s="14">
        <v>399.97791053249131</v>
      </c>
    </row>
    <row r="41" spans="2:39" s="12" customFormat="1" ht="21" customHeight="1" x14ac:dyDescent="0.3">
      <c r="B41" s="22" t="s">
        <v>38</v>
      </c>
      <c r="C41" s="10"/>
      <c r="D41" s="14">
        <v>200</v>
      </c>
      <c r="E41" s="14">
        <v>208</v>
      </c>
      <c r="F41" s="14">
        <v>216.32</v>
      </c>
      <c r="G41" s="14">
        <v>224.97280000000001</v>
      </c>
      <c r="H41" s="14">
        <v>233.97171200000003</v>
      </c>
      <c r="I41" s="14">
        <v>243.33058048000004</v>
      </c>
      <c r="J41" s="14">
        <v>253.06380369920004</v>
      </c>
      <c r="K41" s="14">
        <v>263.18635584716804</v>
      </c>
      <c r="L41" s="14">
        <v>273.71381008105476</v>
      </c>
      <c r="M41" s="14">
        <v>284.66236248429698</v>
      </c>
      <c r="N41" s="14">
        <v>296.04885698366888</v>
      </c>
      <c r="O41" s="14">
        <v>307.89081126301568</v>
      </c>
      <c r="P41" s="14">
        <v>320.20644371353632</v>
      </c>
      <c r="Q41" s="14">
        <v>333.01470146207777</v>
      </c>
      <c r="R41" s="14">
        <v>346.33528952056088</v>
      </c>
      <c r="S41" s="14">
        <v>360.18870110138334</v>
      </c>
      <c r="T41" s="14">
        <v>374.59624914543872</v>
      </c>
      <c r="U41" s="14">
        <v>389.58009911125629</v>
      </c>
      <c r="V41" s="14">
        <v>405.16330307570655</v>
      </c>
      <c r="W41" s="14">
        <v>421.36983519873485</v>
      </c>
      <c r="X41" s="14">
        <v>438.22462860668423</v>
      </c>
      <c r="Y41" s="14">
        <v>455.75361375095162</v>
      </c>
      <c r="Z41" s="14">
        <v>473.98375830098968</v>
      </c>
      <c r="AA41" s="14">
        <v>492.94310863302928</v>
      </c>
      <c r="AB41" s="14">
        <v>512.66083297835053</v>
      </c>
      <c r="AC41" s="14">
        <v>533.16726629748462</v>
      </c>
      <c r="AD41" s="14">
        <v>554.49395694938403</v>
      </c>
      <c r="AE41" s="14">
        <v>576.67371522735937</v>
      </c>
      <c r="AF41" s="14">
        <v>599.74066383645379</v>
      </c>
      <c r="AG41" s="14">
        <v>623.73029038991194</v>
      </c>
      <c r="AH41" s="14">
        <v>648.67950200550843</v>
      </c>
      <c r="AI41" s="14">
        <v>674.62668208572882</v>
      </c>
      <c r="AJ41" s="14">
        <v>701.61174936915802</v>
      </c>
      <c r="AK41" s="14">
        <v>729.67621934392434</v>
      </c>
      <c r="AL41" s="14">
        <v>758.8632681176814</v>
      </c>
      <c r="AM41" s="14">
        <v>789.21779884238867</v>
      </c>
    </row>
    <row r="42" spans="2:39" s="32" customFormat="1" ht="21" customHeight="1" x14ac:dyDescent="0.3">
      <c r="B42" s="28" t="s">
        <v>39</v>
      </c>
      <c r="C42" s="29"/>
      <c r="D42" s="24">
        <f t="shared" ref="D42" si="9">SUM(D41, D40, D39 + D38)</f>
        <v>600</v>
      </c>
      <c r="E42" s="24">
        <v>600</v>
      </c>
      <c r="F42" s="24">
        <v>600</v>
      </c>
      <c r="G42" s="24">
        <v>600</v>
      </c>
      <c r="H42" s="24">
        <v>600</v>
      </c>
      <c r="I42" s="24">
        <v>600</v>
      </c>
      <c r="J42" s="24">
        <v>600</v>
      </c>
      <c r="K42" s="24">
        <v>600</v>
      </c>
      <c r="L42" s="24">
        <v>600</v>
      </c>
      <c r="M42" s="24">
        <v>600</v>
      </c>
      <c r="N42" s="24">
        <v>600</v>
      </c>
      <c r="O42" s="24">
        <v>600</v>
      </c>
      <c r="P42" s="24">
        <v>600</v>
      </c>
      <c r="Q42" s="24">
        <v>600</v>
      </c>
      <c r="R42" s="24">
        <v>600</v>
      </c>
      <c r="S42" s="24">
        <v>600</v>
      </c>
      <c r="T42" s="24">
        <v>600</v>
      </c>
      <c r="U42" s="24">
        <v>600</v>
      </c>
      <c r="V42" s="24">
        <v>600</v>
      </c>
      <c r="W42" s="24">
        <v>600</v>
      </c>
      <c r="X42" s="24">
        <v>600</v>
      </c>
      <c r="Y42" s="24">
        <v>600</v>
      </c>
      <c r="Z42" s="24">
        <v>600</v>
      </c>
      <c r="AA42" s="24">
        <v>600</v>
      </c>
      <c r="AB42" s="24">
        <v>600</v>
      </c>
      <c r="AC42" s="24">
        <v>600</v>
      </c>
      <c r="AD42" s="24">
        <v>600</v>
      </c>
      <c r="AE42" s="24">
        <v>600</v>
      </c>
      <c r="AF42" s="24">
        <v>600</v>
      </c>
      <c r="AG42" s="24">
        <v>600</v>
      </c>
      <c r="AH42" s="24">
        <v>600</v>
      </c>
      <c r="AI42" s="24">
        <v>600</v>
      </c>
      <c r="AJ42" s="24">
        <v>600</v>
      </c>
      <c r="AK42" s="24">
        <v>600</v>
      </c>
      <c r="AL42" s="24">
        <v>600</v>
      </c>
      <c r="AM42" s="24">
        <v>600</v>
      </c>
    </row>
    <row r="43" spans="2:39" s="12" customFormat="1" ht="21" customHeight="1" x14ac:dyDescent="0.3">
      <c r="B43" s="15" t="s">
        <v>40</v>
      </c>
      <c r="C43" s="10"/>
      <c r="D43" s="16">
        <f t="shared" ref="D43:AM43" si="10">SUM(D41, D40, D39, D38, D37, D35, D34, D33, D32, D31, D30, D28, D27, D26, D25, D24, D22, D21, D20, D19, D18, D17, D16, D15, D14 + D13)</f>
        <v>15207.375</v>
      </c>
      <c r="E43" s="16">
        <f t="shared" si="10"/>
        <v>15918.67</v>
      </c>
      <c r="F43" s="16">
        <f t="shared" si="10"/>
        <v>16671.006799999999</v>
      </c>
      <c r="G43" s="16">
        <f t="shared" si="10"/>
        <v>15968.855572000002</v>
      </c>
      <c r="H43" s="16">
        <f t="shared" si="10"/>
        <v>14061.835225880002</v>
      </c>
      <c r="I43" s="16">
        <f t="shared" si="10"/>
        <v>14732.971373165203</v>
      </c>
      <c r="J43" s="16">
        <f t="shared" si="10"/>
        <v>15216.867546799211</v>
      </c>
      <c r="K43" s="16">
        <f t="shared" si="10"/>
        <v>15961.35757533333</v>
      </c>
      <c r="L43" s="16">
        <f t="shared" si="10"/>
        <v>16749.629807424222</v>
      </c>
      <c r="M43" s="16">
        <f t="shared" si="10"/>
        <v>17584.528302585408</v>
      </c>
      <c r="N43" s="16">
        <f t="shared" si="10"/>
        <v>18469.091322749613</v>
      </c>
      <c r="O43" s="16">
        <f t="shared" si="10"/>
        <v>19406.564945888429</v>
      </c>
      <c r="P43" s="16">
        <f t="shared" si="10"/>
        <v>20400.417648722298</v>
      </c>
      <c r="Q43" s="16">
        <f t="shared" si="10"/>
        <v>21454.355928210909</v>
      </c>
      <c r="R43" s="16">
        <f t="shared" si="10"/>
        <v>21293.953307644213</v>
      </c>
      <c r="S43" s="16">
        <f t="shared" si="10"/>
        <v>22454.651426427328</v>
      </c>
      <c r="T43" s="16">
        <f t="shared" si="10"/>
        <v>23687.644783543979</v>
      </c>
      <c r="U43" s="16">
        <f t="shared" si="10"/>
        <v>20710.226438495767</v>
      </c>
      <c r="V43" s="16">
        <f t="shared" si="10"/>
        <v>21802.501361459621</v>
      </c>
      <c r="W43" s="16">
        <f t="shared" si="10"/>
        <v>22671.498643307281</v>
      </c>
      <c r="X43" s="16">
        <f t="shared" si="10"/>
        <v>23893.098527619968</v>
      </c>
      <c r="Y43" s="16">
        <f t="shared" si="10"/>
        <v>25190.407837741823</v>
      </c>
      <c r="Z43" s="16">
        <f t="shared" si="10"/>
        <v>26568.48845310431</v>
      </c>
      <c r="AA43" s="16">
        <f t="shared" si="10"/>
        <v>28032.754766134214</v>
      </c>
      <c r="AB43" s="16">
        <f t="shared" si="10"/>
        <v>24015.440890287573</v>
      </c>
      <c r="AC43" s="16">
        <f t="shared" si="10"/>
        <v>22180.310332753674</v>
      </c>
      <c r="AD43" s="16">
        <f t="shared" si="10"/>
        <v>23359.65792249209</v>
      </c>
      <c r="AE43" s="16">
        <f t="shared" si="10"/>
        <v>24290.324370176295</v>
      </c>
      <c r="AF43" s="16">
        <f t="shared" si="10"/>
        <v>25609.686083081113</v>
      </c>
      <c r="AG43" s="16">
        <f t="shared" si="10"/>
        <v>27011.197602241984</v>
      </c>
      <c r="AH43" s="16">
        <f t="shared" si="10"/>
        <v>28500.407851008626</v>
      </c>
      <c r="AI43" s="16">
        <f t="shared" si="10"/>
        <v>30083.258820951392</v>
      </c>
      <c r="AJ43" s="16">
        <f t="shared" si="10"/>
        <v>30906.187549969523</v>
      </c>
      <c r="AK43" s="16">
        <f t="shared" si="10"/>
        <v>29134.687951439075</v>
      </c>
      <c r="AL43" s="16">
        <f t="shared" si="10"/>
        <v>30427.818051314542</v>
      </c>
      <c r="AM43" s="16">
        <f t="shared" si="10"/>
        <v>32159.873216258617</v>
      </c>
    </row>
    <row r="44" spans="2:39" s="18" customFormat="1" ht="21" customHeight="1" x14ac:dyDescent="0.3">
      <c r="B44" s="15" t="s">
        <v>41</v>
      </c>
      <c r="C44" s="19"/>
      <c r="D44" s="20">
        <f t="shared" ref="D44:AM44" si="11">D12-D43</f>
        <v>-15207.375</v>
      </c>
      <c r="E44" s="20">
        <f t="shared" si="11"/>
        <v>-15918.67</v>
      </c>
      <c r="F44" s="20">
        <f t="shared" si="11"/>
        <v>-16671.006799999999</v>
      </c>
      <c r="G44" s="20">
        <f t="shared" si="11"/>
        <v>-15968.855572000002</v>
      </c>
      <c r="H44" s="20">
        <f t="shared" si="11"/>
        <v>-14061.835225880002</v>
      </c>
      <c r="I44" s="20">
        <f t="shared" si="11"/>
        <v>-14732.971373165203</v>
      </c>
      <c r="J44" s="20">
        <f t="shared" si="11"/>
        <v>-15216.867546799211</v>
      </c>
      <c r="K44" s="20">
        <f t="shared" si="11"/>
        <v>-15961.35757533333</v>
      </c>
      <c r="L44" s="20">
        <f t="shared" si="11"/>
        <v>-16749.629807424222</v>
      </c>
      <c r="M44" s="20">
        <f t="shared" si="11"/>
        <v>-17584.528302585408</v>
      </c>
      <c r="N44" s="20">
        <f t="shared" si="11"/>
        <v>-18469.091322749613</v>
      </c>
      <c r="O44" s="20">
        <f t="shared" si="11"/>
        <v>-19406.564945888429</v>
      </c>
      <c r="P44" s="20">
        <f t="shared" si="11"/>
        <v>-20400.417648722298</v>
      </c>
      <c r="Q44" s="20">
        <f t="shared" si="11"/>
        <v>-21454.355928210909</v>
      </c>
      <c r="R44" s="20">
        <f t="shared" si="11"/>
        <v>-21293.953307644213</v>
      </c>
      <c r="S44" s="20">
        <f t="shared" si="11"/>
        <v>-22454.651426427328</v>
      </c>
      <c r="T44" s="20">
        <f t="shared" si="11"/>
        <v>-23687.644783543979</v>
      </c>
      <c r="U44" s="20">
        <f t="shared" si="11"/>
        <v>-20710.226438495767</v>
      </c>
      <c r="V44" s="20">
        <f t="shared" si="11"/>
        <v>-21802.501361459621</v>
      </c>
      <c r="W44" s="20">
        <f t="shared" si="11"/>
        <v>-22671.498643307281</v>
      </c>
      <c r="X44" s="20">
        <f t="shared" si="11"/>
        <v>-23893.098527619968</v>
      </c>
      <c r="Y44" s="20">
        <f t="shared" si="11"/>
        <v>-25190.407837741823</v>
      </c>
      <c r="Z44" s="20">
        <f t="shared" si="11"/>
        <v>-26568.48845310431</v>
      </c>
      <c r="AA44" s="20">
        <f t="shared" si="11"/>
        <v>-28032.754766134214</v>
      </c>
      <c r="AB44" s="20">
        <f t="shared" si="11"/>
        <v>-24015.440890287573</v>
      </c>
      <c r="AC44" s="20">
        <f t="shared" si="11"/>
        <v>-22180.310332753674</v>
      </c>
      <c r="AD44" s="20">
        <f t="shared" si="11"/>
        <v>-23359.65792249209</v>
      </c>
      <c r="AE44" s="20">
        <f t="shared" si="11"/>
        <v>-24290.324370176295</v>
      </c>
      <c r="AF44" s="20">
        <f t="shared" si="11"/>
        <v>-25609.686083081113</v>
      </c>
      <c r="AG44" s="20">
        <f t="shared" si="11"/>
        <v>-27011.197602241984</v>
      </c>
      <c r="AH44" s="20">
        <f t="shared" si="11"/>
        <v>-28500.407851008626</v>
      </c>
      <c r="AI44" s="20">
        <f t="shared" si="11"/>
        <v>-30083.258820951392</v>
      </c>
      <c r="AJ44" s="20">
        <f t="shared" si="11"/>
        <v>-30906.187549969523</v>
      </c>
      <c r="AK44" s="20">
        <f t="shared" si="11"/>
        <v>-29134.687951439075</v>
      </c>
      <c r="AL44" s="20">
        <f t="shared" si="11"/>
        <v>-30427.818051314542</v>
      </c>
      <c r="AM44" s="20">
        <f t="shared" si="11"/>
        <v>-32159.873216258617</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AM47" si="12">SUM(D46 + D45)</f>
        <v>0</v>
      </c>
      <c r="E47" s="16">
        <f t="shared" si="12"/>
        <v>0</v>
      </c>
      <c r="F47" s="16">
        <f t="shared" si="12"/>
        <v>0</v>
      </c>
      <c r="G47" s="16">
        <f t="shared" si="12"/>
        <v>0</v>
      </c>
      <c r="H47" s="16">
        <f t="shared" si="12"/>
        <v>0</v>
      </c>
      <c r="I47" s="16">
        <f t="shared" si="12"/>
        <v>0</v>
      </c>
      <c r="J47" s="16">
        <f t="shared" si="12"/>
        <v>0</v>
      </c>
      <c r="K47" s="16">
        <f t="shared" si="12"/>
        <v>0</v>
      </c>
      <c r="L47" s="16">
        <f t="shared" si="12"/>
        <v>0</v>
      </c>
      <c r="M47" s="16">
        <f t="shared" si="12"/>
        <v>0</v>
      </c>
      <c r="N47" s="16">
        <f t="shared" si="12"/>
        <v>0</v>
      </c>
      <c r="O47" s="16">
        <f t="shared" si="12"/>
        <v>0</v>
      </c>
      <c r="P47" s="16">
        <f t="shared" si="12"/>
        <v>0</v>
      </c>
      <c r="Q47" s="16">
        <f t="shared" si="12"/>
        <v>0</v>
      </c>
      <c r="R47" s="16">
        <f t="shared" si="12"/>
        <v>0</v>
      </c>
      <c r="S47" s="16">
        <f t="shared" si="12"/>
        <v>0</v>
      </c>
      <c r="T47" s="16">
        <f t="shared" si="12"/>
        <v>0</v>
      </c>
      <c r="U47" s="16">
        <f t="shared" si="12"/>
        <v>0</v>
      </c>
      <c r="V47" s="16">
        <f t="shared" si="12"/>
        <v>0</v>
      </c>
      <c r="W47" s="16">
        <f t="shared" si="12"/>
        <v>0</v>
      </c>
      <c r="X47" s="16">
        <f t="shared" si="12"/>
        <v>0</v>
      </c>
      <c r="Y47" s="16">
        <f t="shared" si="12"/>
        <v>0</v>
      </c>
      <c r="Z47" s="16">
        <f t="shared" si="12"/>
        <v>0</v>
      </c>
      <c r="AA47" s="16">
        <f t="shared" si="12"/>
        <v>0</v>
      </c>
      <c r="AB47" s="16">
        <f t="shared" si="12"/>
        <v>0</v>
      </c>
      <c r="AC47" s="16">
        <f t="shared" si="12"/>
        <v>0</v>
      </c>
      <c r="AD47" s="16">
        <f t="shared" si="12"/>
        <v>0</v>
      </c>
      <c r="AE47" s="16">
        <f t="shared" si="12"/>
        <v>0</v>
      </c>
      <c r="AF47" s="16">
        <f t="shared" si="12"/>
        <v>0</v>
      </c>
      <c r="AG47" s="16">
        <f t="shared" si="12"/>
        <v>0</v>
      </c>
      <c r="AH47" s="16">
        <f t="shared" si="12"/>
        <v>0</v>
      </c>
      <c r="AI47" s="16">
        <f t="shared" si="12"/>
        <v>0</v>
      </c>
      <c r="AJ47" s="16">
        <f t="shared" si="12"/>
        <v>0</v>
      </c>
      <c r="AK47" s="16">
        <f t="shared" si="12"/>
        <v>0</v>
      </c>
      <c r="AL47" s="16">
        <f t="shared" si="12"/>
        <v>0</v>
      </c>
      <c r="AM47" s="16">
        <f t="shared" si="12"/>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0</v>
      </c>
      <c r="E49" s="14">
        <v>0</v>
      </c>
      <c r="F49" s="14">
        <v>0</v>
      </c>
      <c r="G49" s="14">
        <v>0</v>
      </c>
      <c r="H49" s="14">
        <v>0</v>
      </c>
      <c r="I49" s="14">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0</v>
      </c>
      <c r="AD49" s="14">
        <v>0</v>
      </c>
      <c r="AE49" s="14">
        <v>0</v>
      </c>
      <c r="AF49" s="14">
        <v>0</v>
      </c>
      <c r="AG49" s="14">
        <v>0</v>
      </c>
      <c r="AH49" s="14">
        <v>0</v>
      </c>
      <c r="AI49" s="14">
        <v>0</v>
      </c>
      <c r="AJ49" s="14">
        <v>0</v>
      </c>
      <c r="AK49" s="14">
        <v>0</v>
      </c>
      <c r="AL49" s="14">
        <v>0</v>
      </c>
      <c r="AM49" s="14">
        <v>0</v>
      </c>
    </row>
    <row r="50" spans="2:39" s="12" customFormat="1" ht="21" customHeight="1" x14ac:dyDescent="0.3">
      <c r="B50" s="13" t="s">
        <v>47</v>
      </c>
      <c r="C50" s="10"/>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0</v>
      </c>
      <c r="AC50" s="14">
        <v>0</v>
      </c>
      <c r="AD50" s="14">
        <v>0</v>
      </c>
      <c r="AE50" s="14">
        <v>0</v>
      </c>
      <c r="AF50" s="14">
        <v>0</v>
      </c>
      <c r="AG50" s="14">
        <v>0</v>
      </c>
      <c r="AH50" s="14">
        <v>0</v>
      </c>
      <c r="AI50" s="14">
        <v>0</v>
      </c>
      <c r="AJ50" s="14">
        <v>0</v>
      </c>
      <c r="AK50" s="14">
        <v>0</v>
      </c>
      <c r="AL50" s="14">
        <v>0</v>
      </c>
      <c r="AM50" s="14">
        <v>0</v>
      </c>
    </row>
    <row r="51" spans="2:39" s="12" customFormat="1" ht="21" customHeight="1" x14ac:dyDescent="0.3">
      <c r="B51" s="15" t="s">
        <v>48</v>
      </c>
      <c r="C51" s="10"/>
      <c r="D51" s="16">
        <f t="shared" ref="D51:AM51" si="13">SUM(D50, D49 + D48)</f>
        <v>0</v>
      </c>
      <c r="E51" s="16">
        <f t="shared" si="13"/>
        <v>0</v>
      </c>
      <c r="F51" s="16">
        <f t="shared" si="13"/>
        <v>0</v>
      </c>
      <c r="G51" s="16">
        <f t="shared" si="13"/>
        <v>0</v>
      </c>
      <c r="H51" s="16">
        <f t="shared" si="13"/>
        <v>0</v>
      </c>
      <c r="I51" s="16">
        <f t="shared" si="13"/>
        <v>0</v>
      </c>
      <c r="J51" s="16">
        <f t="shared" si="13"/>
        <v>0</v>
      </c>
      <c r="K51" s="16">
        <f t="shared" si="13"/>
        <v>0</v>
      </c>
      <c r="L51" s="16">
        <f t="shared" si="13"/>
        <v>0</v>
      </c>
      <c r="M51" s="16">
        <f t="shared" si="13"/>
        <v>0</v>
      </c>
      <c r="N51" s="16">
        <f t="shared" si="13"/>
        <v>0</v>
      </c>
      <c r="O51" s="16">
        <f t="shared" si="13"/>
        <v>0</v>
      </c>
      <c r="P51" s="16">
        <f t="shared" si="13"/>
        <v>0</v>
      </c>
      <c r="Q51" s="16">
        <f t="shared" si="13"/>
        <v>0</v>
      </c>
      <c r="R51" s="16">
        <f t="shared" si="13"/>
        <v>0</v>
      </c>
      <c r="S51" s="16">
        <f t="shared" si="13"/>
        <v>0</v>
      </c>
      <c r="T51" s="16">
        <f t="shared" si="13"/>
        <v>0</v>
      </c>
      <c r="U51" s="16">
        <f t="shared" si="13"/>
        <v>0</v>
      </c>
      <c r="V51" s="16">
        <f t="shared" si="13"/>
        <v>0</v>
      </c>
      <c r="W51" s="16">
        <f t="shared" si="13"/>
        <v>0</v>
      </c>
      <c r="X51" s="16">
        <f t="shared" si="13"/>
        <v>0</v>
      </c>
      <c r="Y51" s="16">
        <f t="shared" si="13"/>
        <v>0</v>
      </c>
      <c r="Z51" s="16">
        <f t="shared" si="13"/>
        <v>0</v>
      </c>
      <c r="AA51" s="16">
        <f t="shared" si="13"/>
        <v>0</v>
      </c>
      <c r="AB51" s="16">
        <f t="shared" si="13"/>
        <v>0</v>
      </c>
      <c r="AC51" s="16">
        <f t="shared" si="13"/>
        <v>0</v>
      </c>
      <c r="AD51" s="16">
        <f t="shared" si="13"/>
        <v>0</v>
      </c>
      <c r="AE51" s="16">
        <f t="shared" si="13"/>
        <v>0</v>
      </c>
      <c r="AF51" s="16">
        <f t="shared" si="13"/>
        <v>0</v>
      </c>
      <c r="AG51" s="16">
        <f t="shared" si="13"/>
        <v>0</v>
      </c>
      <c r="AH51" s="16">
        <f t="shared" si="13"/>
        <v>0</v>
      </c>
      <c r="AI51" s="16">
        <f t="shared" si="13"/>
        <v>0</v>
      </c>
      <c r="AJ51" s="16">
        <f t="shared" si="13"/>
        <v>0</v>
      </c>
      <c r="AK51" s="16">
        <f t="shared" si="13"/>
        <v>0</v>
      </c>
      <c r="AL51" s="16">
        <f t="shared" si="13"/>
        <v>0</v>
      </c>
      <c r="AM51" s="16">
        <f t="shared" si="13"/>
        <v>0</v>
      </c>
    </row>
    <row r="52" spans="2:39" s="18" customFormat="1" ht="21" customHeight="1" x14ac:dyDescent="0.3">
      <c r="B52" s="15" t="s">
        <v>49</v>
      </c>
      <c r="C52" s="19"/>
      <c r="D52" s="20">
        <f t="shared" ref="D52:AM52" si="14">D47-D51</f>
        <v>0</v>
      </c>
      <c r="E52" s="20">
        <f t="shared" si="14"/>
        <v>0</v>
      </c>
      <c r="F52" s="20">
        <f t="shared" si="14"/>
        <v>0</v>
      </c>
      <c r="G52" s="20">
        <f t="shared" si="14"/>
        <v>0</v>
      </c>
      <c r="H52" s="20">
        <f t="shared" si="14"/>
        <v>0</v>
      </c>
      <c r="I52" s="20">
        <f t="shared" si="14"/>
        <v>0</v>
      </c>
      <c r="J52" s="20">
        <f t="shared" si="14"/>
        <v>0</v>
      </c>
      <c r="K52" s="20">
        <f t="shared" si="14"/>
        <v>0</v>
      </c>
      <c r="L52" s="20">
        <f t="shared" si="14"/>
        <v>0</v>
      </c>
      <c r="M52" s="20">
        <f t="shared" si="14"/>
        <v>0</v>
      </c>
      <c r="N52" s="20">
        <f t="shared" si="14"/>
        <v>0</v>
      </c>
      <c r="O52" s="20">
        <f t="shared" si="14"/>
        <v>0</v>
      </c>
      <c r="P52" s="20">
        <f t="shared" si="14"/>
        <v>0</v>
      </c>
      <c r="Q52" s="20">
        <f t="shared" si="14"/>
        <v>0</v>
      </c>
      <c r="R52" s="20">
        <f t="shared" si="14"/>
        <v>0</v>
      </c>
      <c r="S52" s="20">
        <f t="shared" si="14"/>
        <v>0</v>
      </c>
      <c r="T52" s="20">
        <f t="shared" si="14"/>
        <v>0</v>
      </c>
      <c r="U52" s="20">
        <f t="shared" si="14"/>
        <v>0</v>
      </c>
      <c r="V52" s="20">
        <f t="shared" si="14"/>
        <v>0</v>
      </c>
      <c r="W52" s="20">
        <f t="shared" si="14"/>
        <v>0</v>
      </c>
      <c r="X52" s="20">
        <f t="shared" si="14"/>
        <v>0</v>
      </c>
      <c r="Y52" s="20">
        <f t="shared" si="14"/>
        <v>0</v>
      </c>
      <c r="Z52" s="20">
        <f t="shared" si="14"/>
        <v>0</v>
      </c>
      <c r="AA52" s="20">
        <f t="shared" si="14"/>
        <v>0</v>
      </c>
      <c r="AB52" s="20">
        <f t="shared" si="14"/>
        <v>0</v>
      </c>
      <c r="AC52" s="20">
        <f t="shared" si="14"/>
        <v>0</v>
      </c>
      <c r="AD52" s="20">
        <f t="shared" si="14"/>
        <v>0</v>
      </c>
      <c r="AE52" s="20">
        <f t="shared" si="14"/>
        <v>0</v>
      </c>
      <c r="AF52" s="20">
        <f t="shared" si="14"/>
        <v>0</v>
      </c>
      <c r="AG52" s="20">
        <f t="shared" si="14"/>
        <v>0</v>
      </c>
      <c r="AH52" s="20">
        <f t="shared" si="14"/>
        <v>0</v>
      </c>
      <c r="AI52" s="20">
        <f t="shared" si="14"/>
        <v>0</v>
      </c>
      <c r="AJ52" s="20">
        <f t="shared" si="14"/>
        <v>0</v>
      </c>
      <c r="AK52" s="20">
        <f t="shared" si="14"/>
        <v>0</v>
      </c>
      <c r="AL52" s="20">
        <f t="shared" si="14"/>
        <v>0</v>
      </c>
      <c r="AM52" s="20">
        <f t="shared" si="14"/>
        <v>0</v>
      </c>
    </row>
    <row r="53" spans="2:39" s="18" customFormat="1" ht="21" customHeight="1" x14ac:dyDescent="0.3">
      <c r="B53" s="15" t="s">
        <v>50</v>
      </c>
      <c r="C53" s="19"/>
      <c r="D53" s="20">
        <f t="shared" ref="D53:AM53" si="15">D44+D52</f>
        <v>-15207.375</v>
      </c>
      <c r="E53" s="20">
        <f t="shared" si="15"/>
        <v>-15918.67</v>
      </c>
      <c r="F53" s="20">
        <f t="shared" si="15"/>
        <v>-16671.006799999999</v>
      </c>
      <c r="G53" s="20">
        <f t="shared" si="15"/>
        <v>-15968.855572000002</v>
      </c>
      <c r="H53" s="20">
        <f t="shared" si="15"/>
        <v>-14061.835225880002</v>
      </c>
      <c r="I53" s="20">
        <f t="shared" si="15"/>
        <v>-14732.971373165203</v>
      </c>
      <c r="J53" s="20">
        <f t="shared" si="15"/>
        <v>-15216.867546799211</v>
      </c>
      <c r="K53" s="20">
        <f t="shared" si="15"/>
        <v>-15961.35757533333</v>
      </c>
      <c r="L53" s="20">
        <f t="shared" si="15"/>
        <v>-16749.629807424222</v>
      </c>
      <c r="M53" s="20">
        <f t="shared" si="15"/>
        <v>-17584.528302585408</v>
      </c>
      <c r="N53" s="20">
        <f t="shared" si="15"/>
        <v>-18469.091322749613</v>
      </c>
      <c r="O53" s="20">
        <f t="shared" si="15"/>
        <v>-19406.564945888429</v>
      </c>
      <c r="P53" s="20">
        <f t="shared" si="15"/>
        <v>-20400.417648722298</v>
      </c>
      <c r="Q53" s="20">
        <f t="shared" si="15"/>
        <v>-21454.355928210909</v>
      </c>
      <c r="R53" s="20">
        <f t="shared" si="15"/>
        <v>-21293.953307644213</v>
      </c>
      <c r="S53" s="20">
        <f t="shared" si="15"/>
        <v>-22454.651426427328</v>
      </c>
      <c r="T53" s="20">
        <f t="shared" si="15"/>
        <v>-23687.644783543979</v>
      </c>
      <c r="U53" s="20">
        <f t="shared" si="15"/>
        <v>-20710.226438495767</v>
      </c>
      <c r="V53" s="20">
        <f t="shared" si="15"/>
        <v>-21802.501361459621</v>
      </c>
      <c r="W53" s="20">
        <f t="shared" si="15"/>
        <v>-22671.498643307281</v>
      </c>
      <c r="X53" s="20">
        <f t="shared" si="15"/>
        <v>-23893.098527619968</v>
      </c>
      <c r="Y53" s="20">
        <f t="shared" si="15"/>
        <v>-25190.407837741823</v>
      </c>
      <c r="Z53" s="20">
        <f t="shared" si="15"/>
        <v>-26568.48845310431</v>
      </c>
      <c r="AA53" s="20">
        <f t="shared" si="15"/>
        <v>-28032.754766134214</v>
      </c>
      <c r="AB53" s="20">
        <f t="shared" si="15"/>
        <v>-24015.440890287573</v>
      </c>
      <c r="AC53" s="20">
        <f t="shared" si="15"/>
        <v>-22180.310332753674</v>
      </c>
      <c r="AD53" s="20">
        <f t="shared" si="15"/>
        <v>-23359.65792249209</v>
      </c>
      <c r="AE53" s="20">
        <f t="shared" si="15"/>
        <v>-24290.324370176295</v>
      </c>
      <c r="AF53" s="20">
        <f t="shared" si="15"/>
        <v>-25609.686083081113</v>
      </c>
      <c r="AG53" s="20">
        <f t="shared" si="15"/>
        <v>-27011.197602241984</v>
      </c>
      <c r="AH53" s="20">
        <f t="shared" si="15"/>
        <v>-28500.407851008626</v>
      </c>
      <c r="AI53" s="20">
        <f t="shared" si="15"/>
        <v>-30083.258820951392</v>
      </c>
      <c r="AJ53" s="20">
        <f t="shared" si="15"/>
        <v>-30906.187549969523</v>
      </c>
      <c r="AK53" s="20">
        <f t="shared" si="15"/>
        <v>-29134.687951439075</v>
      </c>
      <c r="AL53" s="20">
        <f t="shared" si="15"/>
        <v>-30427.818051314542</v>
      </c>
      <c r="AM53" s="20">
        <f t="shared" si="15"/>
        <v>-32159.873216258617</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count="1">
    <dataValidation type="list" allowBlank="1" showInputMessage="1" showErrorMessage="1" sqref="D4" xr:uid="{AD6F81C1-407E-4825-8986-D927885D68D7}">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BF0FC-0D6A-4122-BE01-B27E8D6D6263}">
  <sheetPr>
    <tabColor theme="9" tint="0.79998168889431442"/>
    <outlinePr summaryBelow="0" summaryRight="0"/>
  </sheetPr>
  <dimension ref="A1:NTP304"/>
  <sheetViews>
    <sheetView showGridLines="0" zoomScaleNormal="100" workbookViewId="0">
      <pane xSplit="3" ySplit="4" topLeftCell="D35" activePane="bottomRight" state="frozen"/>
      <selection activeCell="B8" sqref="B8"/>
      <selection pane="topRight" activeCell="B8" sqref="B8"/>
      <selection pane="bottomLeft" activeCell="B8" sqref="B8"/>
      <selection pane="bottomRight" activeCell="A2" sqref="A2"/>
    </sheetView>
  </sheetViews>
  <sheetFormatPr defaultColWidth="9.109375" defaultRowHeight="14.4" x14ac:dyDescent="0.3"/>
  <cols>
    <col min="1" max="1" width="2.5546875" customWidth="1"/>
    <col min="2" max="2" width="42.33203125" style="2" customWidth="1"/>
    <col min="3" max="3" width="2.6640625" customWidth="1"/>
    <col min="4" max="4" width="12.44140625" style="27" customWidth="1"/>
    <col min="5" max="39" width="13.33203125" style="27" customWidth="1"/>
    <col min="40" max="9997" width="9.109375" style="27"/>
    <col min="9998" max="9998" width="9.109375" style="26"/>
    <col min="9999" max="16384" width="9.109375" style="27"/>
  </cols>
  <sheetData>
    <row r="1" spans="1:39" customFormat="1" ht="21" customHeight="1" x14ac:dyDescent="0.3">
      <c r="A1" s="1" t="s">
        <v>0</v>
      </c>
      <c r="B1" s="2"/>
    </row>
    <row r="2" spans="1:39" customFormat="1" ht="21" customHeight="1" x14ac:dyDescent="0.3">
      <c r="A2" s="3"/>
      <c r="B2" s="2"/>
    </row>
    <row r="3" spans="1:39" customFormat="1" x14ac:dyDescent="0.3">
      <c r="A3" t="s">
        <v>55</v>
      </c>
      <c r="B3" s="2"/>
    </row>
    <row r="4" spans="1:39" s="4" customFormat="1" ht="15.6" x14ac:dyDescent="0.3">
      <c r="B4" s="5"/>
      <c r="D4" s="6">
        <v>44957</v>
      </c>
      <c r="E4" s="7">
        <f t="shared" ref="E4:AM4" si="0">EOMONTH(D4,1)</f>
        <v>44985</v>
      </c>
      <c r="F4" s="7">
        <f t="shared" si="0"/>
        <v>45016</v>
      </c>
      <c r="G4" s="7">
        <f t="shared" si="0"/>
        <v>45046</v>
      </c>
      <c r="H4" s="7">
        <f t="shared" si="0"/>
        <v>45077</v>
      </c>
      <c r="I4" s="7">
        <f t="shared" si="0"/>
        <v>45107</v>
      </c>
      <c r="J4" s="7">
        <f t="shared" si="0"/>
        <v>45138</v>
      </c>
      <c r="K4" s="7">
        <f t="shared" si="0"/>
        <v>45169</v>
      </c>
      <c r="L4" s="7">
        <f t="shared" si="0"/>
        <v>45199</v>
      </c>
      <c r="M4" s="7">
        <f t="shared" si="0"/>
        <v>45230</v>
      </c>
      <c r="N4" s="7">
        <f t="shared" si="0"/>
        <v>45260</v>
      </c>
      <c r="O4" s="7">
        <f t="shared" si="0"/>
        <v>45291</v>
      </c>
      <c r="P4" s="7">
        <f t="shared" si="0"/>
        <v>45322</v>
      </c>
      <c r="Q4" s="7">
        <f t="shared" si="0"/>
        <v>45351</v>
      </c>
      <c r="R4" s="7">
        <f t="shared" si="0"/>
        <v>45382</v>
      </c>
      <c r="S4" s="7">
        <f t="shared" si="0"/>
        <v>45412</v>
      </c>
      <c r="T4" s="7">
        <f t="shared" si="0"/>
        <v>45443</v>
      </c>
      <c r="U4" s="7">
        <f t="shared" si="0"/>
        <v>45473</v>
      </c>
      <c r="V4" s="7">
        <f t="shared" si="0"/>
        <v>45504</v>
      </c>
      <c r="W4" s="7">
        <f t="shared" si="0"/>
        <v>45535</v>
      </c>
      <c r="X4" s="7">
        <f t="shared" si="0"/>
        <v>45565</v>
      </c>
      <c r="Y4" s="7">
        <f t="shared" si="0"/>
        <v>45596</v>
      </c>
      <c r="Z4" s="7">
        <f t="shared" si="0"/>
        <v>45626</v>
      </c>
      <c r="AA4" s="7">
        <f t="shared" si="0"/>
        <v>45657</v>
      </c>
      <c r="AB4" s="7">
        <f t="shared" si="0"/>
        <v>45688</v>
      </c>
      <c r="AC4" s="7">
        <f t="shared" si="0"/>
        <v>45716</v>
      </c>
      <c r="AD4" s="7">
        <f t="shared" si="0"/>
        <v>45747</v>
      </c>
      <c r="AE4" s="7">
        <f t="shared" si="0"/>
        <v>45777</v>
      </c>
      <c r="AF4" s="7">
        <f t="shared" si="0"/>
        <v>45808</v>
      </c>
      <c r="AG4" s="7">
        <f t="shared" si="0"/>
        <v>45838</v>
      </c>
      <c r="AH4" s="7">
        <f t="shared" si="0"/>
        <v>45869</v>
      </c>
      <c r="AI4" s="7">
        <f t="shared" si="0"/>
        <v>45900</v>
      </c>
      <c r="AJ4" s="7">
        <f t="shared" si="0"/>
        <v>45930</v>
      </c>
      <c r="AK4" s="7">
        <f t="shared" si="0"/>
        <v>45961</v>
      </c>
      <c r="AL4" s="7">
        <f t="shared" si="0"/>
        <v>45991</v>
      </c>
      <c r="AM4" s="7">
        <f t="shared" si="0"/>
        <v>46022</v>
      </c>
    </row>
    <row r="5" spans="1:39" s="12" customFormat="1" ht="21" customHeight="1" x14ac:dyDescent="0.3">
      <c r="A5" s="8"/>
      <c r="B5" s="9" t="s">
        <v>2</v>
      </c>
      <c r="C5" s="10"/>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s="12" customFormat="1" ht="21" customHeight="1" x14ac:dyDescent="0.3">
      <c r="A6" s="8"/>
      <c r="B6" s="13" t="s">
        <v>3</v>
      </c>
      <c r="C6" s="10"/>
      <c r="D6" s="14">
        <v>0</v>
      </c>
      <c r="E6" s="14">
        <v>0</v>
      </c>
      <c r="F6" s="14">
        <v>0</v>
      </c>
      <c r="G6" s="14">
        <v>0</v>
      </c>
      <c r="H6" s="14">
        <v>0</v>
      </c>
      <c r="I6" s="14">
        <v>0</v>
      </c>
      <c r="J6" s="14">
        <v>0</v>
      </c>
      <c r="K6" s="14">
        <v>0</v>
      </c>
      <c r="L6" s="14">
        <v>0</v>
      </c>
      <c r="M6" s="14">
        <v>0</v>
      </c>
      <c r="N6" s="14">
        <v>0</v>
      </c>
      <c r="O6" s="14">
        <v>0</v>
      </c>
      <c r="P6" s="14">
        <v>0</v>
      </c>
      <c r="Q6" s="14">
        <v>0</v>
      </c>
      <c r="R6" s="14">
        <v>0</v>
      </c>
      <c r="S6" s="14">
        <v>0</v>
      </c>
      <c r="T6" s="14">
        <v>0</v>
      </c>
      <c r="U6" s="14">
        <v>0</v>
      </c>
      <c r="V6" s="14">
        <v>0</v>
      </c>
      <c r="W6" s="14">
        <v>0</v>
      </c>
      <c r="X6" s="14">
        <v>0</v>
      </c>
      <c r="Y6" s="14">
        <v>0</v>
      </c>
      <c r="Z6" s="14">
        <v>0</v>
      </c>
      <c r="AA6" s="14">
        <v>0</v>
      </c>
      <c r="AB6" s="14">
        <v>0</v>
      </c>
      <c r="AC6" s="14">
        <v>0</v>
      </c>
      <c r="AD6" s="14">
        <v>0</v>
      </c>
      <c r="AE6" s="14">
        <v>0</v>
      </c>
      <c r="AF6" s="14">
        <v>0</v>
      </c>
      <c r="AG6" s="14">
        <v>0</v>
      </c>
      <c r="AH6" s="14">
        <v>0</v>
      </c>
      <c r="AI6" s="14">
        <v>0</v>
      </c>
      <c r="AJ6" s="14">
        <v>0</v>
      </c>
      <c r="AK6" s="14">
        <v>0</v>
      </c>
      <c r="AL6" s="14">
        <v>0</v>
      </c>
      <c r="AM6" s="14">
        <v>0</v>
      </c>
    </row>
    <row r="7" spans="1:39" s="12" customFormat="1" ht="21" customHeight="1" x14ac:dyDescent="0.3">
      <c r="A7" s="8"/>
      <c r="B7" s="15" t="s">
        <v>4</v>
      </c>
      <c r="C7" s="10"/>
      <c r="D7" s="16">
        <f t="shared" ref="D7:AM7" si="1">SUM(D6 + D5)</f>
        <v>0</v>
      </c>
      <c r="E7" s="16">
        <f t="shared" ref="E7:AL7" si="2">SUM(E6 + E5)</f>
        <v>0</v>
      </c>
      <c r="F7" s="16">
        <f t="shared" si="2"/>
        <v>0</v>
      </c>
      <c r="G7" s="16">
        <f t="shared" si="2"/>
        <v>0</v>
      </c>
      <c r="H7" s="16">
        <f t="shared" si="2"/>
        <v>0</v>
      </c>
      <c r="I7" s="16">
        <f t="shared" si="2"/>
        <v>0</v>
      </c>
      <c r="J7" s="16">
        <f t="shared" si="2"/>
        <v>0</v>
      </c>
      <c r="K7" s="16">
        <f t="shared" si="2"/>
        <v>0</v>
      </c>
      <c r="L7" s="16">
        <f t="shared" si="2"/>
        <v>0</v>
      </c>
      <c r="M7" s="16">
        <f t="shared" si="2"/>
        <v>0</v>
      </c>
      <c r="N7" s="16">
        <f t="shared" si="2"/>
        <v>0</v>
      </c>
      <c r="O7" s="16">
        <f t="shared" si="2"/>
        <v>0</v>
      </c>
      <c r="P7" s="16">
        <f t="shared" si="2"/>
        <v>0</v>
      </c>
      <c r="Q7" s="16">
        <f t="shared" si="2"/>
        <v>0</v>
      </c>
      <c r="R7" s="16">
        <f t="shared" si="2"/>
        <v>0</v>
      </c>
      <c r="S7" s="16">
        <f t="shared" si="2"/>
        <v>0</v>
      </c>
      <c r="T7" s="16">
        <f t="shared" si="2"/>
        <v>0</v>
      </c>
      <c r="U7" s="16">
        <f t="shared" si="2"/>
        <v>0</v>
      </c>
      <c r="V7" s="16">
        <f t="shared" si="2"/>
        <v>0</v>
      </c>
      <c r="W7" s="16">
        <f t="shared" si="2"/>
        <v>0</v>
      </c>
      <c r="X7" s="16">
        <f t="shared" si="2"/>
        <v>0</v>
      </c>
      <c r="Y7" s="16">
        <f t="shared" si="2"/>
        <v>0</v>
      </c>
      <c r="Z7" s="16">
        <f t="shared" si="2"/>
        <v>0</v>
      </c>
      <c r="AA7" s="16">
        <f t="shared" si="2"/>
        <v>0</v>
      </c>
      <c r="AB7" s="16">
        <f t="shared" si="2"/>
        <v>0</v>
      </c>
      <c r="AC7" s="16">
        <f t="shared" si="2"/>
        <v>0</v>
      </c>
      <c r="AD7" s="16">
        <f t="shared" si="2"/>
        <v>0</v>
      </c>
      <c r="AE7" s="16">
        <f t="shared" si="2"/>
        <v>0</v>
      </c>
      <c r="AF7" s="16">
        <f t="shared" si="2"/>
        <v>0</v>
      </c>
      <c r="AG7" s="16">
        <f t="shared" si="2"/>
        <v>0</v>
      </c>
      <c r="AH7" s="16">
        <f t="shared" si="2"/>
        <v>0</v>
      </c>
      <c r="AI7" s="16">
        <f t="shared" si="2"/>
        <v>0</v>
      </c>
      <c r="AJ7" s="16">
        <f t="shared" si="2"/>
        <v>0</v>
      </c>
      <c r="AK7" s="16">
        <f t="shared" si="2"/>
        <v>0</v>
      </c>
      <c r="AL7" s="16">
        <f t="shared" si="2"/>
        <v>0</v>
      </c>
      <c r="AM7" s="16">
        <f t="shared" si="1"/>
        <v>0</v>
      </c>
    </row>
    <row r="8" spans="1:39" s="12" customFormat="1" ht="21" customHeight="1" x14ac:dyDescent="0.3">
      <c r="A8" s="8"/>
      <c r="B8" s="15" t="s">
        <v>5</v>
      </c>
      <c r="C8" s="10"/>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row>
    <row r="9" spans="1:39" s="12" customFormat="1" ht="21" customHeight="1" x14ac:dyDescent="0.3">
      <c r="A9" s="8"/>
      <c r="B9" s="13" t="s">
        <v>6</v>
      </c>
      <c r="C9" s="10"/>
      <c r="D9" s="14">
        <v>0</v>
      </c>
      <c r="E9" s="14">
        <v>0</v>
      </c>
      <c r="F9" s="14">
        <v>0</v>
      </c>
      <c r="G9" s="14">
        <v>0</v>
      </c>
      <c r="H9" s="14">
        <v>0</v>
      </c>
      <c r="I9" s="14">
        <v>0</v>
      </c>
      <c r="J9" s="14">
        <v>0</v>
      </c>
      <c r="K9" s="14">
        <v>0</v>
      </c>
      <c r="L9" s="14">
        <v>0</v>
      </c>
      <c r="M9" s="14">
        <v>0</v>
      </c>
      <c r="N9" s="14">
        <v>0</v>
      </c>
      <c r="O9" s="14">
        <v>0</v>
      </c>
      <c r="P9" s="14">
        <v>0</v>
      </c>
      <c r="Q9" s="14">
        <v>0</v>
      </c>
      <c r="R9" s="14">
        <v>0</v>
      </c>
      <c r="S9" s="14">
        <v>0</v>
      </c>
      <c r="T9" s="14">
        <v>0</v>
      </c>
      <c r="U9" s="14">
        <v>0</v>
      </c>
      <c r="V9" s="14">
        <v>0</v>
      </c>
      <c r="W9" s="14">
        <v>0</v>
      </c>
      <c r="X9" s="14">
        <v>0</v>
      </c>
      <c r="Y9" s="14">
        <v>0</v>
      </c>
      <c r="Z9" s="14">
        <v>0</v>
      </c>
      <c r="AA9" s="14">
        <v>0</v>
      </c>
      <c r="AB9" s="14">
        <v>0</v>
      </c>
      <c r="AC9" s="14">
        <v>0</v>
      </c>
      <c r="AD9" s="14">
        <v>0</v>
      </c>
      <c r="AE9" s="14">
        <v>0</v>
      </c>
      <c r="AF9" s="14">
        <v>0</v>
      </c>
      <c r="AG9" s="14">
        <v>0</v>
      </c>
      <c r="AH9" s="14">
        <v>0</v>
      </c>
      <c r="AI9" s="14">
        <v>0</v>
      </c>
      <c r="AJ9" s="14">
        <v>0</v>
      </c>
      <c r="AK9" s="14">
        <v>0</v>
      </c>
      <c r="AL9" s="14">
        <v>0</v>
      </c>
      <c r="AM9" s="14">
        <v>0</v>
      </c>
    </row>
    <row r="10" spans="1:39" s="12" customFormat="1" ht="21" customHeight="1" x14ac:dyDescent="0.3">
      <c r="A10" s="8"/>
      <c r="B10" s="13" t="s">
        <v>7</v>
      </c>
      <c r="C10" s="10"/>
      <c r="D10" s="14">
        <v>0</v>
      </c>
      <c r="E10" s="14">
        <v>0</v>
      </c>
      <c r="F10" s="14">
        <v>0</v>
      </c>
      <c r="G10" s="14">
        <v>0</v>
      </c>
      <c r="H10" s="14">
        <v>0</v>
      </c>
      <c r="I10" s="14">
        <v>0</v>
      </c>
      <c r="J10" s="14">
        <v>0</v>
      </c>
      <c r="K10" s="14">
        <v>0</v>
      </c>
      <c r="L10" s="14">
        <v>0</v>
      </c>
      <c r="M10" s="14">
        <v>0</v>
      </c>
      <c r="N10" s="14">
        <v>0</v>
      </c>
      <c r="O10" s="14">
        <v>0</v>
      </c>
      <c r="P10" s="14">
        <v>0</v>
      </c>
      <c r="Q10" s="14">
        <v>0</v>
      </c>
      <c r="R10" s="14">
        <v>0</v>
      </c>
      <c r="S10" s="14">
        <v>0</v>
      </c>
      <c r="T10" s="14">
        <v>0</v>
      </c>
      <c r="U10" s="14">
        <v>0</v>
      </c>
      <c r="V10" s="14">
        <v>0</v>
      </c>
      <c r="W10" s="14">
        <v>0</v>
      </c>
      <c r="X10" s="14">
        <v>0</v>
      </c>
      <c r="Y10" s="14">
        <v>0</v>
      </c>
      <c r="Z10" s="14">
        <v>0</v>
      </c>
      <c r="AA10" s="14">
        <v>0</v>
      </c>
      <c r="AB10" s="14">
        <v>0</v>
      </c>
      <c r="AC10" s="14">
        <v>0</v>
      </c>
      <c r="AD10" s="14">
        <v>0</v>
      </c>
      <c r="AE10" s="14">
        <v>0</v>
      </c>
      <c r="AF10" s="14">
        <v>0</v>
      </c>
      <c r="AG10" s="14">
        <v>0</v>
      </c>
      <c r="AH10" s="14">
        <v>0</v>
      </c>
      <c r="AI10" s="14">
        <v>0</v>
      </c>
      <c r="AJ10" s="14">
        <v>0</v>
      </c>
      <c r="AK10" s="14">
        <v>0</v>
      </c>
      <c r="AL10" s="14">
        <v>0</v>
      </c>
      <c r="AM10" s="14">
        <v>0</v>
      </c>
    </row>
    <row r="11" spans="1:39" s="12" customFormat="1" ht="21" customHeight="1" x14ac:dyDescent="0.3">
      <c r="A11" s="8"/>
      <c r="B11" s="15" t="s">
        <v>8</v>
      </c>
      <c r="C11" s="10"/>
      <c r="D11" s="16">
        <f t="shared" ref="D11:AM11" si="3">SUM(D10, D9 + D8)</f>
        <v>0</v>
      </c>
      <c r="E11" s="16">
        <f t="shared" si="3"/>
        <v>0</v>
      </c>
      <c r="F11" s="16">
        <f t="shared" si="3"/>
        <v>0</v>
      </c>
      <c r="G11" s="16">
        <f t="shared" si="3"/>
        <v>0</v>
      </c>
      <c r="H11" s="16">
        <f t="shared" si="3"/>
        <v>0</v>
      </c>
      <c r="I11" s="16">
        <f t="shared" si="3"/>
        <v>0</v>
      </c>
      <c r="J11" s="16">
        <f t="shared" si="3"/>
        <v>0</v>
      </c>
      <c r="K11" s="16">
        <f t="shared" si="3"/>
        <v>0</v>
      </c>
      <c r="L11" s="16">
        <f t="shared" si="3"/>
        <v>0</v>
      </c>
      <c r="M11" s="16">
        <f t="shared" si="3"/>
        <v>0</v>
      </c>
      <c r="N11" s="16">
        <f t="shared" si="3"/>
        <v>0</v>
      </c>
      <c r="O11" s="16">
        <f t="shared" si="3"/>
        <v>0</v>
      </c>
      <c r="P11" s="16">
        <f t="shared" si="3"/>
        <v>0</v>
      </c>
      <c r="Q11" s="16">
        <f t="shared" si="3"/>
        <v>0</v>
      </c>
      <c r="R11" s="16">
        <f t="shared" si="3"/>
        <v>0</v>
      </c>
      <c r="S11" s="16">
        <f t="shared" si="3"/>
        <v>0</v>
      </c>
      <c r="T11" s="16">
        <f t="shared" si="3"/>
        <v>0</v>
      </c>
      <c r="U11" s="16">
        <f t="shared" si="3"/>
        <v>0</v>
      </c>
      <c r="V11" s="16">
        <f t="shared" si="3"/>
        <v>0</v>
      </c>
      <c r="W11" s="16">
        <f t="shared" si="3"/>
        <v>0</v>
      </c>
      <c r="X11" s="16">
        <f t="shared" si="3"/>
        <v>0</v>
      </c>
      <c r="Y11" s="16">
        <f t="shared" si="3"/>
        <v>0</v>
      </c>
      <c r="Z11" s="16">
        <f t="shared" si="3"/>
        <v>0</v>
      </c>
      <c r="AA11" s="16">
        <f t="shared" si="3"/>
        <v>0</v>
      </c>
      <c r="AB11" s="16">
        <f t="shared" si="3"/>
        <v>0</v>
      </c>
      <c r="AC11" s="16">
        <f t="shared" si="3"/>
        <v>0</v>
      </c>
      <c r="AD11" s="16">
        <f t="shared" si="3"/>
        <v>0</v>
      </c>
      <c r="AE11" s="16">
        <f t="shared" si="3"/>
        <v>0</v>
      </c>
      <c r="AF11" s="16">
        <f t="shared" si="3"/>
        <v>0</v>
      </c>
      <c r="AG11" s="16">
        <f t="shared" si="3"/>
        <v>0</v>
      </c>
      <c r="AH11" s="16">
        <f t="shared" si="3"/>
        <v>0</v>
      </c>
      <c r="AI11" s="16">
        <f t="shared" si="3"/>
        <v>0</v>
      </c>
      <c r="AJ11" s="16">
        <f t="shared" si="3"/>
        <v>0</v>
      </c>
      <c r="AK11" s="16">
        <f t="shared" si="3"/>
        <v>0</v>
      </c>
      <c r="AL11" s="16">
        <f t="shared" si="3"/>
        <v>0</v>
      </c>
      <c r="AM11" s="16">
        <f t="shared" si="3"/>
        <v>0</v>
      </c>
    </row>
    <row r="12" spans="1:39" s="18" customFormat="1" ht="21" customHeight="1" x14ac:dyDescent="0.3">
      <c r="B12" s="15" t="s">
        <v>9</v>
      </c>
      <c r="C12" s="19"/>
      <c r="D12" s="20">
        <f t="shared" ref="D12:AM12" si="4">D7-D11</f>
        <v>0</v>
      </c>
      <c r="E12" s="20">
        <f t="shared" si="4"/>
        <v>0</v>
      </c>
      <c r="F12" s="20">
        <f t="shared" si="4"/>
        <v>0</v>
      </c>
      <c r="G12" s="20">
        <f t="shared" si="4"/>
        <v>0</v>
      </c>
      <c r="H12" s="20">
        <f t="shared" si="4"/>
        <v>0</v>
      </c>
      <c r="I12" s="20">
        <f t="shared" si="4"/>
        <v>0</v>
      </c>
      <c r="J12" s="20">
        <f t="shared" si="4"/>
        <v>0</v>
      </c>
      <c r="K12" s="20">
        <f t="shared" si="4"/>
        <v>0</v>
      </c>
      <c r="L12" s="20">
        <f t="shared" si="4"/>
        <v>0</v>
      </c>
      <c r="M12" s="20">
        <f t="shared" si="4"/>
        <v>0</v>
      </c>
      <c r="N12" s="20">
        <f t="shared" si="4"/>
        <v>0</v>
      </c>
      <c r="O12" s="20">
        <f t="shared" si="4"/>
        <v>0</v>
      </c>
      <c r="P12" s="20">
        <f t="shared" si="4"/>
        <v>0</v>
      </c>
      <c r="Q12" s="20">
        <f t="shared" si="4"/>
        <v>0</v>
      </c>
      <c r="R12" s="20">
        <f t="shared" si="4"/>
        <v>0</v>
      </c>
      <c r="S12" s="20">
        <f t="shared" si="4"/>
        <v>0</v>
      </c>
      <c r="T12" s="20">
        <f t="shared" si="4"/>
        <v>0</v>
      </c>
      <c r="U12" s="20">
        <f t="shared" si="4"/>
        <v>0</v>
      </c>
      <c r="V12" s="20">
        <f t="shared" si="4"/>
        <v>0</v>
      </c>
      <c r="W12" s="20">
        <f t="shared" si="4"/>
        <v>0</v>
      </c>
      <c r="X12" s="20">
        <f t="shared" si="4"/>
        <v>0</v>
      </c>
      <c r="Y12" s="20">
        <f t="shared" si="4"/>
        <v>0</v>
      </c>
      <c r="Z12" s="20">
        <f t="shared" si="4"/>
        <v>0</v>
      </c>
      <c r="AA12" s="20">
        <f t="shared" si="4"/>
        <v>0</v>
      </c>
      <c r="AB12" s="20">
        <f t="shared" si="4"/>
        <v>0</v>
      </c>
      <c r="AC12" s="20">
        <f t="shared" si="4"/>
        <v>0</v>
      </c>
      <c r="AD12" s="20">
        <f t="shared" si="4"/>
        <v>0</v>
      </c>
      <c r="AE12" s="20">
        <f t="shared" si="4"/>
        <v>0</v>
      </c>
      <c r="AF12" s="20">
        <f t="shared" si="4"/>
        <v>0</v>
      </c>
      <c r="AG12" s="20">
        <f t="shared" si="4"/>
        <v>0</v>
      </c>
      <c r="AH12" s="20">
        <f t="shared" si="4"/>
        <v>0</v>
      </c>
      <c r="AI12" s="20">
        <f t="shared" si="4"/>
        <v>0</v>
      </c>
      <c r="AJ12" s="20">
        <f t="shared" si="4"/>
        <v>0</v>
      </c>
      <c r="AK12" s="20">
        <f t="shared" si="4"/>
        <v>0</v>
      </c>
      <c r="AL12" s="20">
        <f t="shared" si="4"/>
        <v>0</v>
      </c>
      <c r="AM12" s="20">
        <f t="shared" si="4"/>
        <v>0</v>
      </c>
    </row>
    <row r="13" spans="1:39" s="12" customFormat="1" ht="21" customHeight="1" x14ac:dyDescent="0.3">
      <c r="A13" s="8"/>
      <c r="B13" s="15" t="s">
        <v>10</v>
      </c>
      <c r="C13" s="10"/>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row>
    <row r="14" spans="1:39" s="12" customFormat="1" ht="21" customHeight="1" x14ac:dyDescent="0.3">
      <c r="B14" s="13" t="s">
        <v>11</v>
      </c>
      <c r="C14" s="10"/>
      <c r="D14" s="14">
        <v>8000</v>
      </c>
      <c r="E14" s="14">
        <v>8400</v>
      </c>
      <c r="F14" s="14">
        <v>8820</v>
      </c>
      <c r="G14" s="14">
        <f>F14*(0.8)</f>
        <v>7056</v>
      </c>
      <c r="H14" s="14">
        <v>7408.8</v>
      </c>
      <c r="I14" s="14">
        <v>7779.2400000000007</v>
      </c>
      <c r="J14" s="14">
        <v>8168.2020000000011</v>
      </c>
      <c r="K14" s="14">
        <v>8576.6121000000021</v>
      </c>
      <c r="L14" s="14">
        <v>9005.4427050000031</v>
      </c>
      <c r="M14" s="14">
        <v>9455.7148402500043</v>
      </c>
      <c r="N14" s="14">
        <f>M14*(0.8)</f>
        <v>7564.5718722000038</v>
      </c>
      <c r="O14" s="14">
        <v>7942.8004658100044</v>
      </c>
      <c r="P14" s="14">
        <v>8339.9404891005051</v>
      </c>
      <c r="Q14" s="14">
        <v>8756.937513555531</v>
      </c>
      <c r="R14" s="14">
        <v>9194.7843892333076</v>
      </c>
      <c r="S14" s="14">
        <v>9654.5236086949735</v>
      </c>
      <c r="T14" s="14">
        <v>10137.249789129723</v>
      </c>
      <c r="U14" s="14">
        <v>10644.11227858621</v>
      </c>
      <c r="V14" s="14">
        <v>11176.317892515521</v>
      </c>
      <c r="W14" s="14">
        <f>V14*(0.8)</f>
        <v>8941.0543140124173</v>
      </c>
      <c r="X14" s="14">
        <v>9388.1070297130391</v>
      </c>
      <c r="Y14" s="14">
        <v>9857.5123811986923</v>
      </c>
      <c r="Z14" s="14">
        <v>10350.388000258627</v>
      </c>
      <c r="AA14" s="14">
        <v>10867.907400271559</v>
      </c>
      <c r="AB14" s="14">
        <v>11411.302770285138</v>
      </c>
      <c r="AC14" s="14">
        <v>11981.867908799395</v>
      </c>
      <c r="AD14" s="14">
        <v>12580.961304239365</v>
      </c>
      <c r="AE14" s="14">
        <f>AD14*(0.8)</f>
        <v>10064.769043391492</v>
      </c>
      <c r="AF14" s="14">
        <v>10568.007495561067</v>
      </c>
      <c r="AG14" s="14">
        <v>11096.407870339121</v>
      </c>
      <c r="AH14" s="14">
        <v>11651.228263856077</v>
      </c>
      <c r="AI14" s="14">
        <v>12233.789677048882</v>
      </c>
      <c r="AJ14" s="14">
        <v>12845.479160901326</v>
      </c>
      <c r="AK14" s="14">
        <v>13487.753118946393</v>
      </c>
      <c r="AL14" s="14">
        <v>14162.140774893714</v>
      </c>
      <c r="AM14" s="14">
        <f>AL14*(0.8)</f>
        <v>11329.712619914972</v>
      </c>
    </row>
    <row r="15" spans="1:39" s="12" customFormat="1" ht="21" customHeight="1" x14ac:dyDescent="0.3">
      <c r="B15" s="13" t="s">
        <v>12</v>
      </c>
      <c r="C15" s="10"/>
      <c r="D15" s="14">
        <v>0</v>
      </c>
      <c r="E15" s="14">
        <v>0</v>
      </c>
      <c r="F15" s="14">
        <v>0</v>
      </c>
      <c r="G15" s="14">
        <v>0</v>
      </c>
      <c r="H15" s="14">
        <v>0</v>
      </c>
      <c r="I15" s="14">
        <v>0</v>
      </c>
      <c r="J15" s="14">
        <v>0</v>
      </c>
      <c r="K15" s="14">
        <v>0</v>
      </c>
      <c r="L15" s="14">
        <v>0</v>
      </c>
      <c r="M15" s="14">
        <v>0</v>
      </c>
      <c r="N15" s="14">
        <v>0</v>
      </c>
      <c r="O15" s="14">
        <v>0</v>
      </c>
      <c r="P15" s="14">
        <v>0</v>
      </c>
      <c r="Q15" s="14">
        <v>0</v>
      </c>
      <c r="R15" s="14">
        <v>0</v>
      </c>
      <c r="S15" s="14">
        <v>0</v>
      </c>
      <c r="T15" s="14">
        <v>0</v>
      </c>
      <c r="U15" s="14">
        <v>0</v>
      </c>
      <c r="V15" s="14">
        <v>0</v>
      </c>
      <c r="W15" s="14">
        <v>0</v>
      </c>
      <c r="X15" s="14">
        <v>0</v>
      </c>
      <c r="Y15" s="14">
        <v>0</v>
      </c>
      <c r="Z15" s="14">
        <v>0</v>
      </c>
      <c r="AA15" s="14">
        <v>0</v>
      </c>
      <c r="AB15" s="14">
        <v>0</v>
      </c>
      <c r="AC15" s="14">
        <v>0</v>
      </c>
      <c r="AD15" s="14">
        <v>0</v>
      </c>
      <c r="AE15" s="14">
        <v>0</v>
      </c>
      <c r="AF15" s="14">
        <v>0</v>
      </c>
      <c r="AG15" s="14">
        <v>0</v>
      </c>
      <c r="AH15" s="14">
        <v>0</v>
      </c>
      <c r="AI15" s="14">
        <v>0</v>
      </c>
      <c r="AJ15" s="14">
        <v>0</v>
      </c>
      <c r="AK15" s="14">
        <v>0</v>
      </c>
      <c r="AL15" s="14">
        <v>0</v>
      </c>
      <c r="AM15" s="14">
        <v>0</v>
      </c>
    </row>
    <row r="16" spans="1:39" s="12" customFormat="1" ht="21" customHeight="1" x14ac:dyDescent="0.3">
      <c r="B16" s="13" t="s">
        <v>13</v>
      </c>
      <c r="C16" s="10"/>
      <c r="D16" s="14">
        <v>10000</v>
      </c>
      <c r="E16" s="14">
        <v>10500</v>
      </c>
      <c r="F16" s="14">
        <f>E16*(0.75)</f>
        <v>7875</v>
      </c>
      <c r="G16" s="14">
        <v>8268.75</v>
      </c>
      <c r="H16" s="14">
        <v>8682.1875</v>
      </c>
      <c r="I16" s="14">
        <v>9116.296875</v>
      </c>
      <c r="J16" s="14">
        <v>9572.1117187500004</v>
      </c>
      <c r="K16" s="14">
        <v>10050.717304687501</v>
      </c>
      <c r="L16" s="14">
        <v>10553.253169921876</v>
      </c>
      <c r="M16" s="14">
        <v>11080.91582841797</v>
      </c>
      <c r="N16" s="14">
        <f>M16*(0.75)</f>
        <v>8310.6868713134772</v>
      </c>
      <c r="O16" s="14">
        <v>8726.2212148791514</v>
      </c>
      <c r="P16" s="14">
        <v>9162.5322756231089</v>
      </c>
      <c r="Q16" s="14">
        <v>9620.6588894042652</v>
      </c>
      <c r="R16" s="14">
        <v>10101.691833874478</v>
      </c>
      <c r="S16" s="14">
        <v>10606.776425568203</v>
      </c>
      <c r="T16" s="14">
        <v>11137.115246846613</v>
      </c>
      <c r="U16" s="14">
        <v>11693.971009188945</v>
      </c>
      <c r="V16" s="14">
        <v>12278.669559648393</v>
      </c>
      <c r="W16" s="14">
        <f>V16*(0.75)</f>
        <v>9209.0021697362954</v>
      </c>
      <c r="X16" s="14">
        <v>9669.4522782231106</v>
      </c>
      <c r="Y16" s="14">
        <v>10152.924892134266</v>
      </c>
      <c r="Z16" s="14">
        <v>10660.57113674098</v>
      </c>
      <c r="AA16" s="14">
        <v>11193.599693578029</v>
      </c>
      <c r="AB16" s="14">
        <v>11753.279678256931</v>
      </c>
      <c r="AC16" s="14">
        <f>AB16*(0.75)</f>
        <v>8814.9597586926975</v>
      </c>
      <c r="AD16" s="14">
        <v>9255.7077466273331</v>
      </c>
      <c r="AE16" s="14">
        <v>9718.4931339587001</v>
      </c>
      <c r="AF16" s="14">
        <v>10204.417790656635</v>
      </c>
      <c r="AG16" s="14">
        <v>10714.638680189466</v>
      </c>
      <c r="AH16" s="14">
        <f>AG16*(0.75)</f>
        <v>8035.9790101420995</v>
      </c>
      <c r="AI16" s="14">
        <v>8437.777960649204</v>
      </c>
      <c r="AJ16" s="14">
        <v>8859.666858681665</v>
      </c>
      <c r="AK16" s="14">
        <v>9302.6502016157483</v>
      </c>
      <c r="AL16" s="14">
        <f>AK16*(0.75)</f>
        <v>6976.9876512118117</v>
      </c>
      <c r="AM16" s="14">
        <v>7325.8370337724027</v>
      </c>
    </row>
    <row r="17" spans="2:39" s="12" customFormat="1" ht="21" customHeight="1" x14ac:dyDescent="0.3">
      <c r="B17" s="13" t="s">
        <v>14</v>
      </c>
      <c r="C17" s="10"/>
      <c r="D17" s="14">
        <v>8500</v>
      </c>
      <c r="E17" s="14">
        <f>D17*(0.6)</f>
        <v>5100</v>
      </c>
      <c r="F17" s="14">
        <v>5355</v>
      </c>
      <c r="G17" s="14">
        <v>5622.75</v>
      </c>
      <c r="H17" s="14">
        <v>5903.8874999999998</v>
      </c>
      <c r="I17" s="14">
        <v>6199.0818749999999</v>
      </c>
      <c r="J17" s="14">
        <v>6509.0359687500004</v>
      </c>
      <c r="K17" s="14">
        <v>6834.487767187501</v>
      </c>
      <c r="L17" s="14">
        <v>7176.2121555468766</v>
      </c>
      <c r="M17" s="14">
        <v>7535.0227633242212</v>
      </c>
      <c r="N17" s="14">
        <v>7911.7739014904328</v>
      </c>
      <c r="O17" s="14">
        <v>8307.3625965649553</v>
      </c>
      <c r="P17" s="14">
        <v>8722.7307263932034</v>
      </c>
      <c r="Q17" s="14">
        <v>9158.8672627128635</v>
      </c>
      <c r="R17" s="14">
        <v>9616.8106258485077</v>
      </c>
      <c r="S17" s="14">
        <f>R17*(0.6)</f>
        <v>5770.0863755091041</v>
      </c>
      <c r="T17" s="14">
        <v>6058.5906942845595</v>
      </c>
      <c r="U17" s="14">
        <v>6361.5202289987874</v>
      </c>
      <c r="V17" s="14">
        <v>6679.5962404487273</v>
      </c>
      <c r="W17" s="14">
        <v>7013.5760524711641</v>
      </c>
      <c r="X17" s="14">
        <v>7364.2548550947222</v>
      </c>
      <c r="Y17" s="14">
        <v>7732.4675978494588</v>
      </c>
      <c r="Z17" s="14">
        <v>8119.090977741932</v>
      </c>
      <c r="AA17" s="14">
        <v>8525.0455266290282</v>
      </c>
      <c r="AB17" s="14">
        <v>8951.2978029604801</v>
      </c>
      <c r="AC17" s="14">
        <v>9398.8626931085037</v>
      </c>
      <c r="AD17" s="14">
        <v>9868.8058277639284</v>
      </c>
      <c r="AE17" s="14">
        <v>10362.246119152125</v>
      </c>
      <c r="AF17" s="14">
        <f>AE17*(0.6)</f>
        <v>6217.3476714912749</v>
      </c>
      <c r="AG17" s="14">
        <v>6528.2150550658389</v>
      </c>
      <c r="AH17" s="14">
        <v>6854.6258078191313</v>
      </c>
      <c r="AI17" s="14">
        <v>7197.3570982100882</v>
      </c>
      <c r="AJ17" s="14">
        <v>7557.2249531205925</v>
      </c>
      <c r="AK17" s="14">
        <v>7935.0862007766227</v>
      </c>
      <c r="AL17" s="14">
        <v>8331.8405108154548</v>
      </c>
      <c r="AM17" s="14">
        <v>8748.4325363562275</v>
      </c>
    </row>
    <row r="18" spans="2:39" s="12" customFormat="1" ht="21" customHeight="1" x14ac:dyDescent="0.3">
      <c r="B18" s="13" t="s">
        <v>15</v>
      </c>
      <c r="C18" s="10"/>
      <c r="D18" s="14">
        <v>0</v>
      </c>
      <c r="E18" s="14">
        <v>0</v>
      </c>
      <c r="F18" s="14">
        <v>0</v>
      </c>
      <c r="G18" s="14">
        <v>0</v>
      </c>
      <c r="H18" s="14">
        <v>0</v>
      </c>
      <c r="I18" s="14">
        <v>0</v>
      </c>
      <c r="J18" s="14">
        <v>0</v>
      </c>
      <c r="K18" s="14">
        <v>0</v>
      </c>
      <c r="L18" s="14">
        <v>0</v>
      </c>
      <c r="M18" s="14">
        <v>0</v>
      </c>
      <c r="N18" s="14">
        <v>0</v>
      </c>
      <c r="O18" s="14">
        <v>0</v>
      </c>
      <c r="P18" s="14">
        <v>0</v>
      </c>
      <c r="Q18" s="14">
        <v>0</v>
      </c>
      <c r="R18" s="14">
        <v>0</v>
      </c>
      <c r="S18" s="14">
        <v>0</v>
      </c>
      <c r="T18" s="14">
        <v>0</v>
      </c>
      <c r="U18" s="14">
        <v>0</v>
      </c>
      <c r="V18" s="14">
        <v>0</v>
      </c>
      <c r="W18" s="14">
        <v>0</v>
      </c>
      <c r="X18" s="14">
        <v>0</v>
      </c>
      <c r="Y18" s="14">
        <v>0</v>
      </c>
      <c r="Z18" s="14">
        <v>0</v>
      </c>
      <c r="AA18" s="14">
        <v>0</v>
      </c>
      <c r="AB18" s="14">
        <v>0</v>
      </c>
      <c r="AC18" s="14">
        <v>0</v>
      </c>
      <c r="AD18" s="14">
        <v>0</v>
      </c>
      <c r="AE18" s="14">
        <v>0</v>
      </c>
      <c r="AF18" s="14">
        <v>0</v>
      </c>
      <c r="AG18" s="14">
        <v>0</v>
      </c>
      <c r="AH18" s="14">
        <v>0</v>
      </c>
      <c r="AI18" s="14">
        <v>0</v>
      </c>
      <c r="AJ18" s="14">
        <v>0</v>
      </c>
      <c r="AK18" s="14">
        <v>0</v>
      </c>
      <c r="AL18" s="14">
        <v>0</v>
      </c>
      <c r="AM18" s="14">
        <v>0</v>
      </c>
    </row>
    <row r="19" spans="2:39" s="18" customFormat="1" ht="21" customHeight="1" x14ac:dyDescent="0.3">
      <c r="B19" s="21" t="s">
        <v>16</v>
      </c>
      <c r="C19" s="19"/>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X19" s="14">
        <v>0</v>
      </c>
      <c r="Y19" s="14">
        <v>0</v>
      </c>
      <c r="Z19" s="14">
        <v>0</v>
      </c>
      <c r="AA19" s="14">
        <v>0</v>
      </c>
      <c r="AB19" s="14">
        <v>0</v>
      </c>
      <c r="AC19" s="14">
        <v>0</v>
      </c>
      <c r="AD19" s="14">
        <v>0</v>
      </c>
      <c r="AE19" s="14">
        <v>0</v>
      </c>
      <c r="AF19" s="14">
        <v>0</v>
      </c>
      <c r="AG19" s="14">
        <v>0</v>
      </c>
      <c r="AH19" s="14">
        <v>0</v>
      </c>
      <c r="AI19" s="14">
        <v>0</v>
      </c>
      <c r="AJ19" s="14">
        <v>0</v>
      </c>
      <c r="AK19" s="14">
        <v>0</v>
      </c>
      <c r="AL19" s="14">
        <v>0</v>
      </c>
      <c r="AM19" s="14">
        <v>0</v>
      </c>
    </row>
    <row r="20" spans="2:39" s="12" customFormat="1" ht="21" customHeight="1" x14ac:dyDescent="0.3">
      <c r="B20" s="22" t="s">
        <v>17</v>
      </c>
      <c r="C20" s="10"/>
      <c r="D20" s="14">
        <v>800</v>
      </c>
      <c r="E20" s="14">
        <v>840</v>
      </c>
      <c r="F20" s="14">
        <v>882</v>
      </c>
      <c r="G20" s="14">
        <v>926.1</v>
      </c>
      <c r="H20" s="14">
        <v>972.40500000000009</v>
      </c>
      <c r="I20" s="14">
        <v>1021.0252500000001</v>
      </c>
      <c r="J20" s="14">
        <v>1072.0765125000003</v>
      </c>
      <c r="K20" s="14">
        <v>1125.6803381250004</v>
      </c>
      <c r="L20" s="14">
        <v>1181.9643550312505</v>
      </c>
      <c r="M20" s="14">
        <v>1241.062572782813</v>
      </c>
      <c r="N20" s="14">
        <v>1303.1157014219536</v>
      </c>
      <c r="O20" s="14">
        <v>1368.2714864930515</v>
      </c>
      <c r="P20" s="14">
        <v>1436.6850608177042</v>
      </c>
      <c r="Q20" s="14">
        <v>1508.5193138585894</v>
      </c>
      <c r="R20" s="14">
        <v>1583.945279551519</v>
      </c>
      <c r="S20" s="14">
        <v>1663.1425435290951</v>
      </c>
      <c r="T20" s="14">
        <v>1746.2996707055499</v>
      </c>
      <c r="U20" s="14">
        <v>1833.6146542408276</v>
      </c>
      <c r="V20" s="14">
        <v>1925.295386952869</v>
      </c>
      <c r="W20" s="14">
        <v>2021.5601563005125</v>
      </c>
      <c r="X20" s="14">
        <v>2122.6381641155381</v>
      </c>
      <c r="Y20" s="14">
        <v>2228.7700723213152</v>
      </c>
      <c r="Z20" s="14">
        <v>2340.2085759373808</v>
      </c>
      <c r="AA20" s="14">
        <v>2457.2190047342501</v>
      </c>
      <c r="AB20" s="14">
        <v>2580.0799549709627</v>
      </c>
      <c r="AC20" s="14">
        <v>2709.0839527195108</v>
      </c>
      <c r="AD20" s="14">
        <v>2844.5381503554863</v>
      </c>
      <c r="AE20" s="14">
        <v>2986.765057873261</v>
      </c>
      <c r="AF20" s="14">
        <v>3136.1033107669241</v>
      </c>
      <c r="AG20" s="14">
        <v>3292.9084763052706</v>
      </c>
      <c r="AH20" s="14">
        <v>3457.5539001205343</v>
      </c>
      <c r="AI20" s="14">
        <v>3630.4315951265612</v>
      </c>
      <c r="AJ20" s="14">
        <v>3811.9531748828895</v>
      </c>
      <c r="AK20" s="14">
        <v>4002.5508336270341</v>
      </c>
      <c r="AL20" s="14">
        <v>4202.6783753083855</v>
      </c>
      <c r="AM20" s="14">
        <v>4412.8122940738049</v>
      </c>
    </row>
    <row r="21" spans="2:39" s="12" customFormat="1" ht="21" customHeight="1" x14ac:dyDescent="0.3">
      <c r="B21" s="22" t="s">
        <v>18</v>
      </c>
      <c r="C21" s="10"/>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X21" s="14">
        <v>0</v>
      </c>
      <c r="Y21" s="14">
        <v>0</v>
      </c>
      <c r="Z21" s="14">
        <v>0</v>
      </c>
      <c r="AA21" s="14">
        <v>0</v>
      </c>
      <c r="AB21" s="14">
        <v>0</v>
      </c>
      <c r="AC21" s="14">
        <v>0</v>
      </c>
      <c r="AD21" s="14">
        <v>0</v>
      </c>
      <c r="AE21" s="14">
        <v>0</v>
      </c>
      <c r="AF21" s="14">
        <v>0</v>
      </c>
      <c r="AG21" s="14">
        <v>0</v>
      </c>
      <c r="AH21" s="14">
        <v>0</v>
      </c>
      <c r="AI21" s="14">
        <v>0</v>
      </c>
      <c r="AJ21" s="14">
        <v>0</v>
      </c>
      <c r="AK21" s="14">
        <v>0</v>
      </c>
      <c r="AL21" s="14">
        <v>0</v>
      </c>
      <c r="AM21" s="14">
        <v>0</v>
      </c>
    </row>
    <row r="22" spans="2:39" s="12" customFormat="1" ht="21" customHeight="1" x14ac:dyDescent="0.3">
      <c r="B22" s="22" t="s">
        <v>19</v>
      </c>
      <c r="C22" s="10"/>
      <c r="D22" s="14">
        <v>0</v>
      </c>
      <c r="E22" s="14">
        <v>0</v>
      </c>
      <c r="F22" s="14">
        <v>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4">
        <v>0</v>
      </c>
      <c r="X22" s="14">
        <v>0</v>
      </c>
      <c r="Y22" s="14">
        <v>0</v>
      </c>
      <c r="Z22" s="14">
        <v>0</v>
      </c>
      <c r="AA22" s="14">
        <v>0</v>
      </c>
      <c r="AB22" s="14">
        <v>0</v>
      </c>
      <c r="AC22" s="14">
        <v>0</v>
      </c>
      <c r="AD22" s="14">
        <v>0</v>
      </c>
      <c r="AE22" s="14">
        <v>0</v>
      </c>
      <c r="AF22" s="14">
        <v>0</v>
      </c>
      <c r="AG22" s="14">
        <v>0</v>
      </c>
      <c r="AH22" s="14">
        <v>0</v>
      </c>
      <c r="AI22" s="14">
        <v>0</v>
      </c>
      <c r="AJ22" s="14">
        <v>0</v>
      </c>
      <c r="AK22" s="14">
        <v>0</v>
      </c>
      <c r="AL22" s="14">
        <v>0</v>
      </c>
      <c r="AM22" s="14">
        <v>0</v>
      </c>
    </row>
    <row r="23" spans="2:39" s="12" customFormat="1" ht="21" customHeight="1" x14ac:dyDescent="0.3">
      <c r="B23" s="21" t="s">
        <v>20</v>
      </c>
      <c r="C23" s="10"/>
      <c r="D23" s="16">
        <f t="shared" ref="D23:AM23" si="5">SUM(D22, D21, D20 + D19)</f>
        <v>800</v>
      </c>
      <c r="E23" s="16">
        <f t="shared" si="5"/>
        <v>840</v>
      </c>
      <c r="F23" s="16">
        <f t="shared" si="5"/>
        <v>882</v>
      </c>
      <c r="G23" s="16">
        <f t="shared" si="5"/>
        <v>926.1</v>
      </c>
      <c r="H23" s="16">
        <f t="shared" si="5"/>
        <v>972.40500000000009</v>
      </c>
      <c r="I23" s="16">
        <f t="shared" si="5"/>
        <v>1021.0252500000001</v>
      </c>
      <c r="J23" s="16">
        <f t="shared" si="5"/>
        <v>1072.0765125000003</v>
      </c>
      <c r="K23" s="16">
        <f t="shared" si="5"/>
        <v>1125.6803381250004</v>
      </c>
      <c r="L23" s="16">
        <f t="shared" si="5"/>
        <v>1181.9643550312505</v>
      </c>
      <c r="M23" s="16">
        <f t="shared" si="5"/>
        <v>1241.062572782813</v>
      </c>
      <c r="N23" s="16">
        <f t="shared" si="5"/>
        <v>1303.1157014219536</v>
      </c>
      <c r="O23" s="16">
        <f t="shared" si="5"/>
        <v>1368.2714864930515</v>
      </c>
      <c r="P23" s="16">
        <f t="shared" si="5"/>
        <v>1436.6850608177042</v>
      </c>
      <c r="Q23" s="16">
        <f t="shared" si="5"/>
        <v>1508.5193138585894</v>
      </c>
      <c r="R23" s="16">
        <f t="shared" si="5"/>
        <v>1583.945279551519</v>
      </c>
      <c r="S23" s="16">
        <f t="shared" si="5"/>
        <v>1663.1425435290951</v>
      </c>
      <c r="T23" s="16">
        <f t="shared" si="5"/>
        <v>1746.2996707055499</v>
      </c>
      <c r="U23" s="16">
        <f t="shared" si="5"/>
        <v>1833.6146542408276</v>
      </c>
      <c r="V23" s="16">
        <f t="shared" si="5"/>
        <v>1925.295386952869</v>
      </c>
      <c r="W23" s="16">
        <f t="shared" si="5"/>
        <v>2021.5601563005125</v>
      </c>
      <c r="X23" s="16">
        <f t="shared" si="5"/>
        <v>2122.6381641155381</v>
      </c>
      <c r="Y23" s="16">
        <f t="shared" si="5"/>
        <v>2228.7700723213152</v>
      </c>
      <c r="Z23" s="16">
        <f t="shared" si="5"/>
        <v>2340.2085759373808</v>
      </c>
      <c r="AA23" s="16">
        <f t="shared" si="5"/>
        <v>2457.2190047342501</v>
      </c>
      <c r="AB23" s="16">
        <f t="shared" si="5"/>
        <v>2580.0799549709627</v>
      </c>
      <c r="AC23" s="16">
        <f t="shared" si="5"/>
        <v>2709.0839527195108</v>
      </c>
      <c r="AD23" s="16">
        <f t="shared" si="5"/>
        <v>2844.5381503554863</v>
      </c>
      <c r="AE23" s="16">
        <f t="shared" si="5"/>
        <v>2986.765057873261</v>
      </c>
      <c r="AF23" s="16">
        <f t="shared" si="5"/>
        <v>3136.1033107669241</v>
      </c>
      <c r="AG23" s="16">
        <f t="shared" si="5"/>
        <v>3292.9084763052706</v>
      </c>
      <c r="AH23" s="16">
        <f t="shared" si="5"/>
        <v>3457.5539001205343</v>
      </c>
      <c r="AI23" s="16">
        <f t="shared" si="5"/>
        <v>3630.4315951265612</v>
      </c>
      <c r="AJ23" s="16">
        <f t="shared" si="5"/>
        <v>3811.9531748828895</v>
      </c>
      <c r="AK23" s="16">
        <f t="shared" si="5"/>
        <v>4002.5508336270341</v>
      </c>
      <c r="AL23" s="16">
        <f t="shared" si="5"/>
        <v>4202.6783753083855</v>
      </c>
      <c r="AM23" s="16">
        <f t="shared" si="5"/>
        <v>4412.8122940738049</v>
      </c>
    </row>
    <row r="24" spans="2:39" s="18" customFormat="1" ht="21" customHeight="1" x14ac:dyDescent="0.3">
      <c r="B24" s="21" t="s">
        <v>21</v>
      </c>
      <c r="C24" s="19"/>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14">
        <v>0</v>
      </c>
      <c r="AB24" s="14">
        <v>0</v>
      </c>
      <c r="AC24" s="14">
        <v>0</v>
      </c>
      <c r="AD24" s="14">
        <v>0</v>
      </c>
      <c r="AE24" s="14">
        <v>0</v>
      </c>
      <c r="AF24" s="14">
        <v>0</v>
      </c>
      <c r="AG24" s="14">
        <v>0</v>
      </c>
      <c r="AH24" s="14">
        <v>0</v>
      </c>
      <c r="AI24" s="14">
        <v>0</v>
      </c>
      <c r="AJ24" s="14">
        <v>0</v>
      </c>
      <c r="AK24" s="14">
        <v>0</v>
      </c>
      <c r="AL24" s="14">
        <v>0</v>
      </c>
      <c r="AM24" s="14">
        <v>0</v>
      </c>
    </row>
    <row r="25" spans="2:39" s="12" customFormat="1" ht="21" customHeight="1" x14ac:dyDescent="0.3">
      <c r="B25" s="22" t="s">
        <v>22</v>
      </c>
      <c r="C25" s="10"/>
      <c r="D25" s="14">
        <v>0</v>
      </c>
      <c r="E25" s="14">
        <v>0</v>
      </c>
      <c r="F25" s="14">
        <v>0</v>
      </c>
      <c r="G25" s="14">
        <v>0</v>
      </c>
      <c r="H25" s="14">
        <v>0</v>
      </c>
      <c r="I25" s="14">
        <v>0</v>
      </c>
      <c r="J25" s="14">
        <v>0</v>
      </c>
      <c r="K25" s="14">
        <v>0</v>
      </c>
      <c r="L25" s="14">
        <v>0</v>
      </c>
      <c r="M25" s="14">
        <v>0</v>
      </c>
      <c r="N25" s="14">
        <v>0</v>
      </c>
      <c r="O25" s="14">
        <v>0</v>
      </c>
      <c r="P25" s="14">
        <v>0</v>
      </c>
      <c r="Q25" s="14">
        <v>0</v>
      </c>
      <c r="R25" s="14">
        <v>0</v>
      </c>
      <c r="S25" s="14">
        <v>0</v>
      </c>
      <c r="T25" s="14">
        <v>0</v>
      </c>
      <c r="U25" s="14">
        <v>0</v>
      </c>
      <c r="V25" s="14">
        <v>0</v>
      </c>
      <c r="W25" s="14">
        <v>0</v>
      </c>
      <c r="X25" s="14">
        <v>0</v>
      </c>
      <c r="Y25" s="14">
        <v>0</v>
      </c>
      <c r="Z25" s="14">
        <v>0</v>
      </c>
      <c r="AA25" s="14">
        <v>0</v>
      </c>
      <c r="AB25" s="14">
        <v>0</v>
      </c>
      <c r="AC25" s="14">
        <v>0</v>
      </c>
      <c r="AD25" s="14">
        <v>0</v>
      </c>
      <c r="AE25" s="14">
        <v>0</v>
      </c>
      <c r="AF25" s="14">
        <v>0</v>
      </c>
      <c r="AG25" s="14">
        <v>0</v>
      </c>
      <c r="AH25" s="14">
        <v>0</v>
      </c>
      <c r="AI25" s="14">
        <v>0</v>
      </c>
      <c r="AJ25" s="14">
        <v>0</v>
      </c>
      <c r="AK25" s="14">
        <v>0</v>
      </c>
      <c r="AL25" s="14">
        <v>0</v>
      </c>
      <c r="AM25" s="14">
        <v>0</v>
      </c>
    </row>
    <row r="26" spans="2:39" s="12" customFormat="1" ht="21" customHeight="1" x14ac:dyDescent="0.3">
      <c r="B26" s="22" t="s">
        <v>23</v>
      </c>
      <c r="C26" s="10"/>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c r="Z26" s="14">
        <v>0</v>
      </c>
      <c r="AA26" s="14">
        <v>0</v>
      </c>
      <c r="AB26" s="14">
        <v>0</v>
      </c>
      <c r="AC26" s="14">
        <v>0</v>
      </c>
      <c r="AD26" s="14">
        <v>0</v>
      </c>
      <c r="AE26" s="14">
        <v>0</v>
      </c>
      <c r="AF26" s="14">
        <v>0</v>
      </c>
      <c r="AG26" s="14">
        <v>0</v>
      </c>
      <c r="AH26" s="14">
        <v>0</v>
      </c>
      <c r="AI26" s="14">
        <v>0</v>
      </c>
      <c r="AJ26" s="14">
        <v>0</v>
      </c>
      <c r="AK26" s="14">
        <v>0</v>
      </c>
      <c r="AL26" s="14">
        <v>0</v>
      </c>
      <c r="AM26" s="14">
        <v>0</v>
      </c>
    </row>
    <row r="27" spans="2:39" s="12" customFormat="1" ht="21" customHeight="1" x14ac:dyDescent="0.3">
      <c r="B27" s="22" t="s">
        <v>24</v>
      </c>
      <c r="C27" s="10"/>
      <c r="D27" s="14">
        <v>0</v>
      </c>
      <c r="E27" s="14">
        <v>0</v>
      </c>
      <c r="F27" s="14">
        <v>0</v>
      </c>
      <c r="G27" s="14">
        <v>0</v>
      </c>
      <c r="H27" s="14">
        <v>0</v>
      </c>
      <c r="I27" s="14">
        <v>0</v>
      </c>
      <c r="J27" s="14">
        <v>0</v>
      </c>
      <c r="K27" s="14">
        <v>0</v>
      </c>
      <c r="L27" s="14">
        <v>0</v>
      </c>
      <c r="M27" s="14">
        <v>0</v>
      </c>
      <c r="N27" s="14">
        <v>0</v>
      </c>
      <c r="O27" s="14">
        <v>0</v>
      </c>
      <c r="P27" s="14">
        <v>0</v>
      </c>
      <c r="Q27" s="14">
        <v>0</v>
      </c>
      <c r="R27" s="14">
        <v>0</v>
      </c>
      <c r="S27" s="14">
        <v>0</v>
      </c>
      <c r="T27" s="14">
        <v>0</v>
      </c>
      <c r="U27" s="14">
        <v>0</v>
      </c>
      <c r="V27" s="14">
        <v>0</v>
      </c>
      <c r="W27" s="14">
        <v>0</v>
      </c>
      <c r="X27" s="14">
        <v>0</v>
      </c>
      <c r="Y27" s="14">
        <v>0</v>
      </c>
      <c r="Z27" s="14">
        <v>0</v>
      </c>
      <c r="AA27" s="14">
        <v>0</v>
      </c>
      <c r="AB27" s="14">
        <v>0</v>
      </c>
      <c r="AC27" s="14">
        <v>0</v>
      </c>
      <c r="AD27" s="14">
        <v>0</v>
      </c>
      <c r="AE27" s="14">
        <v>0</v>
      </c>
      <c r="AF27" s="14">
        <v>0</v>
      </c>
      <c r="AG27" s="14">
        <v>0</v>
      </c>
      <c r="AH27" s="14">
        <v>0</v>
      </c>
      <c r="AI27" s="14">
        <v>0</v>
      </c>
      <c r="AJ27" s="14">
        <v>0</v>
      </c>
      <c r="AK27" s="14">
        <v>0</v>
      </c>
      <c r="AL27" s="14">
        <v>0</v>
      </c>
      <c r="AM27" s="14">
        <v>0</v>
      </c>
    </row>
    <row r="28" spans="2:39" s="12" customFormat="1" ht="21" customHeight="1" x14ac:dyDescent="0.3">
      <c r="B28" s="22" t="s">
        <v>25</v>
      </c>
      <c r="C28" s="10"/>
      <c r="D28" s="14">
        <v>2000</v>
      </c>
      <c r="E28" s="14">
        <v>2100</v>
      </c>
      <c r="F28" s="14">
        <v>2205</v>
      </c>
      <c r="G28" s="14">
        <v>2315.25</v>
      </c>
      <c r="H28" s="14">
        <v>2431.0125000000003</v>
      </c>
      <c r="I28" s="14">
        <v>2552.5631250000006</v>
      </c>
      <c r="J28" s="14">
        <v>2680.1912812500009</v>
      </c>
      <c r="K28" s="14">
        <v>2814.2008453125009</v>
      </c>
      <c r="L28" s="14">
        <v>2954.9108875781262</v>
      </c>
      <c r="M28" s="14">
        <v>3102.6564319570325</v>
      </c>
      <c r="N28" s="14">
        <v>3257.7892535548845</v>
      </c>
      <c r="O28" s="14">
        <v>3420.6787162326286</v>
      </c>
      <c r="P28" s="14">
        <v>3591.7126520442603</v>
      </c>
      <c r="Q28" s="14">
        <v>3771.2982846464733</v>
      </c>
      <c r="R28" s="14">
        <v>3959.863198878797</v>
      </c>
      <c r="S28" s="14">
        <v>4157.8563588227371</v>
      </c>
      <c r="T28" s="14">
        <v>4365.7491767638739</v>
      </c>
      <c r="U28" s="14">
        <v>4584.0366356020677</v>
      </c>
      <c r="V28" s="14">
        <v>4813.2384673821716</v>
      </c>
      <c r="W28" s="14">
        <v>5053.9003907512806</v>
      </c>
      <c r="X28" s="14">
        <v>5306.5954102888445</v>
      </c>
      <c r="Y28" s="14">
        <v>5571.9251808032868</v>
      </c>
      <c r="Z28" s="14">
        <v>5850.5214398434518</v>
      </c>
      <c r="AA28" s="14">
        <v>6143.0475118356244</v>
      </c>
      <c r="AB28" s="14">
        <v>6450.1998874274059</v>
      </c>
      <c r="AC28" s="14">
        <v>6772.7098817987762</v>
      </c>
      <c r="AD28" s="14">
        <v>7111.3453758887154</v>
      </c>
      <c r="AE28" s="14">
        <v>7466.9126446831515</v>
      </c>
      <c r="AF28" s="14">
        <v>7840.2582769173096</v>
      </c>
      <c r="AG28" s="14">
        <v>8232.2711907631747</v>
      </c>
      <c r="AH28" s="14">
        <v>8643.884750301333</v>
      </c>
      <c r="AI28" s="14">
        <v>9076.0789878163996</v>
      </c>
      <c r="AJ28" s="14">
        <v>9529.8829372072196</v>
      </c>
      <c r="AK28" s="14">
        <v>10006.377084067581</v>
      </c>
      <c r="AL28" s="14">
        <v>10506.695938270959</v>
      </c>
      <c r="AM28" s="14">
        <v>11032.030735184508</v>
      </c>
    </row>
    <row r="29" spans="2:39" s="12" customFormat="1" ht="21" customHeight="1" x14ac:dyDescent="0.3">
      <c r="B29" s="21" t="s">
        <v>26</v>
      </c>
      <c r="C29" s="10"/>
      <c r="D29" s="16">
        <f t="shared" ref="D29:AM29" si="6">SUM(D28, D27, D26, D25 + D24)</f>
        <v>2000</v>
      </c>
      <c r="E29" s="16">
        <f t="shared" si="6"/>
        <v>2100</v>
      </c>
      <c r="F29" s="16">
        <f t="shared" si="6"/>
        <v>2205</v>
      </c>
      <c r="G29" s="16">
        <f t="shared" si="6"/>
        <v>2315.25</v>
      </c>
      <c r="H29" s="16">
        <f t="shared" si="6"/>
        <v>2431.0125000000003</v>
      </c>
      <c r="I29" s="16">
        <f t="shared" si="6"/>
        <v>2552.5631250000006</v>
      </c>
      <c r="J29" s="16">
        <f t="shared" si="6"/>
        <v>2680.1912812500009</v>
      </c>
      <c r="K29" s="16">
        <f t="shared" si="6"/>
        <v>2814.2008453125009</v>
      </c>
      <c r="L29" s="16">
        <f t="shared" si="6"/>
        <v>2954.9108875781262</v>
      </c>
      <c r="M29" s="16">
        <f t="shared" si="6"/>
        <v>3102.6564319570325</v>
      </c>
      <c r="N29" s="16">
        <f t="shared" si="6"/>
        <v>3257.7892535548845</v>
      </c>
      <c r="O29" s="16">
        <f t="shared" si="6"/>
        <v>3420.6787162326286</v>
      </c>
      <c r="P29" s="16">
        <f t="shared" si="6"/>
        <v>3591.7126520442603</v>
      </c>
      <c r="Q29" s="16">
        <f t="shared" si="6"/>
        <v>3771.2982846464733</v>
      </c>
      <c r="R29" s="16">
        <f t="shared" si="6"/>
        <v>3959.863198878797</v>
      </c>
      <c r="S29" s="16">
        <f t="shared" si="6"/>
        <v>4157.8563588227371</v>
      </c>
      <c r="T29" s="16">
        <f t="shared" si="6"/>
        <v>4365.7491767638739</v>
      </c>
      <c r="U29" s="16">
        <f t="shared" si="6"/>
        <v>4584.0366356020677</v>
      </c>
      <c r="V29" s="16">
        <f t="shared" si="6"/>
        <v>4813.2384673821716</v>
      </c>
      <c r="W29" s="16">
        <f t="shared" si="6"/>
        <v>5053.9003907512806</v>
      </c>
      <c r="X29" s="16">
        <f t="shared" si="6"/>
        <v>5306.5954102888445</v>
      </c>
      <c r="Y29" s="16">
        <f t="shared" si="6"/>
        <v>5571.9251808032868</v>
      </c>
      <c r="Z29" s="16">
        <f t="shared" si="6"/>
        <v>5850.5214398434518</v>
      </c>
      <c r="AA29" s="16">
        <f t="shared" si="6"/>
        <v>6143.0475118356244</v>
      </c>
      <c r="AB29" s="16">
        <f t="shared" si="6"/>
        <v>6450.1998874274059</v>
      </c>
      <c r="AC29" s="16">
        <f t="shared" si="6"/>
        <v>6772.7098817987762</v>
      </c>
      <c r="AD29" s="16">
        <f t="shared" si="6"/>
        <v>7111.3453758887154</v>
      </c>
      <c r="AE29" s="16">
        <f t="shared" si="6"/>
        <v>7466.9126446831515</v>
      </c>
      <c r="AF29" s="16">
        <f t="shared" si="6"/>
        <v>7840.2582769173096</v>
      </c>
      <c r="AG29" s="16">
        <f t="shared" si="6"/>
        <v>8232.2711907631747</v>
      </c>
      <c r="AH29" s="16">
        <f t="shared" si="6"/>
        <v>8643.884750301333</v>
      </c>
      <c r="AI29" s="16">
        <f t="shared" si="6"/>
        <v>9076.0789878163996</v>
      </c>
      <c r="AJ29" s="16">
        <f t="shared" si="6"/>
        <v>9529.8829372072196</v>
      </c>
      <c r="AK29" s="16">
        <f t="shared" si="6"/>
        <v>10006.377084067581</v>
      </c>
      <c r="AL29" s="16">
        <f t="shared" si="6"/>
        <v>10506.695938270959</v>
      </c>
      <c r="AM29" s="16">
        <f t="shared" si="6"/>
        <v>11032.030735184508</v>
      </c>
    </row>
    <row r="30" spans="2:39" s="18" customFormat="1" ht="21" customHeight="1" x14ac:dyDescent="0.3">
      <c r="B30" s="21" t="s">
        <v>27</v>
      </c>
      <c r="C30" s="19"/>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14">
        <v>0</v>
      </c>
      <c r="AB30" s="14">
        <v>0</v>
      </c>
      <c r="AC30" s="14">
        <v>0</v>
      </c>
      <c r="AD30" s="14">
        <v>0</v>
      </c>
      <c r="AE30" s="14">
        <v>0</v>
      </c>
      <c r="AF30" s="14">
        <v>0</v>
      </c>
      <c r="AG30" s="14">
        <v>0</v>
      </c>
      <c r="AH30" s="14">
        <v>0</v>
      </c>
      <c r="AI30" s="14">
        <v>0</v>
      </c>
      <c r="AJ30" s="14">
        <v>0</v>
      </c>
      <c r="AK30" s="14">
        <v>0</v>
      </c>
      <c r="AL30" s="14">
        <v>0</v>
      </c>
      <c r="AM30" s="14">
        <v>0</v>
      </c>
    </row>
    <row r="31" spans="2:39" s="12" customFormat="1" ht="21" customHeight="1" x14ac:dyDescent="0.3">
      <c r="B31" s="22" t="s">
        <v>28</v>
      </c>
      <c r="C31" s="10"/>
      <c r="D31" s="14">
        <v>11475</v>
      </c>
      <c r="E31" s="14">
        <v>12048.75</v>
      </c>
      <c r="F31" s="14">
        <v>12651.1875</v>
      </c>
      <c r="G31" s="14">
        <f>F31*(0.8)</f>
        <v>10120.950000000001</v>
      </c>
      <c r="H31" s="14">
        <v>10626.997500000001</v>
      </c>
      <c r="I31" s="14">
        <v>11158.347375000001</v>
      </c>
      <c r="J31" s="14">
        <v>11716.264743750002</v>
      </c>
      <c r="K31" s="14">
        <v>12302.077980937502</v>
      </c>
      <c r="L31" s="14">
        <v>12917.181879984377</v>
      </c>
      <c r="M31" s="14">
        <f>L31*(0.8)</f>
        <v>10333.745503987502</v>
      </c>
      <c r="N31" s="14">
        <v>10850.432779186878</v>
      </c>
      <c r="O31" s="14">
        <v>11392.954418146222</v>
      </c>
      <c r="P31" s="14">
        <v>11962.602139053533</v>
      </c>
      <c r="Q31" s="14">
        <v>12560.732246006211</v>
      </c>
      <c r="R31" s="14">
        <v>13188.768858306523</v>
      </c>
      <c r="S31" s="14">
        <v>13848.20730122185</v>
      </c>
      <c r="T31" s="14">
        <v>14540.617666282942</v>
      </c>
      <c r="U31" s="14">
        <f t="shared" ref="U31:V31" si="7">T31*(0.8)</f>
        <v>11632.494133026354</v>
      </c>
      <c r="V31" s="14">
        <f t="shared" si="7"/>
        <v>9305.995306421084</v>
      </c>
      <c r="W31" s="14">
        <v>9771.295071742139</v>
      </c>
      <c r="X31" s="14">
        <v>10259.859825329246</v>
      </c>
      <c r="Y31" s="14">
        <v>10772.852816595709</v>
      </c>
      <c r="Z31" s="14">
        <v>11311.495457425495</v>
      </c>
      <c r="AA31" s="14">
        <v>11877.070230296771</v>
      </c>
      <c r="AB31" s="14">
        <f>AA31*(0.8)</f>
        <v>9501.6561842374176</v>
      </c>
      <c r="AC31" s="14">
        <v>9976.7389934492894</v>
      </c>
      <c r="AD31" s="14">
        <v>10475.575943121754</v>
      </c>
      <c r="AE31" s="14">
        <v>10999.354740277842</v>
      </c>
      <c r="AF31" s="14">
        <v>11549.322477291735</v>
      </c>
      <c r="AG31" s="14">
        <v>12126.788601156322</v>
      </c>
      <c r="AH31" s="14">
        <f>AG31*(0.8)</f>
        <v>9701.4308809250579</v>
      </c>
      <c r="AI31" s="14">
        <v>10186.502424971311</v>
      </c>
      <c r="AJ31" s="14">
        <v>10695.827546219878</v>
      </c>
      <c r="AK31" s="14">
        <v>11230.618923530872</v>
      </c>
      <c r="AL31" s="14">
        <v>11792.149869707417</v>
      </c>
      <c r="AM31" s="14">
        <v>12381.757363192788</v>
      </c>
    </row>
    <row r="32" spans="2:39" s="12" customFormat="1" ht="21" customHeight="1" x14ac:dyDescent="0.3">
      <c r="B32" s="22" t="s">
        <v>29</v>
      </c>
      <c r="C32" s="10"/>
      <c r="D32" s="14">
        <v>918</v>
      </c>
      <c r="E32" s="14">
        <v>963.90000000000009</v>
      </c>
      <c r="F32" s="14">
        <v>1012.0950000000001</v>
      </c>
      <c r="G32" s="14">
        <v>1062.6997500000002</v>
      </c>
      <c r="H32" s="14">
        <v>1115.8347375000003</v>
      </c>
      <c r="I32" s="14">
        <v>1171.6264743750003</v>
      </c>
      <c r="J32" s="14">
        <f>I32*(0.75)</f>
        <v>878.7198557812502</v>
      </c>
      <c r="K32" s="14">
        <v>922.65584857031274</v>
      </c>
      <c r="L32" s="14">
        <v>968.78864099882844</v>
      </c>
      <c r="M32" s="14">
        <v>1017.2280730487699</v>
      </c>
      <c r="N32" s="14">
        <v>1068.0894767012085</v>
      </c>
      <c r="O32" s="14">
        <v>1121.493950536269</v>
      </c>
      <c r="P32" s="14">
        <v>1177.5686480630825</v>
      </c>
      <c r="Q32" s="14">
        <v>1236.4470804662367</v>
      </c>
      <c r="R32" s="14">
        <v>1298.2694344895485</v>
      </c>
      <c r="S32" s="14">
        <f>R32*(0.75)</f>
        <v>973.7020758671614</v>
      </c>
      <c r="T32" s="14">
        <v>1022.3871796605196</v>
      </c>
      <c r="U32" s="14">
        <v>1073.5065386435456</v>
      </c>
      <c r="V32" s="14">
        <v>1127.1818655757229</v>
      </c>
      <c r="W32" s="14">
        <v>1183.5409588545092</v>
      </c>
      <c r="X32" s="14">
        <v>1242.7180067972347</v>
      </c>
      <c r="Y32" s="14">
        <f>X32*(0.75)</f>
        <v>932.03850509792596</v>
      </c>
      <c r="Z32" s="14">
        <v>978.64043035282225</v>
      </c>
      <c r="AA32" s="14">
        <v>1027.5724518704635</v>
      </c>
      <c r="AB32" s="14">
        <v>1078.9510744639867</v>
      </c>
      <c r="AC32" s="14">
        <v>1132.8986281871862</v>
      </c>
      <c r="AD32" s="14">
        <v>1189.5435595965455</v>
      </c>
      <c r="AE32" s="14">
        <v>1249.0207375763728</v>
      </c>
      <c r="AF32" s="14">
        <v>1311.4717744551915</v>
      </c>
      <c r="AG32" s="14">
        <v>1377.0453631779512</v>
      </c>
      <c r="AH32" s="14">
        <v>1445.8976313368489</v>
      </c>
      <c r="AI32" s="14">
        <v>1518.1925129036915</v>
      </c>
      <c r="AJ32" s="14">
        <v>1594.1021385488762</v>
      </c>
      <c r="AK32" s="14">
        <v>1673.8072454763201</v>
      </c>
      <c r="AL32" s="14">
        <v>1757.4976077501362</v>
      </c>
      <c r="AM32" s="14">
        <v>1845.3724881376431</v>
      </c>
    </row>
    <row r="33" spans="2:39" s="12" customFormat="1" ht="21" customHeight="1" x14ac:dyDescent="0.3">
      <c r="B33" s="22" t="s">
        <v>30</v>
      </c>
      <c r="C33" s="10"/>
      <c r="D33" s="14">
        <v>1147.5</v>
      </c>
      <c r="E33" s="14">
        <f>D33*(0.75)</f>
        <v>860.625</v>
      </c>
      <c r="F33" s="14">
        <v>903.65625</v>
      </c>
      <c r="G33" s="14">
        <v>948.83906250000007</v>
      </c>
      <c r="H33" s="14">
        <v>996.28101562500012</v>
      </c>
      <c r="I33" s="14">
        <v>1046.0950664062502</v>
      </c>
      <c r="J33" s="14">
        <v>1098.3998197265628</v>
      </c>
      <c r="K33" s="14">
        <v>1153.319810712891</v>
      </c>
      <c r="L33" s="14">
        <f>K33*(0.75)</f>
        <v>864.98985803466826</v>
      </c>
      <c r="M33" s="14">
        <v>908.23935093640171</v>
      </c>
      <c r="N33" s="14">
        <v>953.65131848322187</v>
      </c>
      <c r="O33" s="14">
        <v>1001.333884407383</v>
      </c>
      <c r="P33" s="14">
        <v>1051.4005786277523</v>
      </c>
      <c r="Q33" s="14">
        <v>1103.97060755914</v>
      </c>
      <c r="R33" s="14">
        <v>1159.169137937097</v>
      </c>
      <c r="S33" s="14">
        <v>1217.1275948339519</v>
      </c>
      <c r="T33" s="14">
        <f>S33*(0.75)</f>
        <v>912.84569612546397</v>
      </c>
      <c r="U33" s="14">
        <v>958.48798093173718</v>
      </c>
      <c r="V33" s="14">
        <v>1006.4123799783241</v>
      </c>
      <c r="W33" s="14">
        <v>1056.7329989772404</v>
      </c>
      <c r="X33" s="14">
        <v>1109.5696489261024</v>
      </c>
      <c r="Y33" s="14">
        <f>X33*(0.75)</f>
        <v>832.17723669457678</v>
      </c>
      <c r="Z33" s="14">
        <v>873.7860985293056</v>
      </c>
      <c r="AA33" s="14">
        <v>917.4754034557709</v>
      </c>
      <c r="AB33" s="14">
        <v>963.34917362855947</v>
      </c>
      <c r="AC33" s="14">
        <v>1011.5166323099875</v>
      </c>
      <c r="AD33" s="14">
        <v>1062.092463925487</v>
      </c>
      <c r="AE33" s="14">
        <v>1115.1970871217613</v>
      </c>
      <c r="AF33" s="14">
        <v>1170.9569414778496</v>
      </c>
      <c r="AG33" s="14">
        <v>1229.5047885517422</v>
      </c>
      <c r="AH33" s="14">
        <v>1290.9800279793294</v>
      </c>
      <c r="AI33" s="14">
        <v>1355.5290293782959</v>
      </c>
      <c r="AJ33" s="14">
        <v>1423.3054808472109</v>
      </c>
      <c r="AK33" s="14">
        <v>1494.4707548895715</v>
      </c>
      <c r="AL33" s="14">
        <v>1569.19429263405</v>
      </c>
      <c r="AM33" s="14">
        <v>1647.6540072657526</v>
      </c>
    </row>
    <row r="34" spans="2:39" s="12" customFormat="1" ht="21" customHeight="1" x14ac:dyDescent="0.3">
      <c r="B34" s="22" t="s">
        <v>31</v>
      </c>
      <c r="C34" s="10"/>
      <c r="D34" s="14">
        <v>57.375</v>
      </c>
      <c r="E34" s="14">
        <v>60.243750000000006</v>
      </c>
      <c r="F34" s="14">
        <v>63.255937500000009</v>
      </c>
      <c r="G34" s="14">
        <v>66.418734375000014</v>
      </c>
      <c r="H34" s="14">
        <v>69.739671093750019</v>
      </c>
      <c r="I34" s="14">
        <v>73.226654648437517</v>
      </c>
      <c r="J34" s="14">
        <v>76.8879873808594</v>
      </c>
      <c r="K34" s="14">
        <v>80.732386749902375</v>
      </c>
      <c r="L34" s="14">
        <v>84.7690060873975</v>
      </c>
      <c r="M34" s="14">
        <v>89.007456391767377</v>
      </c>
      <c r="N34" s="14">
        <v>93.457829211355744</v>
      </c>
      <c r="O34" s="14">
        <v>98.130720671923541</v>
      </c>
      <c r="P34" s="14">
        <v>103.03725670551972</v>
      </c>
      <c r="Q34" s="14">
        <v>108.18911954079572</v>
      </c>
      <c r="R34" s="14">
        <v>113.5985755178355</v>
      </c>
      <c r="S34" s="14">
        <v>119.27850429372728</v>
      </c>
      <c r="T34" s="14">
        <v>125.24242950841365</v>
      </c>
      <c r="U34" s="14">
        <v>131.50455098383435</v>
      </c>
      <c r="V34" s="14">
        <v>138.07977853302609</v>
      </c>
      <c r="W34" s="14">
        <v>144.98376745967741</v>
      </c>
      <c r="X34" s="14">
        <v>152.23295583266128</v>
      </c>
      <c r="Y34" s="14">
        <v>159.84460362429434</v>
      </c>
      <c r="Z34" s="14">
        <v>167.83683380550906</v>
      </c>
      <c r="AA34" s="14">
        <v>176.22867549578453</v>
      </c>
      <c r="AB34" s="14">
        <v>185.04010927057377</v>
      </c>
      <c r="AC34" s="14">
        <v>194.29211473410246</v>
      </c>
      <c r="AD34" s="14">
        <v>204.00672047080758</v>
      </c>
      <c r="AE34" s="14">
        <v>214.20705649434797</v>
      </c>
      <c r="AF34" s="14">
        <v>224.91740931906537</v>
      </c>
      <c r="AG34" s="14">
        <v>236.16327978501866</v>
      </c>
      <c r="AH34" s="14">
        <v>247.9714437742696</v>
      </c>
      <c r="AI34" s="14">
        <v>260.37001596298308</v>
      </c>
      <c r="AJ34" s="14">
        <v>273.38851676113222</v>
      </c>
      <c r="AK34" s="14">
        <v>287.05794259918883</v>
      </c>
      <c r="AL34" s="14">
        <v>301.41083972914828</v>
      </c>
      <c r="AM34" s="14">
        <v>316.48138171560572</v>
      </c>
    </row>
    <row r="35" spans="2:39" s="12" customFormat="1" ht="21" customHeight="1" x14ac:dyDescent="0.3">
      <c r="B35" s="22" t="s">
        <v>32</v>
      </c>
      <c r="C35" s="10"/>
      <c r="D35" s="14">
        <v>0</v>
      </c>
      <c r="E35" s="14">
        <v>0</v>
      </c>
      <c r="F35" s="14">
        <v>0</v>
      </c>
      <c r="G35" s="14">
        <v>0</v>
      </c>
      <c r="H35" s="14">
        <v>0</v>
      </c>
      <c r="I35" s="14">
        <v>0</v>
      </c>
      <c r="J35" s="14">
        <v>0</v>
      </c>
      <c r="K35" s="14">
        <v>0</v>
      </c>
      <c r="L35" s="14">
        <v>0</v>
      </c>
      <c r="M35" s="14">
        <v>0</v>
      </c>
      <c r="N35" s="14">
        <v>0</v>
      </c>
      <c r="O35" s="14">
        <v>0</v>
      </c>
      <c r="P35" s="14">
        <v>0</v>
      </c>
      <c r="Q35" s="14">
        <v>0</v>
      </c>
      <c r="R35" s="14">
        <v>0</v>
      </c>
      <c r="S35" s="14">
        <v>0</v>
      </c>
      <c r="T35" s="14">
        <v>0</v>
      </c>
      <c r="U35" s="14">
        <v>0</v>
      </c>
      <c r="V35" s="14">
        <v>0</v>
      </c>
      <c r="W35" s="14">
        <v>0</v>
      </c>
      <c r="X35" s="14">
        <v>0</v>
      </c>
      <c r="Y35" s="14">
        <v>0</v>
      </c>
      <c r="Z35" s="14">
        <v>0</v>
      </c>
      <c r="AA35" s="14">
        <v>0</v>
      </c>
      <c r="AB35" s="14">
        <v>0</v>
      </c>
      <c r="AC35" s="14">
        <v>0</v>
      </c>
      <c r="AD35" s="14">
        <v>0</v>
      </c>
      <c r="AE35" s="14">
        <v>0</v>
      </c>
      <c r="AF35" s="14">
        <v>0</v>
      </c>
      <c r="AG35" s="14">
        <v>0</v>
      </c>
      <c r="AH35" s="14">
        <v>0</v>
      </c>
      <c r="AI35" s="14">
        <v>0</v>
      </c>
      <c r="AJ35" s="14">
        <v>0</v>
      </c>
      <c r="AK35" s="14">
        <v>0</v>
      </c>
      <c r="AL35" s="14">
        <v>0</v>
      </c>
      <c r="AM35" s="14">
        <v>0</v>
      </c>
    </row>
    <row r="36" spans="2:39" s="12" customFormat="1" ht="21" customHeight="1" x14ac:dyDescent="0.3">
      <c r="B36" s="21" t="s">
        <v>33</v>
      </c>
      <c r="C36" s="10"/>
      <c r="D36" s="16">
        <f t="shared" ref="D36:AM36" si="8">SUM(D35, D34, D33, D32, D31 + D30)</f>
        <v>13597.875</v>
      </c>
      <c r="E36" s="16">
        <f t="shared" si="8"/>
        <v>13933.518749999999</v>
      </c>
      <c r="F36" s="16">
        <f t="shared" si="8"/>
        <v>14630.194687499999</v>
      </c>
      <c r="G36" s="16">
        <f t="shared" si="8"/>
        <v>12198.907546875002</v>
      </c>
      <c r="H36" s="16">
        <f t="shared" si="8"/>
        <v>12808.852924218751</v>
      </c>
      <c r="I36" s="16">
        <f t="shared" si="8"/>
        <v>13449.295570429689</v>
      </c>
      <c r="J36" s="16">
        <f t="shared" si="8"/>
        <v>13770.272406638675</v>
      </c>
      <c r="K36" s="16">
        <f t="shared" si="8"/>
        <v>14458.786026970607</v>
      </c>
      <c r="L36" s="16">
        <f t="shared" si="8"/>
        <v>14835.729385105271</v>
      </c>
      <c r="M36" s="16">
        <f t="shared" si="8"/>
        <v>12348.220384364442</v>
      </c>
      <c r="N36" s="16">
        <f t="shared" si="8"/>
        <v>12965.631403582665</v>
      </c>
      <c r="O36" s="16">
        <f t="shared" si="8"/>
        <v>13613.912973761799</v>
      </c>
      <c r="P36" s="16">
        <f t="shared" si="8"/>
        <v>14294.608622449887</v>
      </c>
      <c r="Q36" s="16">
        <f t="shared" si="8"/>
        <v>15009.339053572385</v>
      </c>
      <c r="R36" s="16">
        <f t="shared" si="8"/>
        <v>15759.806006251005</v>
      </c>
      <c r="S36" s="16">
        <f t="shared" si="8"/>
        <v>16158.315476216691</v>
      </c>
      <c r="T36" s="16">
        <f t="shared" si="8"/>
        <v>16601.092971577338</v>
      </c>
      <c r="U36" s="16">
        <f t="shared" si="8"/>
        <v>13795.993203585471</v>
      </c>
      <c r="V36" s="16">
        <f t="shared" si="8"/>
        <v>11577.669330508157</v>
      </c>
      <c r="W36" s="16">
        <f t="shared" si="8"/>
        <v>12156.552797033566</v>
      </c>
      <c r="X36" s="16">
        <f t="shared" si="8"/>
        <v>12764.380436885243</v>
      </c>
      <c r="Y36" s="16">
        <f t="shared" si="8"/>
        <v>12696.913162012506</v>
      </c>
      <c r="Z36" s="16">
        <f t="shared" si="8"/>
        <v>13331.758820113133</v>
      </c>
      <c r="AA36" s="16">
        <f t="shared" si="8"/>
        <v>13998.34676111879</v>
      </c>
      <c r="AB36" s="16">
        <f t="shared" si="8"/>
        <v>11728.996541600538</v>
      </c>
      <c r="AC36" s="16">
        <f t="shared" si="8"/>
        <v>12315.446368680565</v>
      </c>
      <c r="AD36" s="16">
        <f t="shared" si="8"/>
        <v>12931.218687114593</v>
      </c>
      <c r="AE36" s="16">
        <f t="shared" si="8"/>
        <v>13577.779621470323</v>
      </c>
      <c r="AF36" s="16">
        <f t="shared" si="8"/>
        <v>14256.668602543841</v>
      </c>
      <c r="AG36" s="16">
        <f t="shared" si="8"/>
        <v>14969.502032671035</v>
      </c>
      <c r="AH36" s="16">
        <f t="shared" si="8"/>
        <v>12686.279984015506</v>
      </c>
      <c r="AI36" s="16">
        <f t="shared" si="8"/>
        <v>13320.593983216282</v>
      </c>
      <c r="AJ36" s="16">
        <f t="shared" si="8"/>
        <v>13986.623682377098</v>
      </c>
      <c r="AK36" s="16">
        <f t="shared" si="8"/>
        <v>14685.954866495953</v>
      </c>
      <c r="AL36" s="16">
        <f t="shared" si="8"/>
        <v>15420.252609820751</v>
      </c>
      <c r="AM36" s="16">
        <f t="shared" si="8"/>
        <v>16191.26524031179</v>
      </c>
    </row>
    <row r="37" spans="2:39" s="12" customFormat="1" ht="21" customHeight="1" x14ac:dyDescent="0.3">
      <c r="B37" s="22" t="s">
        <v>34</v>
      </c>
      <c r="C37" s="10"/>
      <c r="D37" s="14">
        <v>0</v>
      </c>
      <c r="E37" s="14">
        <v>0</v>
      </c>
      <c r="F37" s="14">
        <v>0</v>
      </c>
      <c r="G37" s="14">
        <v>0</v>
      </c>
      <c r="H37" s="14">
        <v>0</v>
      </c>
      <c r="I37" s="14">
        <v>0</v>
      </c>
      <c r="J37" s="14">
        <v>0</v>
      </c>
      <c r="K37" s="14">
        <v>0</v>
      </c>
      <c r="L37" s="14">
        <v>0</v>
      </c>
      <c r="M37" s="14">
        <v>0</v>
      </c>
      <c r="N37" s="14">
        <v>0</v>
      </c>
      <c r="O37" s="14">
        <v>0</v>
      </c>
      <c r="P37" s="14">
        <v>0</v>
      </c>
      <c r="Q37" s="14">
        <v>0</v>
      </c>
      <c r="R37" s="14">
        <v>0</v>
      </c>
      <c r="S37" s="14">
        <v>0</v>
      </c>
      <c r="T37" s="14">
        <v>0</v>
      </c>
      <c r="U37" s="14">
        <v>0</v>
      </c>
      <c r="V37" s="14">
        <v>0</v>
      </c>
      <c r="W37" s="14">
        <v>0</v>
      </c>
      <c r="X37" s="14">
        <v>0</v>
      </c>
      <c r="Y37" s="14">
        <v>0</v>
      </c>
      <c r="Z37" s="14">
        <v>0</v>
      </c>
      <c r="AA37" s="14">
        <v>0</v>
      </c>
      <c r="AB37" s="14">
        <v>0</v>
      </c>
      <c r="AC37" s="14">
        <v>0</v>
      </c>
      <c r="AD37" s="14">
        <v>0</v>
      </c>
      <c r="AE37" s="14">
        <v>0</v>
      </c>
      <c r="AF37" s="14">
        <v>0</v>
      </c>
      <c r="AG37" s="14">
        <v>0</v>
      </c>
      <c r="AH37" s="14">
        <v>0</v>
      </c>
      <c r="AI37" s="14">
        <v>0</v>
      </c>
      <c r="AJ37" s="14">
        <v>0</v>
      </c>
      <c r="AK37" s="14">
        <v>0</v>
      </c>
      <c r="AL37" s="14">
        <v>0</v>
      </c>
      <c r="AM37" s="14">
        <v>0</v>
      </c>
    </row>
    <row r="38" spans="2:39" s="18" customFormat="1" ht="21" customHeight="1" x14ac:dyDescent="0.3">
      <c r="B38" s="21" t="s">
        <v>35</v>
      </c>
      <c r="C38" s="19"/>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c r="AA38" s="14">
        <v>0</v>
      </c>
      <c r="AB38" s="14">
        <v>0</v>
      </c>
      <c r="AC38" s="14">
        <v>0</v>
      </c>
      <c r="AD38" s="14">
        <v>0</v>
      </c>
      <c r="AE38" s="14">
        <v>0</v>
      </c>
      <c r="AF38" s="14">
        <v>0</v>
      </c>
      <c r="AG38" s="14">
        <v>0</v>
      </c>
      <c r="AH38" s="14">
        <v>0</v>
      </c>
      <c r="AI38" s="14">
        <v>0</v>
      </c>
      <c r="AJ38" s="14">
        <v>0</v>
      </c>
      <c r="AK38" s="14">
        <v>0</v>
      </c>
      <c r="AL38" s="14">
        <v>0</v>
      </c>
      <c r="AM38" s="14">
        <v>0</v>
      </c>
    </row>
    <row r="39" spans="2:39" s="12" customFormat="1" ht="21" customHeight="1" x14ac:dyDescent="0.3">
      <c r="B39" s="22" t="s">
        <v>36</v>
      </c>
      <c r="C39" s="10"/>
      <c r="D39" s="14">
        <v>850</v>
      </c>
      <c r="E39" s="14">
        <v>892.5</v>
      </c>
      <c r="F39" s="14">
        <v>937.125</v>
      </c>
      <c r="G39" s="14">
        <v>983.98125000000005</v>
      </c>
      <c r="H39" s="14">
        <v>1033.1803125000001</v>
      </c>
      <c r="I39" s="14">
        <v>1084.8393281250003</v>
      </c>
      <c r="J39" s="14">
        <v>1139.0812945312503</v>
      </c>
      <c r="K39" s="14">
        <v>1196.0353592578128</v>
      </c>
      <c r="L39" s="14">
        <v>1255.8371272207035</v>
      </c>
      <c r="M39" s="14">
        <f>L39*(0.75)</f>
        <v>941.87784541552764</v>
      </c>
      <c r="N39" s="14">
        <v>988.9717376863041</v>
      </c>
      <c r="O39" s="14">
        <v>1038.4203245706194</v>
      </c>
      <c r="P39" s="14">
        <f>O39*(0.75)</f>
        <v>778.81524342796456</v>
      </c>
      <c r="Q39" s="14">
        <v>817.75600559936288</v>
      </c>
      <c r="R39" s="14">
        <v>858.64380587933101</v>
      </c>
      <c r="S39" s="14">
        <v>901.57599617329765</v>
      </c>
      <c r="T39" s="14">
        <v>946.65479598196259</v>
      </c>
      <c r="U39" s="14">
        <v>993.98753578106073</v>
      </c>
      <c r="V39" s="14">
        <v>1043.6869125701139</v>
      </c>
      <c r="W39" s="14">
        <v>1095.8712581986197</v>
      </c>
      <c r="X39" s="14">
        <v>1150.6648211085508</v>
      </c>
      <c r="Y39" s="14">
        <v>1208.1980621639784</v>
      </c>
      <c r="Z39" s="14">
        <v>1268.6079652721774</v>
      </c>
      <c r="AA39" s="14">
        <v>1332.0383635357862</v>
      </c>
      <c r="AB39" s="14">
        <v>1398.6402817125756</v>
      </c>
      <c r="AC39" s="14">
        <v>1468.5722957982046</v>
      </c>
      <c r="AD39" s="14">
        <v>1542.0009105881149</v>
      </c>
      <c r="AE39" s="14">
        <v>1619.1009561175208</v>
      </c>
      <c r="AF39" s="14">
        <v>1700.0560039233969</v>
      </c>
      <c r="AG39" s="14">
        <v>1785.058804119567</v>
      </c>
      <c r="AH39" s="14">
        <v>1874.3117443255453</v>
      </c>
      <c r="AI39" s="14">
        <v>1968.0273315418226</v>
      </c>
      <c r="AJ39" s="14">
        <v>2066.4286981189139</v>
      </c>
      <c r="AK39" s="14">
        <v>2169.7501330248597</v>
      </c>
      <c r="AL39" s="14">
        <v>2278.2376396761028</v>
      </c>
      <c r="AM39" s="14">
        <v>2392.1495216599083</v>
      </c>
    </row>
    <row r="40" spans="2:39" s="12" customFormat="1" ht="21" customHeight="1" x14ac:dyDescent="0.3">
      <c r="B40" s="22" t="s">
        <v>37</v>
      </c>
      <c r="C40" s="10"/>
      <c r="D40" s="14">
        <v>600</v>
      </c>
      <c r="E40" s="14">
        <v>630</v>
      </c>
      <c r="F40" s="14">
        <v>661.5</v>
      </c>
      <c r="G40" s="14">
        <v>694.57500000000005</v>
      </c>
      <c r="H40" s="14">
        <v>729.30375000000004</v>
      </c>
      <c r="I40" s="14">
        <v>765.76893750000011</v>
      </c>
      <c r="J40" s="14">
        <v>804.0573843750002</v>
      </c>
      <c r="K40" s="14">
        <v>844.26025359375024</v>
      </c>
      <c r="L40" s="14">
        <v>886.47326627343773</v>
      </c>
      <c r="M40" s="14">
        <v>930.79692958710962</v>
      </c>
      <c r="N40" s="14">
        <v>977.33677606646518</v>
      </c>
      <c r="O40" s="14">
        <v>1026.2036148697885</v>
      </c>
      <c r="P40" s="14">
        <v>1077.513795613278</v>
      </c>
      <c r="Q40" s="14">
        <v>1131.3894853939421</v>
      </c>
      <c r="R40" s="14">
        <v>1187.9589596636392</v>
      </c>
      <c r="S40" s="14">
        <v>1247.3569076468214</v>
      </c>
      <c r="T40" s="14">
        <v>1309.7247530291625</v>
      </c>
      <c r="U40" s="14">
        <v>1375.2109906806206</v>
      </c>
      <c r="V40" s="14">
        <v>1443.9715402146517</v>
      </c>
      <c r="W40" s="14">
        <v>1516.1701172253843</v>
      </c>
      <c r="X40" s="14">
        <v>1591.9786230866534</v>
      </c>
      <c r="Y40" s="14">
        <v>1671.5775542409863</v>
      </c>
      <c r="Z40" s="14">
        <v>1755.1564319530357</v>
      </c>
      <c r="AA40" s="14">
        <v>1842.9142535506876</v>
      </c>
      <c r="AB40" s="14">
        <v>1935.059966228222</v>
      </c>
      <c r="AC40" s="14">
        <v>2031.8129645396332</v>
      </c>
      <c r="AD40" s="14">
        <v>2133.403612766615</v>
      </c>
      <c r="AE40" s="14">
        <v>2240.0737934049457</v>
      </c>
      <c r="AF40" s="14">
        <f>AE40*(0.75)</f>
        <v>1680.0553450537093</v>
      </c>
      <c r="AG40" s="14">
        <v>1764.0581123063948</v>
      </c>
      <c r="AH40" s="14">
        <v>1852.2610179217147</v>
      </c>
      <c r="AI40" s="14">
        <v>1944.8740688178004</v>
      </c>
      <c r="AJ40" s="14">
        <v>2042.1177722586906</v>
      </c>
      <c r="AK40" s="14">
        <f>AJ40*(0.75)</f>
        <v>1531.5883291940179</v>
      </c>
      <c r="AL40" s="14">
        <v>1608.1677456537188</v>
      </c>
      <c r="AM40" s="14">
        <v>1688.5761329364047</v>
      </c>
    </row>
    <row r="41" spans="2:39" s="12" customFormat="1" ht="21" customHeight="1" x14ac:dyDescent="0.3">
      <c r="B41" s="22" t="s">
        <v>38</v>
      </c>
      <c r="C41" s="10"/>
      <c r="D41" s="14">
        <v>250</v>
      </c>
      <c r="E41" s="14">
        <v>262.5</v>
      </c>
      <c r="F41" s="14">
        <v>275.625</v>
      </c>
      <c r="G41" s="14">
        <v>289.40625</v>
      </c>
      <c r="H41" s="14">
        <v>303.87656250000003</v>
      </c>
      <c r="I41" s="14">
        <v>319.07039062500007</v>
      </c>
      <c r="J41" s="14">
        <v>335.02391015625011</v>
      </c>
      <c r="K41" s="14">
        <v>351.77510566406261</v>
      </c>
      <c r="L41" s="14">
        <v>369.36386094726578</v>
      </c>
      <c r="M41" s="14">
        <v>387.83205399462906</v>
      </c>
      <c r="N41" s="14">
        <v>407.22365669436056</v>
      </c>
      <c r="O41" s="14">
        <v>427.58483952907858</v>
      </c>
      <c r="P41" s="14">
        <v>448.96408150553253</v>
      </c>
      <c r="Q41" s="14">
        <v>471.41228558080917</v>
      </c>
      <c r="R41" s="14">
        <v>494.98289985984962</v>
      </c>
      <c r="S41" s="14">
        <v>519.73204485284214</v>
      </c>
      <c r="T41" s="14">
        <v>545.71864709548424</v>
      </c>
      <c r="U41" s="14">
        <v>573.00457945025846</v>
      </c>
      <c r="V41" s="14">
        <v>601.65480842277145</v>
      </c>
      <c r="W41" s="14">
        <v>631.73754884391008</v>
      </c>
      <c r="X41" s="14">
        <v>663.32442628610556</v>
      </c>
      <c r="Y41" s="14">
        <v>696.49064760041085</v>
      </c>
      <c r="Z41" s="14">
        <v>731.31517998043148</v>
      </c>
      <c r="AA41" s="14">
        <v>767.88093897945305</v>
      </c>
      <c r="AB41" s="14">
        <v>806.27498592842574</v>
      </c>
      <c r="AC41" s="14">
        <v>846.58873522484703</v>
      </c>
      <c r="AD41" s="14">
        <v>888.91817198608942</v>
      </c>
      <c r="AE41" s="14">
        <v>933.36408058539394</v>
      </c>
      <c r="AF41" s="14">
        <v>980.03228461466369</v>
      </c>
      <c r="AG41" s="14">
        <v>1029.0338988453968</v>
      </c>
      <c r="AH41" s="14">
        <v>1080.4855937876666</v>
      </c>
      <c r="AI41" s="14">
        <v>1134.50987347705</v>
      </c>
      <c r="AJ41" s="14">
        <v>1191.2353671509024</v>
      </c>
      <c r="AK41" s="14">
        <v>1250.7971355084476</v>
      </c>
      <c r="AL41" s="14">
        <v>1313.3369922838699</v>
      </c>
      <c r="AM41" s="14">
        <v>1379.0038418980635</v>
      </c>
    </row>
    <row r="42" spans="2:39" s="31" customFormat="1" ht="21" customHeight="1" x14ac:dyDescent="0.3">
      <c r="B42" s="28" t="s">
        <v>39</v>
      </c>
      <c r="C42" s="29"/>
      <c r="D42" s="30">
        <f t="shared" ref="D42" si="9">SUM(D41, D40, D39 + D38)</f>
        <v>1700</v>
      </c>
      <c r="E42" s="30">
        <v>1700</v>
      </c>
      <c r="F42" s="30">
        <v>1700</v>
      </c>
      <c r="G42" s="30">
        <v>1700</v>
      </c>
      <c r="H42" s="30">
        <v>1700</v>
      </c>
      <c r="I42" s="30">
        <v>1700</v>
      </c>
      <c r="J42" s="30">
        <v>1700</v>
      </c>
      <c r="K42" s="30">
        <v>1700</v>
      </c>
      <c r="L42" s="30">
        <v>1700</v>
      </c>
      <c r="M42" s="30">
        <v>1700</v>
      </c>
      <c r="N42" s="30">
        <v>1700</v>
      </c>
      <c r="O42" s="30">
        <v>1700</v>
      </c>
      <c r="P42" s="30">
        <v>1700</v>
      </c>
      <c r="Q42" s="30">
        <v>1700</v>
      </c>
      <c r="R42" s="30">
        <v>1700</v>
      </c>
      <c r="S42" s="30">
        <v>1700</v>
      </c>
      <c r="T42" s="30">
        <v>1700</v>
      </c>
      <c r="U42" s="30">
        <v>1700</v>
      </c>
      <c r="V42" s="30">
        <v>1700</v>
      </c>
      <c r="W42" s="30">
        <v>1700</v>
      </c>
      <c r="X42" s="30">
        <v>1700</v>
      </c>
      <c r="Y42" s="30">
        <v>1700</v>
      </c>
      <c r="Z42" s="30">
        <v>1700</v>
      </c>
      <c r="AA42" s="30">
        <v>1700</v>
      </c>
      <c r="AB42" s="30">
        <v>1700</v>
      </c>
      <c r="AC42" s="30">
        <v>1700</v>
      </c>
      <c r="AD42" s="30">
        <v>1700</v>
      </c>
      <c r="AE42" s="30">
        <v>1700</v>
      </c>
      <c r="AF42" s="30">
        <v>1700</v>
      </c>
      <c r="AG42" s="30">
        <v>1700</v>
      </c>
      <c r="AH42" s="30">
        <v>1700</v>
      </c>
      <c r="AI42" s="30">
        <v>1700</v>
      </c>
      <c r="AJ42" s="30">
        <v>1700</v>
      </c>
      <c r="AK42" s="30">
        <v>1700</v>
      </c>
      <c r="AL42" s="30">
        <v>1700</v>
      </c>
      <c r="AM42" s="30">
        <v>1700</v>
      </c>
    </row>
    <row r="43" spans="2:39" s="12" customFormat="1" ht="21" customHeight="1" x14ac:dyDescent="0.3">
      <c r="B43" s="15" t="s">
        <v>40</v>
      </c>
      <c r="C43" s="10"/>
      <c r="D43" s="16">
        <f t="shared" ref="D43:AM43" si="10">SUM(D41, D40, D39, D38, D37, D35, D34, D33, D32, D31, D30, D28, D27, D26, D25, D24, D22, D21, D20, D19, D18, D17, D16, D15, D14 + D13)</f>
        <v>44597.875</v>
      </c>
      <c r="E43" s="16">
        <f t="shared" si="10"/>
        <v>42658.518750000003</v>
      </c>
      <c r="F43" s="16">
        <f t="shared" si="10"/>
        <v>41641.444687499999</v>
      </c>
      <c r="G43" s="16">
        <f t="shared" si="10"/>
        <v>38355.720046875002</v>
      </c>
      <c r="H43" s="16">
        <f t="shared" si="10"/>
        <v>40273.506049218755</v>
      </c>
      <c r="I43" s="16">
        <f t="shared" si="10"/>
        <v>42287.18135167969</v>
      </c>
      <c r="J43" s="16">
        <f t="shared" si="10"/>
        <v>44050.052476951169</v>
      </c>
      <c r="K43" s="16">
        <f t="shared" si="10"/>
        <v>46252.555100798738</v>
      </c>
      <c r="L43" s="16">
        <f t="shared" si="10"/>
        <v>48219.186912624813</v>
      </c>
      <c r="M43" s="16">
        <f t="shared" si="10"/>
        <v>47024.099650093747</v>
      </c>
      <c r="N43" s="16">
        <f t="shared" si="10"/>
        <v>43687.101174010546</v>
      </c>
      <c r="O43" s="16">
        <f t="shared" si="10"/>
        <v>45871.456232711076</v>
      </c>
      <c r="P43" s="16">
        <f t="shared" si="10"/>
        <v>47853.502946975445</v>
      </c>
      <c r="Q43" s="16">
        <f t="shared" si="10"/>
        <v>50246.178094324219</v>
      </c>
      <c r="R43" s="16">
        <f t="shared" si="10"/>
        <v>52758.486999040426</v>
      </c>
      <c r="S43" s="16">
        <f t="shared" si="10"/>
        <v>50679.365737013766</v>
      </c>
      <c r="T43" s="16">
        <f t="shared" si="10"/>
        <v>52848.195745414268</v>
      </c>
      <c r="U43" s="16">
        <f t="shared" si="10"/>
        <v>51855.451116114251</v>
      </c>
      <c r="V43" s="16">
        <f t="shared" si="10"/>
        <v>51540.100138663372</v>
      </c>
      <c r="W43" s="16">
        <f t="shared" si="10"/>
        <v>47639.424804573151</v>
      </c>
      <c r="X43" s="16">
        <f t="shared" si="10"/>
        <v>50021.396044801804</v>
      </c>
      <c r="Y43" s="16">
        <f t="shared" si="10"/>
        <v>51816.7795503249</v>
      </c>
      <c r="Z43" s="16">
        <f t="shared" si="10"/>
        <v>54407.618527841143</v>
      </c>
      <c r="AA43" s="16">
        <f t="shared" si="10"/>
        <v>57127.999454233206</v>
      </c>
      <c r="AB43" s="16">
        <f t="shared" si="10"/>
        <v>57015.131869370685</v>
      </c>
      <c r="AC43" s="16">
        <f t="shared" si="10"/>
        <v>56339.904559362127</v>
      </c>
      <c r="AD43" s="16">
        <f t="shared" si="10"/>
        <v>59156.899787330243</v>
      </c>
      <c r="AE43" s="16">
        <f t="shared" si="10"/>
        <v>58969.504450636909</v>
      </c>
      <c r="AF43" s="16">
        <f t="shared" si="10"/>
        <v>56582.946781528823</v>
      </c>
      <c r="AG43" s="16">
        <f t="shared" si="10"/>
        <v>59412.094120605259</v>
      </c>
      <c r="AH43" s="16">
        <f t="shared" si="10"/>
        <v>56136.610072289608</v>
      </c>
      <c r="AI43" s="16">
        <f>SUM(AI41, AI40, AI39, AI38, AI37, AI35, AI34, AI33, AI32, AI31, AI30, AI28, AI27, AI26, AI25, AI24, AI22, AI21, AI20, AI19, AI18, AI17, AI16, AI15, AI14 + AI13)</f>
        <v>58943.440575904089</v>
      </c>
      <c r="AJ43" s="16">
        <f t="shared" si="10"/>
        <v>61890.612604699294</v>
      </c>
      <c r="AK43" s="16">
        <f t="shared" si="10"/>
        <v>64372.507903256657</v>
      </c>
      <c r="AL43" s="16">
        <f t="shared" si="10"/>
        <v>64800.338237934768</v>
      </c>
      <c r="AM43" s="16">
        <f t="shared" si="10"/>
        <v>64499.819956108076</v>
      </c>
    </row>
    <row r="44" spans="2:39" s="18" customFormat="1" ht="21" customHeight="1" x14ac:dyDescent="0.3">
      <c r="B44" s="15" t="s">
        <v>41</v>
      </c>
      <c r="C44" s="19"/>
      <c r="D44" s="20">
        <f t="shared" ref="D44:AM44" si="11">D12-D43</f>
        <v>-44597.875</v>
      </c>
      <c r="E44" s="20">
        <f t="shared" si="11"/>
        <v>-42658.518750000003</v>
      </c>
      <c r="F44" s="20">
        <f t="shared" si="11"/>
        <v>-41641.444687499999</v>
      </c>
      <c r="G44" s="20">
        <f t="shared" si="11"/>
        <v>-38355.720046875002</v>
      </c>
      <c r="H44" s="20">
        <f t="shared" si="11"/>
        <v>-40273.506049218755</v>
      </c>
      <c r="I44" s="20">
        <f t="shared" si="11"/>
        <v>-42287.18135167969</v>
      </c>
      <c r="J44" s="20">
        <f t="shared" si="11"/>
        <v>-44050.052476951169</v>
      </c>
      <c r="K44" s="20">
        <f t="shared" si="11"/>
        <v>-46252.555100798738</v>
      </c>
      <c r="L44" s="20">
        <f t="shared" si="11"/>
        <v>-48219.186912624813</v>
      </c>
      <c r="M44" s="20">
        <f t="shared" si="11"/>
        <v>-47024.099650093747</v>
      </c>
      <c r="N44" s="20">
        <f t="shared" si="11"/>
        <v>-43687.101174010546</v>
      </c>
      <c r="O44" s="20">
        <f t="shared" si="11"/>
        <v>-45871.456232711076</v>
      </c>
      <c r="P44" s="20">
        <f t="shared" si="11"/>
        <v>-47853.502946975445</v>
      </c>
      <c r="Q44" s="20">
        <f t="shared" si="11"/>
        <v>-50246.178094324219</v>
      </c>
      <c r="R44" s="20">
        <f t="shared" si="11"/>
        <v>-52758.486999040426</v>
      </c>
      <c r="S44" s="20">
        <f t="shared" si="11"/>
        <v>-50679.365737013766</v>
      </c>
      <c r="T44" s="20">
        <f t="shared" si="11"/>
        <v>-52848.195745414268</v>
      </c>
      <c r="U44" s="20">
        <f t="shared" si="11"/>
        <v>-51855.451116114251</v>
      </c>
      <c r="V44" s="20">
        <f t="shared" si="11"/>
        <v>-51540.100138663372</v>
      </c>
      <c r="W44" s="20">
        <f t="shared" si="11"/>
        <v>-47639.424804573151</v>
      </c>
      <c r="X44" s="20">
        <f t="shared" si="11"/>
        <v>-50021.396044801804</v>
      </c>
      <c r="Y44" s="20">
        <f t="shared" si="11"/>
        <v>-51816.7795503249</v>
      </c>
      <c r="Z44" s="20">
        <f t="shared" si="11"/>
        <v>-54407.618527841143</v>
      </c>
      <c r="AA44" s="20">
        <f t="shared" si="11"/>
        <v>-57127.999454233206</v>
      </c>
      <c r="AB44" s="20">
        <f t="shared" si="11"/>
        <v>-57015.131869370685</v>
      </c>
      <c r="AC44" s="20">
        <f t="shared" si="11"/>
        <v>-56339.904559362127</v>
      </c>
      <c r="AD44" s="20">
        <f t="shared" si="11"/>
        <v>-59156.899787330243</v>
      </c>
      <c r="AE44" s="20">
        <f t="shared" si="11"/>
        <v>-58969.504450636909</v>
      </c>
      <c r="AF44" s="20">
        <f t="shared" si="11"/>
        <v>-56582.946781528823</v>
      </c>
      <c r="AG44" s="20">
        <f t="shared" si="11"/>
        <v>-59412.094120605259</v>
      </c>
      <c r="AH44" s="20">
        <f t="shared" si="11"/>
        <v>-56136.610072289608</v>
      </c>
      <c r="AI44" s="20">
        <f>AI12-AI43</f>
        <v>-58943.440575904089</v>
      </c>
      <c r="AJ44" s="20">
        <f t="shared" si="11"/>
        <v>-61890.612604699294</v>
      </c>
      <c r="AK44" s="20">
        <f t="shared" si="11"/>
        <v>-64372.507903256657</v>
      </c>
      <c r="AL44" s="20">
        <f t="shared" si="11"/>
        <v>-64800.338237934768</v>
      </c>
      <c r="AM44" s="20">
        <f t="shared" si="11"/>
        <v>-64499.819956108076</v>
      </c>
    </row>
    <row r="45" spans="2:39" s="12" customFormat="1" ht="21" customHeight="1" x14ac:dyDescent="0.3">
      <c r="B45" s="15" t="s">
        <v>42</v>
      </c>
      <c r="C45" s="10"/>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row>
    <row r="46" spans="2:39" s="12" customFormat="1" ht="21" customHeight="1" x14ac:dyDescent="0.3">
      <c r="B46" s="13" t="s">
        <v>43</v>
      </c>
      <c r="C46" s="10"/>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14">
        <v>0</v>
      </c>
      <c r="Y46" s="14">
        <v>0</v>
      </c>
      <c r="Z46" s="14">
        <v>0</v>
      </c>
      <c r="AA46" s="14">
        <v>0</v>
      </c>
      <c r="AB46" s="14">
        <v>0</v>
      </c>
      <c r="AC46" s="14">
        <v>0</v>
      </c>
      <c r="AD46" s="14">
        <v>0</v>
      </c>
      <c r="AE46" s="14">
        <v>0</v>
      </c>
      <c r="AF46" s="14">
        <v>0</v>
      </c>
      <c r="AG46" s="14">
        <v>0</v>
      </c>
      <c r="AH46" s="14">
        <v>0</v>
      </c>
      <c r="AI46" s="14">
        <v>0</v>
      </c>
      <c r="AJ46" s="14">
        <v>0</v>
      </c>
      <c r="AK46" s="14">
        <v>0</v>
      </c>
      <c r="AL46" s="14">
        <v>0</v>
      </c>
      <c r="AM46" s="14">
        <v>0</v>
      </c>
    </row>
    <row r="47" spans="2:39" s="12" customFormat="1" ht="21" customHeight="1" x14ac:dyDescent="0.3">
      <c r="B47" s="15" t="s">
        <v>44</v>
      </c>
      <c r="C47" s="10"/>
      <c r="D47" s="16">
        <f t="shared" ref="D47:AM47" si="12">SUM(D46 + D45)</f>
        <v>0</v>
      </c>
      <c r="E47" s="16">
        <f t="shared" si="12"/>
        <v>0</v>
      </c>
      <c r="F47" s="16">
        <f t="shared" si="12"/>
        <v>0</v>
      </c>
      <c r="G47" s="16">
        <f t="shared" si="12"/>
        <v>0</v>
      </c>
      <c r="H47" s="16">
        <f t="shared" si="12"/>
        <v>0</v>
      </c>
      <c r="I47" s="16">
        <f t="shared" si="12"/>
        <v>0</v>
      </c>
      <c r="J47" s="16">
        <f t="shared" si="12"/>
        <v>0</v>
      </c>
      <c r="K47" s="16">
        <f t="shared" si="12"/>
        <v>0</v>
      </c>
      <c r="L47" s="16">
        <f t="shared" si="12"/>
        <v>0</v>
      </c>
      <c r="M47" s="16">
        <f t="shared" si="12"/>
        <v>0</v>
      </c>
      <c r="N47" s="16">
        <f t="shared" si="12"/>
        <v>0</v>
      </c>
      <c r="O47" s="16">
        <f t="shared" si="12"/>
        <v>0</v>
      </c>
      <c r="P47" s="16">
        <f t="shared" si="12"/>
        <v>0</v>
      </c>
      <c r="Q47" s="16">
        <f t="shared" si="12"/>
        <v>0</v>
      </c>
      <c r="R47" s="16">
        <f t="shared" si="12"/>
        <v>0</v>
      </c>
      <c r="S47" s="16">
        <f t="shared" si="12"/>
        <v>0</v>
      </c>
      <c r="T47" s="16">
        <f t="shared" si="12"/>
        <v>0</v>
      </c>
      <c r="U47" s="16">
        <f t="shared" si="12"/>
        <v>0</v>
      </c>
      <c r="V47" s="16">
        <f t="shared" si="12"/>
        <v>0</v>
      </c>
      <c r="W47" s="16">
        <f t="shared" si="12"/>
        <v>0</v>
      </c>
      <c r="X47" s="16">
        <f t="shared" si="12"/>
        <v>0</v>
      </c>
      <c r="Y47" s="16">
        <f t="shared" si="12"/>
        <v>0</v>
      </c>
      <c r="Z47" s="16">
        <f t="shared" si="12"/>
        <v>0</v>
      </c>
      <c r="AA47" s="16">
        <f t="shared" si="12"/>
        <v>0</v>
      </c>
      <c r="AB47" s="16">
        <f t="shared" si="12"/>
        <v>0</v>
      </c>
      <c r="AC47" s="16">
        <f t="shared" si="12"/>
        <v>0</v>
      </c>
      <c r="AD47" s="16">
        <f t="shared" si="12"/>
        <v>0</v>
      </c>
      <c r="AE47" s="16">
        <f t="shared" si="12"/>
        <v>0</v>
      </c>
      <c r="AF47" s="16">
        <f t="shared" si="12"/>
        <v>0</v>
      </c>
      <c r="AG47" s="16">
        <f t="shared" si="12"/>
        <v>0</v>
      </c>
      <c r="AH47" s="16">
        <f t="shared" si="12"/>
        <v>0</v>
      </c>
      <c r="AI47" s="16">
        <f t="shared" si="12"/>
        <v>0</v>
      </c>
      <c r="AJ47" s="16">
        <f t="shared" si="12"/>
        <v>0</v>
      </c>
      <c r="AK47" s="16">
        <f t="shared" si="12"/>
        <v>0</v>
      </c>
      <c r="AL47" s="16">
        <f t="shared" si="12"/>
        <v>0</v>
      </c>
      <c r="AM47" s="16">
        <f t="shared" si="12"/>
        <v>0</v>
      </c>
    </row>
    <row r="48" spans="2:39" s="12" customFormat="1" ht="21" customHeight="1" x14ac:dyDescent="0.3">
      <c r="B48" s="15" t="s">
        <v>45</v>
      </c>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row>
    <row r="49" spans="2:39" s="12" customFormat="1" ht="21" customHeight="1" x14ac:dyDescent="0.3">
      <c r="B49" s="13" t="s">
        <v>46</v>
      </c>
      <c r="C49" s="10"/>
      <c r="D49" s="14">
        <v>0</v>
      </c>
      <c r="E49" s="14">
        <v>0</v>
      </c>
      <c r="F49" s="14">
        <v>0</v>
      </c>
      <c r="G49" s="14">
        <v>0</v>
      </c>
      <c r="H49" s="14">
        <v>0</v>
      </c>
      <c r="I49" s="14">
        <v>0</v>
      </c>
      <c r="J49" s="14">
        <v>0</v>
      </c>
      <c r="K49" s="14">
        <v>0</v>
      </c>
      <c r="L49" s="14">
        <v>0</v>
      </c>
      <c r="M49" s="14">
        <v>0</v>
      </c>
      <c r="N49" s="14">
        <v>0</v>
      </c>
      <c r="O49" s="14">
        <v>0</v>
      </c>
      <c r="P49" s="14">
        <v>0</v>
      </c>
      <c r="Q49" s="14">
        <v>0</v>
      </c>
      <c r="R49" s="14">
        <v>0</v>
      </c>
      <c r="S49" s="14">
        <v>0</v>
      </c>
      <c r="T49" s="14">
        <v>0</v>
      </c>
      <c r="U49" s="14">
        <v>0</v>
      </c>
      <c r="V49" s="14">
        <v>0</v>
      </c>
      <c r="W49" s="14">
        <v>0</v>
      </c>
      <c r="X49" s="14">
        <v>0</v>
      </c>
      <c r="Y49" s="14">
        <v>0</v>
      </c>
      <c r="Z49" s="14">
        <v>0</v>
      </c>
      <c r="AA49" s="14">
        <v>0</v>
      </c>
      <c r="AB49" s="14">
        <v>0</v>
      </c>
      <c r="AC49" s="14">
        <v>0</v>
      </c>
      <c r="AD49" s="14">
        <v>0</v>
      </c>
      <c r="AE49" s="14">
        <v>0</v>
      </c>
      <c r="AF49" s="14">
        <v>0</v>
      </c>
      <c r="AG49" s="14">
        <v>0</v>
      </c>
      <c r="AH49" s="14">
        <v>0</v>
      </c>
      <c r="AI49" s="14">
        <v>0</v>
      </c>
      <c r="AJ49" s="14">
        <v>0</v>
      </c>
      <c r="AK49" s="14">
        <v>0</v>
      </c>
      <c r="AL49" s="14">
        <v>0</v>
      </c>
      <c r="AM49" s="14">
        <v>0</v>
      </c>
    </row>
    <row r="50" spans="2:39" s="12" customFormat="1" ht="21" customHeight="1" x14ac:dyDescent="0.3">
      <c r="B50" s="13" t="s">
        <v>47</v>
      </c>
      <c r="C50" s="10"/>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X50" s="14">
        <v>0</v>
      </c>
      <c r="Y50" s="14">
        <v>0</v>
      </c>
      <c r="Z50" s="14">
        <v>0</v>
      </c>
      <c r="AA50" s="14">
        <v>0</v>
      </c>
      <c r="AB50" s="14">
        <v>0</v>
      </c>
      <c r="AC50" s="14">
        <v>0</v>
      </c>
      <c r="AD50" s="14">
        <v>0</v>
      </c>
      <c r="AE50" s="14">
        <v>0</v>
      </c>
      <c r="AF50" s="14">
        <v>0</v>
      </c>
      <c r="AG50" s="14">
        <v>0</v>
      </c>
      <c r="AH50" s="14">
        <v>0</v>
      </c>
      <c r="AI50" s="14">
        <v>0</v>
      </c>
      <c r="AJ50" s="14">
        <v>0</v>
      </c>
      <c r="AK50" s="14">
        <v>0</v>
      </c>
      <c r="AL50" s="14">
        <v>0</v>
      </c>
      <c r="AM50" s="14">
        <v>0</v>
      </c>
    </row>
    <row r="51" spans="2:39" s="12" customFormat="1" ht="21" customHeight="1" x14ac:dyDescent="0.3">
      <c r="B51" s="15" t="s">
        <v>48</v>
      </c>
      <c r="C51" s="10"/>
      <c r="D51" s="16">
        <f t="shared" ref="D51:AM51" si="13">SUM(D50, D49 + D48)</f>
        <v>0</v>
      </c>
      <c r="E51" s="16">
        <f t="shared" si="13"/>
        <v>0</v>
      </c>
      <c r="F51" s="16">
        <f t="shared" si="13"/>
        <v>0</v>
      </c>
      <c r="G51" s="16">
        <f t="shared" si="13"/>
        <v>0</v>
      </c>
      <c r="H51" s="16">
        <f t="shared" si="13"/>
        <v>0</v>
      </c>
      <c r="I51" s="16">
        <f t="shared" si="13"/>
        <v>0</v>
      </c>
      <c r="J51" s="16">
        <f t="shared" si="13"/>
        <v>0</v>
      </c>
      <c r="K51" s="16">
        <f t="shared" si="13"/>
        <v>0</v>
      </c>
      <c r="L51" s="16">
        <f t="shared" si="13"/>
        <v>0</v>
      </c>
      <c r="M51" s="16">
        <f t="shared" si="13"/>
        <v>0</v>
      </c>
      <c r="N51" s="16">
        <f t="shared" si="13"/>
        <v>0</v>
      </c>
      <c r="O51" s="16">
        <f t="shared" si="13"/>
        <v>0</v>
      </c>
      <c r="P51" s="16">
        <f t="shared" si="13"/>
        <v>0</v>
      </c>
      <c r="Q51" s="16">
        <f t="shared" si="13"/>
        <v>0</v>
      </c>
      <c r="R51" s="16">
        <f t="shared" si="13"/>
        <v>0</v>
      </c>
      <c r="S51" s="16">
        <f t="shared" si="13"/>
        <v>0</v>
      </c>
      <c r="T51" s="16">
        <f t="shared" si="13"/>
        <v>0</v>
      </c>
      <c r="U51" s="16">
        <f t="shared" si="13"/>
        <v>0</v>
      </c>
      <c r="V51" s="16">
        <f t="shared" si="13"/>
        <v>0</v>
      </c>
      <c r="W51" s="16">
        <f t="shared" si="13"/>
        <v>0</v>
      </c>
      <c r="X51" s="16">
        <f t="shared" si="13"/>
        <v>0</v>
      </c>
      <c r="Y51" s="16">
        <f t="shared" si="13"/>
        <v>0</v>
      </c>
      <c r="Z51" s="16">
        <f t="shared" si="13"/>
        <v>0</v>
      </c>
      <c r="AA51" s="16">
        <f t="shared" si="13"/>
        <v>0</v>
      </c>
      <c r="AB51" s="16">
        <f t="shared" si="13"/>
        <v>0</v>
      </c>
      <c r="AC51" s="16">
        <f t="shared" si="13"/>
        <v>0</v>
      </c>
      <c r="AD51" s="16">
        <f t="shared" si="13"/>
        <v>0</v>
      </c>
      <c r="AE51" s="16">
        <f t="shared" si="13"/>
        <v>0</v>
      </c>
      <c r="AF51" s="16">
        <f t="shared" si="13"/>
        <v>0</v>
      </c>
      <c r="AG51" s="16">
        <f t="shared" si="13"/>
        <v>0</v>
      </c>
      <c r="AH51" s="16">
        <f t="shared" si="13"/>
        <v>0</v>
      </c>
      <c r="AI51" s="16">
        <f t="shared" si="13"/>
        <v>0</v>
      </c>
      <c r="AJ51" s="16">
        <f t="shared" si="13"/>
        <v>0</v>
      </c>
      <c r="AK51" s="16">
        <f t="shared" si="13"/>
        <v>0</v>
      </c>
      <c r="AL51" s="16">
        <f t="shared" si="13"/>
        <v>0</v>
      </c>
      <c r="AM51" s="16">
        <f t="shared" si="13"/>
        <v>0</v>
      </c>
    </row>
    <row r="52" spans="2:39" s="18" customFormat="1" ht="21" customHeight="1" x14ac:dyDescent="0.3">
      <c r="B52" s="15" t="s">
        <v>49</v>
      </c>
      <c r="C52" s="19"/>
      <c r="D52" s="20">
        <f t="shared" ref="D52:AM52" si="14">D47-D51</f>
        <v>0</v>
      </c>
      <c r="E52" s="20">
        <f t="shared" si="14"/>
        <v>0</v>
      </c>
      <c r="F52" s="20">
        <f t="shared" si="14"/>
        <v>0</v>
      </c>
      <c r="G52" s="20">
        <f t="shared" si="14"/>
        <v>0</v>
      </c>
      <c r="H52" s="20">
        <f t="shared" si="14"/>
        <v>0</v>
      </c>
      <c r="I52" s="20">
        <f t="shared" si="14"/>
        <v>0</v>
      </c>
      <c r="J52" s="20">
        <f t="shared" si="14"/>
        <v>0</v>
      </c>
      <c r="K52" s="20">
        <f t="shared" si="14"/>
        <v>0</v>
      </c>
      <c r="L52" s="20">
        <f t="shared" si="14"/>
        <v>0</v>
      </c>
      <c r="M52" s="20">
        <f t="shared" si="14"/>
        <v>0</v>
      </c>
      <c r="N52" s="20">
        <f t="shared" si="14"/>
        <v>0</v>
      </c>
      <c r="O52" s="20">
        <f t="shared" si="14"/>
        <v>0</v>
      </c>
      <c r="P52" s="20">
        <f t="shared" si="14"/>
        <v>0</v>
      </c>
      <c r="Q52" s="20">
        <f t="shared" si="14"/>
        <v>0</v>
      </c>
      <c r="R52" s="20">
        <f t="shared" si="14"/>
        <v>0</v>
      </c>
      <c r="S52" s="20">
        <f t="shared" si="14"/>
        <v>0</v>
      </c>
      <c r="T52" s="20">
        <f t="shared" si="14"/>
        <v>0</v>
      </c>
      <c r="U52" s="20">
        <f t="shared" si="14"/>
        <v>0</v>
      </c>
      <c r="V52" s="20">
        <f t="shared" si="14"/>
        <v>0</v>
      </c>
      <c r="W52" s="20">
        <f t="shared" si="14"/>
        <v>0</v>
      </c>
      <c r="X52" s="20">
        <f t="shared" si="14"/>
        <v>0</v>
      </c>
      <c r="Y52" s="20">
        <f t="shared" si="14"/>
        <v>0</v>
      </c>
      <c r="Z52" s="20">
        <f t="shared" si="14"/>
        <v>0</v>
      </c>
      <c r="AA52" s="20">
        <f t="shared" si="14"/>
        <v>0</v>
      </c>
      <c r="AB52" s="20">
        <f t="shared" si="14"/>
        <v>0</v>
      </c>
      <c r="AC52" s="20">
        <f t="shared" si="14"/>
        <v>0</v>
      </c>
      <c r="AD52" s="20">
        <f t="shared" si="14"/>
        <v>0</v>
      </c>
      <c r="AE52" s="20">
        <f t="shared" si="14"/>
        <v>0</v>
      </c>
      <c r="AF52" s="20">
        <f t="shared" si="14"/>
        <v>0</v>
      </c>
      <c r="AG52" s="20">
        <f t="shared" si="14"/>
        <v>0</v>
      </c>
      <c r="AH52" s="20">
        <f t="shared" si="14"/>
        <v>0</v>
      </c>
      <c r="AI52" s="20">
        <f t="shared" si="14"/>
        <v>0</v>
      </c>
      <c r="AJ52" s="20">
        <f t="shared" si="14"/>
        <v>0</v>
      </c>
      <c r="AK52" s="20">
        <f t="shared" si="14"/>
        <v>0</v>
      </c>
      <c r="AL52" s="20">
        <f t="shared" si="14"/>
        <v>0</v>
      </c>
      <c r="AM52" s="20">
        <f t="shared" si="14"/>
        <v>0</v>
      </c>
    </row>
    <row r="53" spans="2:39" s="18" customFormat="1" ht="21" customHeight="1" x14ac:dyDescent="0.3">
      <c r="B53" s="15" t="s">
        <v>50</v>
      </c>
      <c r="C53" s="19"/>
      <c r="D53" s="20">
        <f t="shared" ref="D53:AM53" si="15">D44+D52</f>
        <v>-44597.875</v>
      </c>
      <c r="E53" s="20">
        <f t="shared" si="15"/>
        <v>-42658.518750000003</v>
      </c>
      <c r="F53" s="20">
        <f t="shared" si="15"/>
        <v>-41641.444687499999</v>
      </c>
      <c r="G53" s="20">
        <f t="shared" si="15"/>
        <v>-38355.720046875002</v>
      </c>
      <c r="H53" s="20">
        <f t="shared" si="15"/>
        <v>-40273.506049218755</v>
      </c>
      <c r="I53" s="20">
        <f t="shared" si="15"/>
        <v>-42287.18135167969</v>
      </c>
      <c r="J53" s="20">
        <f t="shared" si="15"/>
        <v>-44050.052476951169</v>
      </c>
      <c r="K53" s="20">
        <f t="shared" si="15"/>
        <v>-46252.555100798738</v>
      </c>
      <c r="L53" s="20">
        <f t="shared" si="15"/>
        <v>-48219.186912624813</v>
      </c>
      <c r="M53" s="20">
        <f t="shared" si="15"/>
        <v>-47024.099650093747</v>
      </c>
      <c r="N53" s="20">
        <f t="shared" si="15"/>
        <v>-43687.101174010546</v>
      </c>
      <c r="O53" s="20">
        <f t="shared" si="15"/>
        <v>-45871.456232711076</v>
      </c>
      <c r="P53" s="20">
        <f t="shared" si="15"/>
        <v>-47853.502946975445</v>
      </c>
      <c r="Q53" s="20">
        <f t="shared" si="15"/>
        <v>-50246.178094324219</v>
      </c>
      <c r="R53" s="20">
        <f t="shared" si="15"/>
        <v>-52758.486999040426</v>
      </c>
      <c r="S53" s="20">
        <f t="shared" si="15"/>
        <v>-50679.365737013766</v>
      </c>
      <c r="T53" s="20">
        <f t="shared" si="15"/>
        <v>-52848.195745414268</v>
      </c>
      <c r="U53" s="20">
        <f t="shared" si="15"/>
        <v>-51855.451116114251</v>
      </c>
      <c r="V53" s="20">
        <f t="shared" si="15"/>
        <v>-51540.100138663372</v>
      </c>
      <c r="W53" s="20">
        <f t="shared" si="15"/>
        <v>-47639.424804573151</v>
      </c>
      <c r="X53" s="20">
        <f t="shared" si="15"/>
        <v>-50021.396044801804</v>
      </c>
      <c r="Y53" s="20">
        <f t="shared" si="15"/>
        <v>-51816.7795503249</v>
      </c>
      <c r="Z53" s="20">
        <f t="shared" si="15"/>
        <v>-54407.618527841143</v>
      </c>
      <c r="AA53" s="20">
        <f t="shared" si="15"/>
        <v>-57127.999454233206</v>
      </c>
      <c r="AB53" s="20">
        <f t="shared" si="15"/>
        <v>-57015.131869370685</v>
      </c>
      <c r="AC53" s="20">
        <f t="shared" si="15"/>
        <v>-56339.904559362127</v>
      </c>
      <c r="AD53" s="20">
        <f t="shared" si="15"/>
        <v>-59156.899787330243</v>
      </c>
      <c r="AE53" s="20">
        <f t="shared" si="15"/>
        <v>-58969.504450636909</v>
      </c>
      <c r="AF53" s="20">
        <f t="shared" si="15"/>
        <v>-56582.946781528823</v>
      </c>
      <c r="AG53" s="20">
        <f t="shared" si="15"/>
        <v>-59412.094120605259</v>
      </c>
      <c r="AH53" s="20">
        <f t="shared" si="15"/>
        <v>-56136.610072289608</v>
      </c>
      <c r="AI53" s="20">
        <f t="shared" si="15"/>
        <v>-58943.440575904089</v>
      </c>
      <c r="AJ53" s="20">
        <f t="shared" si="15"/>
        <v>-61890.612604699294</v>
      </c>
      <c r="AK53" s="20">
        <f t="shared" si="15"/>
        <v>-64372.507903256657</v>
      </c>
      <c r="AL53" s="20">
        <f t="shared" si="15"/>
        <v>-64800.338237934768</v>
      </c>
      <c r="AM53" s="20">
        <f t="shared" si="15"/>
        <v>-64499.819956108076</v>
      </c>
    </row>
    <row r="267" spans="9945:10000" s="25" customFormat="1" ht="21" customHeight="1" x14ac:dyDescent="0.3">
      <c r="NSB267" s="25">
        <v>74</v>
      </c>
    </row>
    <row r="268" spans="9945:10000" s="25" customFormat="1" ht="21" customHeight="1" x14ac:dyDescent="0.3">
      <c r="NSB268" s="25">
        <v>75</v>
      </c>
    </row>
    <row r="269" spans="9945:10000" s="25" customFormat="1" ht="18" customHeight="1" x14ac:dyDescent="0.3">
      <c r="NSB269" s="25">
        <v>76</v>
      </c>
      <c r="NTN269" s="26"/>
    </row>
    <row r="270" spans="9945:10000" s="25" customFormat="1" ht="21" customHeight="1" x14ac:dyDescent="0.3">
      <c r="NSB270" s="25">
        <v>77</v>
      </c>
      <c r="NTN270" s="26"/>
    </row>
    <row r="271" spans="9945:10000" s="25" customFormat="1" ht="21" customHeight="1" x14ac:dyDescent="0.3">
      <c r="NSB271" s="25">
        <v>78</v>
      </c>
      <c r="NTN271" s="26"/>
    </row>
    <row r="272" spans="9945:10000" s="25" customFormat="1" ht="21" customHeight="1" x14ac:dyDescent="0.3">
      <c r="NRM272" s="25" t="s">
        <v>51</v>
      </c>
      <c r="NSB272" s="25">
        <v>79</v>
      </c>
      <c r="NSD272" s="25" t="s">
        <v>51</v>
      </c>
      <c r="NTN272" s="26"/>
      <c r="NTP272" s="25" t="s">
        <v>51</v>
      </c>
    </row>
    <row r="273" spans="9945:10000" s="25" customFormat="1" ht="21" customHeight="1" x14ac:dyDescent="0.3">
      <c r="NRM273" s="25" t="s">
        <v>51</v>
      </c>
      <c r="NSB273" s="25">
        <v>80</v>
      </c>
      <c r="NSD273" s="25" t="s">
        <v>51</v>
      </c>
      <c r="NTN273" s="26"/>
      <c r="NTP273" s="25" t="s">
        <v>51</v>
      </c>
    </row>
    <row r="274" spans="9945:10000" s="25" customFormat="1" ht="21" customHeight="1" x14ac:dyDescent="0.3">
      <c r="NRM274" s="25" t="s">
        <v>51</v>
      </c>
      <c r="NSB274" s="25">
        <v>81</v>
      </c>
      <c r="NSD274" s="25" t="s">
        <v>51</v>
      </c>
      <c r="NTN274" s="26"/>
      <c r="NTP274" s="25" t="s">
        <v>51</v>
      </c>
    </row>
    <row r="275" spans="9945:10000" s="25" customFormat="1" ht="21" customHeight="1" x14ac:dyDescent="0.3">
      <c r="NRM275" s="25" t="s">
        <v>51</v>
      </c>
      <c r="NSB275" s="25">
        <v>82</v>
      </c>
      <c r="NSD275" s="25" t="s">
        <v>51</v>
      </c>
      <c r="NTN275" s="26"/>
      <c r="NTP275" s="25" t="s">
        <v>51</v>
      </c>
    </row>
    <row r="276" spans="9945:10000" s="25" customFormat="1" ht="21" customHeight="1" x14ac:dyDescent="0.3">
      <c r="NRM276" s="25" t="s">
        <v>51</v>
      </c>
      <c r="NSB276" s="25">
        <v>83</v>
      </c>
      <c r="NSD276" s="25" t="s">
        <v>51</v>
      </c>
      <c r="NTN276" s="26">
        <v>74</v>
      </c>
      <c r="NTP276" s="25" t="s">
        <v>51</v>
      </c>
    </row>
    <row r="277" spans="9945:10000" s="25" customFormat="1" ht="21" customHeight="1" x14ac:dyDescent="0.3">
      <c r="NRM277" s="25" t="s">
        <v>51</v>
      </c>
      <c r="NSB277" s="25">
        <v>84</v>
      </c>
      <c r="NSD277" s="25" t="s">
        <v>51</v>
      </c>
      <c r="NTN277" s="26">
        <v>75</v>
      </c>
      <c r="NTP277" s="25" t="s">
        <v>51</v>
      </c>
    </row>
    <row r="278" spans="9945:10000" s="25" customFormat="1" ht="21" customHeight="1" x14ac:dyDescent="0.3">
      <c r="NSB278" s="25">
        <v>85</v>
      </c>
      <c r="NTN278" s="26">
        <v>76</v>
      </c>
    </row>
    <row r="279" spans="9945:10000" s="25" customFormat="1" ht="21" customHeight="1" x14ac:dyDescent="0.3">
      <c r="NRM279" s="25" t="s">
        <v>51</v>
      </c>
      <c r="NSB279" s="25">
        <v>86</v>
      </c>
      <c r="NSD279" s="25" t="s">
        <v>51</v>
      </c>
      <c r="NTN279" s="26">
        <v>77</v>
      </c>
      <c r="NTP279" s="25" t="s">
        <v>51</v>
      </c>
    </row>
    <row r="280" spans="9945:10000" ht="21" customHeight="1" x14ac:dyDescent="0.3">
      <c r="NRM280" s="27" t="s">
        <v>51</v>
      </c>
      <c r="NSB280" s="27">
        <v>87</v>
      </c>
      <c r="NSD280" s="27" t="s">
        <v>51</v>
      </c>
      <c r="NTN280" s="26">
        <v>78</v>
      </c>
      <c r="NTP280" s="27" t="s">
        <v>51</v>
      </c>
    </row>
    <row r="281" spans="9945:10000" ht="21" customHeight="1" x14ac:dyDescent="0.3">
      <c r="NRM281" s="27" t="s">
        <v>51</v>
      </c>
      <c r="NSB281" s="27">
        <v>88</v>
      </c>
      <c r="NSD281" s="27" t="s">
        <v>51</v>
      </c>
      <c r="NTN281" s="26">
        <v>79</v>
      </c>
      <c r="NTP281" s="27" t="s">
        <v>51</v>
      </c>
    </row>
    <row r="282" spans="9945:10000" ht="21" customHeight="1" x14ac:dyDescent="0.3">
      <c r="NRM282" s="27" t="s">
        <v>51</v>
      </c>
      <c r="NSB282" s="27">
        <v>89</v>
      </c>
      <c r="NSD282" s="27" t="s">
        <v>51</v>
      </c>
      <c r="NTN282" s="26">
        <v>80</v>
      </c>
      <c r="NTP282" s="27" t="s">
        <v>51</v>
      </c>
    </row>
    <row r="283" spans="9945:10000" ht="21" customHeight="1" x14ac:dyDescent="0.3">
      <c r="NRM283" s="27" t="s">
        <v>51</v>
      </c>
      <c r="NSB283" s="27">
        <v>90</v>
      </c>
      <c r="NSD283" s="27" t="s">
        <v>51</v>
      </c>
      <c r="NTN283" s="26">
        <v>81</v>
      </c>
      <c r="NTP283" s="27" t="s">
        <v>51</v>
      </c>
    </row>
    <row r="284" spans="9945:10000" ht="21" customHeight="1" x14ac:dyDescent="0.3">
      <c r="NRM284" s="27" t="s">
        <v>52</v>
      </c>
      <c r="NSB284" s="27">
        <v>91</v>
      </c>
      <c r="NSD284" s="27" t="s">
        <v>52</v>
      </c>
      <c r="NTN284" s="26">
        <v>82</v>
      </c>
      <c r="NTP284" s="27" t="s">
        <v>52</v>
      </c>
    </row>
    <row r="285" spans="9945:10000" ht="21" customHeight="1" x14ac:dyDescent="0.3">
      <c r="NSB285" s="27">
        <v>92</v>
      </c>
      <c r="NTN285" s="26">
        <v>83</v>
      </c>
    </row>
    <row r="286" spans="9945:10000" ht="21" customHeight="1" x14ac:dyDescent="0.3">
      <c r="NRM286" s="27" t="s">
        <v>51</v>
      </c>
      <c r="NSB286" s="27">
        <v>93</v>
      </c>
      <c r="NSD286" s="27" t="s">
        <v>51</v>
      </c>
      <c r="NTN286" s="26">
        <v>84</v>
      </c>
      <c r="NTP286" s="27" t="s">
        <v>51</v>
      </c>
    </row>
    <row r="287" spans="9945:10000" ht="21" customHeight="1" x14ac:dyDescent="0.3">
      <c r="NRM287" s="27" t="s">
        <v>51</v>
      </c>
      <c r="NSB287" s="27">
        <v>94</v>
      </c>
      <c r="NSD287" s="27" t="s">
        <v>51</v>
      </c>
      <c r="NTN287" s="26">
        <v>85</v>
      </c>
      <c r="NTP287" s="27" t="s">
        <v>51</v>
      </c>
    </row>
    <row r="288" spans="9945:10000" ht="21" customHeight="1" x14ac:dyDescent="0.3">
      <c r="NRM288" s="27" t="s">
        <v>51</v>
      </c>
      <c r="NSD288" s="27" t="s">
        <v>51</v>
      </c>
      <c r="NTN288" s="26">
        <v>86</v>
      </c>
      <c r="NTP288" s="27" t="s">
        <v>51</v>
      </c>
    </row>
    <row r="289" spans="9945:10000" ht="21" customHeight="1" x14ac:dyDescent="0.3">
      <c r="NRM289" s="27" t="s">
        <v>51</v>
      </c>
      <c r="NSD289" s="27" t="s">
        <v>51</v>
      </c>
      <c r="NTN289" s="26">
        <v>87</v>
      </c>
      <c r="NTP289" s="27" t="s">
        <v>51</v>
      </c>
    </row>
    <row r="290" spans="9945:10000" ht="21" customHeight="1" x14ac:dyDescent="0.3">
      <c r="NRM290" s="27" t="s">
        <v>52</v>
      </c>
      <c r="NSD290" s="27" t="s">
        <v>52</v>
      </c>
      <c r="NTN290" s="26">
        <v>88</v>
      </c>
      <c r="NTP290" s="27" t="s">
        <v>52</v>
      </c>
    </row>
    <row r="291" spans="9945:10000" ht="21" customHeight="1" x14ac:dyDescent="0.3">
      <c r="NRM291" s="27" t="s">
        <v>51</v>
      </c>
      <c r="NSD291" s="27" t="s">
        <v>51</v>
      </c>
      <c r="NTN291" s="26">
        <v>89</v>
      </c>
      <c r="NTP291" s="27" t="s">
        <v>51</v>
      </c>
    </row>
    <row r="292" spans="9945:10000" ht="21" customHeight="1" x14ac:dyDescent="0.3">
      <c r="NRM292" s="27" t="s">
        <v>51</v>
      </c>
      <c r="NSD292" s="27" t="s">
        <v>51</v>
      </c>
      <c r="NTN292" s="26">
        <v>90</v>
      </c>
      <c r="NTP292" s="27" t="s">
        <v>51</v>
      </c>
    </row>
    <row r="293" spans="9945:10000" ht="21" customHeight="1" x14ac:dyDescent="0.3">
      <c r="NRM293" s="27" t="s">
        <v>51</v>
      </c>
      <c r="NSD293" s="27" t="s">
        <v>51</v>
      </c>
      <c r="NTN293" s="26">
        <v>91</v>
      </c>
      <c r="NTP293" s="27" t="s">
        <v>51</v>
      </c>
    </row>
    <row r="294" spans="9945:10000" ht="21" customHeight="1" x14ac:dyDescent="0.3">
      <c r="NTN294" s="26">
        <v>92</v>
      </c>
    </row>
    <row r="295" spans="9945:10000" ht="21" customHeight="1" x14ac:dyDescent="0.3">
      <c r="NRM295" s="27" t="s">
        <v>51</v>
      </c>
      <c r="NSD295" s="27" t="s">
        <v>51</v>
      </c>
      <c r="NTN295" s="26">
        <v>93</v>
      </c>
      <c r="NTP295" s="27" t="s">
        <v>51</v>
      </c>
    </row>
    <row r="296" spans="9945:10000" ht="21" customHeight="1" x14ac:dyDescent="0.3">
      <c r="NSD296" s="27" t="s">
        <v>51</v>
      </c>
      <c r="NTN296" s="26">
        <v>94</v>
      </c>
      <c r="NTP296" s="27" t="s">
        <v>51</v>
      </c>
    </row>
    <row r="297" spans="9945:10000" ht="21" customHeight="1" x14ac:dyDescent="0.3">
      <c r="NSD297" s="27" t="s">
        <v>52</v>
      </c>
      <c r="NTN297" s="26">
        <v>95</v>
      </c>
      <c r="NTP297" s="27" t="s">
        <v>52</v>
      </c>
    </row>
    <row r="298" spans="9945:10000" ht="21" customHeight="1" x14ac:dyDescent="0.3">
      <c r="NTN298" s="26">
        <v>96</v>
      </c>
    </row>
    <row r="299" spans="9945:10000" ht="21" customHeight="1" x14ac:dyDescent="0.3">
      <c r="NTN299" s="26">
        <v>97</v>
      </c>
    </row>
    <row r="300" spans="9945:10000" ht="21" customHeight="1" x14ac:dyDescent="0.3">
      <c r="NTN300" s="26">
        <v>98</v>
      </c>
    </row>
    <row r="301" spans="9945:10000" ht="21" customHeight="1" x14ac:dyDescent="0.3">
      <c r="NTN301" s="26">
        <v>99</v>
      </c>
    </row>
    <row r="302" spans="9945:10000" ht="21" customHeight="1" x14ac:dyDescent="0.3">
      <c r="NTN302" s="26">
        <v>100</v>
      </c>
    </row>
    <row r="303" spans="9945:10000" ht="21" customHeight="1" x14ac:dyDescent="0.3">
      <c r="NTN303" s="26">
        <v>101</v>
      </c>
    </row>
    <row r="304" spans="9945:10000" ht="21" customHeight="1" x14ac:dyDescent="0.3">
      <c r="NTN304" s="26">
        <v>102</v>
      </c>
    </row>
  </sheetData>
  <dataConsolidate/>
  <dataValidations count="1">
    <dataValidation type="list" allowBlank="1" showInputMessage="1" showErrorMessage="1" sqref="D4" xr:uid="{A5AFC2D2-BC06-4E0D-B7BE-88420DD62B3A}">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Props1.xml><?xml version="1.0" encoding="utf-8"?>
<ds:datastoreItem xmlns:ds="http://schemas.openxmlformats.org/officeDocument/2006/customXml" ds:itemID="{35CD29BC-B335-469C-A760-0ED34A63FC62}">
  <ds:schemaRefs/>
</ds:datastoreItem>
</file>

<file path=customXml/itemProps2.xml><?xml version="1.0" encoding="utf-8"?>
<ds:datastoreItem xmlns:ds="http://schemas.openxmlformats.org/officeDocument/2006/customXml" ds:itemID="{20D15DD8-9D74-46ED-8AE5-F8C673A52B67}">
  <ds:schemaRefs/>
</ds:datastoreItem>
</file>

<file path=customXml/itemProps3.xml><?xml version="1.0" encoding="utf-8"?>
<ds:datastoreItem xmlns:ds="http://schemas.openxmlformats.org/officeDocument/2006/customXml" ds:itemID="{62362B4F-BFB8-4B6D-B3BC-6EE58147E9E2}">
  <ds:schemaRefs/>
</ds:datastoreItem>
</file>

<file path=customXml/itemProps4.xml><?xml version="1.0" encoding="utf-8"?>
<ds:datastoreItem xmlns:ds="http://schemas.openxmlformats.org/officeDocument/2006/customXml" ds:itemID="{EFBFAB2D-84AC-460E-842B-9905919FE56F}">
  <ds:schemaRefs/>
</ds:datastoreItem>
</file>

<file path=customXml/itemProps5.xml><?xml version="1.0" encoding="utf-8"?>
<ds:datastoreItem xmlns:ds="http://schemas.openxmlformats.org/officeDocument/2006/customXml" ds:itemID="{43167F64-40DA-478A-A1E6-5F1C0E18B0DA}">
  <ds:schemaRefs/>
</ds:datastoreItem>
</file>

<file path=customXml/itemProps6.xml><?xml version="1.0" encoding="utf-8"?>
<ds:datastoreItem xmlns:ds="http://schemas.openxmlformats.org/officeDocument/2006/customXml" ds:itemID="{F8B9D576-83CC-4F89-B3FF-396B81943974}">
  <ds:schemaRefs/>
</ds:datastoreItem>
</file>

<file path=customXml/itemProps7.xml><?xml version="1.0" encoding="utf-8"?>
<ds:datastoreItem xmlns:ds="http://schemas.openxmlformats.org/officeDocument/2006/customXml" ds:itemID="{8986FA5E-057D-46A7-A76D-6AEEEC7B92A0}">
  <ds:schemaRefs/>
</ds:datastoreItem>
</file>

<file path=customXml/itemProps8.xml><?xml version="1.0" encoding="utf-8"?>
<ds:datastoreItem xmlns:ds="http://schemas.openxmlformats.org/officeDocument/2006/customXml" ds:itemID="{7EBB6647-09BB-41BD-9ED4-ACE1325FC10E}">
  <ds:schemaRefs/>
</ds:datastoreItem>
</file>

<file path=customXml/itemProps9.xml><?xml version="1.0" encoding="utf-8"?>
<ds:datastoreItem xmlns:ds="http://schemas.openxmlformats.org/officeDocument/2006/customXml" ds:itemID="{86D0D792-8F94-4ED3-BA85-277DFF55260A}">
  <ds:schemaRefs/>
</ds:datastoreItem>
</file>

<file path=customXml/itemProps10.xml><?xml version="1.0" encoding="utf-8"?>
<ds:datastoreItem xmlns:ds="http://schemas.openxmlformats.org/officeDocument/2006/customXml" ds:itemID="{60486C2D-8FAA-494E-8170-D4AECF399D37}">
  <ds:schemaRefs/>
</ds:datastoreItem>
</file>

<file path=customXml/itemProps11.xml><?xml version="1.0" encoding="utf-8"?>
<ds:datastoreItem xmlns:ds="http://schemas.openxmlformats.org/officeDocument/2006/customXml" ds:itemID="{00AA8395-8978-4D21-9756-EBC301AEA49B}">
  <ds:schemaRefs/>
</ds:datastoreItem>
</file>

<file path=customXml/itemProps12.xml><?xml version="1.0" encoding="utf-8"?>
<ds:datastoreItem xmlns:ds="http://schemas.openxmlformats.org/officeDocument/2006/customXml" ds:itemID="{854BE8A0-B4F8-4420-8899-76CD44B5E080}">
  <ds:schemaRefs/>
</ds:datastoreItem>
</file>

<file path=customXml/itemProps13.xml><?xml version="1.0" encoding="utf-8"?>
<ds:datastoreItem xmlns:ds="http://schemas.openxmlformats.org/officeDocument/2006/customXml" ds:itemID="{29811B1A-9179-4049-97FB-94FFA4D49746}">
  <ds:schemaRefs/>
</ds:datastoreItem>
</file>

<file path=customXml/itemProps14.xml><?xml version="1.0" encoding="utf-8"?>
<ds:datastoreItem xmlns:ds="http://schemas.openxmlformats.org/officeDocument/2006/customXml" ds:itemID="{E11732BD-DD85-45DA-ADF8-BB1DC698DC1C}">
  <ds:schemaRefs/>
</ds:datastoreItem>
</file>

<file path=customXml/itemProps15.xml><?xml version="1.0" encoding="utf-8"?>
<ds:datastoreItem xmlns:ds="http://schemas.openxmlformats.org/officeDocument/2006/customXml" ds:itemID="{5DFEC53E-425F-49AC-AB0F-5E235D1563D0}">
  <ds:schemaRefs/>
</ds:datastoreItem>
</file>

<file path=customXml/itemProps16.xml><?xml version="1.0" encoding="utf-8"?>
<ds:datastoreItem xmlns:ds="http://schemas.openxmlformats.org/officeDocument/2006/customXml" ds:itemID="{294BF3C9-B473-49AF-B90F-1251E183DD49}">
  <ds:schemaRefs/>
</ds:datastoreItem>
</file>

<file path=customXml/itemProps17.xml><?xml version="1.0" encoding="utf-8"?>
<ds:datastoreItem xmlns:ds="http://schemas.openxmlformats.org/officeDocument/2006/customXml" ds:itemID="{3FA55F63-70D8-4938-A43A-9086F69B24CF}">
  <ds:schemaRefs/>
</ds:datastoreItem>
</file>

<file path=customXml/itemProps18.xml><?xml version="1.0" encoding="utf-8"?>
<ds:datastoreItem xmlns:ds="http://schemas.openxmlformats.org/officeDocument/2006/customXml" ds:itemID="{38929660-E8C6-43AE-B11F-670E03C6AE4C}">
  <ds:schemaRefs/>
</ds:datastoreItem>
</file>

<file path=customXml/itemProps19.xml><?xml version="1.0" encoding="utf-8"?>
<ds:datastoreItem xmlns:ds="http://schemas.openxmlformats.org/officeDocument/2006/customXml" ds:itemID="{29D7BDF7-2515-44F1-BCC6-F39410B1CB1F}">
  <ds:schemaRefs/>
</ds:datastoreItem>
</file>

<file path=customXml/itemProps20.xml><?xml version="1.0" encoding="utf-8"?>
<ds:datastoreItem xmlns:ds="http://schemas.openxmlformats.org/officeDocument/2006/customXml" ds:itemID="{D07E655E-2EE5-4F04-8E59-0EE4FAACAD9D}">
  <ds:schemaRefs/>
</ds:datastoreItem>
</file>

<file path=customXml/itemProps21.xml><?xml version="1.0" encoding="utf-8"?>
<ds:datastoreItem xmlns:ds="http://schemas.openxmlformats.org/officeDocument/2006/customXml" ds:itemID="{C0B186D6-18EB-4924-A052-78F0B5119F0C}">
  <ds:schemaRefs/>
</ds:datastoreItem>
</file>

<file path=customXml/itemProps22.xml><?xml version="1.0" encoding="utf-8"?>
<ds:datastoreItem xmlns:ds="http://schemas.openxmlformats.org/officeDocument/2006/customXml" ds:itemID="{2BEDB4B6-DBB6-4018-AD06-C01B0AED3F4B}">
  <ds:schemaRefs/>
</ds:datastoreItem>
</file>

<file path=customXml/itemProps23.xml><?xml version="1.0" encoding="utf-8"?>
<ds:datastoreItem xmlns:ds="http://schemas.openxmlformats.org/officeDocument/2006/customXml" ds:itemID="{CE8497F0-91B3-4DF3-BCA4-3EC87EAA3F90}">
  <ds:schemaRefs/>
</ds:datastoreItem>
</file>

<file path=customXml/itemProps24.xml><?xml version="1.0" encoding="utf-8"?>
<ds:datastoreItem xmlns:ds="http://schemas.openxmlformats.org/officeDocument/2006/customXml" ds:itemID="{9D04B85D-A768-4A92-B341-2C3FA0A78C15}">
  <ds:schemaRefs/>
</ds:datastoreItem>
</file>

<file path=customXml/itemProps25.xml><?xml version="1.0" encoding="utf-8"?>
<ds:datastoreItem xmlns:ds="http://schemas.openxmlformats.org/officeDocument/2006/customXml" ds:itemID="{DA025078-B18F-4293-8DD2-94FA81396603}">
  <ds:schemaRefs/>
</ds:datastoreItem>
</file>

<file path=customXml/itemProps26.xml><?xml version="1.0" encoding="utf-8"?>
<ds:datastoreItem xmlns:ds="http://schemas.openxmlformats.org/officeDocument/2006/customXml" ds:itemID="{0B3ABF71-E4FF-4962-8991-B01D2FDF65B2}">
  <ds:schemaRefs/>
</ds:datastoreItem>
</file>

<file path=customXml/itemProps27.xml><?xml version="1.0" encoding="utf-8"?>
<ds:datastoreItem xmlns:ds="http://schemas.openxmlformats.org/officeDocument/2006/customXml" ds:itemID="{15301309-F67E-48C5-B9D2-FF7663F411D5}">
  <ds:schemaRefs>
    <ds:schemaRef ds:uri="http://schemas.microsoft.com/DataMashup"/>
  </ds:schemaRefs>
</ds:datastoreItem>
</file>

<file path=customXml/itemProps28.xml><?xml version="1.0" encoding="utf-8"?>
<ds:datastoreItem xmlns:ds="http://schemas.openxmlformats.org/officeDocument/2006/customXml" ds:itemID="{AEB99A56-1EB9-45E7-AFBE-BCF175416C7E}">
  <ds:schemaRefs/>
</ds:datastoreItem>
</file>

<file path=customXml/itemProps29.xml><?xml version="1.0" encoding="utf-8"?>
<ds:datastoreItem xmlns:ds="http://schemas.openxmlformats.org/officeDocument/2006/customXml" ds:itemID="{EC0632D2-EAE5-4E3D-941B-51B8EA738F4C}">
  <ds:schemaRefs/>
</ds:datastoreItem>
</file>

<file path=customXml/itemProps30.xml><?xml version="1.0" encoding="utf-8"?>
<ds:datastoreItem xmlns:ds="http://schemas.openxmlformats.org/officeDocument/2006/customXml" ds:itemID="{9E681E2D-3716-4640-ABB3-9D6EDB42A990}">
  <ds:schemaRefs/>
</ds:datastoreItem>
</file>

<file path=customXml/itemProps31.xml><?xml version="1.0" encoding="utf-8"?>
<ds:datastoreItem xmlns:ds="http://schemas.openxmlformats.org/officeDocument/2006/customXml" ds:itemID="{C584BBCD-DDA8-46EC-8840-520C08C7CBD9}">
  <ds:schemaRefs/>
</ds:datastoreItem>
</file>

<file path=customXml/itemProps32.xml><?xml version="1.0" encoding="utf-8"?>
<ds:datastoreItem xmlns:ds="http://schemas.openxmlformats.org/officeDocument/2006/customXml" ds:itemID="{6C444BB0-AB61-467F-B3E0-D28130FE5F8B}">
  <ds:schemaRefs/>
</ds:datastoreItem>
</file>

<file path=customXml/itemProps33.xml><?xml version="1.0" encoding="utf-8"?>
<ds:datastoreItem xmlns:ds="http://schemas.openxmlformats.org/officeDocument/2006/customXml" ds:itemID="{FE844DB3-76E7-447C-B9B7-74D8BD7CA9FC}">
  <ds:schemaRefs/>
</ds:datastoreItem>
</file>

<file path=customXml/itemProps34.xml><?xml version="1.0" encoding="utf-8"?>
<ds:datastoreItem xmlns:ds="http://schemas.openxmlformats.org/officeDocument/2006/customXml" ds:itemID="{6EF84E94-7899-4347-A1D4-234085287B01}">
  <ds:schemaRefs/>
</ds:datastoreItem>
</file>

<file path=customXml/itemProps35.xml><?xml version="1.0" encoding="utf-8"?>
<ds:datastoreItem xmlns:ds="http://schemas.openxmlformats.org/officeDocument/2006/customXml" ds:itemID="{99C052C5-4289-45F8-896D-B61F959AC048}">
  <ds:schemaRefs/>
</ds:datastoreItem>
</file>

<file path=customXml/itemProps36.xml><?xml version="1.0" encoding="utf-8"?>
<ds:datastoreItem xmlns:ds="http://schemas.openxmlformats.org/officeDocument/2006/customXml" ds:itemID="{222E6885-6041-4EF8-9BAB-EDFA2AF3F92F}">
  <ds:schemaRefs/>
</ds:datastoreItem>
</file>

<file path=customXml/itemProps37.xml><?xml version="1.0" encoding="utf-8"?>
<ds:datastoreItem xmlns:ds="http://schemas.openxmlformats.org/officeDocument/2006/customXml" ds:itemID="{6DE8C92B-38CA-4F97-BFC1-C8980FAE8E71}">
  <ds:schemaRefs/>
</ds:datastoreItem>
</file>

<file path=customXml/itemProps38.xml><?xml version="1.0" encoding="utf-8"?>
<ds:datastoreItem xmlns:ds="http://schemas.openxmlformats.org/officeDocument/2006/customXml" ds:itemID="{B59021A0-C408-4599-91EC-2C1218A9C381}">
  <ds:schemaRefs/>
</ds:datastoreItem>
</file>

<file path=customXml/itemProps39.xml><?xml version="1.0" encoding="utf-8"?>
<ds:datastoreItem xmlns:ds="http://schemas.openxmlformats.org/officeDocument/2006/customXml" ds:itemID="{4928E9F7-5E38-4522-85EE-E342DA8D2944}">
  <ds:schemaRefs/>
</ds:datastoreItem>
</file>

<file path=customXml/itemProps40.xml><?xml version="1.0" encoding="utf-8"?>
<ds:datastoreItem xmlns:ds="http://schemas.openxmlformats.org/officeDocument/2006/customXml" ds:itemID="{3AB0BC9B-40A8-46F4-A57B-DBF1718136E1}">
  <ds:schemaRefs/>
</ds:datastoreItem>
</file>

<file path=customXml/itemProps41.xml><?xml version="1.0" encoding="utf-8"?>
<ds:datastoreItem xmlns:ds="http://schemas.openxmlformats.org/officeDocument/2006/customXml" ds:itemID="{8A607D6D-F2C5-476F-BDF1-B531263B653A}">
  <ds:schemaRefs/>
</ds:datastoreItem>
</file>

<file path=customXml/itemProps42.xml><?xml version="1.0" encoding="utf-8"?>
<ds:datastoreItem xmlns:ds="http://schemas.openxmlformats.org/officeDocument/2006/customXml" ds:itemID="{7415662C-070A-4CB6-807E-5BB4B6795FCC}">
  <ds:schemaRefs/>
</ds:datastoreItem>
</file>

<file path=customXml/itemProps43.xml><?xml version="1.0" encoding="utf-8"?>
<ds:datastoreItem xmlns:ds="http://schemas.openxmlformats.org/officeDocument/2006/customXml" ds:itemID="{3AE2B8AD-196D-4E07-97B5-F7C5FB6105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Dashboard</vt:lpstr>
      <vt:lpstr>Lists</vt:lpstr>
      <vt:lpstr>Data</vt:lpstr>
      <vt:lpstr>G&amp;A</vt:lpstr>
      <vt:lpstr>R&amp;D</vt:lpstr>
      <vt:lpstr>CS</vt:lpstr>
      <vt:lpstr>S&amp;M</vt:lpstr>
      <vt:lpstr>G&amp;A_Budget</vt:lpstr>
      <vt:lpstr>R&amp;D_Budget</vt:lpstr>
      <vt:lpstr>CS_Budget</vt:lpstr>
      <vt:lpstr>S&amp;M_Budget</vt:lpstr>
      <vt:lpstr>CS!CS</vt:lpstr>
      <vt:lpstr>CS_Budget!CS_Budget</vt:lpstr>
      <vt:lpstr>CurrentMonth</vt:lpstr>
      <vt:lpstr>'G&amp;A'!GandA</vt:lpstr>
      <vt:lpstr>GandA_budget</vt:lpstr>
      <vt:lpstr>'R&amp;D'!RandD</vt:lpstr>
      <vt:lpstr>'R&amp;D_Budget'!RandD_Budget</vt:lpstr>
      <vt:lpstr>'S&amp;M'!SandM</vt:lpstr>
      <vt:lpstr>'S&amp;M_Budget'!SandM_Budget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 Tran</dc:creator>
  <cp:lastModifiedBy>Q. Tran</cp:lastModifiedBy>
  <dcterms:created xsi:type="dcterms:W3CDTF">2015-06-05T18:17:20Z</dcterms:created>
  <dcterms:modified xsi:type="dcterms:W3CDTF">2025-03-23T05:36:40Z</dcterms:modified>
</cp:coreProperties>
</file>