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Self-learning\Learning\"/>
    </mc:Choice>
  </mc:AlternateContent>
  <xr:revisionPtr revIDLastSave="0" documentId="13_ncr:1_{EA98323F-B574-4EC1-A43F-D1B98987DB73}" xr6:coauthVersionLast="47" xr6:coauthVersionMax="47" xr10:uidLastSave="{00000000-0000-0000-0000-000000000000}"/>
  <bookViews>
    <workbookView xWindow="-108" yWindow="-108" windowWidth="23256" windowHeight="12576" activeTab="2" xr2:uid="{A7932AF8-220C-AD45-84A0-37C744945D28}"/>
  </bookViews>
  <sheets>
    <sheet name="Voucher-Sensitivity Analysis" sheetId="5" r:id="rId1"/>
    <sheet name="Financial Model" sheetId="6" r:id="rId2"/>
    <sheet name="Break-even" sheetId="4" r:id="rId3"/>
  </sheets>
  <definedNames>
    <definedName name="_xlnm._FilterDatabase" localSheetId="2" hidden="1">'Break-even'!$F$3:$H$22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6" l="1"/>
  <c r="D60" i="6" s="1"/>
  <c r="D41" i="6"/>
  <c r="K41" i="6" s="1"/>
  <c r="D40" i="6"/>
  <c r="J40" i="6" s="1"/>
  <c r="D39" i="6"/>
  <c r="K39" i="6" s="1"/>
  <c r="D38" i="6"/>
  <c r="H38" i="6" s="1"/>
  <c r="D37" i="6"/>
  <c r="D36" i="6"/>
  <c r="D35" i="6"/>
  <c r="K35" i="6" s="1"/>
  <c r="D34" i="6"/>
  <c r="J34" i="6" s="1"/>
  <c r="D33" i="6"/>
  <c r="J33" i="6" s="1"/>
  <c r="D32" i="6"/>
  <c r="L32" i="6" s="1"/>
  <c r="D31" i="6"/>
  <c r="N31" i="6" s="1"/>
  <c r="D30" i="6"/>
  <c r="E30" i="6" s="1"/>
  <c r="F30" i="6" s="1"/>
  <c r="G30" i="6" s="1"/>
  <c r="H30" i="6" s="1"/>
  <c r="I30" i="6" s="1"/>
  <c r="J30" i="6" s="1"/>
  <c r="K30" i="6" s="1"/>
  <c r="L30" i="6" s="1"/>
  <c r="M30" i="6" s="1"/>
  <c r="N30" i="6" s="1"/>
  <c r="O30" i="6" s="1"/>
  <c r="D29" i="6"/>
  <c r="H29" i="6" s="1"/>
  <c r="E28" i="6"/>
  <c r="D28" i="6"/>
  <c r="I28" i="6" s="1"/>
  <c r="E7" i="6"/>
  <c r="F7" i="6" s="1"/>
  <c r="G7" i="6" s="1"/>
  <c r="H7" i="6" s="1"/>
  <c r="C6" i="4"/>
  <c r="F10" i="5"/>
  <c r="F7" i="5"/>
  <c r="C6" i="5"/>
  <c r="F8" i="5" s="1"/>
  <c r="F15" i="6"/>
  <c r="G15" i="6" s="1"/>
  <c r="H15" i="6" s="1"/>
  <c r="E15" i="6"/>
  <c r="E11" i="6"/>
  <c r="F11" i="6" s="1"/>
  <c r="G11" i="6" s="1"/>
  <c r="H11" i="6" s="1"/>
  <c r="E38" i="6"/>
  <c r="F38" i="6"/>
  <c r="G38" i="6"/>
  <c r="K38" i="6"/>
  <c r="H39" i="6"/>
  <c r="J39" i="6"/>
  <c r="E60" i="6"/>
  <c r="F60" i="6"/>
  <c r="G60" i="6"/>
  <c r="H60" i="6"/>
  <c r="I60" i="6"/>
  <c r="J60" i="6"/>
  <c r="K60" i="6"/>
  <c r="L60" i="6"/>
  <c r="M60" i="6"/>
  <c r="N60" i="6"/>
  <c r="O60" i="6"/>
  <c r="D19" i="6"/>
  <c r="O12" i="6"/>
  <c r="N12" i="6"/>
  <c r="M12" i="6"/>
  <c r="L12" i="6"/>
  <c r="K12" i="6"/>
  <c r="J12" i="6"/>
  <c r="I12" i="6"/>
  <c r="H12" i="6"/>
  <c r="G12" i="6"/>
  <c r="F12" i="6"/>
  <c r="E12" i="6"/>
  <c r="O8" i="6"/>
  <c r="N8" i="6"/>
  <c r="M8" i="6"/>
  <c r="L8" i="6"/>
  <c r="K8" i="6"/>
  <c r="J8" i="6"/>
  <c r="I8" i="6"/>
  <c r="H8" i="6"/>
  <c r="G8" i="6"/>
  <c r="F8" i="6"/>
  <c r="E8" i="6"/>
  <c r="O16" i="6"/>
  <c r="N16" i="6"/>
  <c r="M16" i="6"/>
  <c r="L16" i="6"/>
  <c r="K16" i="6"/>
  <c r="J16" i="6"/>
  <c r="I16" i="6"/>
  <c r="H16" i="6"/>
  <c r="G16" i="6"/>
  <c r="F16" i="6"/>
  <c r="E16" i="6"/>
  <c r="D13" i="6"/>
  <c r="D17" i="6"/>
  <c r="D9" i="6"/>
  <c r="O44" i="6"/>
  <c r="N44" i="6"/>
  <c r="M44" i="6"/>
  <c r="L44" i="6"/>
  <c r="K44" i="6"/>
  <c r="J44" i="6"/>
  <c r="I44" i="6"/>
  <c r="H44" i="6"/>
  <c r="G44" i="6"/>
  <c r="F44" i="6"/>
  <c r="E44" i="6"/>
  <c r="O42" i="6"/>
  <c r="N42" i="6"/>
  <c r="M42" i="6"/>
  <c r="L42" i="6"/>
  <c r="K42" i="6"/>
  <c r="J42" i="6"/>
  <c r="I42" i="6"/>
  <c r="H42" i="6"/>
  <c r="G42" i="6"/>
  <c r="F42" i="6"/>
  <c r="O31" i="6"/>
  <c r="K31" i="6"/>
  <c r="I31" i="6"/>
  <c r="H31" i="6"/>
  <c r="G31" i="6"/>
  <c r="L28" i="6"/>
  <c r="J28" i="6"/>
  <c r="I39" i="6" l="1"/>
  <c r="O39" i="6"/>
  <c r="G39" i="6"/>
  <c r="N39" i="6"/>
  <c r="F39" i="6"/>
  <c r="M39" i="6"/>
  <c r="E39" i="6"/>
  <c r="L39" i="6"/>
  <c r="O38" i="6"/>
  <c r="N38" i="6"/>
  <c r="M38" i="6"/>
  <c r="L38" i="6"/>
  <c r="J38" i="6"/>
  <c r="I38" i="6"/>
  <c r="N35" i="6"/>
  <c r="F35" i="6"/>
  <c r="J35" i="6"/>
  <c r="I35" i="6"/>
  <c r="O35" i="6"/>
  <c r="G35" i="6"/>
  <c r="M35" i="6"/>
  <c r="E35" i="6"/>
  <c r="L35" i="6"/>
  <c r="H35" i="6"/>
  <c r="J32" i="6"/>
  <c r="N32" i="6"/>
  <c r="F32" i="6"/>
  <c r="E32" i="6"/>
  <c r="M32" i="6"/>
  <c r="O32" i="6"/>
  <c r="H32" i="6"/>
  <c r="G32" i="6"/>
  <c r="I32" i="6"/>
  <c r="K32" i="6"/>
  <c r="J31" i="6"/>
  <c r="L31" i="6"/>
  <c r="E31" i="6"/>
  <c r="M31" i="6"/>
  <c r="F31" i="6"/>
  <c r="L29" i="6"/>
  <c r="E29" i="6"/>
  <c r="M29" i="6"/>
  <c r="K29" i="6"/>
  <c r="F29" i="6"/>
  <c r="N29" i="6"/>
  <c r="I29" i="6"/>
  <c r="G29" i="6"/>
  <c r="O29" i="6"/>
  <c r="J29" i="6"/>
  <c r="K28" i="6"/>
  <c r="M28" i="6"/>
  <c r="G28" i="6"/>
  <c r="O28" i="6"/>
  <c r="N28" i="6"/>
  <c r="H28" i="6"/>
  <c r="F28" i="6"/>
  <c r="D27" i="6"/>
  <c r="I7" i="6"/>
  <c r="F6" i="5"/>
  <c r="F9" i="5" s="1"/>
  <c r="F11" i="5" s="1"/>
  <c r="L41" i="6"/>
  <c r="F34" i="6"/>
  <c r="E34" i="6"/>
  <c r="D59" i="6"/>
  <c r="D61" i="6" s="1"/>
  <c r="N34" i="6"/>
  <c r="M34" i="6"/>
  <c r="I34" i="6"/>
  <c r="O34" i="6"/>
  <c r="G34" i="6"/>
  <c r="H19" i="6"/>
  <c r="D47" i="6"/>
  <c r="D20" i="6"/>
  <c r="N40" i="6"/>
  <c r="M40" i="6"/>
  <c r="E40" i="6"/>
  <c r="I40" i="6"/>
  <c r="H40" i="6"/>
  <c r="L40" i="6"/>
  <c r="G40" i="6"/>
  <c r="K40" i="6"/>
  <c r="O40" i="6"/>
  <c r="F40" i="6"/>
  <c r="H34" i="6"/>
  <c r="L34" i="6"/>
  <c r="K34" i="6"/>
  <c r="G41" i="6"/>
  <c r="O41" i="6"/>
  <c r="H41" i="6"/>
  <c r="I41" i="6"/>
  <c r="J41" i="6"/>
  <c r="E41" i="6"/>
  <c r="M41" i="6"/>
  <c r="F41" i="6"/>
  <c r="N41" i="6"/>
  <c r="E19" i="6"/>
  <c r="F19" i="6"/>
  <c r="G19" i="6"/>
  <c r="E13" i="6"/>
  <c r="E17" i="6"/>
  <c r="N15" i="6"/>
  <c r="M15" i="6"/>
  <c r="O15" i="6"/>
  <c r="I15" i="6"/>
  <c r="J15" i="6"/>
  <c r="K15" i="6"/>
  <c r="L15" i="6"/>
  <c r="J7" i="6"/>
  <c r="K7" i="6"/>
  <c r="L7" i="6"/>
  <c r="M7" i="6"/>
  <c r="N7" i="6"/>
  <c r="O7" i="6"/>
  <c r="L11" i="6"/>
  <c r="M11" i="6"/>
  <c r="N11" i="6"/>
  <c r="O11" i="6"/>
  <c r="I11" i="6"/>
  <c r="J11" i="6"/>
  <c r="K11" i="6"/>
  <c r="F13" i="6"/>
  <c r="N27" i="6" l="1"/>
  <c r="H27" i="6"/>
  <c r="L27" i="6"/>
  <c r="I27" i="6"/>
  <c r="M27" i="6"/>
  <c r="N19" i="6"/>
  <c r="J10" i="4"/>
  <c r="D25" i="6"/>
  <c r="C5" i="4"/>
  <c r="E27" i="6"/>
  <c r="F27" i="6"/>
  <c r="J59" i="6"/>
  <c r="J27" i="6"/>
  <c r="K27" i="6"/>
  <c r="G27" i="6"/>
  <c r="M59" i="6"/>
  <c r="O27" i="6"/>
  <c r="F12" i="5"/>
  <c r="F13" i="5" s="1"/>
  <c r="N59" i="6"/>
  <c r="L59" i="6"/>
  <c r="F59" i="6"/>
  <c r="E59" i="6"/>
  <c r="O59" i="6"/>
  <c r="H59" i="6"/>
  <c r="K59" i="6"/>
  <c r="M19" i="6"/>
  <c r="L19" i="6"/>
  <c r="K19" i="6"/>
  <c r="G59" i="6"/>
  <c r="I59" i="6"/>
  <c r="J19" i="6"/>
  <c r="I19" i="6"/>
  <c r="O19" i="6"/>
  <c r="G13" i="6"/>
  <c r="F17" i="6"/>
  <c r="G17" i="6" l="1"/>
  <c r="H13" i="6" l="1"/>
  <c r="H17" i="6"/>
  <c r="I13" i="6"/>
  <c r="I17" i="6" l="1"/>
  <c r="J13" i="6"/>
  <c r="J17" i="6" l="1"/>
  <c r="K13" i="6"/>
  <c r="K17" i="6" l="1"/>
  <c r="L13" i="6"/>
  <c r="J22" i="4"/>
  <c r="J21" i="4"/>
  <c r="J5" i="4"/>
  <c r="J6" i="4"/>
  <c r="J7" i="4"/>
  <c r="J8" i="4"/>
  <c r="J11" i="4"/>
  <c r="J12" i="4"/>
  <c r="J13" i="4"/>
  <c r="J14" i="4"/>
  <c r="J15" i="4"/>
  <c r="J16" i="4"/>
  <c r="J17" i="4"/>
  <c r="J19" i="4"/>
  <c r="J20" i="4"/>
  <c r="J4" i="4"/>
  <c r="L17" i="6" l="1"/>
  <c r="M13" i="6"/>
  <c r="M61" i="6"/>
  <c r="B12" i="6"/>
  <c r="B16" i="6" s="1"/>
  <c r="B11" i="6"/>
  <c r="B15" i="6" s="1"/>
  <c r="I61" i="6" l="1"/>
  <c r="M17" i="6"/>
  <c r="N13" i="6"/>
  <c r="O13" i="6"/>
  <c r="F9" i="6"/>
  <c r="E9" i="6"/>
  <c r="N61" i="6"/>
  <c r="F61" i="6"/>
  <c r="J61" i="6"/>
  <c r="E61" i="6"/>
  <c r="L61" i="6"/>
  <c r="H61" i="6"/>
  <c r="O61" i="6"/>
  <c r="K61" i="6"/>
  <c r="G61" i="6"/>
  <c r="F47" i="6" l="1"/>
  <c r="F20" i="6"/>
  <c r="E47" i="6"/>
  <c r="E20" i="6"/>
  <c r="N17" i="6"/>
  <c r="O17" i="6"/>
  <c r="G9" i="6"/>
  <c r="G47" i="6" l="1"/>
  <c r="G20" i="6"/>
  <c r="H9" i="6"/>
  <c r="H47" i="6" l="1"/>
  <c r="H20" i="6"/>
  <c r="I9" i="6"/>
  <c r="I47" i="6" l="1"/>
  <c r="I20" i="6"/>
  <c r="J9" i="6"/>
  <c r="J47" i="6" l="1"/>
  <c r="J20" i="6"/>
  <c r="K9" i="6"/>
  <c r="K47" i="6" l="1"/>
  <c r="K20" i="6"/>
  <c r="L9" i="6"/>
  <c r="L47" i="6" l="1"/>
  <c r="L20" i="6"/>
  <c r="M9" i="6"/>
  <c r="J25" i="5"/>
  <c r="J26" i="5" s="1"/>
  <c r="J27" i="5" s="1"/>
  <c r="J23" i="5"/>
  <c r="J22" i="5" s="1"/>
  <c r="J21" i="5" s="1"/>
  <c r="O20" i="5"/>
  <c r="P20" i="5" s="1"/>
  <c r="Q20" i="5" s="1"/>
  <c r="M20" i="5"/>
  <c r="L20" i="5" s="1"/>
  <c r="K20" i="5" s="1"/>
  <c r="J20" i="5"/>
  <c r="J10" i="5"/>
  <c r="J11" i="5" s="1"/>
  <c r="J12" i="5" s="1"/>
  <c r="J8" i="5"/>
  <c r="J7" i="5" s="1"/>
  <c r="J6" i="5" s="1"/>
  <c r="O5" i="5"/>
  <c r="P5" i="5" s="1"/>
  <c r="Q5" i="5" s="1"/>
  <c r="M5" i="5"/>
  <c r="L5" i="5" s="1"/>
  <c r="K5" i="5" s="1"/>
  <c r="J5" i="5"/>
  <c r="M47" i="6" l="1"/>
  <c r="M20" i="6"/>
  <c r="N9" i="6"/>
  <c r="D26" i="6"/>
  <c r="D48" i="6" s="1"/>
  <c r="D49" i="6" l="1"/>
  <c r="N47" i="6"/>
  <c r="N20" i="6"/>
  <c r="N26" i="6"/>
  <c r="J26" i="6"/>
  <c r="F26" i="6"/>
  <c r="H26" i="6"/>
  <c r="I26" i="6"/>
  <c r="G26" i="6"/>
  <c r="O26" i="6"/>
  <c r="E26" i="6"/>
  <c r="K26" i="6"/>
  <c r="L26" i="6"/>
  <c r="M26" i="6"/>
  <c r="I25" i="6"/>
  <c r="E25" i="6"/>
  <c r="G25" i="6"/>
  <c r="L25" i="6"/>
  <c r="K25" i="6"/>
  <c r="M25" i="6"/>
  <c r="J25" i="6"/>
  <c r="H25" i="6"/>
  <c r="F25" i="6"/>
  <c r="N25" i="6"/>
  <c r="O25" i="6"/>
  <c r="O9" i="6"/>
  <c r="M48" i="6" l="1"/>
  <c r="M49" i="6" s="1"/>
  <c r="J48" i="6"/>
  <c r="G48" i="6"/>
  <c r="E48" i="6"/>
  <c r="E49" i="6" s="1"/>
  <c r="E50" i="6" s="1"/>
  <c r="O48" i="6"/>
  <c r="J49" i="6"/>
  <c r="J50" i="6" s="1"/>
  <c r="I48" i="6"/>
  <c r="I49" i="6" s="1"/>
  <c r="I50" i="6" s="1"/>
  <c r="H48" i="6"/>
  <c r="H49" i="6" s="1"/>
  <c r="L48" i="6"/>
  <c r="L49" i="6" s="1"/>
  <c r="L50" i="6" s="1"/>
  <c r="K48" i="6"/>
  <c r="K49" i="6" s="1"/>
  <c r="N48" i="6"/>
  <c r="F48" i="6"/>
  <c r="F49" i="6" s="1"/>
  <c r="D50" i="6"/>
  <c r="O47" i="6"/>
  <c r="O20" i="6"/>
  <c r="G49" i="6" l="1"/>
  <c r="H50" i="6"/>
  <c r="K50" i="6"/>
  <c r="M50" i="6"/>
  <c r="F50" i="6"/>
  <c r="N49" i="6"/>
  <c r="N50" i="6" s="1"/>
  <c r="G50" i="6" l="1"/>
  <c r="O49" i="6"/>
  <c r="O50" i="6" l="1"/>
  <c r="C10" i="4"/>
  <c r="C7" i="4" l="1"/>
  <c r="C11" i="4" s="1"/>
  <c r="D24" i="6"/>
  <c r="D23" i="6" s="1"/>
  <c r="M24" i="6" l="1"/>
  <c r="M23" i="6" s="1"/>
  <c r="O24" i="6"/>
  <c r="O23" i="6" s="1"/>
  <c r="D53" i="6"/>
  <c r="D54" i="6" s="1"/>
  <c r="D55" i="6" s="1"/>
  <c r="K24" i="6"/>
  <c r="K53" i="6" s="1"/>
  <c r="K54" i="6" s="1"/>
  <c r="N24" i="6"/>
  <c r="N53" i="6" s="1"/>
  <c r="N54" i="6" s="1"/>
  <c r="G24" i="6"/>
  <c r="G53" i="6" s="1"/>
  <c r="G54" i="6" s="1"/>
  <c r="H24" i="6"/>
  <c r="H23" i="6" s="1"/>
  <c r="I24" i="6"/>
  <c r="I53" i="6" s="1"/>
  <c r="I54" i="6" s="1"/>
  <c r="J24" i="6"/>
  <c r="J53" i="6" s="1"/>
  <c r="J54" i="6" s="1"/>
  <c r="E24" i="6"/>
  <c r="E53" i="6" s="1"/>
  <c r="E54" i="6" s="1"/>
  <c r="F24" i="6"/>
  <c r="F23" i="6" s="1"/>
  <c r="L24" i="6"/>
  <c r="L23" i="6" s="1"/>
  <c r="C12" i="4"/>
  <c r="K23" i="6"/>
  <c r="M53" i="6" l="1"/>
  <c r="M54" i="6" s="1"/>
  <c r="M63" i="6" s="1"/>
  <c r="L53" i="6"/>
  <c r="L54" i="6" s="1"/>
  <c r="L55" i="6" s="1"/>
  <c r="H53" i="6"/>
  <c r="H54" i="6" s="1"/>
  <c r="H63" i="6" s="1"/>
  <c r="O53" i="6"/>
  <c r="O54" i="6" s="1"/>
  <c r="O63" i="6" s="1"/>
  <c r="N23" i="6"/>
  <c r="F53" i="6"/>
  <c r="F54" i="6" s="1"/>
  <c r="F63" i="6" s="1"/>
  <c r="E23" i="6"/>
  <c r="J23" i="6"/>
  <c r="D63" i="6"/>
  <c r="G23" i="6"/>
  <c r="I23" i="6"/>
  <c r="I63" i="6"/>
  <c r="I55" i="6"/>
  <c r="K55" i="6"/>
  <c r="K63" i="6"/>
  <c r="N55" i="6"/>
  <c r="N63" i="6"/>
  <c r="G63" i="6"/>
  <c r="G55" i="6"/>
  <c r="E63" i="6"/>
  <c r="E55" i="6"/>
  <c r="J63" i="6"/>
  <c r="J55" i="6"/>
  <c r="D64" i="6"/>
  <c r="D56" i="6"/>
  <c r="O55" i="6" l="1"/>
  <c r="O56" i="6" s="1"/>
  <c r="M55" i="6"/>
  <c r="M64" i="6" s="1"/>
  <c r="H55" i="6"/>
  <c r="H64" i="6" s="1"/>
  <c r="L63" i="6"/>
  <c r="F55" i="6"/>
  <c r="F56" i="6" s="1"/>
  <c r="D66" i="6"/>
  <c r="D67" i="6" s="1"/>
  <c r="J64" i="6"/>
  <c r="J56" i="6"/>
  <c r="K64" i="6"/>
  <c r="K56" i="6"/>
  <c r="E56" i="6"/>
  <c r="E64" i="6"/>
  <c r="L56" i="6"/>
  <c r="L64" i="6"/>
  <c r="G56" i="6"/>
  <c r="G64" i="6"/>
  <c r="I56" i="6"/>
  <c r="I64" i="6"/>
  <c r="N64" i="6"/>
  <c r="N56" i="6"/>
  <c r="F64" i="6" l="1"/>
  <c r="F66" i="6" s="1"/>
  <c r="F67" i="6" s="1"/>
  <c r="O64" i="6"/>
  <c r="O66" i="6" s="1"/>
  <c r="O67" i="6" s="1"/>
  <c r="H56" i="6"/>
  <c r="M56" i="6"/>
  <c r="L66" i="6"/>
  <c r="L67" i="6" s="1"/>
  <c r="N66" i="6"/>
  <c r="N67" i="6" s="1"/>
  <c r="E66" i="6"/>
  <c r="E67" i="6" s="1"/>
  <c r="J66" i="6"/>
  <c r="J67" i="6" s="1"/>
  <c r="H66" i="6"/>
  <c r="H67" i="6" s="1"/>
  <c r="I66" i="6"/>
  <c r="I67" i="6" s="1"/>
  <c r="M66" i="6"/>
  <c r="M67" i="6" s="1"/>
  <c r="K66" i="6"/>
  <c r="K67" i="6" s="1"/>
  <c r="G66" i="6"/>
  <c r="G67" i="6" s="1"/>
</calcChain>
</file>

<file path=xl/sharedStrings.xml><?xml version="1.0" encoding="utf-8"?>
<sst xmlns="http://schemas.openxmlformats.org/spreadsheetml/2006/main" count="211" uniqueCount="118">
  <si>
    <t>Thuế (nếu có)</t>
  </si>
  <si>
    <t>Doanh thu</t>
  </si>
  <si>
    <t>Lợi nhuận gộp</t>
  </si>
  <si>
    <t>Chi phí bán hàng và quản lí chung</t>
  </si>
  <si>
    <t>Thu nhập trước thuế</t>
  </si>
  <si>
    <t>Thuế (VND)</t>
  </si>
  <si>
    <t>Lợi nhuận ròng (lỗ)</t>
  </si>
  <si>
    <t>Số ly bán được</t>
  </si>
  <si>
    <t>Giả định (tháng)</t>
  </si>
  <si>
    <t>Giá vốn</t>
  </si>
  <si>
    <t>Giảm giá (%)</t>
  </si>
  <si>
    <t>Giá trung bình mỗi ly (VND)</t>
  </si>
  <si>
    <t>Chi phí trung bình mỗi ly (VND)</t>
  </si>
  <si>
    <t>Chi phí bán hàng và quản lí chung (VND)</t>
  </si>
  <si>
    <t>Báo cáo lợi nhuận (VND)</t>
  </si>
  <si>
    <t>Giảm giá NV tòa nhà</t>
  </si>
  <si>
    <t>Giả định NV tòa nhà (tháng)</t>
  </si>
  <si>
    <t>Độ nhạy Giảm giá &amp; Lượng khách hàng NV tòa nhà</t>
  </si>
  <si>
    <t>Giả định KH ngoài tòa nhà (tháng)</t>
  </si>
  <si>
    <t>Lượng bán cho KH là NV tòa nhà</t>
  </si>
  <si>
    <t>c</t>
  </si>
  <si>
    <t>x</t>
  </si>
  <si>
    <t>F</t>
  </si>
  <si>
    <t>V</t>
  </si>
  <si>
    <t>Cọc tiền thuê</t>
  </si>
  <si>
    <t>Thuê mặt bằng</t>
  </si>
  <si>
    <t>Nhân sự</t>
  </si>
  <si>
    <t>Điện, Nước</t>
  </si>
  <si>
    <t>Phí dịch vụ</t>
  </si>
  <si>
    <t>Quảng cáo</t>
  </si>
  <si>
    <t>Nguyên vật liệu</t>
  </si>
  <si>
    <t>Đồng phục</t>
  </si>
  <si>
    <t>Máy POS</t>
  </si>
  <si>
    <t>Design menu, logo</t>
  </si>
  <si>
    <t>Chi phí khác</t>
  </si>
  <si>
    <t>Đăng ký GPDKKD + VSATTP</t>
  </si>
  <si>
    <t>Ly TA (ly, nắp, ống hút, bao bì)</t>
  </si>
  <si>
    <t>Assumptions</t>
  </si>
  <si>
    <t>Unit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</si>
  <si>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</si>
  <si>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</si>
  <si>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</si>
  <si>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</si>
  <si>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</si>
  <si>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</si>
  <si>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</si>
  <si>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</si>
  <si>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</si>
  <si>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</si>
  <si>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</si>
  <si>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</si>
  <si>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Revenue Assumptions</t>
  </si>
  <si>
    <t>#</t>
  </si>
  <si>
    <t>%</t>
  </si>
  <si>
    <t>$</t>
  </si>
  <si>
    <t>Cost Assumptions</t>
  </si>
  <si>
    <t>Income Statement</t>
  </si>
  <si>
    <t>Contribution Margin %</t>
  </si>
  <si>
    <t>Tax</t>
  </si>
  <si>
    <t>Profit / (Loss)</t>
  </si>
  <si>
    <t>Revenues vs. Costs</t>
  </si>
  <si>
    <t>Desip Coffee Forecast</t>
  </si>
  <si>
    <t>đ</t>
  </si>
  <si>
    <t>Loai CP</t>
  </si>
  <si>
    <t>Chi phi</t>
  </si>
  <si>
    <t>Ten chi phi</t>
  </si>
  <si>
    <t>VC/cup</t>
  </si>
  <si>
    <t>Phần mềm</t>
  </si>
  <si>
    <t>Hệ quầy</t>
  </si>
  <si>
    <t xml:space="preserve">Lệ phí môn bài </t>
  </si>
  <si>
    <t>Ghi chú</t>
  </si>
  <si>
    <t>Miễn năm đầu, tính từ tháng 1/2025</t>
  </si>
  <si>
    <t>Thuế TNCN</t>
  </si>
  <si>
    <t>Biến phí</t>
  </si>
  <si>
    <t>Định phí</t>
  </si>
  <si>
    <t xml:space="preserve">Doanh thu </t>
  </si>
  <si>
    <t>Tỷ suất LN gộp</t>
  </si>
  <si>
    <t xml:space="preserve">Đơn vị: 1.000 </t>
  </si>
  <si>
    <t>CP cơ hội (Cọc tiền thuê)</t>
  </si>
  <si>
    <t>Tính CP cơ hội theo lsuat tiền gửi 6%/năm</t>
  </si>
  <si>
    <t>Hợp đồng thuê 2 năm</t>
  </si>
  <si>
    <t>Khấu hao 3 năm</t>
  </si>
  <si>
    <t>May mới 2 lần/năm</t>
  </si>
  <si>
    <t>Máy móc thiết bị</t>
  </si>
  <si>
    <t>Khấu hao 1 năm</t>
  </si>
  <si>
    <t>Công cụ, dụng cụ</t>
  </si>
  <si>
    <t xml:space="preserve">Internet </t>
  </si>
  <si>
    <t>1 năm</t>
  </si>
  <si>
    <t xml:space="preserve">Phần mềm </t>
  </si>
  <si>
    <t>Coffee</t>
  </si>
  <si>
    <t>Trà trái cây</t>
  </si>
  <si>
    <t>Đá xay</t>
  </si>
  <si>
    <t>Số ly</t>
  </si>
  <si>
    <t>Giá</t>
  </si>
  <si>
    <t>DT Coffee</t>
  </si>
  <si>
    <t>DT trà trái cây</t>
  </si>
  <si>
    <t>DT đá xay</t>
  </si>
  <si>
    <t>Quảng cáo (mỗi ly)</t>
  </si>
  <si>
    <t>Nguyên vật liệu (mỗi ly)</t>
  </si>
  <si>
    <t>Tổng số ly</t>
  </si>
  <si>
    <t>Giá trung bình</t>
  </si>
  <si>
    <t>Tổng biến phí</t>
  </si>
  <si>
    <t>Tỷ suất đóng góp
(Contribution Margin)</t>
  </si>
  <si>
    <t>Quản lí chung</t>
  </si>
  <si>
    <t>Tổng định phí</t>
  </si>
  <si>
    <t>Tổng chi phí</t>
  </si>
  <si>
    <t>Thu nhập trước thuế (EBT)</t>
  </si>
  <si>
    <t>Quản lí + kho: 1 năm</t>
  </si>
  <si>
    <t>Khấu hao 2 năm</t>
  </si>
  <si>
    <t>Phân tích độ nhạy voucher</t>
  </si>
  <si>
    <t>Break-even Point</t>
  </si>
  <si>
    <t>Biến phí / ly (VND)</t>
  </si>
  <si>
    <t>Tổng doanh thu</t>
  </si>
  <si>
    <t xml:space="preserve">Định phí </t>
  </si>
  <si>
    <t>Assumption</t>
  </si>
  <si>
    <t>Mức tăng trưởng</t>
  </si>
  <si>
    <t xml:space="preserve"> trong 5 tháng đầu</t>
  </si>
  <si>
    <t>Tgian Khấu 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</si>
</sst>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\ &quot;₫&quot;_-;\-* #,##0\ &quot;₫&quot;_-;_-* &quot;-&quot;\ &quot;₫&quot;_-;_-@_-"/>
    <numFmt numFmtId="165" formatCode="_(* #,##0_);_(* \(#,##0\);_(* &quot;-&quot;??_);_(@_)"/>
    <numFmt numFmtId="166" formatCode="_-* #,##0_-;\-* #,##0_-;_-* &quot;-&quot;??_-;_-@_-"/>
    <numFmt numFmtId="167" formatCode="0.0%"/>
    <numFmt numFmtId="168" formatCode="[$$-409]#,##0.00;[Red][$$-409]#,##0.00"/>
  </numFmts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sz val="12"/>
      <name val="Calibri"/>
      <family val="2"/>
      <scheme val="minor"/>
    </font>
    <font>
      <sz val="12"/>
      <color rgb="FF406CF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432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06CF9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293D68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4">
    <xf numFmtId="0" fontId="0" fillId="0" borderId="0" xfId="0"/>
    <xf numFmtId="165" fontId="0" fillId="0" borderId="0" xfId="1" applyNumberFormat="1" applyFont="1"/>
    <xf numFmtId="0" fontId="6" fillId="2" borderId="1" xfId="0" applyFont="1" applyFill="1" applyBorder="1"/>
    <xf numFmtId="165" fontId="6" fillId="2" borderId="1" xfId="1" applyNumberFormat="1" applyFont="1" applyFill="1" applyBorder="1"/>
    <xf numFmtId="9" fontId="7" fillId="0" borderId="0" xfId="0" applyNumberFormat="1" applyFont="1"/>
    <xf numFmtId="165" fontId="0" fillId="0" borderId="0" xfId="1" applyNumberFormat="1" applyFont="1" applyAlignment="1">
      <alignment horizontal="right"/>
    </xf>
    <xf numFmtId="0" fontId="6" fillId="0" borderId="2" xfId="0" applyFont="1" applyBorder="1"/>
    <xf numFmtId="165" fontId="6" fillId="0" borderId="2" xfId="1" applyNumberFormat="1" applyFont="1" applyBorder="1"/>
    <xf numFmtId="165" fontId="7" fillId="0" borderId="0" xfId="1" applyNumberFormat="1" applyFont="1"/>
    <xf numFmtId="9" fontId="7" fillId="0" borderId="0" xfId="2" applyFont="1"/>
    <xf numFmtId="165" fontId="8" fillId="0" borderId="0" xfId="0" applyNumberFormat="1" applyFont="1"/>
    <xf numFmtId="165" fontId="0" fillId="0" borderId="4" xfId="1" applyNumberFormat="1" applyFont="1" applyBorder="1"/>
    <xf numFmtId="9" fontId="0" fillId="0" borderId="3" xfId="2" applyFont="1" applyBorder="1" applyAlignment="1">
      <alignment horizontal="center"/>
    </xf>
    <xf numFmtId="9" fontId="8" fillId="0" borderId="3" xfId="2" applyFont="1" applyBorder="1" applyAlignment="1">
      <alignment horizontal="center"/>
    </xf>
    <xf numFmtId="9" fontId="7" fillId="0" borderId="3" xfId="0" applyNumberFormat="1" applyFont="1" applyBorder="1" applyAlignment="1">
      <alignment horizontal="center"/>
    </xf>
    <xf numFmtId="165" fontId="9" fillId="0" borderId="1" xfId="1" applyNumberFormat="1" applyFont="1" applyBorder="1"/>
    <xf numFmtId="165" fontId="8" fillId="0" borderId="1" xfId="1" applyNumberFormat="1" applyFont="1" applyBorder="1"/>
    <xf numFmtId="166" fontId="0" fillId="0" borderId="0" xfId="1" applyNumberFormat="1" applyFont="1" applyFill="1"/>
    <xf numFmtId="166" fontId="0" fillId="0" borderId="0" xfId="1" applyNumberFormat="1" applyFont="1"/>
    <xf numFmtId="166" fontId="0" fillId="4" borderId="0" xfId="1" applyNumberFormat="1" applyFont="1" applyFill="1"/>
    <xf numFmtId="166" fontId="0" fillId="5" borderId="0" xfId="1" applyNumberFormat="1" applyFont="1" applyFill="1"/>
    <xf numFmtId="166" fontId="10" fillId="6" borderId="0" xfId="1" applyNumberFormat="1" applyFont="1" applyFill="1"/>
    <xf numFmtId="165" fontId="7" fillId="0" borderId="0" xfId="0" applyNumberFormat="1" applyFont="1"/>
    <xf numFmtId="1" fontId="9" fillId="0" borderId="1" xfId="2" applyNumberFormat="1" applyFont="1" applyBorder="1"/>
    <xf numFmtId="1" fontId="0" fillId="0" borderId="4" xfId="2" applyNumberFormat="1" applyFont="1" applyBorder="1"/>
    <xf numFmtId="1" fontId="8" fillId="0" borderId="1" xfId="2" applyNumberFormat="1" applyFont="1" applyBorder="1"/>
    <xf numFmtId="165" fontId="4" fillId="0" borderId="0" xfId="1" applyNumberFormat="1" applyFont="1"/>
    <xf numFmtId="16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3" fillId="7" borderId="0" xfId="0" applyFont="1" applyFill="1" applyAlignment="1">
      <alignment horizontal="center"/>
    </xf>
    <xf numFmtId="0" fontId="13" fillId="7" borderId="0" xfId="0" applyFont="1" applyFill="1"/>
    <xf numFmtId="0" fontId="13" fillId="8" borderId="0" xfId="0" applyFont="1" applyFill="1"/>
    <xf numFmtId="0" fontId="13" fillId="8" borderId="0" xfId="0" applyFont="1" applyFill="1" applyAlignment="1">
      <alignment horizontal="center"/>
    </xf>
    <xf numFmtId="17" fontId="14" fillId="8" borderId="0" xfId="0" applyNumberFormat="1" applyFont="1" applyFill="1" applyAlignment="1">
      <alignment horizontal="right"/>
    </xf>
    <xf numFmtId="0" fontId="12" fillId="9" borderId="0" xfId="0" applyFont="1" applyFill="1"/>
    <xf numFmtId="0" fontId="12" fillId="9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165" fontId="15" fillId="0" borderId="0" xfId="0" applyNumberFormat="1" applyFont="1"/>
    <xf numFmtId="0" fontId="12" fillId="0" borderId="0" xfId="0" applyFont="1"/>
    <xf numFmtId="0" fontId="12" fillId="0" borderId="5" xfId="0" applyFont="1" applyBorder="1"/>
    <xf numFmtId="0" fontId="12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 indent="1"/>
    </xf>
    <xf numFmtId="0" fontId="12" fillId="0" borderId="0" xfId="0" applyFont="1" applyAlignment="1">
      <alignment horizontal="center"/>
    </xf>
    <xf numFmtId="165" fontId="3" fillId="0" borderId="0" xfId="0" applyNumberFormat="1" applyFont="1"/>
    <xf numFmtId="168" fontId="12" fillId="0" borderId="0" xfId="0" applyNumberFormat="1" applyFont="1"/>
    <xf numFmtId="165" fontId="12" fillId="0" borderId="0" xfId="0" applyNumberFormat="1" applyFont="1"/>
    <xf numFmtId="0" fontId="12" fillId="0" borderId="4" xfId="0" applyFont="1" applyBorder="1"/>
    <xf numFmtId="0" fontId="12" fillId="0" borderId="4" xfId="0" applyFont="1" applyBorder="1" applyAlignment="1">
      <alignment horizontal="center"/>
    </xf>
    <xf numFmtId="165" fontId="12" fillId="0" borderId="4" xfId="0" applyNumberFormat="1" applyFont="1" applyBorder="1"/>
    <xf numFmtId="0" fontId="16" fillId="0" borderId="0" xfId="0" applyFont="1"/>
    <xf numFmtId="167" fontId="16" fillId="0" borderId="0" xfId="2" applyNumberFormat="1" applyFont="1"/>
    <xf numFmtId="0" fontId="17" fillId="0" borderId="0" xfId="0" applyFont="1" applyAlignment="1">
      <alignment horizontal="center"/>
    </xf>
    <xf numFmtId="165" fontId="3" fillId="0" borderId="0" xfId="0" applyNumberFormat="1" applyFont="1" applyAlignment="1">
      <alignment horizontal="right"/>
    </xf>
    <xf numFmtId="0" fontId="12" fillId="2" borderId="4" xfId="0" applyFont="1" applyFill="1" applyBorder="1"/>
    <xf numFmtId="0" fontId="12" fillId="2" borderId="4" xfId="0" applyFont="1" applyFill="1" applyBorder="1" applyAlignment="1">
      <alignment horizontal="center"/>
    </xf>
    <xf numFmtId="165" fontId="12" fillId="2" borderId="4" xfId="0" applyNumberFormat="1" applyFont="1" applyFill="1" applyBorder="1"/>
    <xf numFmtId="0" fontId="17" fillId="0" borderId="4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4" xfId="0" applyFont="1" applyBorder="1" applyAlignment="1">
      <alignment horizontal="center"/>
    </xf>
    <xf numFmtId="0" fontId="5" fillId="10" borderId="0" xfId="0" applyFont="1" applyFill="1" applyAlignment="1">
      <alignment horizontal="center" wrapText="1"/>
    </xf>
    <xf numFmtId="164" fontId="5" fillId="10" borderId="0" xfId="0" applyNumberFormat="1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indent="1"/>
    </xf>
    <xf numFmtId="165" fontId="20" fillId="0" borderId="0" xfId="0" applyNumberFormat="1" applyFont="1"/>
    <xf numFmtId="9" fontId="20" fillId="0" borderId="0" xfId="0" applyNumberFormat="1" applyFont="1"/>
    <xf numFmtId="165" fontId="22" fillId="0" borderId="5" xfId="0" applyNumberFormat="1" applyFont="1" applyBorder="1"/>
    <xf numFmtId="0" fontId="2" fillId="0" borderId="0" xfId="0" applyFont="1" applyAlignment="1">
      <alignment horizontal="center"/>
    </xf>
    <xf numFmtId="165" fontId="22" fillId="0" borderId="0" xfId="0" applyNumberFormat="1" applyFont="1"/>
    <xf numFmtId="0" fontId="2" fillId="0" borderId="6" xfId="0" applyFont="1" applyBorder="1" applyAlignment="1">
      <alignment horizontal="center"/>
    </xf>
    <xf numFmtId="43" fontId="0" fillId="0" borderId="0" xfId="1" applyFont="1" applyAlignment="1">
      <alignment horizontal="center"/>
    </xf>
    <xf numFmtId="0" fontId="12" fillId="0" borderId="4" xfId="0" applyFont="1" applyBorder="1" applyAlignment="1">
      <alignment wrapText="1"/>
    </xf>
    <xf numFmtId="43" fontId="20" fillId="0" borderId="0" xfId="1" applyFont="1" applyAlignment="1">
      <alignment horizontal="left"/>
    </xf>
    <xf numFmtId="165" fontId="21" fillId="11" borderId="0" xfId="1" applyNumberFormat="1" applyFont="1" applyFill="1"/>
    <xf numFmtId="43" fontId="12" fillId="0" borderId="0" xfId="0" applyNumberFormat="1" applyFont="1"/>
    <xf numFmtId="165" fontId="8" fillId="0" borderId="0" xfId="1" applyNumberFormat="1" applyFont="1"/>
    <xf numFmtId="0" fontId="1" fillId="0" borderId="0" xfId="0" applyFont="1"/>
    <xf numFmtId="165" fontId="15" fillId="11" borderId="0" xfId="0" applyNumberFormat="1" applyFont="1" applyFill="1"/>
    <xf numFmtId="165" fontId="20" fillId="11" borderId="0" xfId="0" applyNumberFormat="1" applyFont="1" applyFill="1"/>
    <xf numFmtId="43" fontId="7" fillId="0" borderId="0" xfId="1" applyFont="1" applyAlignment="1">
      <alignment horizontal="center"/>
    </xf>
    <xf numFmtId="166" fontId="7" fillId="0" borderId="0" xfId="1" applyNumberFormat="1" applyFont="1"/>
    <xf numFmtId="9" fontId="15" fillId="0" borderId="0" xfId="0" applyNumberFormat="1" applyFont="1"/>
    <xf numFmtId="17" fontId="11" fillId="7" borderId="0" xfId="0" applyNumberFormat="1" applyFont="1" applyFill="1"/>
    <xf numFmtId="9" fontId="19" fillId="0" borderId="0" xfId="0" applyNumberFormat="1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7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left" vertical="center" textRotation="90"/>
    </xf>
    <xf numFmtId="0" fontId="6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C9FBDB35-26F9-4243-ADF3-3DA20C7D9C5F}"/>
  </tableStyles>
  <colors>
    <mruColors>
      <color rgb="FF0432FF"/>
      <color rgb="FF406CF9"/>
      <color rgb="FF293D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Model'!$B$47</c:f>
              <c:strCache>
                <c:ptCount val="1"/>
                <c:pt idx="0">
                  <c:v>Doanh thu </c:v>
                </c:pt>
              </c:strCache>
            </c:strRef>
          </c:tx>
          <c:spPr>
            <a:solidFill>
              <a:srgbClr val="293D68"/>
            </a:solidFill>
            <a:ln>
              <a:noFill/>
            </a:ln>
            <a:effectLst/>
          </c:spPr>
          <c:invertIfNegative val="0"/>
          <c:cat>
            <c:numRef>
              <c:f>'Financial Model'!$D$3:$O$3</c:f>
              <c:numCache>
                <c:formatCode>mmm\-yy</c:formatCode>
                <c:ptCount val="12"/>
                <c:pt idx="0">
                  <c:v>45413</c:v>
                </c:pt>
                <c:pt idx="1">
                  <c:v>45444</c:v>
                </c:pt>
                <c:pt idx="2">
                  <c:v>45474</c:v>
                </c:pt>
                <c:pt idx="3">
                  <c:v>45505</c:v>
                </c:pt>
                <c:pt idx="4">
                  <c:v>45536</c:v>
                </c:pt>
                <c:pt idx="5">
                  <c:v>45566</c:v>
                </c:pt>
                <c:pt idx="6">
                  <c:v>45597</c:v>
                </c:pt>
                <c:pt idx="7">
                  <c:v>45627</c:v>
                </c:pt>
                <c:pt idx="8">
                  <c:v>45658</c:v>
                </c:pt>
                <c:pt idx="9">
                  <c:v>45689</c:v>
                </c:pt>
                <c:pt idx="10">
                  <c:v>45717</c:v>
                </c:pt>
                <c:pt idx="11">
                  <c:v>45748</c:v>
                </c:pt>
              </c:numCache>
            </c:numRef>
          </c:cat>
          <c:val>
            <c:numRef>
              <c:f>'Financial Model'!$D$47:$O$47</c:f>
              <c:numCache>
                <c:formatCode>_(* #,##0_);_(* \(#,##0\);_(* "-"??_);_(@_)</c:formatCode>
                <c:ptCount val="12"/>
                <c:pt idx="0">
                  <c:v>115600</c:v>
                </c:pt>
                <c:pt idx="1">
                  <c:v>127160</c:v>
                </c:pt>
                <c:pt idx="2">
                  <c:v>139876.00000000003</c:v>
                </c:pt>
                <c:pt idx="3">
                  <c:v>153863.60000000003</c:v>
                </c:pt>
                <c:pt idx="4">
                  <c:v>169249.96000000005</c:v>
                </c:pt>
                <c:pt idx="5">
                  <c:v>169249.96000000005</c:v>
                </c:pt>
                <c:pt idx="6">
                  <c:v>169249.96000000005</c:v>
                </c:pt>
                <c:pt idx="7">
                  <c:v>169249.96000000005</c:v>
                </c:pt>
                <c:pt idx="8">
                  <c:v>169249.96000000005</c:v>
                </c:pt>
                <c:pt idx="9">
                  <c:v>169249.96000000005</c:v>
                </c:pt>
                <c:pt idx="10">
                  <c:v>169249.96000000005</c:v>
                </c:pt>
                <c:pt idx="11">
                  <c:v>169249.96000000005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D-4DE7-A65D-2AB13F69BA05}"/>
            </c:ext>
          </c:extLst>
        </c:ser>
        <c:ser>
          <c:idx val="1"/>
          <c:order val="1"/>
          <c:tx>
            <c:strRef>
              <c:f>'Financial Model'!$B$63</c:f>
              <c:strCache>
                <c:ptCount val="1"/>
                <c:pt idx="0">
                  <c:v>Tổng chi phí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'Financial Model'!$D$3:$O$3</c:f>
              <c:numCache>
                <c:formatCode>mmm\-yy</c:formatCode>
                <c:ptCount val="12"/>
                <c:pt idx="0">
                  <c:v>45413</c:v>
                </c:pt>
                <c:pt idx="1">
                  <c:v>45444</c:v>
                </c:pt>
                <c:pt idx="2">
                  <c:v>45474</c:v>
                </c:pt>
                <c:pt idx="3">
                  <c:v>45505</c:v>
                </c:pt>
                <c:pt idx="4">
                  <c:v>45536</c:v>
                </c:pt>
                <c:pt idx="5">
                  <c:v>45566</c:v>
                </c:pt>
                <c:pt idx="6">
                  <c:v>45597</c:v>
                </c:pt>
                <c:pt idx="7">
                  <c:v>45627</c:v>
                </c:pt>
                <c:pt idx="8">
                  <c:v>45658</c:v>
                </c:pt>
                <c:pt idx="9">
                  <c:v>45689</c:v>
                </c:pt>
                <c:pt idx="10">
                  <c:v>45717</c:v>
                </c:pt>
                <c:pt idx="11">
                  <c:v>45748</c:v>
                </c:pt>
              </c:numCache>
            </c:numRef>
          </c:cat>
          <c:val>
            <c:numRef>
              <c:f>'Financial Model'!$D$63:$O$63</c:f>
              <c:numCache>
                <c:formatCode>_(* #,##0_);_(* \(#,##0\);_(* "-"??_);_(@_)</c:formatCode>
                <c:ptCount val="12"/>
                <c:pt idx="0">
                  <c:v>151076.66666666669</c:v>
                </c:pt>
                <c:pt idx="1">
                  <c:v>129132.66666666667</c:v>
                </c:pt>
                <c:pt idx="2">
                  <c:v>133044.26666666666</c:v>
                </c:pt>
                <c:pt idx="3">
                  <c:v>137347.02666666667</c:v>
                </c:pt>
                <c:pt idx="4">
                  <c:v>142080.06266666669</c:v>
                </c:pt>
                <c:pt idx="5">
                  <c:v>142080.06266666669</c:v>
                </c:pt>
                <c:pt idx="6">
                  <c:v>146080.06266666669</c:v>
                </c:pt>
                <c:pt idx="7">
                  <c:v>142080.06266666669</c:v>
                </c:pt>
                <c:pt idx="8">
                  <c:v>142080.06266666669</c:v>
                </c:pt>
                <c:pt idx="9">
                  <c:v>142080.06266666669</c:v>
                </c:pt>
                <c:pt idx="10">
                  <c:v>142080.06266666669</c:v>
                </c:pt>
                <c:pt idx="11">
                  <c:v>142080.06266666669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ED-4DE7-A65D-2AB13F69B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overlap val="-10"/>
        <c:axId val="1273369040"/>
        <c:axId val="1272187392"/>
      </c:barChart>
      <c:dateAx>
        <c:axId val="127336904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187392"/>
        <c:crosses val="autoZero"/>
        <c:auto val="1"/>
        <c:lblOffset val="100"/>
        <c:baseTimeUnit val="months"/>
      </c:dateAx>
      <c:valAx>
        <c:axId val="127218739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36904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686742</xdr:colOff>
      <xdr:row>70</xdr:row>
      <xdr:rowOff>25399</xdr:rowOff>
    </xdr:from>
    <xdr:to>
      <xdr:col>15</xdr:col>
      <xdr:colOff>56445</xdr:colOff>
      <xdr:row>84</xdr:row>
      <xdr:rowOff>134525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523F06-5FCC-4200-89A6-863ECB209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324E-B6CC-A544-803F-9E7D4C5F6256}">
  <dimension ref="B3:Q27"/>
  <sheetViews>
    <sheetView zoomScale="50" workbookViewId="0">
      <selection activeCell="E44" sqref="E44"/>
    </sheetView>
  </sheetViews>
  <sheetFormatPr defaultColWidth="10.8984375" defaultRowHeight="15.6" x14ac:dyDescent="0.3"/>
  <cols>
    <col min="2" max="2" width="12.09765625" customWidth="1"/>
    <col min="3" max="3" width="16.3984375" customWidth="1"/>
    <col min="6" max="6" width="25.296875" customWidth="1"/>
    <col min="10" max="10" width="11.09765625" bestFit="1" customWidth="1"/>
    <col min="11" max="13" width="13.69921875" bestFit="1" customWidth="1"/>
    <col min="14" max="14" width="18.69921875" bestFit="1" customWidth="1"/>
    <col min="15" max="17" width="13.69921875" bestFit="1" customWidth="1"/>
  </cols>
  <sheetData>
    <row r="3" spans="2:17" x14ac:dyDescent="0.3">
      <c r="B3" s="91" t="s">
        <v>109</v>
      </c>
      <c r="C3" s="91"/>
      <c r="D3" s="91"/>
      <c r="E3" s="91"/>
      <c r="F3" s="91"/>
      <c r="I3" s="91" t="s">
        <v>20</v>
      </c>
      <c r="J3" s="91"/>
      <c r="K3" s="91"/>
      <c r="L3" s="91"/>
      <c r="M3" s="91"/>
      <c r="N3" s="91"/>
      <c r="O3" s="91"/>
      <c r="P3" s="91"/>
      <c r="Q3" s="91"/>
    </row>
    <row r="4" spans="2:17" x14ac:dyDescent="0.3">
      <c r="K4" s="93" t="s">
        <v>7</v>
      </c>
      <c r="L4" s="93"/>
      <c r="M4" s="93"/>
      <c r="N4" s="93"/>
      <c r="O4" s="93"/>
      <c r="P4" s="93"/>
      <c r="Q4" s="93"/>
    </row>
    <row r="5" spans="2:17" x14ac:dyDescent="0.3">
      <c r="B5" s="91" t="s">
        <v>8</v>
      </c>
      <c r="C5" s="91"/>
      <c r="E5" s="91" t="s">
        <v>14</v>
      </c>
      <c r="F5" s="91"/>
      <c r="J5" s="10" t="e">
        <f>#REF!</f>
        <v>#REF!</v>
      </c>
      <c r="K5" s="16">
        <f t="shared" ref="K5:L5" si="0">L5-100</f>
        <v>5700</v>
      </c>
      <c r="L5" s="16">
        <f t="shared" si="0"/>
        <v>5800</v>
      </c>
      <c r="M5" s="16">
        <f>N5-100</f>
        <v>5900</v>
      </c>
      <c r="N5" s="15">
        <v>6000</v>
      </c>
      <c r="O5" s="11">
        <f>N5+100</f>
        <v>6100</v>
      </c>
      <c r="P5" s="11">
        <f t="shared" ref="P5:Q5" si="1">O5+100</f>
        <v>6200</v>
      </c>
      <c r="Q5" s="11">
        <f t="shared" si="1"/>
        <v>6300</v>
      </c>
    </row>
    <row r="6" spans="2:17" x14ac:dyDescent="0.3">
      <c r="B6" t="s">
        <v>7</v>
      </c>
      <c r="C6" s="26">
        <f>C14+C18</f>
        <v>6000</v>
      </c>
      <c r="E6" t="s">
        <v>1</v>
      </c>
      <c r="F6" s="1">
        <f>C6*C7</f>
        <v>300000000</v>
      </c>
      <c r="I6" s="92" t="s">
        <v>15</v>
      </c>
      <c r="J6" s="13">
        <f t="shared" ref="J6:J7" si="2">J7-5%</f>
        <v>5.0000000000000017E-2</v>
      </c>
      <c r="K6" s="17">
        <v>60025000</v>
      </c>
      <c r="L6" s="17">
        <v>62475000</v>
      </c>
      <c r="M6" s="17">
        <v>64925000</v>
      </c>
      <c r="N6" s="17">
        <v>67375000</v>
      </c>
      <c r="O6" s="17">
        <v>69825000</v>
      </c>
      <c r="P6" s="18">
        <v>72275000</v>
      </c>
      <c r="Q6" s="18">
        <v>74725000</v>
      </c>
    </row>
    <row r="7" spans="2:17" x14ac:dyDescent="0.3">
      <c r="B7" t="s">
        <v>11</v>
      </c>
      <c r="C7" s="8">
        <v>50000</v>
      </c>
      <c r="E7" t="s">
        <v>15</v>
      </c>
      <c r="F7" s="1">
        <f>-C15*C14*C7</f>
        <v>-5000000</v>
      </c>
      <c r="I7" s="92"/>
      <c r="J7" s="13">
        <f t="shared" si="2"/>
        <v>0.10000000000000002</v>
      </c>
      <c r="K7" s="17">
        <v>58800000</v>
      </c>
      <c r="L7" s="20">
        <v>61250000</v>
      </c>
      <c r="M7" s="20">
        <v>63700000</v>
      </c>
      <c r="N7" s="20">
        <v>66150000</v>
      </c>
      <c r="O7" s="20">
        <v>68600000</v>
      </c>
      <c r="P7" s="20">
        <v>71050000</v>
      </c>
      <c r="Q7" s="18">
        <v>73500000</v>
      </c>
    </row>
    <row r="8" spans="2:17" x14ac:dyDescent="0.3">
      <c r="B8" t="s">
        <v>12</v>
      </c>
      <c r="C8" s="8">
        <v>25000</v>
      </c>
      <c r="E8" t="s">
        <v>9</v>
      </c>
      <c r="F8" s="1">
        <f>-C6*C8</f>
        <v>-150000000</v>
      </c>
      <c r="I8" s="92"/>
      <c r="J8" s="13">
        <f>J9-5%</f>
        <v>0.15000000000000002</v>
      </c>
      <c r="K8" s="17">
        <v>57575000</v>
      </c>
      <c r="L8" s="20">
        <v>60025000</v>
      </c>
      <c r="M8" s="19">
        <v>62475000</v>
      </c>
      <c r="N8" s="19">
        <v>64925000</v>
      </c>
      <c r="O8" s="19">
        <v>67375000</v>
      </c>
      <c r="P8" s="20">
        <v>69825000</v>
      </c>
      <c r="Q8" s="18">
        <v>72275000</v>
      </c>
    </row>
    <row r="9" spans="2:17" x14ac:dyDescent="0.3">
      <c r="B9" t="s">
        <v>13</v>
      </c>
      <c r="C9" s="8">
        <v>80000000</v>
      </c>
      <c r="E9" s="6" t="s">
        <v>2</v>
      </c>
      <c r="F9" s="7">
        <f>SUM(F6:F8)</f>
        <v>145000000</v>
      </c>
      <c r="I9" s="92"/>
      <c r="J9" s="14">
        <v>0.2</v>
      </c>
      <c r="K9" s="17">
        <v>56350000</v>
      </c>
      <c r="L9" s="20">
        <v>58800000</v>
      </c>
      <c r="M9" s="19">
        <v>61250000</v>
      </c>
      <c r="N9" s="21">
        <v>63700000</v>
      </c>
      <c r="O9" s="19">
        <v>66150000</v>
      </c>
      <c r="P9" s="20">
        <v>68600000</v>
      </c>
      <c r="Q9" s="18">
        <v>71050000</v>
      </c>
    </row>
    <row r="10" spans="2:17" x14ac:dyDescent="0.3">
      <c r="B10" t="s">
        <v>0</v>
      </c>
      <c r="C10" s="4">
        <v>0.01</v>
      </c>
      <c r="E10" t="s">
        <v>3</v>
      </c>
      <c r="F10" s="1">
        <f>-C9</f>
        <v>-80000000</v>
      </c>
      <c r="I10" s="92"/>
      <c r="J10" s="12">
        <f>J9+5%</f>
        <v>0.25</v>
      </c>
      <c r="K10" s="17">
        <v>55125000</v>
      </c>
      <c r="L10" s="20">
        <v>57575000</v>
      </c>
      <c r="M10" s="19">
        <v>60025000</v>
      </c>
      <c r="N10" s="19">
        <v>62475000</v>
      </c>
      <c r="O10" s="19">
        <v>64925000</v>
      </c>
      <c r="P10" s="20">
        <v>67375000</v>
      </c>
      <c r="Q10" s="18">
        <v>69825000</v>
      </c>
    </row>
    <row r="11" spans="2:17" x14ac:dyDescent="0.3">
      <c r="E11" s="6" t="s">
        <v>4</v>
      </c>
      <c r="F11" s="7">
        <f>SUM(F9:F10)</f>
        <v>65000000</v>
      </c>
      <c r="I11" s="92"/>
      <c r="J11" s="12">
        <f t="shared" ref="J11:J12" si="3">J10+5%</f>
        <v>0.3</v>
      </c>
      <c r="K11" s="18">
        <v>53900000</v>
      </c>
      <c r="L11" s="20">
        <v>56350000</v>
      </c>
      <c r="M11" s="20">
        <v>58800000</v>
      </c>
      <c r="N11" s="20">
        <v>61250000</v>
      </c>
      <c r="O11" s="20">
        <v>63700000</v>
      </c>
      <c r="P11" s="20">
        <v>66150000</v>
      </c>
      <c r="Q11" s="18">
        <v>68600000</v>
      </c>
    </row>
    <row r="12" spans="2:17" x14ac:dyDescent="0.3">
      <c r="E12" t="s">
        <v>5</v>
      </c>
      <c r="F12" s="5">
        <f>IF(F11&lt;=0,"0",-C10*F11)</f>
        <v>-650000</v>
      </c>
      <c r="I12" s="92"/>
      <c r="J12" s="12">
        <f t="shared" si="3"/>
        <v>0.35</v>
      </c>
      <c r="K12" s="18">
        <v>52675000</v>
      </c>
      <c r="L12" s="18">
        <v>55125000</v>
      </c>
      <c r="M12" s="18">
        <v>57575000</v>
      </c>
      <c r="N12" s="18">
        <v>60025000</v>
      </c>
      <c r="O12" s="18">
        <v>62475000</v>
      </c>
      <c r="P12" s="18">
        <v>64925000</v>
      </c>
      <c r="Q12" s="18">
        <v>67375000</v>
      </c>
    </row>
    <row r="13" spans="2:17" x14ac:dyDescent="0.3">
      <c r="B13" s="91" t="s">
        <v>16</v>
      </c>
      <c r="C13" s="91"/>
      <c r="E13" s="2" t="s">
        <v>6</v>
      </c>
      <c r="F13" s="3">
        <f>SUM(F11:F12)</f>
        <v>64350000</v>
      </c>
    </row>
    <row r="14" spans="2:17" x14ac:dyDescent="0.3">
      <c r="B14" t="s">
        <v>7</v>
      </c>
      <c r="C14" s="22">
        <v>500</v>
      </c>
    </row>
    <row r="15" spans="2:17" x14ac:dyDescent="0.3">
      <c r="B15" t="s">
        <v>10</v>
      </c>
      <c r="C15" s="9">
        <v>0.2</v>
      </c>
    </row>
    <row r="17" spans="2:17" x14ac:dyDescent="0.3">
      <c r="B17" s="91" t="s">
        <v>18</v>
      </c>
      <c r="C17" s="91"/>
    </row>
    <row r="18" spans="2:17" x14ac:dyDescent="0.3">
      <c r="B18" t="s">
        <v>7</v>
      </c>
      <c r="C18" s="22">
        <v>5500</v>
      </c>
      <c r="I18" s="91" t="s">
        <v>17</v>
      </c>
      <c r="J18" s="91"/>
      <c r="K18" s="91"/>
      <c r="L18" s="91"/>
      <c r="M18" s="91"/>
      <c r="N18" s="91"/>
      <c r="O18" s="91"/>
      <c r="P18" s="91"/>
      <c r="Q18" s="91"/>
    </row>
    <row r="19" spans="2:17" x14ac:dyDescent="0.3">
      <c r="K19" s="93" t="s">
        <v>19</v>
      </c>
      <c r="L19" s="93"/>
      <c r="M19" s="93"/>
      <c r="N19" s="93"/>
      <c r="O19" s="93"/>
      <c r="P19" s="93"/>
      <c r="Q19" s="93"/>
    </row>
    <row r="20" spans="2:17" x14ac:dyDescent="0.3">
      <c r="J20" s="10" t="e">
        <f>#REF!</f>
        <v>#REF!</v>
      </c>
      <c r="K20" s="25">
        <f t="shared" ref="K20:L20" si="4">L20-100</f>
        <v>200</v>
      </c>
      <c r="L20" s="25">
        <f t="shared" si="4"/>
        <v>300</v>
      </c>
      <c r="M20" s="25">
        <f>N20-100</f>
        <v>400</v>
      </c>
      <c r="N20" s="23">
        <v>500</v>
      </c>
      <c r="O20" s="24">
        <f>N20+100</f>
        <v>600</v>
      </c>
      <c r="P20" s="24">
        <f t="shared" ref="P20:Q20" si="5">O20+100</f>
        <v>700</v>
      </c>
      <c r="Q20" s="24">
        <f t="shared" si="5"/>
        <v>800</v>
      </c>
    </row>
    <row r="21" spans="2:17" x14ac:dyDescent="0.3">
      <c r="I21" s="92" t="s">
        <v>15</v>
      </c>
      <c r="J21" s="13">
        <f t="shared" ref="J21:J22" si="6">J22-5%</f>
        <v>5.0000000000000017E-2</v>
      </c>
      <c r="K21" s="17">
        <v>60760000</v>
      </c>
      <c r="L21" s="17">
        <v>62965000</v>
      </c>
      <c r="M21" s="17">
        <v>65170000</v>
      </c>
      <c r="N21" s="17">
        <v>67375000</v>
      </c>
      <c r="O21" s="17">
        <v>69580000</v>
      </c>
      <c r="P21" s="18">
        <v>71785000</v>
      </c>
      <c r="Q21" s="18">
        <v>73990000</v>
      </c>
    </row>
    <row r="22" spans="2:17" x14ac:dyDescent="0.3">
      <c r="I22" s="92"/>
      <c r="J22" s="13">
        <f t="shared" si="6"/>
        <v>0.10000000000000002</v>
      </c>
      <c r="K22" s="17">
        <v>60270000</v>
      </c>
      <c r="L22" s="20">
        <v>62230000</v>
      </c>
      <c r="M22" s="20">
        <v>64190000</v>
      </c>
      <c r="N22" s="20">
        <v>66150000</v>
      </c>
      <c r="O22" s="20">
        <v>68110000</v>
      </c>
      <c r="P22" s="20">
        <v>70070000</v>
      </c>
      <c r="Q22" s="18">
        <v>72030000</v>
      </c>
    </row>
    <row r="23" spans="2:17" x14ac:dyDescent="0.3">
      <c r="I23" s="92"/>
      <c r="J23" s="13">
        <f>J24-5%</f>
        <v>0.15000000000000002</v>
      </c>
      <c r="K23" s="17">
        <v>59780000</v>
      </c>
      <c r="L23" s="20">
        <v>61495000</v>
      </c>
      <c r="M23" s="19">
        <v>63210000</v>
      </c>
      <c r="N23" s="19">
        <v>64925000</v>
      </c>
      <c r="O23" s="19">
        <v>66640000</v>
      </c>
      <c r="P23" s="20">
        <v>68355000</v>
      </c>
      <c r="Q23" s="18">
        <v>70070000</v>
      </c>
    </row>
    <row r="24" spans="2:17" x14ac:dyDescent="0.3">
      <c r="I24" s="92"/>
      <c r="J24" s="14">
        <v>0.2</v>
      </c>
      <c r="K24" s="17">
        <v>59290000</v>
      </c>
      <c r="L24" s="20">
        <v>60760000</v>
      </c>
      <c r="M24" s="19">
        <v>62230000</v>
      </c>
      <c r="N24" s="21">
        <v>63700000</v>
      </c>
      <c r="O24" s="19">
        <v>65170000</v>
      </c>
      <c r="P24" s="20">
        <v>66640000</v>
      </c>
      <c r="Q24" s="18">
        <v>68110000</v>
      </c>
    </row>
    <row r="25" spans="2:17" x14ac:dyDescent="0.3">
      <c r="I25" s="92"/>
      <c r="J25" s="12">
        <f>J24+5%</f>
        <v>0.25</v>
      </c>
      <c r="K25" s="17">
        <v>58800000</v>
      </c>
      <c r="L25" s="20">
        <v>60025000</v>
      </c>
      <c r="M25" s="19">
        <v>61250000</v>
      </c>
      <c r="N25" s="19">
        <v>62475000</v>
      </c>
      <c r="O25" s="19">
        <v>63700000</v>
      </c>
      <c r="P25" s="20">
        <v>64925000</v>
      </c>
      <c r="Q25" s="18">
        <v>66150000</v>
      </c>
    </row>
    <row r="26" spans="2:17" x14ac:dyDescent="0.3">
      <c r="I26" s="92"/>
      <c r="J26" s="12">
        <f t="shared" ref="J26:J27" si="7">J25+5%</f>
        <v>0.3</v>
      </c>
      <c r="K26" s="18">
        <v>58310000</v>
      </c>
      <c r="L26" s="20">
        <v>59290000</v>
      </c>
      <c r="M26" s="20">
        <v>60270000</v>
      </c>
      <c r="N26" s="20">
        <v>61250000</v>
      </c>
      <c r="O26" s="20">
        <v>62230000</v>
      </c>
      <c r="P26" s="20">
        <v>63210000</v>
      </c>
      <c r="Q26" s="18">
        <v>64190000</v>
      </c>
    </row>
    <row r="27" spans="2:17" x14ac:dyDescent="0.3">
      <c r="I27" s="92"/>
      <c r="J27" s="12">
        <f t="shared" si="7"/>
        <v>0.35</v>
      </c>
      <c r="K27" s="18">
        <v>57820000</v>
      </c>
      <c r="L27" s="18">
        <v>58555000</v>
      </c>
      <c r="M27" s="18">
        <v>59290000</v>
      </c>
      <c r="N27" s="18">
        <v>60025000</v>
      </c>
      <c r="O27" s="18">
        <v>60760000</v>
      </c>
      <c r="P27" s="18">
        <v>61495000</v>
      </c>
      <c r="Q27" s="18">
        <v>62230000</v>
      </c>
    </row>
  </sheetData>
  <mergeCells count="11">
    <mergeCell ref="I21:I27"/>
    <mergeCell ref="I3:Q3"/>
    <mergeCell ref="K4:Q4"/>
    <mergeCell ref="I6:I12"/>
    <mergeCell ref="I18:Q18"/>
    <mergeCell ref="K19:Q19"/>
    <mergeCell ref="B3:F3"/>
    <mergeCell ref="B5:C5"/>
    <mergeCell ref="E5:F5"/>
    <mergeCell ref="B13:C13"/>
    <mergeCell ref="B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063D-009A-41C2-B0BA-FB35C2226C1C}">
  <dimension ref="A1:O85"/>
  <sheetViews>
    <sheetView showGridLines="0" zoomScale="85" zoomScaleNormal="100" workbookViewId="0">
      <pane ySplit="4" topLeftCell="A49" activePane="bottomLeft" state="frozenSplit"/>
      <selection pane="bottomLeft" activeCell="F31" sqref="F31"/>
    </sheetView>
  </sheetViews>
  <sheetFormatPr defaultColWidth="10.796875" defaultRowHeight="14.4" x14ac:dyDescent="0.3"/>
  <cols>
    <col min="1" max="1" width="5.5" style="29" customWidth="1"/>
    <col min="2" max="2" width="25.796875" style="29" customWidth="1"/>
    <col min="3" max="3" width="4.5" style="37" customWidth="1"/>
    <col min="4" max="4" width="13.09765625" style="29" customWidth="1"/>
    <col min="5" max="5" width="10.8984375" style="29" customWidth="1"/>
    <col min="6" max="15" width="10.59765625" style="29" customWidth="1"/>
    <col min="16" max="16384" width="10.796875" style="29"/>
  </cols>
  <sheetData>
    <row r="1" spans="1:15" x14ac:dyDescent="0.3">
      <c r="O1" s="65" t="s">
        <v>77</v>
      </c>
    </row>
    <row r="2" spans="1:15" ht="16.05" customHeight="1" x14ac:dyDescent="0.35">
      <c r="A2" s="29" t="s">
        <v>21</v>
      </c>
      <c r="B2" s="89" t="s">
        <v>61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x14ac:dyDescent="0.3">
      <c r="B3" s="31"/>
      <c r="C3" s="30"/>
      <c r="D3" s="85">
        <v>45413</v>
      </c>
      <c r="E3" s="85">
        <v>45444</v>
      </c>
      <c r="F3" s="85">
        <v>45474</v>
      </c>
      <c r="G3" s="85">
        <v>45505</v>
      </c>
      <c r="H3" s="85">
        <v>45536</v>
      </c>
      <c r="I3" s="85">
        <v>45566</v>
      </c>
      <c r="J3" s="85">
        <v>45597</v>
      </c>
      <c r="K3" s="85">
        <v>45627</v>
      </c>
      <c r="L3" s="85">
        <v>45658</v>
      </c>
      <c r="M3" s="85">
        <v>45689</v>
      </c>
      <c r="N3" s="85">
        <v>45717</v>
      </c>
      <c r="O3" s="85">
        <v>45748</v>
      </c>
    </row>
    <row r="4" spans="1:15" x14ac:dyDescent="0.3">
      <c r="B4" s="32" t="s">
        <v>37</v>
      </c>
      <c r="C4" s="33" t="s">
        <v>38</v>
      </c>
      <c r="D4" s="34" t="s">
        <v>39</v>
      </c>
      <c r="E4" s="34" t="s">
        <v>40</v>
      </c>
      <c r="F4" s="34" t="s">
        <v>41</v>
      </c>
      <c r="G4" s="34" t="s">
        <v>42</v>
      </c>
      <c r="H4" s="34" t="s">
        <v>43</v>
      </c>
      <c r="I4" s="34" t="s">
        <v>44</v>
      </c>
      <c r="J4" s="34" t="s">
        <v>45</v>
      </c>
      <c r="K4" s="34" t="s">
        <v>46</v>
      </c>
      <c r="L4" s="34" t="s">
        <v>47</v>
      </c>
      <c r="M4" s="34" t="s">
        <v>48</v>
      </c>
      <c r="N4" s="34" t="s">
        <v>49</v>
      </c>
      <c r="O4" s="34" t="s">
        <v>50</v>
      </c>
    </row>
    <row r="5" spans="1:15" x14ac:dyDescent="0.3">
      <c r="A5" s="29" t="s">
        <v>21</v>
      </c>
      <c r="B5" s="35" t="s">
        <v>51</v>
      </c>
      <c r="C5" s="36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</row>
    <row r="6" spans="1:15" x14ac:dyDescent="0.3">
      <c r="B6" s="65" t="s">
        <v>89</v>
      </c>
    </row>
    <row r="7" spans="1:15" x14ac:dyDescent="0.3">
      <c r="B7" s="66" t="s">
        <v>92</v>
      </c>
      <c r="C7" s="37" t="s">
        <v>52</v>
      </c>
      <c r="D7" s="80">
        <v>900</v>
      </c>
      <c r="E7" s="81">
        <f>D$7*(1+$C$71)</f>
        <v>990.00000000000011</v>
      </c>
      <c r="F7" s="81">
        <f t="shared" ref="F7:H7" si="0">E$7*(1+$C$71)</f>
        <v>1089.0000000000002</v>
      </c>
      <c r="G7" s="81">
        <f t="shared" si="0"/>
        <v>1197.9000000000003</v>
      </c>
      <c r="H7" s="81">
        <f t="shared" si="0"/>
        <v>1317.6900000000005</v>
      </c>
      <c r="I7" s="81">
        <f>$H$7</f>
        <v>1317.6900000000005</v>
      </c>
      <c r="J7" s="67">
        <f t="shared" ref="J7:O7" si="1">$H$7</f>
        <v>1317.6900000000005</v>
      </c>
      <c r="K7" s="67">
        <f t="shared" si="1"/>
        <v>1317.6900000000005</v>
      </c>
      <c r="L7" s="67">
        <f t="shared" si="1"/>
        <v>1317.6900000000005</v>
      </c>
      <c r="M7" s="67">
        <f t="shared" si="1"/>
        <v>1317.6900000000005</v>
      </c>
      <c r="N7" s="67">
        <f t="shared" si="1"/>
        <v>1317.6900000000005</v>
      </c>
      <c r="O7" s="67">
        <f t="shared" si="1"/>
        <v>1317.6900000000005</v>
      </c>
    </row>
    <row r="8" spans="1:15" x14ac:dyDescent="0.3">
      <c r="B8" s="66" t="s">
        <v>93</v>
      </c>
      <c r="C8" s="70" t="s">
        <v>62</v>
      </c>
      <c r="D8" s="39">
        <v>64</v>
      </c>
      <c r="E8" s="67">
        <f>$D$8</f>
        <v>64</v>
      </c>
      <c r="F8" s="67">
        <f t="shared" ref="F8:O8" si="2">$D$8</f>
        <v>64</v>
      </c>
      <c r="G8" s="67">
        <f t="shared" si="2"/>
        <v>64</v>
      </c>
      <c r="H8" s="67">
        <f t="shared" si="2"/>
        <v>64</v>
      </c>
      <c r="I8" s="67">
        <f t="shared" si="2"/>
        <v>64</v>
      </c>
      <c r="J8" s="67">
        <f t="shared" si="2"/>
        <v>64</v>
      </c>
      <c r="K8" s="67">
        <f t="shared" si="2"/>
        <v>64</v>
      </c>
      <c r="L8" s="67">
        <f t="shared" si="2"/>
        <v>64</v>
      </c>
      <c r="M8" s="67">
        <f t="shared" si="2"/>
        <v>64</v>
      </c>
      <c r="N8" s="67">
        <f t="shared" si="2"/>
        <v>64</v>
      </c>
      <c r="O8" s="67">
        <f t="shared" si="2"/>
        <v>64</v>
      </c>
    </row>
    <row r="9" spans="1:15" s="40" customFormat="1" x14ac:dyDescent="0.3">
      <c r="B9" s="41" t="s">
        <v>94</v>
      </c>
      <c r="C9" s="42" t="s">
        <v>62</v>
      </c>
      <c r="D9" s="69">
        <f>D7*D8</f>
        <v>57600</v>
      </c>
      <c r="E9" s="69">
        <f t="shared" ref="E9:O9" si="3">E7*E8</f>
        <v>63360.000000000007</v>
      </c>
      <c r="F9" s="69">
        <f t="shared" si="3"/>
        <v>69696.000000000015</v>
      </c>
      <c r="G9" s="69">
        <f t="shared" si="3"/>
        <v>76665.60000000002</v>
      </c>
      <c r="H9" s="69">
        <f t="shared" si="3"/>
        <v>84332.160000000033</v>
      </c>
      <c r="I9" s="69">
        <f t="shared" si="3"/>
        <v>84332.160000000033</v>
      </c>
      <c r="J9" s="69">
        <f t="shared" si="3"/>
        <v>84332.160000000033</v>
      </c>
      <c r="K9" s="69">
        <f t="shared" si="3"/>
        <v>84332.160000000033</v>
      </c>
      <c r="L9" s="69">
        <f t="shared" si="3"/>
        <v>84332.160000000033</v>
      </c>
      <c r="M9" s="69">
        <f t="shared" si="3"/>
        <v>84332.160000000033</v>
      </c>
      <c r="N9" s="69">
        <f t="shared" si="3"/>
        <v>84332.160000000033</v>
      </c>
      <c r="O9" s="69">
        <f t="shared" si="3"/>
        <v>84332.160000000033</v>
      </c>
    </row>
    <row r="10" spans="1:15" x14ac:dyDescent="0.3">
      <c r="B10" s="65" t="s">
        <v>90</v>
      </c>
    </row>
    <row r="11" spans="1:15" x14ac:dyDescent="0.3">
      <c r="B11" s="38" t="str">
        <f>B7</f>
        <v>Số ly</v>
      </c>
      <c r="C11" s="37" t="s">
        <v>52</v>
      </c>
      <c r="D11" s="39">
        <v>500</v>
      </c>
      <c r="E11" s="67">
        <f>D$11*1.1</f>
        <v>550</v>
      </c>
      <c r="F11" s="67">
        <f t="shared" ref="F11:H11" si="4">E$11*1.1</f>
        <v>605</v>
      </c>
      <c r="G11" s="67">
        <f t="shared" si="4"/>
        <v>665.5</v>
      </c>
      <c r="H11" s="67">
        <f t="shared" si="4"/>
        <v>732.05000000000007</v>
      </c>
      <c r="I11" s="67">
        <f>$H$11</f>
        <v>732.05000000000007</v>
      </c>
      <c r="J11" s="67">
        <f t="shared" ref="J11:O11" si="5">$H$11</f>
        <v>732.05000000000007</v>
      </c>
      <c r="K11" s="67">
        <f t="shared" si="5"/>
        <v>732.05000000000007</v>
      </c>
      <c r="L11" s="67">
        <f t="shared" si="5"/>
        <v>732.05000000000007</v>
      </c>
      <c r="M11" s="67">
        <f t="shared" si="5"/>
        <v>732.05000000000007</v>
      </c>
      <c r="N11" s="67">
        <f t="shared" si="5"/>
        <v>732.05000000000007</v>
      </c>
      <c r="O11" s="67">
        <f t="shared" si="5"/>
        <v>732.05000000000007</v>
      </c>
    </row>
    <row r="12" spans="1:15" x14ac:dyDescent="0.3">
      <c r="B12" s="43" t="str">
        <f>B8</f>
        <v>Giá</v>
      </c>
      <c r="C12" s="72" t="s">
        <v>62</v>
      </c>
      <c r="D12" s="39">
        <v>80</v>
      </c>
      <c r="E12" s="67">
        <f>$D$12</f>
        <v>80</v>
      </c>
      <c r="F12" s="67">
        <f t="shared" ref="F12:O12" si="6">$D$12</f>
        <v>80</v>
      </c>
      <c r="G12" s="67">
        <f t="shared" si="6"/>
        <v>80</v>
      </c>
      <c r="H12" s="67">
        <f t="shared" si="6"/>
        <v>80</v>
      </c>
      <c r="I12" s="67">
        <f t="shared" si="6"/>
        <v>80</v>
      </c>
      <c r="J12" s="67">
        <f t="shared" si="6"/>
        <v>80</v>
      </c>
      <c r="K12" s="67">
        <f t="shared" si="6"/>
        <v>80</v>
      </c>
      <c r="L12" s="67">
        <f t="shared" si="6"/>
        <v>80</v>
      </c>
      <c r="M12" s="67">
        <f t="shared" si="6"/>
        <v>80</v>
      </c>
      <c r="N12" s="67">
        <f t="shared" si="6"/>
        <v>80</v>
      </c>
      <c r="O12" s="67">
        <f t="shared" si="6"/>
        <v>80</v>
      </c>
    </row>
    <row r="13" spans="1:15" x14ac:dyDescent="0.3">
      <c r="B13" s="41" t="s">
        <v>95</v>
      </c>
      <c r="C13" s="44" t="s">
        <v>62</v>
      </c>
      <c r="D13" s="69">
        <f>D11*D12</f>
        <v>40000</v>
      </c>
      <c r="E13" s="69">
        <f t="shared" ref="E13" si="7">E11*E12</f>
        <v>44000</v>
      </c>
      <c r="F13" s="69">
        <f t="shared" ref="F13" si="8">F11*F12</f>
        <v>48400</v>
      </c>
      <c r="G13" s="69">
        <f t="shared" ref="G13" si="9">G11*G12</f>
        <v>53240</v>
      </c>
      <c r="H13" s="69">
        <f t="shared" ref="H13" si="10">H11*H12</f>
        <v>58564.000000000007</v>
      </c>
      <c r="I13" s="69">
        <f t="shared" ref="I13" si="11">I11*I12</f>
        <v>58564.000000000007</v>
      </c>
      <c r="J13" s="69">
        <f t="shared" ref="J13" si="12">J11*J12</f>
        <v>58564.000000000007</v>
      </c>
      <c r="K13" s="69">
        <f t="shared" ref="K13" si="13">K11*K12</f>
        <v>58564.000000000007</v>
      </c>
      <c r="L13" s="69">
        <f t="shared" ref="L13" si="14">L11*L12</f>
        <v>58564.000000000007</v>
      </c>
      <c r="M13" s="69">
        <f t="shared" ref="M13" si="15">M11*M12</f>
        <v>58564.000000000007</v>
      </c>
      <c r="N13" s="69">
        <f t="shared" ref="N13" si="16">N11*N12</f>
        <v>58564.000000000007</v>
      </c>
      <c r="O13" s="69">
        <f t="shared" ref="O13" si="17">O11*O12</f>
        <v>58564.000000000007</v>
      </c>
    </row>
    <row r="14" spans="1:15" x14ac:dyDescent="0.3">
      <c r="B14" s="65" t="s">
        <v>91</v>
      </c>
    </row>
    <row r="15" spans="1:15" x14ac:dyDescent="0.3">
      <c r="B15" s="38" t="str">
        <f>B11</f>
        <v>Số ly</v>
      </c>
      <c r="C15" s="37" t="s">
        <v>52</v>
      </c>
      <c r="D15" s="39">
        <v>200</v>
      </c>
      <c r="E15" s="67">
        <f>D$15*1.1</f>
        <v>220.00000000000003</v>
      </c>
      <c r="F15" s="67">
        <f t="shared" ref="F15:H15" si="18">E$15*1.1</f>
        <v>242.00000000000006</v>
      </c>
      <c r="G15" s="67">
        <f t="shared" si="18"/>
        <v>266.2000000000001</v>
      </c>
      <c r="H15" s="67">
        <f t="shared" si="18"/>
        <v>292.82000000000016</v>
      </c>
      <c r="I15" s="67">
        <f>$H$15</f>
        <v>292.82000000000016</v>
      </c>
      <c r="J15" s="67">
        <f t="shared" ref="J15:O15" si="19">$H$15</f>
        <v>292.82000000000016</v>
      </c>
      <c r="K15" s="67">
        <f t="shared" si="19"/>
        <v>292.82000000000016</v>
      </c>
      <c r="L15" s="67">
        <f t="shared" si="19"/>
        <v>292.82000000000016</v>
      </c>
      <c r="M15" s="67">
        <f t="shared" si="19"/>
        <v>292.82000000000016</v>
      </c>
      <c r="N15" s="67">
        <f t="shared" si="19"/>
        <v>292.82000000000016</v>
      </c>
      <c r="O15" s="67">
        <f t="shared" si="19"/>
        <v>292.82000000000016</v>
      </c>
    </row>
    <row r="16" spans="1:15" x14ac:dyDescent="0.3">
      <c r="B16" s="38" t="str">
        <f>B12</f>
        <v>Giá</v>
      </c>
      <c r="C16" s="70" t="s">
        <v>62</v>
      </c>
      <c r="D16" s="39">
        <v>90</v>
      </c>
      <c r="E16" s="67">
        <f>$D$16</f>
        <v>90</v>
      </c>
      <c r="F16" s="67">
        <f t="shared" ref="F16:O16" si="20">$D$16</f>
        <v>90</v>
      </c>
      <c r="G16" s="67">
        <f t="shared" si="20"/>
        <v>90</v>
      </c>
      <c r="H16" s="67">
        <f t="shared" si="20"/>
        <v>90</v>
      </c>
      <c r="I16" s="67">
        <f t="shared" si="20"/>
        <v>90</v>
      </c>
      <c r="J16" s="67">
        <f t="shared" si="20"/>
        <v>90</v>
      </c>
      <c r="K16" s="67">
        <f t="shared" si="20"/>
        <v>90</v>
      </c>
      <c r="L16" s="67">
        <f t="shared" si="20"/>
        <v>90</v>
      </c>
      <c r="M16" s="67">
        <f t="shared" si="20"/>
        <v>90</v>
      </c>
      <c r="N16" s="67">
        <f t="shared" si="20"/>
        <v>90</v>
      </c>
      <c r="O16" s="67">
        <f t="shared" si="20"/>
        <v>90</v>
      </c>
    </row>
    <row r="17" spans="2:15" s="40" customFormat="1" x14ac:dyDescent="0.3">
      <c r="B17" s="41" t="s">
        <v>96</v>
      </c>
      <c r="C17" s="42" t="s">
        <v>62</v>
      </c>
      <c r="D17" s="69">
        <f>D15*D16</f>
        <v>18000</v>
      </c>
      <c r="E17" s="69">
        <f t="shared" ref="E17" si="21">E15*E16</f>
        <v>19800.000000000004</v>
      </c>
      <c r="F17" s="69">
        <f t="shared" ref="F17" si="22">F15*F16</f>
        <v>21780.000000000004</v>
      </c>
      <c r="G17" s="69">
        <f t="shared" ref="G17" si="23">G15*G16</f>
        <v>23958.000000000011</v>
      </c>
      <c r="H17" s="69">
        <f t="shared" ref="H17" si="24">H15*H16</f>
        <v>26353.800000000014</v>
      </c>
      <c r="I17" s="69">
        <f t="shared" ref="I17" si="25">I15*I16</f>
        <v>26353.800000000014</v>
      </c>
      <c r="J17" s="69">
        <f t="shared" ref="J17" si="26">J15*J16</f>
        <v>26353.800000000014</v>
      </c>
      <c r="K17" s="69">
        <f t="shared" ref="K17" si="27">K15*K16</f>
        <v>26353.800000000014</v>
      </c>
      <c r="L17" s="69">
        <f t="shared" ref="L17" si="28">L15*L16</f>
        <v>26353.800000000014</v>
      </c>
      <c r="M17" s="69">
        <f t="shared" ref="M17" si="29">M15*M16</f>
        <v>26353.800000000014</v>
      </c>
      <c r="N17" s="69">
        <f t="shared" ref="N17" si="30">N15*N16</f>
        <v>26353.800000000014</v>
      </c>
      <c r="O17" s="69">
        <f t="shared" ref="O17" si="31">O15*O16</f>
        <v>26353.800000000014</v>
      </c>
    </row>
    <row r="18" spans="2:15" s="40" customFormat="1" x14ac:dyDescent="0.3">
      <c r="C18" s="44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</row>
    <row r="19" spans="2:15" s="40" customFormat="1" x14ac:dyDescent="0.3">
      <c r="B19" s="40" t="s">
        <v>99</v>
      </c>
      <c r="C19" s="37" t="s">
        <v>52</v>
      </c>
      <c r="D19" s="71">
        <f>D7+D11+D15</f>
        <v>1600</v>
      </c>
      <c r="E19" s="71">
        <f t="shared" ref="E19:O19" si="32">E7+E11+E15</f>
        <v>1760</v>
      </c>
      <c r="F19" s="71">
        <f t="shared" si="32"/>
        <v>1936.0000000000002</v>
      </c>
      <c r="G19" s="71">
        <f t="shared" si="32"/>
        <v>2129.6000000000004</v>
      </c>
      <c r="H19" s="71">
        <f t="shared" si="32"/>
        <v>2342.5600000000009</v>
      </c>
      <c r="I19" s="71">
        <f t="shared" si="32"/>
        <v>2342.5600000000009</v>
      </c>
      <c r="J19" s="71">
        <f t="shared" si="32"/>
        <v>2342.5600000000009</v>
      </c>
      <c r="K19" s="71">
        <f t="shared" si="32"/>
        <v>2342.5600000000009</v>
      </c>
      <c r="L19" s="71">
        <f t="shared" si="32"/>
        <v>2342.5600000000009</v>
      </c>
      <c r="M19" s="71">
        <f t="shared" si="32"/>
        <v>2342.5600000000009</v>
      </c>
      <c r="N19" s="71">
        <f t="shared" si="32"/>
        <v>2342.5600000000009</v>
      </c>
      <c r="O19" s="71">
        <f t="shared" si="32"/>
        <v>2342.5600000000009</v>
      </c>
    </row>
    <row r="20" spans="2:15" s="40" customFormat="1" x14ac:dyDescent="0.3">
      <c r="B20" s="40" t="s">
        <v>100</v>
      </c>
      <c r="C20" s="44" t="s">
        <v>62</v>
      </c>
      <c r="D20" s="71">
        <f>(D9+D13+D17)/D19</f>
        <v>72.25</v>
      </c>
      <c r="E20" s="71">
        <f t="shared" ref="E20:O20" si="33">(E9+E13+E17)/E19</f>
        <v>72.25</v>
      </c>
      <c r="F20" s="71">
        <f t="shared" si="33"/>
        <v>72.25</v>
      </c>
      <c r="G20" s="71">
        <f t="shared" si="33"/>
        <v>72.25</v>
      </c>
      <c r="H20" s="71">
        <f t="shared" si="33"/>
        <v>72.25</v>
      </c>
      <c r="I20" s="71">
        <f t="shared" si="33"/>
        <v>72.25</v>
      </c>
      <c r="J20" s="71">
        <f t="shared" si="33"/>
        <v>72.25</v>
      </c>
      <c r="K20" s="71">
        <f t="shared" si="33"/>
        <v>72.25</v>
      </c>
      <c r="L20" s="71">
        <f t="shared" si="33"/>
        <v>72.25</v>
      </c>
      <c r="M20" s="71">
        <f t="shared" si="33"/>
        <v>72.25</v>
      </c>
      <c r="N20" s="71">
        <f t="shared" si="33"/>
        <v>72.25</v>
      </c>
      <c r="O20" s="71">
        <f t="shared" si="33"/>
        <v>72.25</v>
      </c>
    </row>
    <row r="21" spans="2:15" x14ac:dyDescent="0.3">
      <c r="B21" s="40"/>
      <c r="C21" s="44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</row>
    <row r="22" spans="2:15" x14ac:dyDescent="0.3">
      <c r="B22" s="35" t="s">
        <v>55</v>
      </c>
      <c r="C22" s="36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</row>
    <row r="23" spans="2:15" x14ac:dyDescent="0.3">
      <c r="B23" s="40" t="s">
        <v>73</v>
      </c>
      <c r="C23" s="44"/>
      <c r="D23" s="77">
        <f>SUM(D24:D26)</f>
        <v>22.225000000000001</v>
      </c>
      <c r="E23" s="77">
        <f t="shared" ref="E23:O23" si="34">SUM(E24:E26)</f>
        <v>22.225000000000001</v>
      </c>
      <c r="F23" s="77">
        <f t="shared" si="34"/>
        <v>22.225000000000001</v>
      </c>
      <c r="G23" s="77">
        <f t="shared" si="34"/>
        <v>22.225000000000001</v>
      </c>
      <c r="H23" s="77">
        <f t="shared" si="34"/>
        <v>22.225000000000001</v>
      </c>
      <c r="I23" s="77">
        <f t="shared" si="34"/>
        <v>22.225000000000001</v>
      </c>
      <c r="J23" s="77">
        <f t="shared" si="34"/>
        <v>22.225000000000001</v>
      </c>
      <c r="K23" s="77">
        <f t="shared" si="34"/>
        <v>22.225000000000001</v>
      </c>
      <c r="L23" s="77">
        <f t="shared" si="34"/>
        <v>22.225000000000001</v>
      </c>
      <c r="M23" s="77">
        <f t="shared" si="34"/>
        <v>22.225000000000001</v>
      </c>
      <c r="N23" s="77">
        <f t="shared" si="34"/>
        <v>22.225000000000001</v>
      </c>
      <c r="O23" s="77">
        <f t="shared" si="34"/>
        <v>22.225000000000001</v>
      </c>
    </row>
    <row r="24" spans="2:15" x14ac:dyDescent="0.3">
      <c r="B24" s="66" t="s">
        <v>97</v>
      </c>
      <c r="C24" s="37" t="s">
        <v>62</v>
      </c>
      <c r="D24" s="75">
        <f>'Break-even'!$J$9</f>
        <v>0.3</v>
      </c>
      <c r="E24" s="75">
        <f>$D$24</f>
        <v>0.3</v>
      </c>
      <c r="F24" s="75">
        <f t="shared" ref="F24:O24" si="35">$D$24</f>
        <v>0.3</v>
      </c>
      <c r="G24" s="75">
        <f t="shared" si="35"/>
        <v>0.3</v>
      </c>
      <c r="H24" s="75">
        <f t="shared" si="35"/>
        <v>0.3</v>
      </c>
      <c r="I24" s="75">
        <f t="shared" si="35"/>
        <v>0.3</v>
      </c>
      <c r="J24" s="75">
        <f t="shared" si="35"/>
        <v>0.3</v>
      </c>
      <c r="K24" s="75">
        <f t="shared" si="35"/>
        <v>0.3</v>
      </c>
      <c r="L24" s="75">
        <f t="shared" si="35"/>
        <v>0.3</v>
      </c>
      <c r="M24" s="75">
        <f t="shared" si="35"/>
        <v>0.3</v>
      </c>
      <c r="N24" s="75">
        <f t="shared" si="35"/>
        <v>0.3</v>
      </c>
      <c r="O24" s="75">
        <f t="shared" si="35"/>
        <v>0.3</v>
      </c>
    </row>
    <row r="25" spans="2:15" x14ac:dyDescent="0.3">
      <c r="B25" s="66" t="s">
        <v>98</v>
      </c>
      <c r="C25" s="37" t="s">
        <v>62</v>
      </c>
      <c r="D25" s="75">
        <f>D20*0.3</f>
        <v>21.675000000000001</v>
      </c>
      <c r="E25" s="75">
        <f>$D$25</f>
        <v>21.675000000000001</v>
      </c>
      <c r="F25" s="75">
        <f t="shared" ref="F25:O25" si="36">$D$25</f>
        <v>21.675000000000001</v>
      </c>
      <c r="G25" s="75">
        <f t="shared" si="36"/>
        <v>21.675000000000001</v>
      </c>
      <c r="H25" s="75">
        <f t="shared" si="36"/>
        <v>21.675000000000001</v>
      </c>
      <c r="I25" s="75">
        <f t="shared" si="36"/>
        <v>21.675000000000001</v>
      </c>
      <c r="J25" s="75">
        <f t="shared" si="36"/>
        <v>21.675000000000001</v>
      </c>
      <c r="K25" s="75">
        <f t="shared" si="36"/>
        <v>21.675000000000001</v>
      </c>
      <c r="L25" s="75">
        <f t="shared" si="36"/>
        <v>21.675000000000001</v>
      </c>
      <c r="M25" s="75">
        <f t="shared" si="36"/>
        <v>21.675000000000001</v>
      </c>
      <c r="N25" s="75">
        <f t="shared" si="36"/>
        <v>21.675000000000001</v>
      </c>
      <c r="O25" s="75">
        <f t="shared" si="36"/>
        <v>21.675000000000001</v>
      </c>
    </row>
    <row r="26" spans="2:15" x14ac:dyDescent="0.3">
      <c r="B26" s="38" t="s">
        <v>36</v>
      </c>
      <c r="C26" s="37" t="s">
        <v>62</v>
      </c>
      <c r="D26" s="75">
        <f>'Break-even'!$J$18</f>
        <v>0.25</v>
      </c>
      <c r="E26" s="75">
        <f>$D$26</f>
        <v>0.25</v>
      </c>
      <c r="F26" s="75">
        <f t="shared" ref="F26:O26" si="37">$D$26</f>
        <v>0.25</v>
      </c>
      <c r="G26" s="75">
        <f t="shared" si="37"/>
        <v>0.25</v>
      </c>
      <c r="H26" s="75">
        <f t="shared" si="37"/>
        <v>0.25</v>
      </c>
      <c r="I26" s="75">
        <f t="shared" si="37"/>
        <v>0.25</v>
      </c>
      <c r="J26" s="75">
        <f t="shared" si="37"/>
        <v>0.25</v>
      </c>
      <c r="K26" s="75">
        <f t="shared" si="37"/>
        <v>0.25</v>
      </c>
      <c r="L26" s="75">
        <f t="shared" si="37"/>
        <v>0.25</v>
      </c>
      <c r="M26" s="75">
        <f t="shared" si="37"/>
        <v>0.25</v>
      </c>
      <c r="N26" s="75">
        <f t="shared" si="37"/>
        <v>0.25</v>
      </c>
      <c r="O26" s="75">
        <f t="shared" si="37"/>
        <v>0.25</v>
      </c>
    </row>
    <row r="27" spans="2:15" x14ac:dyDescent="0.3">
      <c r="B27" s="40" t="s">
        <v>74</v>
      </c>
      <c r="C27" s="44"/>
      <c r="D27" s="47">
        <f>SUM(D28:D42)</f>
        <v>115516.66666666667</v>
      </c>
      <c r="E27" s="47">
        <f t="shared" ref="E27:O27" si="38">SUM(E28:E42)</f>
        <v>90016.666666666672</v>
      </c>
      <c r="F27" s="47">
        <f t="shared" si="38"/>
        <v>90016.666666666672</v>
      </c>
      <c r="G27" s="47">
        <f t="shared" si="38"/>
        <v>90016.666666666672</v>
      </c>
      <c r="H27" s="47">
        <f t="shared" si="38"/>
        <v>90016.666666666672</v>
      </c>
      <c r="I27" s="47">
        <f t="shared" si="38"/>
        <v>90016.666666666672</v>
      </c>
      <c r="J27" s="47">
        <f t="shared" si="38"/>
        <v>94016.666666666672</v>
      </c>
      <c r="K27" s="47">
        <f t="shared" si="38"/>
        <v>90016.666666666672</v>
      </c>
      <c r="L27" s="47">
        <f t="shared" si="38"/>
        <v>90016.666666666672</v>
      </c>
      <c r="M27" s="47">
        <f t="shared" si="38"/>
        <v>90016.666666666672</v>
      </c>
      <c r="N27" s="47">
        <f t="shared" si="38"/>
        <v>90016.666666666672</v>
      </c>
      <c r="O27" s="47">
        <f t="shared" si="38"/>
        <v>90016.666666666672</v>
      </c>
    </row>
    <row r="28" spans="2:15" x14ac:dyDescent="0.3">
      <c r="B28" s="66" t="s">
        <v>78</v>
      </c>
      <c r="C28" s="37" t="s">
        <v>62</v>
      </c>
      <c r="D28" s="67">
        <f>'Break-even'!$G$4*6%/12</f>
        <v>600</v>
      </c>
      <c r="E28" s="67">
        <f>$D$28</f>
        <v>600</v>
      </c>
      <c r="F28" s="67">
        <f t="shared" ref="F28:O28" si="39">$D$28</f>
        <v>600</v>
      </c>
      <c r="G28" s="67">
        <f t="shared" si="39"/>
        <v>600</v>
      </c>
      <c r="H28" s="67">
        <f t="shared" si="39"/>
        <v>600</v>
      </c>
      <c r="I28" s="67">
        <f t="shared" si="39"/>
        <v>600</v>
      </c>
      <c r="J28" s="67">
        <f t="shared" si="39"/>
        <v>600</v>
      </c>
      <c r="K28" s="67">
        <f t="shared" si="39"/>
        <v>600</v>
      </c>
      <c r="L28" s="67">
        <f t="shared" si="39"/>
        <v>600</v>
      </c>
      <c r="M28" s="67">
        <f t="shared" si="39"/>
        <v>600</v>
      </c>
      <c r="N28" s="67">
        <f t="shared" si="39"/>
        <v>600</v>
      </c>
      <c r="O28" s="67">
        <f t="shared" si="39"/>
        <v>600</v>
      </c>
    </row>
    <row r="29" spans="2:15" x14ac:dyDescent="0.3">
      <c r="B29" s="38" t="s">
        <v>25</v>
      </c>
      <c r="C29" s="37" t="s">
        <v>62</v>
      </c>
      <c r="D29" s="67">
        <f>'Break-even'!$G$5</f>
        <v>44000</v>
      </c>
      <c r="E29" s="67">
        <f>$D$29</f>
        <v>44000</v>
      </c>
      <c r="F29" s="67">
        <f t="shared" ref="F29:O29" si="40">$D$29</f>
        <v>44000</v>
      </c>
      <c r="G29" s="67">
        <f t="shared" si="40"/>
        <v>44000</v>
      </c>
      <c r="H29" s="67">
        <f t="shared" si="40"/>
        <v>44000</v>
      </c>
      <c r="I29" s="67">
        <f t="shared" si="40"/>
        <v>44000</v>
      </c>
      <c r="J29" s="67">
        <f t="shared" si="40"/>
        <v>44000</v>
      </c>
      <c r="K29" s="67">
        <f t="shared" si="40"/>
        <v>44000</v>
      </c>
      <c r="L29" s="67">
        <f t="shared" si="40"/>
        <v>44000</v>
      </c>
      <c r="M29" s="67">
        <f t="shared" si="40"/>
        <v>44000</v>
      </c>
      <c r="N29" s="67">
        <f t="shared" si="40"/>
        <v>44000</v>
      </c>
      <c r="O29" s="67">
        <f t="shared" si="40"/>
        <v>44000</v>
      </c>
    </row>
    <row r="30" spans="2:15" x14ac:dyDescent="0.3">
      <c r="B30" s="38" t="s">
        <v>26</v>
      </c>
      <c r="C30" s="37" t="s">
        <v>62</v>
      </c>
      <c r="D30" s="67">
        <f>'Break-even'!$G$6</f>
        <v>30000</v>
      </c>
      <c r="E30" s="67">
        <f>D30</f>
        <v>30000</v>
      </c>
      <c r="F30" s="67">
        <f t="shared" ref="F30:O30" si="41">E30</f>
        <v>30000</v>
      </c>
      <c r="G30" s="67">
        <f t="shared" si="41"/>
        <v>30000</v>
      </c>
      <c r="H30" s="67">
        <f t="shared" si="41"/>
        <v>30000</v>
      </c>
      <c r="I30" s="67">
        <f t="shared" si="41"/>
        <v>30000</v>
      </c>
      <c r="J30" s="67">
        <f t="shared" si="41"/>
        <v>30000</v>
      </c>
      <c r="K30" s="67">
        <f t="shared" si="41"/>
        <v>30000</v>
      </c>
      <c r="L30" s="67">
        <f t="shared" si="41"/>
        <v>30000</v>
      </c>
      <c r="M30" s="67">
        <f t="shared" si="41"/>
        <v>30000</v>
      </c>
      <c r="N30" s="67">
        <f t="shared" si="41"/>
        <v>30000</v>
      </c>
      <c r="O30" s="67">
        <f t="shared" si="41"/>
        <v>30000</v>
      </c>
    </row>
    <row r="31" spans="2:15" x14ac:dyDescent="0.3">
      <c r="B31" s="38" t="s">
        <v>27</v>
      </c>
      <c r="C31" s="37" t="s">
        <v>62</v>
      </c>
      <c r="D31" s="67">
        <f>'Break-even'!$G$7</f>
        <v>5000</v>
      </c>
      <c r="E31" s="67">
        <f>$D$31</f>
        <v>5000</v>
      </c>
      <c r="F31" s="67">
        <f t="shared" ref="F31:O31" si="42">$D$31</f>
        <v>5000</v>
      </c>
      <c r="G31" s="67">
        <f t="shared" si="42"/>
        <v>5000</v>
      </c>
      <c r="H31" s="67">
        <f t="shared" si="42"/>
        <v>5000</v>
      </c>
      <c r="I31" s="67">
        <f t="shared" si="42"/>
        <v>5000</v>
      </c>
      <c r="J31" s="67">
        <f t="shared" si="42"/>
        <v>5000</v>
      </c>
      <c r="K31" s="67">
        <f t="shared" si="42"/>
        <v>5000</v>
      </c>
      <c r="L31" s="67">
        <f t="shared" si="42"/>
        <v>5000</v>
      </c>
      <c r="M31" s="67">
        <f t="shared" si="42"/>
        <v>5000</v>
      </c>
      <c r="N31" s="67">
        <f t="shared" si="42"/>
        <v>5000</v>
      </c>
      <c r="O31" s="67">
        <f t="shared" si="42"/>
        <v>5000</v>
      </c>
    </row>
    <row r="32" spans="2:15" x14ac:dyDescent="0.3">
      <c r="B32" s="38" t="s">
        <v>28</v>
      </c>
      <c r="C32" s="37" t="s">
        <v>62</v>
      </c>
      <c r="D32" s="67">
        <f>'Break-even'!$G$8</f>
        <v>500</v>
      </c>
      <c r="E32" s="67">
        <f>$D$32</f>
        <v>500</v>
      </c>
      <c r="F32" s="67">
        <f t="shared" ref="F32:O32" si="43">$D$32</f>
        <v>500</v>
      </c>
      <c r="G32" s="67">
        <f t="shared" si="43"/>
        <v>500</v>
      </c>
      <c r="H32" s="67">
        <f t="shared" si="43"/>
        <v>500</v>
      </c>
      <c r="I32" s="67">
        <f t="shared" si="43"/>
        <v>500</v>
      </c>
      <c r="J32" s="67">
        <f t="shared" si="43"/>
        <v>500</v>
      </c>
      <c r="K32" s="67">
        <f t="shared" si="43"/>
        <v>500</v>
      </c>
      <c r="L32" s="67">
        <f t="shared" si="43"/>
        <v>500</v>
      </c>
      <c r="M32" s="67">
        <f t="shared" si="43"/>
        <v>500</v>
      </c>
      <c r="N32" s="67">
        <f t="shared" si="43"/>
        <v>500</v>
      </c>
      <c r="O32" s="67">
        <f t="shared" si="43"/>
        <v>500</v>
      </c>
    </row>
    <row r="33" spans="1:15" x14ac:dyDescent="0.3">
      <c r="B33" s="38" t="s">
        <v>31</v>
      </c>
      <c r="C33" s="37" t="s">
        <v>62</v>
      </c>
      <c r="D33" s="67">
        <f>'Break-even'!$G$11</f>
        <v>4000</v>
      </c>
      <c r="E33" s="67"/>
      <c r="F33" s="67"/>
      <c r="G33" s="67"/>
      <c r="H33" s="67"/>
      <c r="I33" s="67"/>
      <c r="J33" s="67">
        <f t="shared" ref="J33" si="44">$D$33</f>
        <v>4000</v>
      </c>
      <c r="K33" s="67"/>
      <c r="L33" s="67"/>
      <c r="M33" s="67"/>
      <c r="N33" s="67"/>
      <c r="O33" s="67"/>
    </row>
    <row r="34" spans="1:15" x14ac:dyDescent="0.3">
      <c r="B34" s="66" t="s">
        <v>83</v>
      </c>
      <c r="C34" s="37" t="s">
        <v>62</v>
      </c>
      <c r="D34" s="67">
        <f>'Break-even'!$G$12/'Break-even'!$I$12</f>
        <v>3333.3333333333335</v>
      </c>
      <c r="E34" s="67">
        <f>$D$34</f>
        <v>3333.3333333333335</v>
      </c>
      <c r="F34" s="67">
        <f t="shared" ref="F34:O34" si="45">$D$34</f>
        <v>3333.3333333333335</v>
      </c>
      <c r="G34" s="67">
        <f t="shared" si="45"/>
        <v>3333.3333333333335</v>
      </c>
      <c r="H34" s="67">
        <f t="shared" si="45"/>
        <v>3333.3333333333335</v>
      </c>
      <c r="I34" s="67">
        <f t="shared" si="45"/>
        <v>3333.3333333333335</v>
      </c>
      <c r="J34" s="67">
        <f t="shared" si="45"/>
        <v>3333.3333333333335</v>
      </c>
      <c r="K34" s="67">
        <f t="shared" si="45"/>
        <v>3333.3333333333335</v>
      </c>
      <c r="L34" s="67">
        <f t="shared" si="45"/>
        <v>3333.3333333333335</v>
      </c>
      <c r="M34" s="67">
        <f t="shared" si="45"/>
        <v>3333.3333333333335</v>
      </c>
      <c r="N34" s="67">
        <f t="shared" si="45"/>
        <v>3333.3333333333335</v>
      </c>
      <c r="O34" s="67">
        <f t="shared" si="45"/>
        <v>3333.3333333333335</v>
      </c>
    </row>
    <row r="35" spans="1:15" x14ac:dyDescent="0.3">
      <c r="B35" s="38" t="s">
        <v>32</v>
      </c>
      <c r="C35" s="37" t="s">
        <v>62</v>
      </c>
      <c r="D35" s="67">
        <f>'Break-even'!$G$13/'Break-even'!$I$13</f>
        <v>1000</v>
      </c>
      <c r="E35" s="67">
        <f>$D$35</f>
        <v>1000</v>
      </c>
      <c r="F35" s="67">
        <f t="shared" ref="F35:O35" si="46">$D$35</f>
        <v>1000</v>
      </c>
      <c r="G35" s="67">
        <f t="shared" si="46"/>
        <v>1000</v>
      </c>
      <c r="H35" s="67">
        <f t="shared" si="46"/>
        <v>1000</v>
      </c>
      <c r="I35" s="67">
        <f t="shared" si="46"/>
        <v>1000</v>
      </c>
      <c r="J35" s="67">
        <f t="shared" si="46"/>
        <v>1000</v>
      </c>
      <c r="K35" s="67">
        <f t="shared" si="46"/>
        <v>1000</v>
      </c>
      <c r="L35" s="67">
        <f t="shared" si="46"/>
        <v>1000</v>
      </c>
      <c r="M35" s="67">
        <f t="shared" si="46"/>
        <v>1000</v>
      </c>
      <c r="N35" s="67">
        <f t="shared" si="46"/>
        <v>1000</v>
      </c>
      <c r="O35" s="67">
        <f t="shared" si="46"/>
        <v>1000</v>
      </c>
    </row>
    <row r="36" spans="1:15" x14ac:dyDescent="0.3">
      <c r="B36" s="38" t="s">
        <v>33</v>
      </c>
      <c r="C36" s="37" t="s">
        <v>62</v>
      </c>
      <c r="D36" s="67">
        <f>'Break-even'!$G$14</f>
        <v>5000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</row>
    <row r="37" spans="1:15" x14ac:dyDescent="0.3">
      <c r="B37" s="38" t="s">
        <v>35</v>
      </c>
      <c r="C37" s="37" t="s">
        <v>62</v>
      </c>
      <c r="D37" s="67">
        <f>'Break-even'!$G$16</f>
        <v>15000</v>
      </c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</row>
    <row r="38" spans="1:15" x14ac:dyDescent="0.3">
      <c r="B38" s="66" t="s">
        <v>85</v>
      </c>
      <c r="C38" s="37" t="s">
        <v>62</v>
      </c>
      <c r="D38" s="67">
        <f>'Break-even'!$G$17/'Break-even'!$I$17</f>
        <v>1250</v>
      </c>
      <c r="E38" s="67">
        <f>$D$38</f>
        <v>1250</v>
      </c>
      <c r="F38" s="67">
        <f t="shared" ref="F38:O38" si="47">$D$38</f>
        <v>1250</v>
      </c>
      <c r="G38" s="67">
        <f t="shared" si="47"/>
        <v>1250</v>
      </c>
      <c r="H38" s="67">
        <f t="shared" si="47"/>
        <v>1250</v>
      </c>
      <c r="I38" s="67">
        <f t="shared" si="47"/>
        <v>1250</v>
      </c>
      <c r="J38" s="67">
        <f t="shared" si="47"/>
        <v>1250</v>
      </c>
      <c r="K38" s="67">
        <f t="shared" si="47"/>
        <v>1250</v>
      </c>
      <c r="L38" s="67">
        <f t="shared" si="47"/>
        <v>1250</v>
      </c>
      <c r="M38" s="67">
        <f t="shared" si="47"/>
        <v>1250</v>
      </c>
      <c r="N38" s="67">
        <f t="shared" si="47"/>
        <v>1250</v>
      </c>
      <c r="O38" s="67">
        <f t="shared" si="47"/>
        <v>1250</v>
      </c>
    </row>
    <row r="39" spans="1:15" x14ac:dyDescent="0.3">
      <c r="B39" s="66" t="s">
        <v>86</v>
      </c>
      <c r="C39" s="37" t="s">
        <v>62</v>
      </c>
      <c r="D39" s="67">
        <f>'Break-even'!$G$19/'Break-even'!$I$19</f>
        <v>241.66666666666666</v>
      </c>
      <c r="E39" s="67">
        <f>$D$39</f>
        <v>241.66666666666666</v>
      </c>
      <c r="F39" s="67">
        <f t="shared" ref="F39:O39" si="48">$D$39</f>
        <v>241.66666666666666</v>
      </c>
      <c r="G39" s="67">
        <f t="shared" si="48"/>
        <v>241.66666666666666</v>
      </c>
      <c r="H39" s="67">
        <f t="shared" si="48"/>
        <v>241.66666666666666</v>
      </c>
      <c r="I39" s="67">
        <f t="shared" si="48"/>
        <v>241.66666666666666</v>
      </c>
      <c r="J39" s="67">
        <f t="shared" si="48"/>
        <v>241.66666666666666</v>
      </c>
      <c r="K39" s="67">
        <f t="shared" si="48"/>
        <v>241.66666666666666</v>
      </c>
      <c r="L39" s="67">
        <f t="shared" si="48"/>
        <v>241.66666666666666</v>
      </c>
      <c r="M39" s="67">
        <f t="shared" si="48"/>
        <v>241.66666666666666</v>
      </c>
      <c r="N39" s="67">
        <f t="shared" si="48"/>
        <v>241.66666666666666</v>
      </c>
      <c r="O39" s="67">
        <f t="shared" si="48"/>
        <v>241.66666666666666</v>
      </c>
    </row>
    <row r="40" spans="1:15" x14ac:dyDescent="0.3">
      <c r="B40" s="38" t="s">
        <v>67</v>
      </c>
      <c r="C40" s="37" t="s">
        <v>62</v>
      </c>
      <c r="D40" s="67">
        <f>'Break-even'!$G$20/'Break-even'!$I$20</f>
        <v>300</v>
      </c>
      <c r="E40" s="67">
        <f>$D$40</f>
        <v>300</v>
      </c>
      <c r="F40" s="67">
        <f t="shared" ref="F40:O40" si="49">$D$40</f>
        <v>300</v>
      </c>
      <c r="G40" s="67">
        <f t="shared" si="49"/>
        <v>300</v>
      </c>
      <c r="H40" s="67">
        <f t="shared" si="49"/>
        <v>300</v>
      </c>
      <c r="I40" s="67">
        <f t="shared" si="49"/>
        <v>300</v>
      </c>
      <c r="J40" s="67">
        <f t="shared" si="49"/>
        <v>300</v>
      </c>
      <c r="K40" s="67">
        <f t="shared" si="49"/>
        <v>300</v>
      </c>
      <c r="L40" s="67">
        <f t="shared" si="49"/>
        <v>300</v>
      </c>
      <c r="M40" s="67">
        <f t="shared" si="49"/>
        <v>300</v>
      </c>
      <c r="N40" s="67">
        <f t="shared" si="49"/>
        <v>300</v>
      </c>
      <c r="O40" s="67">
        <f t="shared" si="49"/>
        <v>300</v>
      </c>
    </row>
    <row r="41" spans="1:15" x14ac:dyDescent="0.3">
      <c r="B41" s="38" t="s">
        <v>68</v>
      </c>
      <c r="C41" s="37" t="s">
        <v>62</v>
      </c>
      <c r="D41" s="67">
        <f>'Break-even'!$G$21/'Break-even'!$I$21</f>
        <v>2291.6666666666665</v>
      </c>
      <c r="E41" s="67">
        <f>$D$41</f>
        <v>2291.6666666666665</v>
      </c>
      <c r="F41" s="67">
        <f t="shared" ref="F41:O41" si="50">$D$41</f>
        <v>2291.6666666666665</v>
      </c>
      <c r="G41" s="67">
        <f t="shared" si="50"/>
        <v>2291.6666666666665</v>
      </c>
      <c r="H41" s="67">
        <f t="shared" si="50"/>
        <v>2291.6666666666665</v>
      </c>
      <c r="I41" s="67">
        <f t="shared" si="50"/>
        <v>2291.6666666666665</v>
      </c>
      <c r="J41" s="67">
        <f t="shared" si="50"/>
        <v>2291.6666666666665</v>
      </c>
      <c r="K41" s="67">
        <f t="shared" si="50"/>
        <v>2291.6666666666665</v>
      </c>
      <c r="L41" s="67">
        <f t="shared" si="50"/>
        <v>2291.6666666666665</v>
      </c>
      <c r="M41" s="67">
        <f t="shared" si="50"/>
        <v>2291.6666666666665</v>
      </c>
      <c r="N41" s="67">
        <f t="shared" si="50"/>
        <v>2291.6666666666665</v>
      </c>
      <c r="O41" s="67">
        <f t="shared" si="50"/>
        <v>2291.6666666666665</v>
      </c>
    </row>
    <row r="42" spans="1:15" x14ac:dyDescent="0.3">
      <c r="B42" s="38" t="s">
        <v>34</v>
      </c>
      <c r="C42" s="37" t="s">
        <v>62</v>
      </c>
      <c r="D42" s="67">
        <f>'Break-even'!$G$15</f>
        <v>3000</v>
      </c>
      <c r="E42" s="39">
        <v>1500</v>
      </c>
      <c r="F42" s="67">
        <f>$E$42</f>
        <v>1500</v>
      </c>
      <c r="G42" s="67">
        <f t="shared" ref="G42:O42" si="51">$E$42</f>
        <v>1500</v>
      </c>
      <c r="H42" s="67">
        <f t="shared" si="51"/>
        <v>1500</v>
      </c>
      <c r="I42" s="67">
        <f t="shared" si="51"/>
        <v>1500</v>
      </c>
      <c r="J42" s="67">
        <f t="shared" si="51"/>
        <v>1500</v>
      </c>
      <c r="K42" s="67">
        <f t="shared" si="51"/>
        <v>1500</v>
      </c>
      <c r="L42" s="67">
        <f t="shared" si="51"/>
        <v>1500</v>
      </c>
      <c r="M42" s="67">
        <f t="shared" si="51"/>
        <v>1500</v>
      </c>
      <c r="N42" s="67">
        <f t="shared" si="51"/>
        <v>1500</v>
      </c>
      <c r="O42" s="67">
        <f t="shared" si="51"/>
        <v>1500</v>
      </c>
    </row>
    <row r="43" spans="1:15" x14ac:dyDescent="0.3">
      <c r="C43" s="44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</row>
    <row r="44" spans="1:15" x14ac:dyDescent="0.3">
      <c r="B44" s="40" t="s">
        <v>72</v>
      </c>
      <c r="C44" s="37" t="s">
        <v>53</v>
      </c>
      <c r="D44" s="84">
        <v>0.01</v>
      </c>
      <c r="E44" s="68">
        <f>$D$44</f>
        <v>0.01</v>
      </c>
      <c r="F44" s="68">
        <f t="shared" ref="F44:O44" si="52">$D$44</f>
        <v>0.01</v>
      </c>
      <c r="G44" s="68">
        <f t="shared" si="52"/>
        <v>0.01</v>
      </c>
      <c r="H44" s="68">
        <f t="shared" si="52"/>
        <v>0.01</v>
      </c>
      <c r="I44" s="68">
        <f t="shared" si="52"/>
        <v>0.01</v>
      </c>
      <c r="J44" s="68">
        <f t="shared" si="52"/>
        <v>0.01</v>
      </c>
      <c r="K44" s="68">
        <f t="shared" si="52"/>
        <v>0.01</v>
      </c>
      <c r="L44" s="68">
        <f t="shared" si="52"/>
        <v>0.01</v>
      </c>
      <c r="M44" s="68">
        <f t="shared" si="52"/>
        <v>0.01</v>
      </c>
      <c r="N44" s="68">
        <f t="shared" si="52"/>
        <v>0.01</v>
      </c>
      <c r="O44" s="68">
        <f t="shared" si="52"/>
        <v>0.01</v>
      </c>
    </row>
    <row r="46" spans="1:15" x14ac:dyDescent="0.3">
      <c r="A46" s="29" t="s">
        <v>21</v>
      </c>
      <c r="B46" s="31" t="s">
        <v>56</v>
      </c>
      <c r="C46" s="3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5" x14ac:dyDescent="0.3">
      <c r="B47" s="65" t="s">
        <v>75</v>
      </c>
      <c r="C47" s="70" t="s">
        <v>54</v>
      </c>
      <c r="D47" s="45">
        <f>D9+D13+D17</f>
        <v>115600</v>
      </c>
      <c r="E47" s="45">
        <f t="shared" ref="E47:O47" si="53">E9+E13+E17</f>
        <v>127160</v>
      </c>
      <c r="F47" s="45">
        <f t="shared" si="53"/>
        <v>139876.00000000003</v>
      </c>
      <c r="G47" s="45">
        <f t="shared" si="53"/>
        <v>153863.60000000003</v>
      </c>
      <c r="H47" s="45">
        <f t="shared" si="53"/>
        <v>169249.96000000005</v>
      </c>
      <c r="I47" s="45">
        <f t="shared" si="53"/>
        <v>169249.96000000005</v>
      </c>
      <c r="J47" s="45">
        <f t="shared" si="53"/>
        <v>169249.96000000005</v>
      </c>
      <c r="K47" s="45">
        <f t="shared" si="53"/>
        <v>169249.96000000005</v>
      </c>
      <c r="L47" s="45">
        <f t="shared" si="53"/>
        <v>169249.96000000005</v>
      </c>
      <c r="M47" s="45">
        <f t="shared" si="53"/>
        <v>169249.96000000005</v>
      </c>
      <c r="N47" s="45">
        <f t="shared" si="53"/>
        <v>169249.96000000005</v>
      </c>
      <c r="O47" s="45">
        <f t="shared" si="53"/>
        <v>169249.96000000005</v>
      </c>
    </row>
    <row r="48" spans="1:15" x14ac:dyDescent="0.3">
      <c r="B48" s="65" t="s">
        <v>9</v>
      </c>
      <c r="C48" s="70" t="s">
        <v>54</v>
      </c>
      <c r="D48" s="45">
        <f>D19*(D25+D26)</f>
        <v>35080</v>
      </c>
      <c r="E48" s="45">
        <f>E19*(E25+E26)</f>
        <v>38588</v>
      </c>
      <c r="F48" s="45">
        <f t="shared" ref="F48:O48" si="54">F19*(F25+F26)</f>
        <v>42446.8</v>
      </c>
      <c r="G48" s="45">
        <f t="shared" si="54"/>
        <v>46691.48000000001</v>
      </c>
      <c r="H48" s="45">
        <f t="shared" si="54"/>
        <v>51360.628000000019</v>
      </c>
      <c r="I48" s="45">
        <f t="shared" si="54"/>
        <v>51360.628000000019</v>
      </c>
      <c r="J48" s="45">
        <f t="shared" si="54"/>
        <v>51360.628000000019</v>
      </c>
      <c r="K48" s="45">
        <f t="shared" si="54"/>
        <v>51360.628000000019</v>
      </c>
      <c r="L48" s="45">
        <f t="shared" si="54"/>
        <v>51360.628000000019</v>
      </c>
      <c r="M48" s="45">
        <f t="shared" si="54"/>
        <v>51360.628000000019</v>
      </c>
      <c r="N48" s="45">
        <f t="shared" si="54"/>
        <v>51360.628000000019</v>
      </c>
      <c r="O48" s="45">
        <f t="shared" si="54"/>
        <v>51360.628000000019</v>
      </c>
    </row>
    <row r="49" spans="2:15" x14ac:dyDescent="0.3">
      <c r="B49" s="48" t="s">
        <v>2</v>
      </c>
      <c r="C49" s="49" t="s">
        <v>54</v>
      </c>
      <c r="D49" s="50">
        <f>D47-D48</f>
        <v>80520</v>
      </c>
      <c r="E49" s="50">
        <f t="shared" ref="E49:O49" si="55">E47-E48</f>
        <v>88572</v>
      </c>
      <c r="F49" s="50">
        <f t="shared" si="55"/>
        <v>97429.200000000026</v>
      </c>
      <c r="G49" s="50">
        <f t="shared" si="55"/>
        <v>107172.12000000002</v>
      </c>
      <c r="H49" s="50">
        <f t="shared" si="55"/>
        <v>117889.33200000002</v>
      </c>
      <c r="I49" s="50">
        <f t="shared" si="55"/>
        <v>117889.33200000002</v>
      </c>
      <c r="J49" s="50">
        <f t="shared" si="55"/>
        <v>117889.33200000002</v>
      </c>
      <c r="K49" s="50">
        <f t="shared" si="55"/>
        <v>117889.33200000002</v>
      </c>
      <c r="L49" s="50">
        <f t="shared" si="55"/>
        <v>117889.33200000002</v>
      </c>
      <c r="M49" s="50">
        <f t="shared" si="55"/>
        <v>117889.33200000002</v>
      </c>
      <c r="N49" s="50">
        <f t="shared" si="55"/>
        <v>117889.33200000002</v>
      </c>
      <c r="O49" s="50">
        <f t="shared" si="55"/>
        <v>117889.33200000002</v>
      </c>
    </row>
    <row r="50" spans="2:15" x14ac:dyDescent="0.3">
      <c r="B50" s="51" t="s">
        <v>76</v>
      </c>
      <c r="C50" s="37" t="s">
        <v>53</v>
      </c>
      <c r="D50" s="52">
        <f>D49/D47</f>
        <v>0.69653979238754327</v>
      </c>
      <c r="E50" s="52">
        <f>E49/E47</f>
        <v>0.69653979238754327</v>
      </c>
      <c r="F50" s="52">
        <f t="shared" ref="F50:O50" si="56">F49/F47</f>
        <v>0.69653979238754327</v>
      </c>
      <c r="G50" s="52">
        <f t="shared" si="56"/>
        <v>0.69653979238754327</v>
      </c>
      <c r="H50" s="52">
        <f t="shared" si="56"/>
        <v>0.69653979238754316</v>
      </c>
      <c r="I50" s="52">
        <f t="shared" si="56"/>
        <v>0.69653979238754316</v>
      </c>
      <c r="J50" s="52">
        <f t="shared" si="56"/>
        <v>0.69653979238754316</v>
      </c>
      <c r="K50" s="52">
        <f t="shared" si="56"/>
        <v>0.69653979238754316</v>
      </c>
      <c r="L50" s="52">
        <f t="shared" si="56"/>
        <v>0.69653979238754316</v>
      </c>
      <c r="M50" s="52">
        <f t="shared" si="56"/>
        <v>0.69653979238754316</v>
      </c>
      <c r="N50" s="52">
        <f t="shared" si="56"/>
        <v>0.69653979238754316</v>
      </c>
      <c r="O50" s="52">
        <f t="shared" si="56"/>
        <v>0.69653979238754316</v>
      </c>
    </row>
    <row r="52" spans="2:15" x14ac:dyDescent="0.3">
      <c r="B52" s="40" t="s">
        <v>73</v>
      </c>
      <c r="C52" s="44"/>
    </row>
    <row r="53" spans="2:15" x14ac:dyDescent="0.3">
      <c r="B53" s="65" t="s">
        <v>29</v>
      </c>
      <c r="C53" s="53" t="s">
        <v>62</v>
      </c>
      <c r="D53" s="45">
        <f>D24*D19</f>
        <v>480</v>
      </c>
      <c r="E53" s="45">
        <f t="shared" ref="E53:O53" si="57">E24*E19</f>
        <v>528</v>
      </c>
      <c r="F53" s="45">
        <f>F24*F19</f>
        <v>580.80000000000007</v>
      </c>
      <c r="G53" s="45">
        <f t="shared" si="57"/>
        <v>638.88000000000011</v>
      </c>
      <c r="H53" s="45">
        <f t="shared" si="57"/>
        <v>702.76800000000026</v>
      </c>
      <c r="I53" s="45">
        <f t="shared" si="57"/>
        <v>702.76800000000026</v>
      </c>
      <c r="J53" s="45">
        <f t="shared" si="57"/>
        <v>702.76800000000026</v>
      </c>
      <c r="K53" s="45">
        <f t="shared" si="57"/>
        <v>702.76800000000026</v>
      </c>
      <c r="L53" s="45">
        <f t="shared" si="57"/>
        <v>702.76800000000026</v>
      </c>
      <c r="M53" s="45">
        <f t="shared" si="57"/>
        <v>702.76800000000026</v>
      </c>
      <c r="N53" s="45">
        <f t="shared" si="57"/>
        <v>702.76800000000026</v>
      </c>
      <c r="O53" s="45">
        <f t="shared" si="57"/>
        <v>702.76800000000026</v>
      </c>
    </row>
    <row r="54" spans="2:15" x14ac:dyDescent="0.3">
      <c r="B54" s="40" t="s">
        <v>101</v>
      </c>
      <c r="C54" s="59" t="s">
        <v>62</v>
      </c>
      <c r="D54" s="47">
        <f>D53</f>
        <v>480</v>
      </c>
      <c r="E54" s="47">
        <f t="shared" ref="E54:O54" si="58">E53</f>
        <v>528</v>
      </c>
      <c r="F54" s="47">
        <f t="shared" si="58"/>
        <v>580.80000000000007</v>
      </c>
      <c r="G54" s="47">
        <f t="shared" si="58"/>
        <v>638.88000000000011</v>
      </c>
      <c r="H54" s="47">
        <f t="shared" si="58"/>
        <v>702.76800000000026</v>
      </c>
      <c r="I54" s="47">
        <f t="shared" si="58"/>
        <v>702.76800000000026</v>
      </c>
      <c r="J54" s="47">
        <f t="shared" si="58"/>
        <v>702.76800000000026</v>
      </c>
      <c r="K54" s="47">
        <f t="shared" si="58"/>
        <v>702.76800000000026</v>
      </c>
      <c r="L54" s="47">
        <f t="shared" si="58"/>
        <v>702.76800000000026</v>
      </c>
      <c r="M54" s="47">
        <f t="shared" si="58"/>
        <v>702.76800000000026</v>
      </c>
      <c r="N54" s="47">
        <f t="shared" si="58"/>
        <v>702.76800000000026</v>
      </c>
      <c r="O54" s="47">
        <f t="shared" si="58"/>
        <v>702.76800000000026</v>
      </c>
    </row>
    <row r="55" spans="2:15" ht="28.8" x14ac:dyDescent="0.3">
      <c r="B55" s="74" t="s">
        <v>102</v>
      </c>
      <c r="C55" s="60" t="s">
        <v>62</v>
      </c>
      <c r="D55" s="50">
        <f t="shared" ref="D55:O55" si="59">D49-D54</f>
        <v>80040</v>
      </c>
      <c r="E55" s="50">
        <f t="shared" si="59"/>
        <v>88044</v>
      </c>
      <c r="F55" s="50">
        <f t="shared" si="59"/>
        <v>96848.400000000023</v>
      </c>
      <c r="G55" s="50">
        <f t="shared" si="59"/>
        <v>106533.24000000002</v>
      </c>
      <c r="H55" s="50">
        <f t="shared" si="59"/>
        <v>117186.56400000003</v>
      </c>
      <c r="I55" s="50">
        <f t="shared" si="59"/>
        <v>117186.56400000003</v>
      </c>
      <c r="J55" s="50">
        <f t="shared" si="59"/>
        <v>117186.56400000003</v>
      </c>
      <c r="K55" s="50">
        <f t="shared" si="59"/>
        <v>117186.56400000003</v>
      </c>
      <c r="L55" s="50">
        <f t="shared" si="59"/>
        <v>117186.56400000003</v>
      </c>
      <c r="M55" s="50">
        <f t="shared" si="59"/>
        <v>117186.56400000003</v>
      </c>
      <c r="N55" s="50">
        <f t="shared" si="59"/>
        <v>117186.56400000003</v>
      </c>
      <c r="O55" s="50">
        <f t="shared" si="59"/>
        <v>117186.56400000003</v>
      </c>
    </row>
    <row r="56" spans="2:15" x14ac:dyDescent="0.3">
      <c r="B56" s="51" t="s">
        <v>57</v>
      </c>
      <c r="C56" s="37" t="s">
        <v>53</v>
      </c>
      <c r="D56" s="52">
        <f t="shared" ref="D56:O56" si="60">D55/D47</f>
        <v>0.69238754325259511</v>
      </c>
      <c r="E56" s="52">
        <f t="shared" si="60"/>
        <v>0.69238754325259511</v>
      </c>
      <c r="F56" s="52">
        <f t="shared" si="60"/>
        <v>0.69238754325259522</v>
      </c>
      <c r="G56" s="52">
        <f t="shared" si="60"/>
        <v>0.69238754325259511</v>
      </c>
      <c r="H56" s="52">
        <f t="shared" si="60"/>
        <v>0.69238754325259511</v>
      </c>
      <c r="I56" s="52">
        <f t="shared" si="60"/>
        <v>0.69238754325259511</v>
      </c>
      <c r="J56" s="52">
        <f t="shared" si="60"/>
        <v>0.69238754325259511</v>
      </c>
      <c r="K56" s="52">
        <f t="shared" si="60"/>
        <v>0.69238754325259511</v>
      </c>
      <c r="L56" s="52">
        <f t="shared" si="60"/>
        <v>0.69238754325259511</v>
      </c>
      <c r="M56" s="52">
        <f t="shared" si="60"/>
        <v>0.69238754325259511</v>
      </c>
      <c r="N56" s="52">
        <f t="shared" si="60"/>
        <v>0.69238754325259511</v>
      </c>
      <c r="O56" s="52">
        <f t="shared" si="60"/>
        <v>0.69238754325259511</v>
      </c>
    </row>
    <row r="58" spans="2:15" x14ac:dyDescent="0.3">
      <c r="B58" s="40" t="s">
        <v>74</v>
      </c>
      <c r="C58" s="44"/>
    </row>
    <row r="59" spans="2:15" x14ac:dyDescent="0.3">
      <c r="B59" s="65" t="s">
        <v>103</v>
      </c>
      <c r="C59" s="53" t="s">
        <v>62</v>
      </c>
      <c r="D59" s="45">
        <f>SUM(D28:D41)</f>
        <v>112516.66666666667</v>
      </c>
      <c r="E59" s="45">
        <f t="shared" ref="E59:O59" si="61">SUM(E28:E41)</f>
        <v>88516.666666666672</v>
      </c>
      <c r="F59" s="45">
        <f t="shared" si="61"/>
        <v>88516.666666666672</v>
      </c>
      <c r="G59" s="45">
        <f t="shared" si="61"/>
        <v>88516.666666666672</v>
      </c>
      <c r="H59" s="45">
        <f t="shared" si="61"/>
        <v>88516.666666666672</v>
      </c>
      <c r="I59" s="45">
        <f t="shared" si="61"/>
        <v>88516.666666666672</v>
      </c>
      <c r="J59" s="45">
        <f t="shared" si="61"/>
        <v>92516.666666666672</v>
      </c>
      <c r="K59" s="45">
        <f t="shared" si="61"/>
        <v>88516.666666666672</v>
      </c>
      <c r="L59" s="45">
        <f t="shared" si="61"/>
        <v>88516.666666666672</v>
      </c>
      <c r="M59" s="45">
        <f t="shared" si="61"/>
        <v>88516.666666666672</v>
      </c>
      <c r="N59" s="45">
        <f t="shared" si="61"/>
        <v>88516.666666666672</v>
      </c>
      <c r="O59" s="45">
        <f t="shared" si="61"/>
        <v>88516.666666666672</v>
      </c>
    </row>
    <row r="60" spans="2:15" x14ac:dyDescent="0.3">
      <c r="B60" s="65" t="s">
        <v>34</v>
      </c>
      <c r="C60" s="53" t="s">
        <v>62</v>
      </c>
      <c r="D60" s="45">
        <f>D42</f>
        <v>3000</v>
      </c>
      <c r="E60" s="45">
        <f t="shared" ref="E60:O60" si="62">E42</f>
        <v>1500</v>
      </c>
      <c r="F60" s="45">
        <f t="shared" si="62"/>
        <v>1500</v>
      </c>
      <c r="G60" s="45">
        <f t="shared" si="62"/>
        <v>1500</v>
      </c>
      <c r="H60" s="45">
        <f t="shared" si="62"/>
        <v>1500</v>
      </c>
      <c r="I60" s="45">
        <f t="shared" si="62"/>
        <v>1500</v>
      </c>
      <c r="J60" s="45">
        <f t="shared" si="62"/>
        <v>1500</v>
      </c>
      <c r="K60" s="45">
        <f t="shared" si="62"/>
        <v>1500</v>
      </c>
      <c r="L60" s="45">
        <f t="shared" si="62"/>
        <v>1500</v>
      </c>
      <c r="M60" s="45">
        <f t="shared" si="62"/>
        <v>1500</v>
      </c>
      <c r="N60" s="45">
        <f t="shared" si="62"/>
        <v>1500</v>
      </c>
      <c r="O60" s="45">
        <f t="shared" si="62"/>
        <v>1500</v>
      </c>
    </row>
    <row r="61" spans="2:15" x14ac:dyDescent="0.3">
      <c r="B61" s="48" t="s">
        <v>104</v>
      </c>
      <c r="C61" s="60" t="s">
        <v>62</v>
      </c>
      <c r="D61" s="50">
        <f>D60+D59</f>
        <v>115516.66666666667</v>
      </c>
      <c r="E61" s="50">
        <f t="shared" ref="E61:O61" si="63">E60+E59</f>
        <v>90016.666666666672</v>
      </c>
      <c r="F61" s="50">
        <f t="shared" si="63"/>
        <v>90016.666666666672</v>
      </c>
      <c r="G61" s="50">
        <f t="shared" si="63"/>
        <v>90016.666666666672</v>
      </c>
      <c r="H61" s="50">
        <f t="shared" si="63"/>
        <v>90016.666666666672</v>
      </c>
      <c r="I61" s="50">
        <f t="shared" si="63"/>
        <v>90016.666666666672</v>
      </c>
      <c r="J61" s="50">
        <f t="shared" si="63"/>
        <v>94016.666666666672</v>
      </c>
      <c r="K61" s="50">
        <f t="shared" si="63"/>
        <v>90016.666666666672</v>
      </c>
      <c r="L61" s="50">
        <f t="shared" si="63"/>
        <v>90016.666666666672</v>
      </c>
      <c r="M61" s="50">
        <f t="shared" si="63"/>
        <v>90016.666666666672</v>
      </c>
      <c r="N61" s="50">
        <f t="shared" si="63"/>
        <v>90016.666666666672</v>
      </c>
      <c r="O61" s="50">
        <f t="shared" si="63"/>
        <v>90016.666666666672</v>
      </c>
    </row>
    <row r="62" spans="2:15" x14ac:dyDescent="0.3">
      <c r="B62" s="40"/>
      <c r="C62" s="44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</row>
    <row r="63" spans="2:15" x14ac:dyDescent="0.3">
      <c r="B63" s="40" t="s">
        <v>105</v>
      </c>
      <c r="C63" s="53" t="s">
        <v>62</v>
      </c>
      <c r="D63" s="47">
        <f>D61+D54+D48</f>
        <v>151076.66666666669</v>
      </c>
      <c r="E63" s="47">
        <f t="shared" ref="E63:O63" si="64">E61+E54+E48</f>
        <v>129132.66666666667</v>
      </c>
      <c r="F63" s="47">
        <f t="shared" si="64"/>
        <v>133044.26666666666</v>
      </c>
      <c r="G63" s="47">
        <f t="shared" si="64"/>
        <v>137347.02666666667</v>
      </c>
      <c r="H63" s="47">
        <f t="shared" si="64"/>
        <v>142080.06266666669</v>
      </c>
      <c r="I63" s="47">
        <f t="shared" si="64"/>
        <v>142080.06266666669</v>
      </c>
      <c r="J63" s="47">
        <f t="shared" si="64"/>
        <v>146080.06266666669</v>
      </c>
      <c r="K63" s="47">
        <f t="shared" si="64"/>
        <v>142080.06266666669</v>
      </c>
      <c r="L63" s="47">
        <f t="shared" si="64"/>
        <v>142080.06266666669</v>
      </c>
      <c r="M63" s="47">
        <f t="shared" si="64"/>
        <v>142080.06266666669</v>
      </c>
      <c r="N63" s="47">
        <f t="shared" si="64"/>
        <v>142080.06266666669</v>
      </c>
      <c r="O63" s="47">
        <f t="shared" si="64"/>
        <v>142080.06266666669</v>
      </c>
    </row>
    <row r="64" spans="2:15" x14ac:dyDescent="0.3">
      <c r="B64" s="48" t="s">
        <v>106</v>
      </c>
      <c r="C64" s="58" t="s">
        <v>62</v>
      </c>
      <c r="D64" s="50">
        <f>D55-D61</f>
        <v>-35476.666666666672</v>
      </c>
      <c r="E64" s="50">
        <f>E55-E61</f>
        <v>-1972.6666666666715</v>
      </c>
      <c r="F64" s="50">
        <f t="shared" ref="F64:O64" si="65">F55-F61</f>
        <v>6831.7333333333518</v>
      </c>
      <c r="G64" s="50">
        <f t="shared" si="65"/>
        <v>16516.573333333348</v>
      </c>
      <c r="H64" s="50">
        <f t="shared" si="65"/>
        <v>27169.897333333356</v>
      </c>
      <c r="I64" s="50">
        <f t="shared" si="65"/>
        <v>27169.897333333356</v>
      </c>
      <c r="J64" s="50">
        <f t="shared" si="65"/>
        <v>23169.897333333356</v>
      </c>
      <c r="K64" s="50">
        <f t="shared" si="65"/>
        <v>27169.897333333356</v>
      </c>
      <c r="L64" s="50">
        <f t="shared" si="65"/>
        <v>27169.897333333356</v>
      </c>
      <c r="M64" s="50">
        <f t="shared" si="65"/>
        <v>27169.897333333356</v>
      </c>
      <c r="N64" s="50">
        <f t="shared" si="65"/>
        <v>27169.897333333356</v>
      </c>
      <c r="O64" s="50">
        <f t="shared" si="65"/>
        <v>27169.897333333356</v>
      </c>
    </row>
    <row r="66" spans="1:15" x14ac:dyDescent="0.3">
      <c r="B66" s="29" t="s">
        <v>58</v>
      </c>
      <c r="C66" s="53" t="s">
        <v>62</v>
      </c>
      <c r="D66" s="54" t="str">
        <f t="shared" ref="D66:O66" si="66">IF(D64&gt;0,D64*D44,"N/A")</f>
        <v>N/A</v>
      </c>
      <c r="E66" s="54" t="str">
        <f t="shared" si="66"/>
        <v>N/A</v>
      </c>
      <c r="F66" s="54">
        <f t="shared" si="66"/>
        <v>68.317333333333522</v>
      </c>
      <c r="G66" s="54">
        <f t="shared" si="66"/>
        <v>165.16573333333349</v>
      </c>
      <c r="H66" s="54">
        <f t="shared" si="66"/>
        <v>271.69897333333358</v>
      </c>
      <c r="I66" s="54">
        <f t="shared" si="66"/>
        <v>271.69897333333358</v>
      </c>
      <c r="J66" s="54">
        <f t="shared" si="66"/>
        <v>231.69897333333356</v>
      </c>
      <c r="K66" s="54">
        <f t="shared" si="66"/>
        <v>271.69897333333358</v>
      </c>
      <c r="L66" s="54">
        <f t="shared" si="66"/>
        <v>271.69897333333358</v>
      </c>
      <c r="M66" s="54">
        <f t="shared" si="66"/>
        <v>271.69897333333358</v>
      </c>
      <c r="N66" s="54">
        <f t="shared" si="66"/>
        <v>271.69897333333358</v>
      </c>
      <c r="O66" s="54">
        <f t="shared" si="66"/>
        <v>271.69897333333358</v>
      </c>
    </row>
    <row r="67" spans="1:15" x14ac:dyDescent="0.3">
      <c r="A67" s="29" t="s">
        <v>21</v>
      </c>
      <c r="B67" s="55" t="s">
        <v>59</v>
      </c>
      <c r="C67" s="56" t="s">
        <v>62</v>
      </c>
      <c r="D67" s="57">
        <f>IFERROR(D64-D66,D64)</f>
        <v>-35476.666666666672</v>
      </c>
      <c r="E67" s="57">
        <f t="shared" ref="E67:O67" si="67">IFERROR(E64-E66,E64)</f>
        <v>-1972.6666666666715</v>
      </c>
      <c r="F67" s="57">
        <f t="shared" si="67"/>
        <v>6763.4160000000184</v>
      </c>
      <c r="G67" s="57">
        <f t="shared" si="67"/>
        <v>16351.407600000015</v>
      </c>
      <c r="H67" s="57">
        <f t="shared" si="67"/>
        <v>26898.198360000024</v>
      </c>
      <c r="I67" s="57">
        <f t="shared" si="67"/>
        <v>26898.198360000024</v>
      </c>
      <c r="J67" s="57">
        <f t="shared" si="67"/>
        <v>22938.198360000024</v>
      </c>
      <c r="K67" s="57">
        <f t="shared" si="67"/>
        <v>26898.198360000024</v>
      </c>
      <c r="L67" s="57">
        <f t="shared" si="67"/>
        <v>26898.198360000024</v>
      </c>
      <c r="M67" s="57">
        <f t="shared" si="67"/>
        <v>26898.198360000024</v>
      </c>
      <c r="N67" s="57">
        <f t="shared" si="67"/>
        <v>26898.198360000024</v>
      </c>
      <c r="O67" s="57">
        <f t="shared" si="67"/>
        <v>26898.198360000024</v>
      </c>
    </row>
    <row r="70" spans="1:15" ht="16.05" customHeight="1" x14ac:dyDescent="0.3">
      <c r="B70" s="79" t="s">
        <v>114</v>
      </c>
      <c r="C70" s="29"/>
      <c r="I70" s="90" t="s">
        <v>60</v>
      </c>
      <c r="J70" s="90"/>
      <c r="K70" s="90"/>
      <c r="L70" s="90"/>
      <c r="M70" s="90"/>
      <c r="N70" s="90"/>
      <c r="O70" s="90"/>
    </row>
    <row r="71" spans="1:15" x14ac:dyDescent="0.3">
      <c r="B71" s="79" t="s">
        <v>115</v>
      </c>
      <c r="C71" s="86">
        <v>0.1</v>
      </c>
      <c r="D71" s="29" t="s">
        <v>116</v>
      </c>
    </row>
    <row r="72" spans="1:15" x14ac:dyDescent="0.3">
      <c r="C72" s="29"/>
    </row>
    <row r="85" spans="1:1" x14ac:dyDescent="0.3">
      <c r="A85" s="29" t="s">
        <v>21</v>
      </c>
    </row>
  </sheetData>
  <mergeCells count="2">
    <mergeCell ref="B2:O2"/>
    <mergeCell ref="I70:O7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553E-0EF1-A14C-A178-DFC48A688122}">
  <dimension ref="B3:K22"/>
  <sheetViews>
    <sheetView showGridLines="0" tabSelected="1" topLeftCell="A2" zoomScale="72" zoomScaleNormal="70" workbookViewId="0">
      <selection activeCell="C4" sqref="C4"/>
    </sheetView>
  </sheetViews>
  <sheetFormatPr defaultColWidth="11" defaultRowHeight="15.6" x14ac:dyDescent="0.3"/>
  <cols>
    <col min="2" max="2" width="33.796875" customWidth="1"/>
    <col min="3" max="3" width="15.3984375" customWidth="1"/>
    <col min="4" max="4" width="8.796875" customWidth="1"/>
    <col min="6" max="6" width="17" style="28" customWidth="1"/>
    <col min="7" max="7" width="17.5" style="27" customWidth="1"/>
    <col min="9" max="9" width="16.09765625" customWidth="1"/>
    <col min="11" max="11" width="38.3984375" customWidth="1"/>
  </cols>
  <sheetData>
    <row r="3" spans="2:11" x14ac:dyDescent="0.3">
      <c r="B3" s="91" t="s">
        <v>110</v>
      </c>
      <c r="C3" s="91"/>
      <c r="F3" s="61" t="s">
        <v>65</v>
      </c>
      <c r="G3" s="62" t="s">
        <v>64</v>
      </c>
      <c r="H3" s="63" t="s">
        <v>63</v>
      </c>
      <c r="I3" s="63" t="s">
        <v>117</v>
      </c>
      <c r="J3" s="63" t="s">
        <v>66</v>
      </c>
      <c r="K3" s="63" t="s">
        <v>70</v>
      </c>
    </row>
    <row r="4" spans="2:11" ht="16.350000000000001" customHeight="1" x14ac:dyDescent="0.3">
      <c r="B4" t="s">
        <v>7</v>
      </c>
      <c r="C4" s="76">
        <v>7817.1091445427728</v>
      </c>
      <c r="F4" s="28" t="s">
        <v>24</v>
      </c>
      <c r="G4" s="83">
        <v>120000</v>
      </c>
      <c r="H4" s="64" t="s">
        <v>22</v>
      </c>
      <c r="I4" s="64"/>
      <c r="J4" s="73">
        <f>IF($H4="V",G4/$C$4,0)</f>
        <v>0</v>
      </c>
      <c r="K4" t="s">
        <v>79</v>
      </c>
    </row>
    <row r="5" spans="2:11" x14ac:dyDescent="0.3">
      <c r="B5" t="s">
        <v>11</v>
      </c>
      <c r="C5" s="78">
        <f>'Financial Model'!D20</f>
        <v>72.25</v>
      </c>
      <c r="F5" s="28" t="s">
        <v>25</v>
      </c>
      <c r="G5" s="83">
        <v>44000</v>
      </c>
      <c r="H5" s="64" t="s">
        <v>22</v>
      </c>
      <c r="I5" s="64"/>
      <c r="J5" s="73">
        <f>IF($H5="V",G5/$C$4,0)</f>
        <v>0</v>
      </c>
      <c r="K5" t="s">
        <v>80</v>
      </c>
    </row>
    <row r="6" spans="2:11" ht="16.05" customHeight="1" x14ac:dyDescent="0.3">
      <c r="B6" t="s">
        <v>113</v>
      </c>
      <c r="C6" s="78">
        <f>SUMIF($H$4:$H$22,"F",$G$4:$G$22)</f>
        <v>396000</v>
      </c>
      <c r="F6" s="28" t="s">
        <v>26</v>
      </c>
      <c r="G6" s="83">
        <v>30000</v>
      </c>
      <c r="H6" s="64" t="s">
        <v>22</v>
      </c>
      <c r="I6" s="64"/>
      <c r="J6" s="73">
        <f>IF($H6="V",G6/$C$4,0)</f>
        <v>0</v>
      </c>
    </row>
    <row r="7" spans="2:11" x14ac:dyDescent="0.3">
      <c r="B7" t="s">
        <v>111</v>
      </c>
      <c r="C7" s="78">
        <f>SUM($J$4:$J$22)</f>
        <v>22.225000000000001</v>
      </c>
      <c r="F7" s="28" t="s">
        <v>27</v>
      </c>
      <c r="G7" s="83">
        <v>5000</v>
      </c>
      <c r="H7" s="64" t="s">
        <v>22</v>
      </c>
      <c r="I7" s="64"/>
      <c r="J7" s="73">
        <f>IF($H7="V",G7/$C$4,0)</f>
        <v>0</v>
      </c>
    </row>
    <row r="8" spans="2:11" x14ac:dyDescent="0.3">
      <c r="C8" s="4"/>
      <c r="F8" s="28" t="s">
        <v>28</v>
      </c>
      <c r="G8" s="83">
        <v>500</v>
      </c>
      <c r="H8" s="64" t="s">
        <v>22</v>
      </c>
      <c r="I8" s="64"/>
      <c r="J8" s="73">
        <f>IF($H8="V",G8/$C$4,0)</f>
        <v>0</v>
      </c>
    </row>
    <row r="9" spans="2:11" ht="18.45" customHeight="1" x14ac:dyDescent="0.3">
      <c r="B9" s="91" t="s">
        <v>1</v>
      </c>
      <c r="C9" s="91"/>
      <c r="F9" s="28" t="s">
        <v>29</v>
      </c>
      <c r="G9" s="83">
        <v>1500</v>
      </c>
      <c r="H9" s="64" t="s">
        <v>23</v>
      </c>
      <c r="I9" s="64"/>
      <c r="J9" s="82">
        <v>0.3</v>
      </c>
    </row>
    <row r="10" spans="2:11" x14ac:dyDescent="0.3">
      <c r="B10" t="s">
        <v>112</v>
      </c>
      <c r="C10" s="10">
        <f>C4*C5</f>
        <v>564786.1356932153</v>
      </c>
      <c r="F10" s="28" t="s">
        <v>30</v>
      </c>
      <c r="G10" s="83">
        <v>15000</v>
      </c>
      <c r="H10" s="64" t="s">
        <v>23</v>
      </c>
      <c r="I10" s="64"/>
      <c r="J10" s="73">
        <f>'Financial Model'!D20*0.3</f>
        <v>21.675000000000001</v>
      </c>
      <c r="K10" s="4">
        <v>0.3</v>
      </c>
    </row>
    <row r="11" spans="2:11" x14ac:dyDescent="0.3">
      <c r="B11" t="s">
        <v>105</v>
      </c>
      <c r="C11" s="10">
        <f>C6+C7*C4</f>
        <v>569735.25073746312</v>
      </c>
      <c r="F11" s="28" t="s">
        <v>31</v>
      </c>
      <c r="G11" s="83">
        <v>4000</v>
      </c>
      <c r="H11" s="64" t="s">
        <v>22</v>
      </c>
      <c r="I11" s="64"/>
      <c r="J11" s="73">
        <f t="shared" ref="J11:J17" si="0">IF($H11="V",G11/$C$4,0)</f>
        <v>0</v>
      </c>
      <c r="K11" t="s">
        <v>82</v>
      </c>
    </row>
    <row r="12" spans="2:11" x14ac:dyDescent="0.3">
      <c r="B12" t="s">
        <v>2</v>
      </c>
      <c r="C12" s="10">
        <f>C10-C11</f>
        <v>-4949.1150442478247</v>
      </c>
      <c r="F12" s="28" t="s">
        <v>83</v>
      </c>
      <c r="G12" s="83">
        <v>80000</v>
      </c>
      <c r="H12" s="64" t="s">
        <v>22</v>
      </c>
      <c r="I12" s="87">
        <v>24</v>
      </c>
      <c r="J12" s="73">
        <f t="shared" si="0"/>
        <v>0</v>
      </c>
      <c r="K12" t="s">
        <v>108</v>
      </c>
    </row>
    <row r="13" spans="2:11" x14ac:dyDescent="0.3">
      <c r="F13" s="28" t="s">
        <v>32</v>
      </c>
      <c r="G13" s="83">
        <v>12000</v>
      </c>
      <c r="H13" s="64" t="s">
        <v>22</v>
      </c>
      <c r="I13" s="87">
        <v>12</v>
      </c>
      <c r="J13" s="73">
        <f t="shared" si="0"/>
        <v>0</v>
      </c>
      <c r="K13" t="s">
        <v>84</v>
      </c>
    </row>
    <row r="14" spans="2:11" x14ac:dyDescent="0.3">
      <c r="F14" s="28" t="s">
        <v>33</v>
      </c>
      <c r="G14" s="83">
        <v>5000</v>
      </c>
      <c r="H14" s="64" t="s">
        <v>22</v>
      </c>
      <c r="I14" s="64"/>
      <c r="J14" s="73">
        <f t="shared" si="0"/>
        <v>0</v>
      </c>
    </row>
    <row r="15" spans="2:11" x14ac:dyDescent="0.3">
      <c r="F15" s="28" t="s">
        <v>34</v>
      </c>
      <c r="G15" s="83">
        <v>3000</v>
      </c>
      <c r="H15" s="64" t="s">
        <v>22</v>
      </c>
      <c r="I15" s="64"/>
      <c r="J15" s="73">
        <f t="shared" si="0"/>
        <v>0</v>
      </c>
    </row>
    <row r="16" spans="2:11" ht="31.2" x14ac:dyDescent="0.3">
      <c r="C16" s="22"/>
      <c r="F16" s="28" t="s">
        <v>35</v>
      </c>
      <c r="G16" s="83">
        <v>15000</v>
      </c>
      <c r="H16" s="64" t="s">
        <v>22</v>
      </c>
      <c r="I16" s="64"/>
      <c r="J16" s="73">
        <f t="shared" si="0"/>
        <v>0</v>
      </c>
    </row>
    <row r="17" spans="5:11" x14ac:dyDescent="0.3">
      <c r="F17" s="28" t="s">
        <v>85</v>
      </c>
      <c r="G17" s="83">
        <v>15000</v>
      </c>
      <c r="H17" s="64" t="s">
        <v>22</v>
      </c>
      <c r="I17" s="88">
        <v>12</v>
      </c>
      <c r="J17" s="73">
        <f t="shared" si="0"/>
        <v>0</v>
      </c>
      <c r="K17" t="s">
        <v>108</v>
      </c>
    </row>
    <row r="18" spans="5:11" ht="31.2" x14ac:dyDescent="0.3">
      <c r="F18" s="28" t="s">
        <v>36</v>
      </c>
      <c r="G18" s="83">
        <v>20000</v>
      </c>
      <c r="H18" s="64" t="s">
        <v>23</v>
      </c>
      <c r="I18" s="64"/>
      <c r="J18" s="82">
        <v>0.25</v>
      </c>
    </row>
    <row r="19" spans="5:11" x14ac:dyDescent="0.3">
      <c r="F19" s="28" t="s">
        <v>86</v>
      </c>
      <c r="G19" s="83">
        <v>2900</v>
      </c>
      <c r="H19" s="64" t="s">
        <v>22</v>
      </c>
      <c r="I19" s="87">
        <v>12</v>
      </c>
      <c r="J19" s="73">
        <f>IF($H19="V",G19/$C$4,0)</f>
        <v>0</v>
      </c>
      <c r="K19" t="s">
        <v>87</v>
      </c>
    </row>
    <row r="20" spans="5:11" x14ac:dyDescent="0.3">
      <c r="E20" s="28"/>
      <c r="F20" s="28" t="s">
        <v>88</v>
      </c>
      <c r="G20" s="83">
        <v>3600</v>
      </c>
      <c r="H20" s="64" t="s">
        <v>22</v>
      </c>
      <c r="I20" s="87">
        <v>12</v>
      </c>
      <c r="J20" s="73">
        <f>IF($H20="V",G20/$C$4,0)</f>
        <v>0</v>
      </c>
      <c r="K20" t="s">
        <v>107</v>
      </c>
    </row>
    <row r="21" spans="5:11" x14ac:dyDescent="0.3">
      <c r="F21" s="28" t="s">
        <v>68</v>
      </c>
      <c r="G21" s="83">
        <v>55000</v>
      </c>
      <c r="H21" s="64" t="s">
        <v>22</v>
      </c>
      <c r="I21" s="87">
        <v>24</v>
      </c>
      <c r="J21" s="73">
        <f>IF($H21="V",G21/$C$4,0)</f>
        <v>0</v>
      </c>
      <c r="K21" t="s">
        <v>81</v>
      </c>
    </row>
    <row r="22" spans="5:11" x14ac:dyDescent="0.3">
      <c r="F22" s="28" t="s">
        <v>69</v>
      </c>
      <c r="G22" s="83">
        <v>1000</v>
      </c>
      <c r="H22" s="64" t="s">
        <v>22</v>
      </c>
      <c r="I22" s="64"/>
      <c r="J22" s="73">
        <f>IF($H22="V",G22/$C$4,0)</f>
        <v>0</v>
      </c>
      <c r="K22" t="s">
        <v>71</v>
      </c>
    </row>
  </sheetData>
  <autoFilter ref="F3:H22" xr:uid="{7808553E-0EF1-A14C-A178-DFC48A688122}"/>
  <mergeCells count="2">
    <mergeCell ref="B3:C3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Voucher-Sensitivity Analysis</vt:lpstr>
      <vt:lpstr>Financial Model</vt:lpstr>
      <vt:lpstr>Break-even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Q. Tran</cp:lastModifiedBy>
  <dcterms:created xsi:type="dcterms:W3CDTF">2022-02-16T09:29:36Z</dcterms:created>
  <dcterms:modified xsi:type="dcterms:W3CDTF">2025-04-06T07:55:25Z</dcterms:modified>
</cp:coreProperties>
</file>