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y\Desktop\CARDANO\"/>
    </mc:Choice>
  </mc:AlternateContent>
  <xr:revisionPtr revIDLastSave="0" documentId="13_ncr:1_{1DC4B38A-8D73-46B4-9285-5E7DB0665A0F}" xr6:coauthVersionLast="46" xr6:coauthVersionMax="46" xr10:uidLastSave="{00000000-0000-0000-0000-000000000000}"/>
  <bookViews>
    <workbookView xWindow="28680" yWindow="-120" windowWidth="29040" windowHeight="15840" xr2:uid="{0CE83F0B-C987-425F-8D80-88B7116BD3FD}"/>
  </bookViews>
  <sheets>
    <sheet name="Epoch-243" sheetId="1" r:id="rId1"/>
    <sheet name="PROFITS-243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4" i="1" l="1"/>
  <c r="F17" i="2"/>
  <c r="F10" i="2"/>
  <c r="C10" i="2"/>
  <c r="F8" i="2"/>
  <c r="C14" i="2" s="1"/>
  <c r="C8" i="2"/>
  <c r="F4" i="2"/>
  <c r="I30" i="1"/>
  <c r="D30" i="1"/>
  <c r="D29" i="1"/>
  <c r="D28" i="1"/>
  <c r="D25" i="1"/>
  <c r="D19" i="1"/>
  <c r="D16" i="1"/>
  <c r="H6" i="1"/>
  <c r="I6" i="1" s="1"/>
  <c r="J6" i="1" s="1"/>
  <c r="H12" i="1" s="1"/>
  <c r="D4" i="1"/>
  <c r="D18" i="1" s="1"/>
  <c r="D20" i="1" s="1"/>
  <c r="C12" i="2" l="1"/>
  <c r="C15" i="2" s="1"/>
  <c r="F23" i="2" s="1"/>
  <c r="F12" i="2"/>
  <c r="H19" i="1"/>
  <c r="I25" i="1" l="1"/>
  <c r="I26" i="1" s="1"/>
  <c r="F14" i="2"/>
  <c r="F24" i="2"/>
  <c r="J30" i="1" l="1"/>
  <c r="F25" i="2"/>
  <c r="F26" i="2" s="1"/>
  <c r="F18" i="2"/>
  <c r="F19" i="2" s="1"/>
</calcChain>
</file>

<file path=xl/sharedStrings.xml><?xml version="1.0" encoding="utf-8"?>
<sst xmlns="http://schemas.openxmlformats.org/spreadsheetml/2006/main" count="85" uniqueCount="81">
  <si>
    <t>Epoch 243</t>
  </si>
  <si>
    <t>Pool = GROW</t>
  </si>
  <si>
    <t>Notes</t>
  </si>
  <si>
    <t>blocks=</t>
  </si>
  <si>
    <t>produced by stake pools</t>
  </si>
  <si>
    <t>ro =</t>
  </si>
  <si>
    <t>monetary expansion factor</t>
  </si>
  <si>
    <t xml:space="preserve">Total Reserves </t>
  </si>
  <si>
    <t>Total Rewards Available</t>
  </si>
  <si>
    <t>Rewards Available after treasury taxes (R)</t>
  </si>
  <si>
    <t>tau =</t>
  </si>
  <si>
    <t>treasury tax</t>
  </si>
  <si>
    <t>k =</t>
  </si>
  <si>
    <t>protocol desired pools factor</t>
  </si>
  <si>
    <t>d =</t>
  </si>
  <si>
    <t>centralisation factor</t>
  </si>
  <si>
    <t xml:space="preserve">Tm = </t>
  </si>
  <si>
    <t>Maximum ADA Supply</t>
  </si>
  <si>
    <t xml:space="preserve">T = </t>
  </si>
  <si>
    <t>Total ADA supply</t>
  </si>
  <si>
    <t>Optimal Rewards for GROW</t>
  </si>
  <si>
    <t xml:space="preserve">Ts = </t>
  </si>
  <si>
    <t>Total Active Stake</t>
  </si>
  <si>
    <t>Ps =</t>
  </si>
  <si>
    <t>GROW's Active Stake</t>
  </si>
  <si>
    <t>Os =</t>
  </si>
  <si>
    <t>Owner stake</t>
  </si>
  <si>
    <t xml:space="preserve">GROW expected blocks = </t>
  </si>
  <si>
    <t>blocks expected by GROW</t>
  </si>
  <si>
    <t>GROW real blocks =</t>
  </si>
  <si>
    <t>blocks produced by GROW</t>
  </si>
  <si>
    <t xml:space="preserve">β = </t>
  </si>
  <si>
    <t>relative blocks produced</t>
  </si>
  <si>
    <t>Real Rewards for GROW</t>
  </si>
  <si>
    <t xml:space="preserve">σa = </t>
  </si>
  <si>
    <t>relative active stake</t>
  </si>
  <si>
    <t xml:space="preserve">pe = </t>
  </si>
  <si>
    <t>apparent pool performance</t>
  </si>
  <si>
    <t>Rewards Distribution</t>
  </si>
  <si>
    <t>Re =</t>
  </si>
  <si>
    <t>M</t>
  </si>
  <si>
    <t>Total Rewards per epoch</t>
  </si>
  <si>
    <t>&lt;- rewards for delegators</t>
  </si>
  <si>
    <t>Pool rewards 2%</t>
  </si>
  <si>
    <t>a0 =</t>
  </si>
  <si>
    <t xml:space="preserve">σ’ =  </t>
  </si>
  <si>
    <t>pool active stake / total supply</t>
  </si>
  <si>
    <t>z0 =</t>
  </si>
  <si>
    <t>Saturation Point</t>
  </si>
  <si>
    <t>Example rewards for (stake amount in ADA):</t>
  </si>
  <si>
    <t>Proportion in active stake:</t>
  </si>
  <si>
    <t>Rewards for delegator (ADA):</t>
  </si>
  <si>
    <t>s’ =</t>
  </si>
  <si>
    <t>owner active stake / total supply</t>
  </si>
  <si>
    <t>GROW POOL Expenses, Profit &amp; Donations Per EPOCH</t>
  </si>
  <si>
    <t>EPOCH</t>
  </si>
  <si>
    <t>5-day moving average ADA price $USD</t>
  </si>
  <si>
    <t>Pool Active Stake (ADA)</t>
  </si>
  <si>
    <t>Per EPOCH Expenses</t>
  </si>
  <si>
    <t>$USD</t>
  </si>
  <si>
    <t>EPOCH Income (5 days)</t>
  </si>
  <si>
    <t>Cloud Hosting (3 VM - Microsoft AZURE)</t>
  </si>
  <si>
    <t>Pool Fixed Fee @340</t>
  </si>
  <si>
    <t>GoDaddy Web Host (growpools.io)</t>
  </si>
  <si>
    <t>Pool Variable Fee @2%</t>
  </si>
  <si>
    <t>Pool Operator Stipend Variable with Active Pool Stake &amp; ADA Price</t>
  </si>
  <si>
    <t>TOTAL</t>
  </si>
  <si>
    <t>Marketing Variable with Active Pool Stake &amp; ADA Price</t>
  </si>
  <si>
    <t>MONTHLY Projected (6 epochs)</t>
  </si>
  <si>
    <t>Expenses</t>
  </si>
  <si>
    <t>Income</t>
  </si>
  <si>
    <t>Profit</t>
  </si>
  <si>
    <t>Charity Donations</t>
  </si>
  <si>
    <t>Donation #1</t>
  </si>
  <si>
    <t>Donation #2</t>
  </si>
  <si>
    <t>After 2% pool tax margin</t>
  </si>
  <si>
    <t>Pool Fixed Cost =</t>
  </si>
  <si>
    <t>After pool fixed cost</t>
  </si>
  <si>
    <t>Pool Variable Fee =</t>
  </si>
  <si>
    <t>EPOCH Profit before % donations</t>
  </si>
  <si>
    <t>Your Charity Name @ % of Profits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</si>
</sst>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4" formatCode="_(&quot;$&quot;* #,##0.00_);_(&quot;$&quot;* \(#,##0.00\);_(&quot;$&quot;* &quot;-&quot;??_);_(@_)"/>
    <numFmt numFmtId="164" formatCode="0.000"/>
    <numFmt numFmtId="165" formatCode="_-* #,##0.00_-;\-* #,##0.00_-;_-* &quot;-&quot;??_-;_-@_-"/>
    <numFmt numFmtId="166" formatCode="0.0000000"/>
    <numFmt numFmtId="167" formatCode="_-* #,##0.00000000_-;\-* #,##0.00000000_-;_-* &quot;-&quot;??_-;_-@_-"/>
    <numFmt numFmtId="168" formatCode="0.000000000"/>
    <numFmt numFmtId="169" formatCode="0.0000000000"/>
    <numFmt numFmtId="170" formatCode="0.000000"/>
    <numFmt numFmtId="171" formatCode="0.0000"/>
    <numFmt numFmtId="172" formatCode="_-* #,##0.00_-;\-* #,##0.00_-;_-* \-??_-;_-@_-"/>
    <numFmt numFmtId="173" formatCode="&quot;$&quot;#,##0.00"/>
    <numFmt numFmtId="174" formatCode="&quot;$&quot;#,##0.00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rgb="FFFF0000"/>
      <name val="Calibri"/>
      <family val="2"/>
      <scheme val="minor"/>
    </font>
    <font>
      <sz val="16"/>
      <color rgb="FF006100"/>
      <name val="Calibri"/>
      <family val="2"/>
      <scheme val="minor"/>
    </font>
    <font>
      <sz val="16"/>
      <color theme="0"/>
      <name val="Calibri"/>
      <family val="2"/>
      <scheme val="minor"/>
    </font>
    <font>
      <sz val="16"/>
      <color rgb="FF9C0006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6"/>
      <color rgb="FF000000"/>
      <name val="Calibri"/>
      <family val="2"/>
    </font>
    <font>
      <sz val="16"/>
      <color rgb="FF000000"/>
      <name val="Calibri"/>
      <family val="2"/>
      <charset val="1"/>
    </font>
    <font>
      <sz val="14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6"/>
      <color rgb="FFC0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BE5D6"/>
        <bgColor rgb="FFE2F0D9"/>
      </patternFill>
    </fill>
    <fill>
      <patternFill patternType="solid">
        <fgColor rgb="FF00B0F0"/>
        <bgColor rgb="FFE2F0D9"/>
      </patternFill>
    </fill>
  </fills>
  <borders count="3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9">
    <xf numFmtId="0" fontId="0" fillId="0" borderId="0"/>
    <xf numFmtId="165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  <xf numFmtId="0" fontId="5" fillId="5" borderId="0" applyNumberFormat="0" applyBorder="0" applyAlignment="0" applyProtection="0"/>
    <xf numFmtId="0" fontId="1" fillId="6" borderId="0" applyNumberFormat="0" applyBorder="0" applyAlignment="0" applyProtection="0"/>
    <xf numFmtId="0" fontId="16" fillId="12" borderId="0" applyBorder="0" applyProtection="0"/>
  </cellStyleXfs>
  <cellXfs count="160">
    <xf numFmtId="0" fontId="0" fillId="0" borderId="0" xfId="0"/>
    <xf numFmtId="0" fontId="6" fillId="0" borderId="0" xfId="0" applyFont="1"/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 vertical="center"/>
    </xf>
    <xf numFmtId="0" fontId="6" fillId="0" borderId="1" xfId="0" applyFont="1" applyBorder="1"/>
    <xf numFmtId="2" fontId="7" fillId="0" borderId="2" xfId="0" applyNumberFormat="1" applyFont="1" applyBorder="1" applyAlignment="1">
      <alignment horizontal="center" vertical="center"/>
    </xf>
    <xf numFmtId="2" fontId="6" fillId="0" borderId="3" xfId="0" applyNumberFormat="1" applyFont="1" applyBorder="1"/>
    <xf numFmtId="0" fontId="6" fillId="0" borderId="4" xfId="0" applyFont="1" applyBorder="1"/>
    <xf numFmtId="2" fontId="8" fillId="7" borderId="1" xfId="0" applyNumberFormat="1" applyFont="1" applyFill="1" applyBorder="1" applyAlignment="1">
      <alignment horizontal="left" vertical="center"/>
    </xf>
    <xf numFmtId="2" fontId="6" fillId="7" borderId="5" xfId="0" applyNumberFormat="1" applyFont="1" applyFill="1" applyBorder="1" applyAlignment="1">
      <alignment horizontal="center" vertical="center"/>
    </xf>
    <xf numFmtId="2" fontId="9" fillId="7" borderId="3" xfId="5" applyNumberFormat="1" applyFont="1" applyFill="1" applyBorder="1" applyAlignment="1">
      <alignment horizontal="center" vertical="center"/>
    </xf>
    <xf numFmtId="2" fontId="10" fillId="8" borderId="0" xfId="0" applyNumberFormat="1" applyFont="1" applyFill="1"/>
    <xf numFmtId="2" fontId="6" fillId="0" borderId="0" xfId="0" applyNumberFormat="1" applyFont="1"/>
    <xf numFmtId="2" fontId="6" fillId="0" borderId="6" xfId="0" applyNumberFormat="1" applyFont="1" applyBorder="1"/>
    <xf numFmtId="2" fontId="6" fillId="0" borderId="7" xfId="0" applyNumberFormat="1" applyFont="1" applyBorder="1"/>
    <xf numFmtId="2" fontId="6" fillId="7" borderId="4" xfId="5" applyNumberFormat="1" applyFont="1" applyFill="1" applyBorder="1" applyAlignment="1">
      <alignment horizontal="left" vertical="center"/>
    </xf>
    <xf numFmtId="2" fontId="6" fillId="7" borderId="0" xfId="5" applyNumberFormat="1" applyFont="1" applyFill="1" applyBorder="1" applyAlignment="1">
      <alignment horizontal="center" vertical="center"/>
    </xf>
    <xf numFmtId="2" fontId="6" fillId="7" borderId="6" xfId="5" applyNumberFormat="1" applyFont="1" applyFill="1" applyBorder="1" applyAlignment="1">
      <alignment horizontal="center" vertical="center"/>
    </xf>
    <xf numFmtId="164" fontId="6" fillId="7" borderId="0" xfId="5" applyNumberFormat="1" applyFont="1" applyFill="1" applyBorder="1" applyAlignment="1">
      <alignment horizontal="center" vertical="center"/>
    </xf>
    <xf numFmtId="2" fontId="6" fillId="9" borderId="1" xfId="0" applyNumberFormat="1" applyFont="1" applyFill="1" applyBorder="1" applyAlignment="1">
      <alignment horizontal="center" vertical="center"/>
    </xf>
    <xf numFmtId="2" fontId="6" fillId="9" borderId="5" xfId="0" applyNumberFormat="1" applyFont="1" applyFill="1" applyBorder="1" applyAlignment="1">
      <alignment horizontal="center"/>
    </xf>
    <xf numFmtId="2" fontId="6" fillId="9" borderId="3" xfId="7" applyNumberFormat="1" applyFont="1" applyFill="1" applyBorder="1" applyAlignment="1">
      <alignment horizontal="center"/>
    </xf>
    <xf numFmtId="3" fontId="6" fillId="9" borderId="8" xfId="1" applyNumberFormat="1" applyFont="1" applyFill="1" applyBorder="1" applyAlignment="1">
      <alignment horizontal="center" vertical="center"/>
    </xf>
    <xf numFmtId="3" fontId="6" fillId="9" borderId="9" xfId="1" applyNumberFormat="1" applyFont="1" applyFill="1" applyBorder="1" applyAlignment="1">
      <alignment horizontal="center"/>
    </xf>
    <xf numFmtId="3" fontId="6" fillId="9" borderId="10" xfId="1" applyNumberFormat="1" applyFont="1" applyFill="1" applyBorder="1" applyAlignment="1">
      <alignment horizontal="center" vertical="center"/>
    </xf>
    <xf numFmtId="165" fontId="6" fillId="0" borderId="0" xfId="1" applyFont="1" applyBorder="1" applyAlignment="1">
      <alignment horizontal="center"/>
    </xf>
    <xf numFmtId="165" fontId="6" fillId="0" borderId="6" xfId="1" applyFont="1" applyBorder="1" applyAlignment="1">
      <alignment horizontal="center"/>
    </xf>
    <xf numFmtId="0" fontId="11" fillId="0" borderId="0" xfId="3" applyFont="1" applyFill="1" applyAlignment="1">
      <alignment horizontal="center"/>
    </xf>
    <xf numFmtId="165" fontId="6" fillId="7" borderId="0" xfId="5" applyNumberFormat="1" applyFont="1" applyFill="1" applyBorder="1" applyAlignment="1">
      <alignment horizontal="center" vertical="center"/>
    </xf>
    <xf numFmtId="0" fontId="6" fillId="0" borderId="0" xfId="5" applyFont="1" applyFill="1"/>
    <xf numFmtId="165" fontId="6" fillId="0" borderId="0" xfId="5" applyNumberFormat="1" applyFont="1" applyFill="1"/>
    <xf numFmtId="166" fontId="6" fillId="0" borderId="0" xfId="0" applyNumberFormat="1" applyFont="1"/>
    <xf numFmtId="4" fontId="12" fillId="7" borderId="11" xfId="6" applyNumberFormat="1" applyFont="1" applyFill="1" applyBorder="1" applyAlignment="1">
      <alignment horizontal="center"/>
    </xf>
    <xf numFmtId="2" fontId="9" fillId="10" borderId="4" xfId="5" applyNumberFormat="1" applyFont="1" applyFill="1" applyBorder="1" applyAlignment="1">
      <alignment horizontal="left" vertical="center"/>
    </xf>
    <xf numFmtId="165" fontId="9" fillId="10" borderId="0" xfId="5" applyNumberFormat="1" applyFont="1" applyFill="1" applyBorder="1" applyAlignment="1">
      <alignment horizontal="center" vertical="center"/>
    </xf>
    <xf numFmtId="2" fontId="6" fillId="10" borderId="0" xfId="5" applyNumberFormat="1" applyFont="1" applyFill="1" applyBorder="1" applyAlignment="1">
      <alignment horizontal="center" vertical="center"/>
    </xf>
    <xf numFmtId="2" fontId="9" fillId="10" borderId="6" xfId="5" applyNumberFormat="1" applyFont="1" applyFill="1" applyBorder="1" applyAlignment="1">
      <alignment horizontal="center" vertical="center"/>
    </xf>
    <xf numFmtId="167" fontId="6" fillId="0" borderId="0" xfId="5" applyNumberFormat="1" applyFont="1" applyFill="1"/>
    <xf numFmtId="165" fontId="6" fillId="0" borderId="0" xfId="1" applyFont="1" applyFill="1"/>
    <xf numFmtId="2" fontId="6" fillId="0" borderId="0" xfId="0" applyNumberFormat="1" applyFont="1" applyAlignment="1">
      <alignment horizontal="center"/>
    </xf>
    <xf numFmtId="168" fontId="9" fillId="10" borderId="0" xfId="5" applyNumberFormat="1" applyFont="1" applyFill="1" applyBorder="1" applyAlignment="1">
      <alignment horizontal="center" vertical="center"/>
    </xf>
    <xf numFmtId="2" fontId="13" fillId="0" borderId="0" xfId="4" applyNumberFormat="1" applyFont="1" applyFill="1"/>
    <xf numFmtId="2" fontId="9" fillId="10" borderId="0" xfId="5" applyNumberFormat="1" applyFont="1" applyFill="1" applyBorder="1" applyAlignment="1">
      <alignment horizontal="center" vertical="center"/>
    </xf>
    <xf numFmtId="2" fontId="11" fillId="0" borderId="0" xfId="3" applyNumberFormat="1" applyFont="1" applyFill="1"/>
    <xf numFmtId="169" fontId="6" fillId="7" borderId="0" xfId="5" applyNumberFormat="1" applyFont="1" applyFill="1" applyBorder="1" applyAlignment="1">
      <alignment horizontal="center" vertical="center"/>
    </xf>
    <xf numFmtId="165" fontId="9" fillId="0" borderId="0" xfId="1" applyFont="1" applyBorder="1" applyAlignment="1">
      <alignment horizontal="center"/>
    </xf>
    <xf numFmtId="0" fontId="6" fillId="7" borderId="4" xfId="5" applyFont="1" applyFill="1" applyBorder="1" applyAlignment="1">
      <alignment horizontal="left" vertical="center"/>
    </xf>
    <xf numFmtId="4" fontId="14" fillId="10" borderId="11" xfId="6" applyNumberFormat="1" applyFont="1" applyFill="1" applyBorder="1" applyAlignment="1">
      <alignment horizontal="center" vertical="center"/>
    </xf>
    <xf numFmtId="165" fontId="6" fillId="0" borderId="6" xfId="1" applyFont="1" applyBorder="1" applyAlignment="1">
      <alignment horizontal="center" vertical="center"/>
    </xf>
    <xf numFmtId="0" fontId="6" fillId="0" borderId="6" xfId="0" applyFont="1" applyBorder="1"/>
    <xf numFmtId="2" fontId="9" fillId="6" borderId="12" xfId="7" applyNumberFormat="1" applyFont="1" applyBorder="1" applyAlignment="1">
      <alignment horizontal="center"/>
    </xf>
    <xf numFmtId="2" fontId="6" fillId="0" borderId="13" xfId="0" applyNumberFormat="1" applyFont="1" applyBorder="1" applyAlignment="1">
      <alignment horizontal="center"/>
    </xf>
    <xf numFmtId="2" fontId="6" fillId="0" borderId="14" xfId="0" applyNumberFormat="1" applyFont="1" applyBorder="1" applyAlignment="1">
      <alignment horizontal="center"/>
    </xf>
    <xf numFmtId="2" fontId="6" fillId="0" borderId="15" xfId="0" applyNumberFormat="1" applyFont="1" applyBorder="1"/>
    <xf numFmtId="4" fontId="6" fillId="0" borderId="16" xfId="0" applyNumberFormat="1" applyFont="1" applyBorder="1" applyAlignment="1">
      <alignment horizontal="center"/>
    </xf>
    <xf numFmtId="2" fontId="6" fillId="0" borderId="17" xfId="0" applyNumberFormat="1" applyFont="1" applyBorder="1"/>
    <xf numFmtId="4" fontId="12" fillId="11" borderId="16" xfId="6" applyNumberFormat="1" applyFont="1" applyFill="1" applyBorder="1" applyAlignment="1">
      <alignment horizontal="center"/>
    </xf>
    <xf numFmtId="2" fontId="15" fillId="10" borderId="17" xfId="0" applyNumberFormat="1" applyFont="1" applyFill="1" applyBorder="1" applyAlignment="1">
      <alignment horizontal="left" vertical="center"/>
    </xf>
    <xf numFmtId="0" fontId="6" fillId="0" borderId="18" xfId="0" applyFont="1" applyBorder="1"/>
    <xf numFmtId="2" fontId="6" fillId="0" borderId="19" xfId="0" applyNumberFormat="1" applyFont="1" applyBorder="1" applyAlignment="1">
      <alignment horizontal="center" vertical="center"/>
    </xf>
    <xf numFmtId="2" fontId="15" fillId="0" borderId="20" xfId="0" applyNumberFormat="1" applyFont="1" applyBorder="1"/>
    <xf numFmtId="170" fontId="6" fillId="7" borderId="0" xfId="5" applyNumberFormat="1" applyFont="1" applyFill="1" applyBorder="1" applyAlignment="1">
      <alignment horizontal="center" vertical="center"/>
    </xf>
    <xf numFmtId="2" fontId="6" fillId="0" borderId="0" xfId="0" applyNumberFormat="1" applyFont="1" applyAlignment="1">
      <alignment horizontal="center" vertical="center"/>
    </xf>
    <xf numFmtId="171" fontId="6" fillId="7" borderId="0" xfId="5" applyNumberFormat="1" applyFont="1" applyFill="1" applyBorder="1" applyAlignment="1">
      <alignment horizontal="center" vertical="center"/>
    </xf>
    <xf numFmtId="172" fontId="17" fillId="13" borderId="21" xfId="8" applyNumberFormat="1" applyFont="1" applyFill="1" applyBorder="1" applyAlignment="1" applyProtection="1">
      <alignment horizontal="center" vertical="center" wrapText="1"/>
    </xf>
    <xf numFmtId="172" fontId="17" fillId="13" borderId="22" xfId="8" applyNumberFormat="1" applyFont="1" applyFill="1" applyBorder="1" applyAlignment="1" applyProtection="1">
      <alignment horizontal="center" vertical="center" wrapText="1"/>
    </xf>
    <xf numFmtId="172" fontId="17" fillId="13" borderId="23" xfId="8" applyNumberFormat="1" applyFont="1" applyFill="1" applyBorder="1" applyAlignment="1" applyProtection="1">
      <alignment horizontal="center" vertical="center" wrapText="1"/>
    </xf>
    <xf numFmtId="0" fontId="6" fillId="7" borderId="8" xfId="5" applyFont="1" applyFill="1" applyBorder="1" applyAlignment="1">
      <alignment horizontal="left" vertical="center"/>
    </xf>
    <xf numFmtId="168" fontId="6" fillId="7" borderId="9" xfId="5" applyNumberFormat="1" applyFont="1" applyFill="1" applyBorder="1" applyAlignment="1">
      <alignment horizontal="center" vertical="center"/>
    </xf>
    <xf numFmtId="2" fontId="6" fillId="7" borderId="9" xfId="5" applyNumberFormat="1" applyFont="1" applyFill="1" applyBorder="1" applyAlignment="1">
      <alignment horizontal="center" vertical="center"/>
    </xf>
    <xf numFmtId="2" fontId="6" fillId="7" borderId="10" xfId="5" applyNumberFormat="1" applyFont="1" applyFill="1" applyBorder="1" applyAlignment="1">
      <alignment horizontal="center" vertical="center"/>
    </xf>
    <xf numFmtId="3" fontId="18" fillId="13" borderId="24" xfId="8" applyNumberFormat="1" applyFont="1" applyFill="1" applyBorder="1" applyAlignment="1" applyProtection="1">
      <alignment horizontal="center" vertical="center"/>
    </xf>
    <xf numFmtId="2" fontId="18" fillId="13" borderId="25" xfId="8" applyNumberFormat="1" applyFont="1" applyFill="1" applyBorder="1" applyAlignment="1" applyProtection="1">
      <alignment horizontal="center" vertical="center"/>
    </xf>
    <xf numFmtId="4" fontId="18" fillId="13" borderId="26" xfId="8" applyNumberFormat="1" applyFont="1" applyFill="1" applyBorder="1" applyAlignment="1" applyProtection="1">
      <alignment horizontal="center" vertical="center"/>
    </xf>
    <xf numFmtId="0" fontId="6" fillId="0" borderId="8" xfId="0" applyFont="1" applyBorder="1"/>
    <xf numFmtId="0" fontId="6" fillId="0" borderId="9" xfId="5" applyFont="1" applyFill="1" applyBorder="1" applyAlignment="1">
      <alignment horizontal="left" vertical="center"/>
    </xf>
    <xf numFmtId="168" fontId="6" fillId="0" borderId="9" xfId="5" applyNumberFormat="1" applyFont="1" applyFill="1" applyBorder="1" applyAlignment="1">
      <alignment horizontal="center"/>
    </xf>
    <xf numFmtId="2" fontId="6" fillId="0" borderId="9" xfId="5" applyNumberFormat="1" applyFont="1" applyFill="1" applyBorder="1"/>
    <xf numFmtId="2" fontId="6" fillId="0" borderId="9" xfId="5" applyNumberFormat="1" applyFont="1" applyFill="1" applyBorder="1" applyAlignment="1">
      <alignment horizontal="center" vertical="center"/>
    </xf>
    <xf numFmtId="172" fontId="18" fillId="0" borderId="9" xfId="8" applyNumberFormat="1" applyFont="1" applyFill="1" applyBorder="1" applyAlignment="1" applyProtection="1">
      <alignment horizontal="center"/>
    </xf>
    <xf numFmtId="0" fontId="6" fillId="0" borderId="9" xfId="0" applyFont="1" applyBorder="1"/>
    <xf numFmtId="0" fontId="6" fillId="0" borderId="2" xfId="0" applyFont="1" applyBorder="1"/>
    <xf numFmtId="2" fontId="6" fillId="0" borderId="10" xfId="0" applyNumberFormat="1" applyFont="1" applyBorder="1"/>
    <xf numFmtId="0" fontId="6" fillId="0" borderId="0" xfId="5" applyFont="1" applyFill="1" applyAlignment="1">
      <alignment horizontal="left" vertical="center"/>
    </xf>
    <xf numFmtId="168" fontId="6" fillId="0" borderId="0" xfId="5" applyNumberFormat="1" applyFont="1" applyFill="1" applyAlignment="1">
      <alignment horizontal="center"/>
    </xf>
    <xf numFmtId="2" fontId="6" fillId="0" borderId="0" xfId="5" applyNumberFormat="1" applyFont="1" applyFill="1"/>
    <xf numFmtId="2" fontId="6" fillId="0" borderId="0" xfId="5" applyNumberFormat="1" applyFont="1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173" fontId="19" fillId="0" borderId="0" xfId="0" applyNumberFormat="1" applyFont="1" applyAlignment="1">
      <alignment horizontal="center" vertical="center" wrapText="1"/>
    </xf>
    <xf numFmtId="173" fontId="0" fillId="0" borderId="0" xfId="0" applyNumberFormat="1" applyAlignment="1">
      <alignment horizontal="center" vertical="center" wrapText="1"/>
    </xf>
    <xf numFmtId="0" fontId="9" fillId="10" borderId="1" xfId="0" applyFont="1" applyFill="1" applyBorder="1" applyAlignment="1">
      <alignment horizontal="center" vertical="center" wrapText="1"/>
    </xf>
    <xf numFmtId="0" fontId="9" fillId="10" borderId="5" xfId="0" applyFont="1" applyFill="1" applyBorder="1" applyAlignment="1">
      <alignment horizontal="center" vertical="center" wrapText="1"/>
    </xf>
    <xf numFmtId="0" fontId="0" fillId="10" borderId="5" xfId="0" applyFill="1" applyBorder="1" applyAlignment="1">
      <alignment horizontal="center" vertical="center" wrapText="1"/>
    </xf>
    <xf numFmtId="0" fontId="20" fillId="0" borderId="27" xfId="0" applyFont="1" applyBorder="1" applyAlignment="1">
      <alignment horizontal="center" vertical="center" wrapText="1"/>
    </xf>
    <xf numFmtId="0" fontId="20" fillId="0" borderId="28" xfId="0" applyFont="1" applyBorder="1" applyAlignment="1">
      <alignment horizontal="center" vertical="center" wrapText="1"/>
    </xf>
    <xf numFmtId="0" fontId="21" fillId="10" borderId="4" xfId="0" applyFont="1" applyFill="1" applyBorder="1" applyAlignment="1">
      <alignment horizontal="center" vertical="center" wrapText="1"/>
    </xf>
    <xf numFmtId="173" fontId="19" fillId="10" borderId="0" xfId="0" applyNumberFormat="1" applyFont="1" applyFill="1" applyAlignment="1">
      <alignment horizontal="center" vertical="center" wrapText="1"/>
    </xf>
    <xf numFmtId="0" fontId="0" fillId="10" borderId="0" xfId="0" applyFill="1" applyAlignment="1">
      <alignment horizontal="center" vertical="center" wrapText="1"/>
    </xf>
    <xf numFmtId="0" fontId="19" fillId="10" borderId="0" xfId="0" applyFont="1" applyFill="1" applyAlignment="1">
      <alignment horizontal="center" vertical="center" wrapText="1"/>
    </xf>
    <xf numFmtId="0" fontId="19" fillId="10" borderId="6" xfId="0" applyFont="1" applyFill="1" applyBorder="1" applyAlignment="1">
      <alignment horizontal="center" vertical="center" wrapText="1"/>
    </xf>
    <xf numFmtId="173" fontId="21" fillId="0" borderId="27" xfId="0" applyNumberFormat="1" applyFont="1" applyBorder="1" applyAlignment="1">
      <alignment horizontal="center" vertical="center" wrapText="1"/>
    </xf>
    <xf numFmtId="174" fontId="21" fillId="0" borderId="29" xfId="0" applyNumberFormat="1" applyFont="1" applyBorder="1" applyAlignment="1">
      <alignment horizontal="center" vertical="center" wrapText="1"/>
    </xf>
    <xf numFmtId="173" fontId="21" fillId="0" borderId="29" xfId="0" applyNumberFormat="1" applyFont="1" applyBorder="1" applyAlignment="1">
      <alignment horizontal="center" vertical="center" wrapText="1"/>
    </xf>
    <xf numFmtId="173" fontId="4" fillId="0" borderId="0" xfId="0" applyNumberFormat="1" applyFont="1" applyAlignment="1">
      <alignment horizontal="center" vertical="center" wrapText="1"/>
    </xf>
    <xf numFmtId="0" fontId="19" fillId="10" borderId="4" xfId="0" applyFont="1" applyFill="1" applyBorder="1" applyAlignment="1">
      <alignment horizontal="center" vertical="center" wrapText="1"/>
    </xf>
    <xf numFmtId="173" fontId="0" fillId="10" borderId="0" xfId="0" applyNumberFormat="1" applyFill="1" applyAlignment="1">
      <alignment horizontal="center" vertical="center" wrapText="1"/>
    </xf>
    <xf numFmtId="173" fontId="19" fillId="10" borderId="6" xfId="0" applyNumberFormat="1" applyFont="1" applyFill="1" applyBorder="1" applyAlignment="1">
      <alignment horizontal="center" vertical="center" wrapText="1"/>
    </xf>
    <xf numFmtId="173" fontId="21" fillId="0" borderId="21" xfId="0" applyNumberFormat="1" applyFont="1" applyBorder="1" applyAlignment="1">
      <alignment horizontal="center" vertical="center" wrapText="1"/>
    </xf>
    <xf numFmtId="0" fontId="19" fillId="0" borderId="23" xfId="0" applyFont="1" applyBorder="1" applyAlignment="1">
      <alignment horizontal="center" vertical="center" wrapText="1"/>
    </xf>
    <xf numFmtId="0" fontId="21" fillId="0" borderId="21" xfId="0" applyFont="1" applyBorder="1" applyAlignment="1">
      <alignment horizontal="center" vertical="center" wrapText="1"/>
    </xf>
    <xf numFmtId="173" fontId="19" fillId="0" borderId="23" xfId="0" applyNumberFormat="1" applyFont="1" applyBorder="1" applyAlignment="1">
      <alignment horizontal="center" vertical="center" wrapText="1"/>
    </xf>
    <xf numFmtId="0" fontId="19" fillId="0" borderId="30" xfId="0" applyFont="1" applyBorder="1" applyAlignment="1">
      <alignment horizontal="center" vertical="center" wrapText="1"/>
    </xf>
    <xf numFmtId="173" fontId="19" fillId="0" borderId="31" xfId="0" applyNumberFormat="1" applyFont="1" applyBorder="1" applyAlignment="1">
      <alignment horizontal="center" vertical="center" wrapText="1"/>
    </xf>
    <xf numFmtId="173" fontId="19" fillId="0" borderId="30" xfId="0" applyNumberFormat="1" applyFont="1" applyBorder="1" applyAlignment="1">
      <alignment horizontal="center" vertical="center" wrapText="1"/>
    </xf>
    <xf numFmtId="0" fontId="19" fillId="0" borderId="15" xfId="0" applyFont="1" applyBorder="1" applyAlignment="1">
      <alignment horizontal="center" vertical="center" wrapText="1"/>
    </xf>
    <xf numFmtId="173" fontId="19" fillId="0" borderId="17" xfId="0" applyNumberFormat="1" applyFont="1" applyBorder="1" applyAlignment="1">
      <alignment horizontal="center" vertical="center" wrapText="1"/>
    </xf>
    <xf numFmtId="173" fontId="19" fillId="0" borderId="15" xfId="0" applyNumberFormat="1" applyFont="1" applyBorder="1" applyAlignment="1">
      <alignment horizontal="center" vertical="center" wrapText="1"/>
    </xf>
    <xf numFmtId="173" fontId="19" fillId="0" borderId="32" xfId="0" applyNumberFormat="1" applyFont="1" applyBorder="1" applyAlignment="1">
      <alignment horizontal="center" vertical="center" wrapText="1"/>
    </xf>
    <xf numFmtId="173" fontId="19" fillId="0" borderId="33" xfId="0" applyNumberFormat="1" applyFont="1" applyBorder="1" applyAlignment="1">
      <alignment horizontal="center" vertical="center" wrapText="1"/>
    </xf>
    <xf numFmtId="173" fontId="19" fillId="0" borderId="6" xfId="2" applyNumberFormat="1" applyFont="1" applyBorder="1" applyAlignment="1">
      <alignment horizontal="center" vertical="center" wrapText="1"/>
    </xf>
    <xf numFmtId="173" fontId="21" fillId="0" borderId="24" xfId="0" applyNumberFormat="1" applyFont="1" applyBorder="1" applyAlignment="1">
      <alignment horizontal="center" vertical="center" wrapText="1"/>
    </xf>
    <xf numFmtId="173" fontId="21" fillId="0" borderId="26" xfId="0" applyNumberFormat="1" applyFont="1" applyBorder="1" applyAlignment="1">
      <alignment horizontal="center" vertical="center" wrapText="1"/>
    </xf>
    <xf numFmtId="0" fontId="19" fillId="0" borderId="32" xfId="0" applyFont="1" applyBorder="1" applyAlignment="1">
      <alignment horizontal="center" vertical="center" wrapText="1"/>
    </xf>
    <xf numFmtId="173" fontId="21" fillId="0" borderId="1" xfId="0" applyNumberFormat="1" applyFont="1" applyBorder="1" applyAlignment="1">
      <alignment horizontal="center" vertical="center" wrapText="1"/>
    </xf>
    <xf numFmtId="173" fontId="21" fillId="0" borderId="3" xfId="0" applyNumberFormat="1" applyFont="1" applyBorder="1" applyAlignment="1">
      <alignment horizontal="center" vertical="center" wrapText="1"/>
    </xf>
    <xf numFmtId="0" fontId="21" fillId="0" borderId="24" xfId="0" applyFont="1" applyBorder="1" applyAlignment="1">
      <alignment horizontal="center" vertical="center" wrapText="1"/>
    </xf>
    <xf numFmtId="173" fontId="21" fillId="0" borderId="8" xfId="0" applyNumberFormat="1" applyFont="1" applyBorder="1" applyAlignment="1">
      <alignment horizontal="center" vertical="center" wrapText="1"/>
    </xf>
    <xf numFmtId="173" fontId="21" fillId="0" borderId="10" xfId="0" applyNumberFormat="1" applyFont="1" applyBorder="1" applyAlignment="1">
      <alignment horizontal="center" vertical="center" wrapText="1"/>
    </xf>
    <xf numFmtId="0" fontId="21" fillId="10" borderId="27" xfId="0" applyFont="1" applyFill="1" applyBorder="1" applyAlignment="1">
      <alignment horizontal="center" vertical="center" wrapText="1"/>
    </xf>
    <xf numFmtId="173" fontId="21" fillId="10" borderId="2" xfId="0" applyNumberFormat="1" applyFont="1" applyFill="1" applyBorder="1" applyAlignment="1">
      <alignment horizontal="center" vertical="center" wrapText="1"/>
    </xf>
    <xf numFmtId="173" fontId="0" fillId="10" borderId="9" xfId="0" applyNumberFormat="1" applyFill="1" applyBorder="1" applyAlignment="1">
      <alignment horizontal="center" vertical="center" wrapText="1"/>
    </xf>
    <xf numFmtId="173" fontId="21" fillId="10" borderId="0" xfId="0" applyNumberFormat="1" applyFont="1" applyFill="1" applyAlignment="1">
      <alignment horizontal="center" vertical="center" wrapText="1"/>
    </xf>
    <xf numFmtId="173" fontId="21" fillId="10" borderId="10" xfId="0" applyNumberFormat="1" applyFont="1" applyFill="1" applyBorder="1" applyAlignment="1">
      <alignment horizontal="center" vertical="center" wrapText="1"/>
    </xf>
    <xf numFmtId="0" fontId="9" fillId="0" borderId="27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173" fontId="0" fillId="0" borderId="9" xfId="0" applyNumberFormat="1" applyBorder="1" applyAlignment="1">
      <alignment horizontal="center" vertical="center" wrapText="1"/>
    </xf>
    <xf numFmtId="173" fontId="19" fillId="0" borderId="34" xfId="0" applyNumberFormat="1" applyFont="1" applyBorder="1" applyAlignment="1">
      <alignment horizontal="center" vertical="center" wrapText="1"/>
    </xf>
    <xf numFmtId="173" fontId="19" fillId="0" borderId="14" xfId="0" applyNumberFormat="1" applyFont="1" applyBorder="1" applyAlignment="1">
      <alignment horizontal="center" vertical="center" wrapText="1"/>
    </xf>
    <xf numFmtId="0" fontId="19" fillId="10" borderId="1" xfId="0" applyFont="1" applyFill="1" applyBorder="1" applyAlignment="1">
      <alignment horizontal="center" vertical="center" wrapText="1"/>
    </xf>
    <xf numFmtId="0" fontId="19" fillId="10" borderId="4" xfId="0" applyFont="1" applyFill="1" applyBorder="1" applyAlignment="1">
      <alignment horizontal="center" vertical="center" wrapText="1"/>
    </xf>
    <xf numFmtId="0" fontId="19" fillId="10" borderId="0" xfId="0" applyFont="1" applyFill="1" applyAlignment="1">
      <alignment horizontal="center" vertical="center" wrapText="1"/>
    </xf>
    <xf numFmtId="0" fontId="21" fillId="7" borderId="35" xfId="0" applyFont="1" applyFill="1" applyBorder="1" applyAlignment="1">
      <alignment horizontal="center" vertical="center" wrapText="1"/>
    </xf>
    <xf numFmtId="173" fontId="21" fillId="7" borderId="35" xfId="0" applyNumberFormat="1" applyFont="1" applyFill="1" applyBorder="1" applyAlignment="1">
      <alignment horizontal="center" vertical="center" wrapText="1"/>
    </xf>
    <xf numFmtId="0" fontId="19" fillId="7" borderId="4" xfId="0" applyFont="1" applyFill="1" applyBorder="1" applyAlignment="1">
      <alignment horizontal="center" vertical="center" wrapText="1"/>
    </xf>
    <xf numFmtId="173" fontId="19" fillId="7" borderId="6" xfId="0" applyNumberFormat="1" applyFont="1" applyFill="1" applyBorder="1" applyAlignment="1">
      <alignment horizontal="center" vertical="center" wrapText="1"/>
    </xf>
    <xf numFmtId="0" fontId="19" fillId="7" borderId="15" xfId="0" applyFont="1" applyFill="1" applyBorder="1" applyAlignment="1">
      <alignment horizontal="center" vertical="center" wrapText="1"/>
    </xf>
    <xf numFmtId="173" fontId="19" fillId="7" borderId="17" xfId="0" applyNumberFormat="1" applyFont="1" applyFill="1" applyBorder="1" applyAlignment="1">
      <alignment horizontal="center" vertical="center" wrapText="1"/>
    </xf>
    <xf numFmtId="0" fontId="19" fillId="7" borderId="36" xfId="0" applyFont="1" applyFill="1" applyBorder="1" applyAlignment="1">
      <alignment horizontal="center" vertical="center" wrapText="1"/>
    </xf>
    <xf numFmtId="173" fontId="19" fillId="7" borderId="37" xfId="0" applyNumberFormat="1" applyFont="1" applyFill="1" applyBorder="1" applyAlignment="1">
      <alignment horizontal="center" vertical="center" wrapText="1"/>
    </xf>
    <xf numFmtId="0" fontId="0" fillId="10" borderId="8" xfId="0" applyFill="1" applyBorder="1" applyAlignment="1">
      <alignment horizontal="center" vertical="center" wrapText="1"/>
    </xf>
    <xf numFmtId="0" fontId="0" fillId="10" borderId="9" xfId="0" applyFill="1" applyBorder="1" applyAlignment="1">
      <alignment horizontal="center" vertical="center" wrapText="1"/>
    </xf>
    <xf numFmtId="0" fontId="21" fillId="7" borderId="27" xfId="0" applyFont="1" applyFill="1" applyBorder="1" applyAlignment="1">
      <alignment horizontal="center" vertical="center" wrapText="1"/>
    </xf>
    <xf numFmtId="173" fontId="21" fillId="7" borderId="29" xfId="0" applyNumberFormat="1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2" fontId="22" fillId="7" borderId="4" xfId="5" applyNumberFormat="1" applyFont="1" applyFill="1" applyBorder="1" applyAlignment="1">
      <alignment horizontal="left" vertical="center"/>
    </xf>
    <xf numFmtId="2" fontId="23" fillId="10" borderId="4" xfId="5" applyNumberFormat="1" applyFont="1" applyFill="1" applyBorder="1" applyAlignment="1">
      <alignment horizontal="left" vertical="center"/>
    </xf>
    <xf numFmtId="2" fontId="23" fillId="7" borderId="4" xfId="5" applyNumberFormat="1" applyFont="1" applyFill="1" applyBorder="1" applyAlignment="1">
      <alignment horizontal="left" vertical="center"/>
    </xf>
    <xf numFmtId="2" fontId="9" fillId="7" borderId="0" xfId="5" applyNumberFormat="1" applyFont="1" applyFill="1" applyBorder="1" applyAlignment="1">
      <alignment horizontal="center" vertical="center"/>
    </xf>
    <xf numFmtId="10" fontId="9" fillId="7" borderId="0" xfId="5" applyNumberFormat="1" applyFont="1" applyFill="1" applyBorder="1" applyAlignment="1">
      <alignment horizontal="center" vertical="center"/>
    </xf>
  </cellXfs>
  <cellStyles count="9">
    <cellStyle name="20% - Accent2" xfId="5" builtinId="34"/>
    <cellStyle name="20% - Accent6" xfId="7" builtinId="50"/>
    <cellStyle name="Accent6" xfId="6" builtinId="49"/>
    <cellStyle name="Bad" xfId="4" builtinId="27"/>
    <cellStyle name="Comma" xfId="1" builtinId="3"/>
    <cellStyle name="Currency" xfId="2" builtinId="4"/>
    <cellStyle name="Excel Built-in 20% - Accent2" xfId="8" xr:uid="{4CA70B3F-D010-41D0-82AD-9C3CA84F0824}"/>
    <cellStyle name="Good" xfId="3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59690</xdr:colOff>
      <xdr:row>7</xdr:row>
      <xdr:rowOff>74968</xdr:rowOff>
    </xdr:from>
    <xdr:ext cx="5624513" cy="2066737"/>
    <xdr:pic>
      <xdr:nvPicPr>
        <xdr:cNvPr id="2" name="Picture 1" descr="A picture containing clock&#10;&#10;Description automatically generated">
          <a:extLst>
            <a:ext uri="{FF2B5EF4-FFF2-40B4-BE49-F238E27FC236}">
              <a16:creationId xmlns:a16="http://schemas.microsoft.com/office/drawing/2014/main" id="{FFD7D22E-1C00-4615-B29E-D248E5360B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76305" y="2084743"/>
          <a:ext cx="5624513" cy="2066737"/>
        </a:xfrm>
        <a:prstGeom prst="rect">
          <a:avLst/>
        </a:prstGeom>
      </xdr:spPr>
    </xdr:pic>
    <xdr:clientData/>
  </xdr:oneCellAnchor>
  <xdr:oneCellAnchor>
    <xdr:from>
      <xdr:col>8</xdr:col>
      <xdr:colOff>37316</xdr:colOff>
      <xdr:row>16</xdr:row>
      <xdr:rowOff>63500</xdr:rowOff>
    </xdr:from>
    <xdr:ext cx="3546307" cy="1161891"/>
    <xdr:pic>
      <xdr:nvPicPr>
        <xdr:cNvPr id="3" name="Picture 2" descr="A picture containing clock&#10;&#10;Description automatically generated">
          <a:extLst>
            <a:ext uri="{FF2B5EF4-FFF2-40B4-BE49-F238E27FC236}">
              <a16:creationId xmlns:a16="http://schemas.microsoft.com/office/drawing/2014/main" id="{78269B56-D7DB-49E1-AC98-B1BDFCBB97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57741" y="4488815"/>
          <a:ext cx="3546307" cy="1161891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Wallets/EDEN_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poch 211"/>
      <sheetName val="Epoch Test"/>
      <sheetName val="Epoch-243"/>
      <sheetName val="PROFITS-243"/>
      <sheetName val="Epoch-242"/>
      <sheetName val="PROFITS-242"/>
      <sheetName val="Epoch-241 "/>
      <sheetName val="PROFITS-241"/>
      <sheetName val="Epoch-240"/>
      <sheetName val="PROFITS-240"/>
      <sheetName val="Probability 234"/>
      <sheetName val="Reserves-Rewards"/>
      <sheetName val="CURRENT-with-Vairable"/>
    </sheetNames>
    <sheetDataSet>
      <sheetData sheetId="0" refreshError="1"/>
      <sheetData sheetId="1" refreshError="1"/>
      <sheetData sheetId="2">
        <row r="13">
          <cell r="D13">
            <v>20470000</v>
          </cell>
        </row>
        <row r="25">
          <cell r="I25">
            <v>700.07026773870894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3DD96-30D1-4D81-8CC3-4CE3E4484C02}">
  <sheetPr>
    <pageSetUpPr fitToPage="1"/>
  </sheetPr>
  <dimension ref="B1:AF147"/>
  <sheetViews>
    <sheetView tabSelected="1" zoomScale="80" zoomScaleNormal="80" workbookViewId="0">
      <selection activeCell="F23" sqref="F23"/>
    </sheetView>
  </sheetViews>
  <sheetFormatPr defaultRowHeight="21" x14ac:dyDescent="0.4"/>
  <cols>
    <col min="1" max="1" width="16.44140625" style="1" customWidth="1"/>
    <col min="2" max="2" width="2.44140625" style="1" customWidth="1"/>
    <col min="3" max="3" width="31" style="2" customWidth="1"/>
    <col min="4" max="4" width="26.88671875" style="1" bestFit="1" customWidth="1"/>
    <col min="5" max="5" width="3.88671875" style="1" bestFit="1" customWidth="1"/>
    <col min="6" max="6" width="42" style="3" customWidth="1"/>
    <col min="7" max="7" width="1.6640625" style="1" customWidth="1"/>
    <col min="8" max="8" width="36.33203125" style="1" bestFit="1" customWidth="1"/>
    <col min="9" max="9" width="30.88671875" style="1" bestFit="1" customWidth="1"/>
    <col min="10" max="10" width="52.88671875" style="1" customWidth="1"/>
    <col min="11" max="11" width="2.21875" style="1" customWidth="1"/>
    <col min="12" max="26" width="8.88671875" style="1"/>
    <col min="27" max="27" width="17.5546875" style="1" bestFit="1" customWidth="1"/>
    <col min="28" max="28" width="29.5546875" style="1" bestFit="1" customWidth="1"/>
    <col min="29" max="29" width="8.88671875" style="1"/>
    <col min="30" max="30" width="14.6640625" style="1" bestFit="1" customWidth="1"/>
    <col min="31" max="31" width="10.109375" style="1" bestFit="1" customWidth="1"/>
    <col min="32" max="16384" width="8.88671875" style="1"/>
  </cols>
  <sheetData>
    <row r="1" spans="2:32" ht="21.6" thickBot="1" x14ac:dyDescent="0.45"/>
    <row r="2" spans="2:32" ht="27.6" customHeight="1" thickBot="1" x14ac:dyDescent="0.45">
      <c r="B2" s="4"/>
      <c r="C2" s="5" t="s">
        <v>0</v>
      </c>
      <c r="D2" s="5"/>
      <c r="E2" s="5"/>
      <c r="F2" s="5"/>
      <c r="G2" s="5"/>
      <c r="H2" s="5"/>
      <c r="I2" s="5"/>
      <c r="J2" s="5"/>
      <c r="K2" s="6"/>
    </row>
    <row r="3" spans="2:32" ht="23.4" x14ac:dyDescent="0.4">
      <c r="B3" s="7"/>
      <c r="C3" s="8" t="s">
        <v>1</v>
      </c>
      <c r="D3" s="9"/>
      <c r="E3" s="9"/>
      <c r="F3" s="10" t="s">
        <v>2</v>
      </c>
      <c r="G3" s="11"/>
      <c r="H3" s="12"/>
      <c r="I3" s="12"/>
      <c r="J3" s="13"/>
      <c r="K3" s="14"/>
    </row>
    <row r="4" spans="2:32" ht="21.6" thickBot="1" x14ac:dyDescent="0.45">
      <c r="B4" s="7"/>
      <c r="C4" s="15" t="s">
        <v>3</v>
      </c>
      <c r="D4" s="16">
        <f>21600 * (1-D8)</f>
        <v>15552</v>
      </c>
      <c r="E4" s="16"/>
      <c r="F4" s="17" t="s">
        <v>4</v>
      </c>
      <c r="G4" s="11"/>
      <c r="H4" s="12"/>
      <c r="I4" s="12"/>
      <c r="J4" s="13"/>
      <c r="K4" s="13"/>
    </row>
    <row r="5" spans="2:32" x14ac:dyDescent="0.4">
      <c r="B5" s="7"/>
      <c r="C5" s="15" t="s">
        <v>5</v>
      </c>
      <c r="D5" s="18">
        <v>3.0000000000000001E-3</v>
      </c>
      <c r="E5" s="16"/>
      <c r="F5" s="17" t="s">
        <v>6</v>
      </c>
      <c r="G5" s="11"/>
      <c r="H5" s="19" t="s">
        <v>7</v>
      </c>
      <c r="I5" s="20" t="s">
        <v>8</v>
      </c>
      <c r="J5" s="21" t="s">
        <v>9</v>
      </c>
      <c r="K5" s="13"/>
    </row>
    <row r="6" spans="2:32" ht="21.6" thickBot="1" x14ac:dyDescent="0.45">
      <c r="B6" s="7"/>
      <c r="C6" s="15" t="s">
        <v>10</v>
      </c>
      <c r="D6" s="16">
        <v>0.2</v>
      </c>
      <c r="E6" s="16"/>
      <c r="F6" s="17" t="s">
        <v>11</v>
      </c>
      <c r="G6" s="11"/>
      <c r="H6" s="22">
        <f>D9-D10</f>
        <v>13156466705</v>
      </c>
      <c r="I6" s="23">
        <f>H6*D5</f>
        <v>39469400.115000002</v>
      </c>
      <c r="J6" s="24">
        <f>I6*(1-D6)</f>
        <v>31575520.092000004</v>
      </c>
      <c r="K6" s="13"/>
    </row>
    <row r="7" spans="2:32" x14ac:dyDescent="0.4">
      <c r="B7" s="7"/>
      <c r="C7" s="15" t="s">
        <v>12</v>
      </c>
      <c r="D7" s="16">
        <v>500</v>
      </c>
      <c r="E7" s="16"/>
      <c r="F7" s="17" t="s">
        <v>13</v>
      </c>
      <c r="G7" s="11"/>
      <c r="H7" s="25"/>
      <c r="I7" s="25"/>
      <c r="J7" s="26"/>
      <c r="K7" s="13"/>
    </row>
    <row r="8" spans="2:32" x14ac:dyDescent="0.4">
      <c r="B8" s="7"/>
      <c r="C8" s="157" t="s">
        <v>14</v>
      </c>
      <c r="D8" s="16">
        <v>0.28000000000000003</v>
      </c>
      <c r="E8" s="16"/>
      <c r="F8" s="17" t="s">
        <v>15</v>
      </c>
      <c r="G8" s="11"/>
      <c r="I8" s="25"/>
      <c r="J8" s="26"/>
      <c r="K8" s="13"/>
      <c r="AA8" s="27"/>
      <c r="AB8" s="27"/>
      <c r="AC8" s="27"/>
      <c r="AD8" s="27"/>
      <c r="AE8" s="27"/>
    </row>
    <row r="9" spans="2:32" x14ac:dyDescent="0.4">
      <c r="B9" s="7"/>
      <c r="C9" s="15" t="s">
        <v>16</v>
      </c>
      <c r="D9" s="28">
        <v>45000000000</v>
      </c>
      <c r="E9" s="16"/>
      <c r="F9" s="17" t="s">
        <v>17</v>
      </c>
      <c r="G9" s="11"/>
      <c r="I9" s="25"/>
      <c r="J9" s="26"/>
      <c r="K9" s="13"/>
      <c r="AA9" s="29"/>
      <c r="AB9" s="30"/>
      <c r="AD9" s="31"/>
      <c r="AE9" s="12"/>
    </row>
    <row r="10" spans="2:32" x14ac:dyDescent="0.4">
      <c r="B10" s="7"/>
      <c r="C10" s="157" t="s">
        <v>18</v>
      </c>
      <c r="D10" s="28">
        <v>31843533295</v>
      </c>
      <c r="E10" s="16"/>
      <c r="F10" s="17" t="s">
        <v>19</v>
      </c>
      <c r="G10" s="11"/>
      <c r="H10" s="25"/>
      <c r="I10" s="25"/>
      <c r="J10" s="26"/>
      <c r="K10" s="13"/>
      <c r="AA10" s="29"/>
      <c r="AB10" s="30"/>
      <c r="AD10" s="31"/>
      <c r="AE10" s="12"/>
    </row>
    <row r="11" spans="2:32" ht="21.6" thickBot="1" x14ac:dyDescent="0.45">
      <c r="B11" s="7"/>
      <c r="C11" s="15"/>
      <c r="D11" s="16"/>
      <c r="E11" s="16"/>
      <c r="F11" s="17"/>
      <c r="G11" s="11"/>
      <c r="H11" s="25" t="s">
        <v>20</v>
      </c>
      <c r="I11" s="25"/>
      <c r="J11" s="26"/>
      <c r="K11" s="13"/>
      <c r="AA11" s="29"/>
      <c r="AB11" s="30"/>
      <c r="AD11" s="31"/>
      <c r="AE11" s="12"/>
    </row>
    <row r="12" spans="2:32" ht="21.6" thickBot="1" x14ac:dyDescent="0.45">
      <c r="B12" s="7"/>
      <c r="C12" s="157" t="s">
        <v>21</v>
      </c>
      <c r="D12" s="28">
        <v>21980000000</v>
      </c>
      <c r="E12" s="16"/>
      <c r="F12" s="17" t="s">
        <v>22</v>
      </c>
      <c r="G12" s="11"/>
      <c r="H12" s="32">
        <f>IF(D17 &gt; 0, (J6/(1+D27)) * (D28 + (D30 * D27) * (D28 - (D30 * ((D29 - D28)/D29)))/D29), 0)</f>
        <v>15628.237473541129</v>
      </c>
      <c r="I12" s="25"/>
      <c r="J12" s="26"/>
      <c r="K12" s="13"/>
      <c r="AA12" s="29"/>
      <c r="AB12" s="30"/>
      <c r="AD12" s="31"/>
      <c r="AE12" s="12"/>
    </row>
    <row r="13" spans="2:32" x14ac:dyDescent="0.4">
      <c r="B13" s="7"/>
      <c r="C13" s="156" t="s">
        <v>23</v>
      </c>
      <c r="D13" s="34">
        <v>20470000</v>
      </c>
      <c r="E13" s="35"/>
      <c r="F13" s="36" t="s">
        <v>24</v>
      </c>
      <c r="G13" s="11"/>
      <c r="I13" s="25"/>
      <c r="J13" s="26"/>
      <c r="K13" s="13"/>
      <c r="AA13" s="29"/>
      <c r="AB13" s="30"/>
      <c r="AD13" s="31"/>
      <c r="AE13" s="12"/>
    </row>
    <row r="14" spans="2:32" x14ac:dyDescent="0.4">
      <c r="B14" s="7"/>
      <c r="C14" s="15" t="s">
        <v>25</v>
      </c>
      <c r="D14" s="158">
        <v>200000</v>
      </c>
      <c r="E14" s="16"/>
      <c r="F14" s="17" t="s">
        <v>26</v>
      </c>
      <c r="G14" s="11"/>
      <c r="H14" s="25"/>
      <c r="I14" s="25"/>
      <c r="J14" s="26"/>
      <c r="K14" s="13"/>
      <c r="AA14" s="29"/>
      <c r="AB14" s="37"/>
      <c r="AD14" s="31"/>
      <c r="AE14" s="12"/>
    </row>
    <row r="15" spans="2:32" x14ac:dyDescent="0.4">
      <c r="B15" s="7"/>
      <c r="C15" s="15"/>
      <c r="D15" s="16"/>
      <c r="E15" s="16"/>
      <c r="F15" s="17"/>
      <c r="G15" s="11"/>
      <c r="H15" s="25"/>
      <c r="I15" s="25"/>
      <c r="J15" s="26"/>
      <c r="K15" s="13"/>
      <c r="AB15" s="38"/>
      <c r="AD15" s="31"/>
      <c r="AE15" s="39"/>
    </row>
    <row r="16" spans="2:32" x14ac:dyDescent="0.4">
      <c r="B16" s="7"/>
      <c r="C16" s="33" t="s">
        <v>27</v>
      </c>
      <c r="D16" s="40">
        <f>D4*D19</f>
        <v>14.483595996360327</v>
      </c>
      <c r="E16" s="35"/>
      <c r="F16" s="36" t="s">
        <v>28</v>
      </c>
      <c r="G16" s="11"/>
      <c r="H16" s="25"/>
      <c r="I16" s="25"/>
      <c r="J16" s="26"/>
      <c r="K16" s="13"/>
      <c r="AB16" s="38"/>
      <c r="AD16" s="31"/>
      <c r="AE16" s="41"/>
      <c r="AF16" s="12"/>
    </row>
    <row r="17" spans="2:31" x14ac:dyDescent="0.4">
      <c r="B17" s="7"/>
      <c r="C17" s="33" t="s">
        <v>29</v>
      </c>
      <c r="D17" s="42">
        <v>17</v>
      </c>
      <c r="E17" s="35"/>
      <c r="F17" s="36" t="s">
        <v>30</v>
      </c>
      <c r="G17" s="11"/>
      <c r="I17" s="25"/>
      <c r="J17" s="26"/>
      <c r="K17" s="13"/>
      <c r="AB17" s="38"/>
      <c r="AD17" s="31"/>
      <c r="AE17" s="43"/>
    </row>
    <row r="18" spans="2:31" ht="21.6" thickBot="1" x14ac:dyDescent="0.45">
      <c r="B18" s="7"/>
      <c r="C18" s="15" t="s">
        <v>31</v>
      </c>
      <c r="D18" s="44">
        <f>D17/D4</f>
        <v>1.0931069958847737E-3</v>
      </c>
      <c r="E18" s="16"/>
      <c r="F18" s="17" t="s">
        <v>32</v>
      </c>
      <c r="G18" s="11"/>
      <c r="H18" s="45" t="s">
        <v>33</v>
      </c>
      <c r="I18" s="25"/>
      <c r="J18" s="26"/>
      <c r="K18" s="13"/>
      <c r="AB18" s="38"/>
      <c r="AD18" s="31"/>
      <c r="AE18" s="43"/>
    </row>
    <row r="19" spans="2:31" ht="24" thickBot="1" x14ac:dyDescent="0.45">
      <c r="B19" s="7"/>
      <c r="C19" s="46" t="s">
        <v>34</v>
      </c>
      <c r="D19" s="44">
        <f>D13/D12</f>
        <v>9.3130118289353955E-4</v>
      </c>
      <c r="E19" s="16"/>
      <c r="F19" s="17" t="s">
        <v>35</v>
      </c>
      <c r="G19" s="11"/>
      <c r="H19" s="47">
        <f>D20*H12</f>
        <v>18343.51338693537</v>
      </c>
      <c r="I19" s="25"/>
      <c r="J19" s="26"/>
      <c r="K19" s="13"/>
      <c r="AB19" s="38"/>
      <c r="AD19" s="31"/>
      <c r="AE19" s="43"/>
    </row>
    <row r="20" spans="2:31" x14ac:dyDescent="0.4">
      <c r="B20" s="7"/>
      <c r="C20" s="46" t="s">
        <v>36</v>
      </c>
      <c r="D20" s="16">
        <f>IF(D8 &lt; 0.8, D18/D19, 1)</f>
        <v>1.1737416594795957</v>
      </c>
      <c r="E20" s="16"/>
      <c r="F20" s="17" t="s">
        <v>37</v>
      </c>
      <c r="G20" s="11"/>
      <c r="I20" s="25"/>
      <c r="J20" s="48"/>
      <c r="K20" s="13"/>
      <c r="AB20" s="38"/>
      <c r="AD20" s="31"/>
      <c r="AE20" s="43"/>
    </row>
    <row r="21" spans="2:31" x14ac:dyDescent="0.4">
      <c r="B21" s="7"/>
      <c r="C21" s="46"/>
      <c r="D21" s="16"/>
      <c r="E21" s="16"/>
      <c r="F21" s="17"/>
      <c r="G21" s="11"/>
      <c r="I21" s="25"/>
      <c r="J21" s="48"/>
      <c r="K21" s="13"/>
      <c r="AB21" s="38"/>
      <c r="AD21" s="31"/>
      <c r="AE21" s="43"/>
    </row>
    <row r="22" spans="2:31" ht="21.6" thickBot="1" x14ac:dyDescent="0.45">
      <c r="B22" s="7"/>
      <c r="C22" s="155" t="s">
        <v>76</v>
      </c>
      <c r="D22" s="158">
        <v>340</v>
      </c>
      <c r="E22" s="16"/>
      <c r="F22" s="17"/>
      <c r="G22" s="11"/>
      <c r="J22" s="49"/>
      <c r="K22" s="13"/>
      <c r="AB22" s="38"/>
      <c r="AD22" s="31"/>
      <c r="AE22" s="43"/>
    </row>
    <row r="23" spans="2:31" x14ac:dyDescent="0.4">
      <c r="B23" s="7"/>
      <c r="C23" s="155" t="s">
        <v>78</v>
      </c>
      <c r="D23" s="159">
        <v>0.02</v>
      </c>
      <c r="E23" s="16"/>
      <c r="F23" s="17"/>
      <c r="G23" s="11"/>
      <c r="H23" s="50" t="s">
        <v>38</v>
      </c>
      <c r="I23" s="51"/>
      <c r="J23" s="52"/>
      <c r="K23" s="13"/>
      <c r="AB23" s="38"/>
      <c r="AD23" s="31"/>
      <c r="AE23" s="43"/>
    </row>
    <row r="24" spans="2:31" x14ac:dyDescent="0.4">
      <c r="B24" s="7"/>
      <c r="C24" s="15"/>
      <c r="D24" s="18"/>
      <c r="E24" s="16"/>
      <c r="F24" s="17"/>
      <c r="G24" s="11"/>
      <c r="H24" s="53" t="s">
        <v>77</v>
      </c>
      <c r="I24" s="54">
        <f>IF(H19-D22 &gt; 0, H19-D22, 0)</f>
        <v>18003.51338693537</v>
      </c>
      <c r="J24" s="55"/>
      <c r="K24" s="13"/>
      <c r="AB24" s="38"/>
      <c r="AD24" s="31"/>
      <c r="AE24" s="43"/>
    </row>
    <row r="25" spans="2:31" x14ac:dyDescent="0.4">
      <c r="B25" s="7"/>
      <c r="C25" s="46" t="s">
        <v>39</v>
      </c>
      <c r="D25" s="16">
        <f>D5*(D9-D10) / 1000000</f>
        <v>39.469400114999999</v>
      </c>
      <c r="E25" s="16" t="s">
        <v>40</v>
      </c>
      <c r="F25" s="17" t="s">
        <v>41</v>
      </c>
      <c r="G25" s="11"/>
      <c r="H25" s="53" t="s">
        <v>75</v>
      </c>
      <c r="I25" s="56">
        <f>I24*(1-D23)</f>
        <v>17643.443119196661</v>
      </c>
      <c r="J25" s="57" t="s">
        <v>42</v>
      </c>
      <c r="K25" s="13"/>
      <c r="AB25" s="38"/>
      <c r="AD25" s="31"/>
      <c r="AE25" s="43"/>
    </row>
    <row r="26" spans="2:31" ht="21.6" thickBot="1" x14ac:dyDescent="0.45">
      <c r="B26" s="7"/>
      <c r="C26" s="15"/>
      <c r="D26" s="16"/>
      <c r="E26" s="16"/>
      <c r="F26" s="17"/>
      <c r="G26" s="11"/>
      <c r="H26" s="58" t="s">
        <v>43</v>
      </c>
      <c r="I26" s="59">
        <f>(I24-I25)+D22</f>
        <v>700.07026773870894</v>
      </c>
      <c r="J26" s="60"/>
      <c r="K26" s="13"/>
      <c r="AB26" s="38"/>
      <c r="AD26" s="31"/>
      <c r="AE26" s="43"/>
    </row>
    <row r="27" spans="2:31" x14ac:dyDescent="0.4">
      <c r="B27" s="7"/>
      <c r="C27" s="46" t="s">
        <v>44</v>
      </c>
      <c r="D27" s="16">
        <v>0.3</v>
      </c>
      <c r="E27" s="16"/>
      <c r="F27" s="17"/>
      <c r="G27" s="11"/>
      <c r="J27" s="49"/>
      <c r="K27" s="13"/>
      <c r="AB27" s="38"/>
      <c r="AD27" s="31"/>
      <c r="AE27" s="43"/>
    </row>
    <row r="28" spans="2:31" ht="21.6" thickBot="1" x14ac:dyDescent="0.45">
      <c r="B28" s="7"/>
      <c r="C28" s="46" t="s">
        <v>45</v>
      </c>
      <c r="D28" s="61">
        <f>D13/D10</f>
        <v>6.4283067492432297E-4</v>
      </c>
      <c r="E28" s="16"/>
      <c r="F28" s="17" t="s">
        <v>46</v>
      </c>
      <c r="G28" s="11"/>
      <c r="I28" s="62"/>
      <c r="J28" s="49"/>
      <c r="K28" s="13"/>
      <c r="AB28" s="38"/>
      <c r="AD28" s="31"/>
      <c r="AE28" s="43"/>
    </row>
    <row r="29" spans="2:31" ht="42.6" thickBot="1" x14ac:dyDescent="0.45">
      <c r="B29" s="7"/>
      <c r="C29" s="46" t="s">
        <v>47</v>
      </c>
      <c r="D29" s="63">
        <f>1/D7</f>
        <v>2E-3</v>
      </c>
      <c r="E29" s="16"/>
      <c r="F29" s="17" t="s">
        <v>48</v>
      </c>
      <c r="G29" s="11"/>
      <c r="H29" s="64" t="s">
        <v>49</v>
      </c>
      <c r="I29" s="65" t="s">
        <v>50</v>
      </c>
      <c r="J29" s="66" t="s">
        <v>51</v>
      </c>
      <c r="K29" s="13"/>
      <c r="AB29" s="38"/>
      <c r="AD29" s="31"/>
      <c r="AE29" s="43"/>
    </row>
    <row r="30" spans="2:31" ht="22.2" thickTop="1" thickBot="1" x14ac:dyDescent="0.45">
      <c r="B30" s="7"/>
      <c r="C30" s="67" t="s">
        <v>52</v>
      </c>
      <c r="D30" s="68">
        <f>D14/D10</f>
        <v>6.2807100627681777E-6</v>
      </c>
      <c r="E30" s="69"/>
      <c r="F30" s="70" t="s">
        <v>53</v>
      </c>
      <c r="G30" s="11"/>
      <c r="H30" s="71">
        <v>200000</v>
      </c>
      <c r="I30" s="72">
        <f>H30/D13</f>
        <v>9.7703957010258913E-3</v>
      </c>
      <c r="J30" s="73">
        <f>I25*I30</f>
        <v>172.38342080309391</v>
      </c>
      <c r="K30" s="13"/>
      <c r="AB30" s="38"/>
      <c r="AD30" s="31"/>
      <c r="AE30" s="43"/>
    </row>
    <row r="31" spans="2:31" ht="13.2" customHeight="1" thickBot="1" x14ac:dyDescent="0.45">
      <c r="B31" s="74"/>
      <c r="C31" s="75"/>
      <c r="D31" s="76"/>
      <c r="E31" s="77"/>
      <c r="F31" s="78"/>
      <c r="G31" s="79"/>
      <c r="H31" s="80"/>
      <c r="I31" s="80"/>
      <c r="J31" s="81"/>
      <c r="K31" s="82"/>
      <c r="AB31" s="38"/>
      <c r="AD31" s="31"/>
      <c r="AE31" s="43"/>
    </row>
    <row r="32" spans="2:31" ht="26.4" customHeight="1" x14ac:dyDescent="0.4">
      <c r="C32" s="83"/>
      <c r="D32" s="84"/>
      <c r="E32" s="85"/>
      <c r="F32" s="86"/>
      <c r="K32" s="12"/>
      <c r="AB32" s="38"/>
      <c r="AD32" s="31"/>
      <c r="AE32" s="43"/>
    </row>
    <row r="33" spans="28:31" x14ac:dyDescent="0.4">
      <c r="AB33" s="38"/>
      <c r="AD33" s="31"/>
      <c r="AE33" s="43"/>
    </row>
    <row r="34" spans="28:31" x14ac:dyDescent="0.4">
      <c r="AB34" s="38"/>
      <c r="AD34" s="31"/>
      <c r="AE34" s="43"/>
    </row>
    <row r="35" spans="28:31" x14ac:dyDescent="0.4">
      <c r="AB35" s="38"/>
      <c r="AD35" s="31"/>
      <c r="AE35" s="43"/>
    </row>
    <row r="36" spans="28:31" x14ac:dyDescent="0.4">
      <c r="AB36" s="38"/>
      <c r="AD36" s="31"/>
      <c r="AE36" s="43"/>
    </row>
    <row r="37" spans="28:31" x14ac:dyDescent="0.4">
      <c r="AB37" s="38"/>
      <c r="AD37" s="31"/>
      <c r="AE37" s="43"/>
    </row>
    <row r="38" spans="28:31" x14ac:dyDescent="0.4">
      <c r="AB38" s="38"/>
      <c r="AD38" s="31"/>
      <c r="AE38" s="43"/>
    </row>
    <row r="39" spans="28:31" x14ac:dyDescent="0.4">
      <c r="AB39" s="38"/>
      <c r="AD39" s="31"/>
      <c r="AE39" s="43"/>
    </row>
    <row r="40" spans="28:31" x14ac:dyDescent="0.4">
      <c r="AB40" s="38"/>
      <c r="AD40" s="31"/>
      <c r="AE40" s="43"/>
    </row>
    <row r="41" spans="28:31" x14ac:dyDescent="0.4">
      <c r="AB41" s="38"/>
      <c r="AD41" s="31"/>
      <c r="AE41" s="43"/>
    </row>
    <row r="42" spans="28:31" x14ac:dyDescent="0.4">
      <c r="AB42" s="38"/>
      <c r="AD42" s="31"/>
      <c r="AE42" s="43"/>
    </row>
    <row r="43" spans="28:31" x14ac:dyDescent="0.4">
      <c r="AB43" s="38"/>
      <c r="AD43" s="31"/>
      <c r="AE43" s="43"/>
    </row>
    <row r="44" spans="28:31" x14ac:dyDescent="0.4">
      <c r="AB44" s="38"/>
      <c r="AD44" s="31"/>
      <c r="AE44" s="43"/>
    </row>
    <row r="45" spans="28:31" x14ac:dyDescent="0.4">
      <c r="AB45" s="38"/>
      <c r="AD45" s="31"/>
      <c r="AE45" s="43"/>
    </row>
    <row r="46" spans="28:31" x14ac:dyDescent="0.4">
      <c r="AB46" s="38"/>
      <c r="AD46" s="31"/>
      <c r="AE46" s="43"/>
    </row>
    <row r="47" spans="28:31" x14ac:dyDescent="0.4">
      <c r="AB47" s="38"/>
      <c r="AD47" s="31"/>
      <c r="AE47" s="43"/>
    </row>
    <row r="48" spans="28:31" x14ac:dyDescent="0.4">
      <c r="AB48" s="38"/>
      <c r="AD48" s="31"/>
      <c r="AE48" s="43"/>
    </row>
    <row r="49" spans="28:31" x14ac:dyDescent="0.4">
      <c r="AB49" s="38"/>
      <c r="AD49" s="31"/>
      <c r="AE49" s="43"/>
    </row>
    <row r="50" spans="28:31" x14ac:dyDescent="0.4">
      <c r="AB50" s="38"/>
      <c r="AD50" s="31"/>
      <c r="AE50" s="43"/>
    </row>
    <row r="51" spans="28:31" x14ac:dyDescent="0.4">
      <c r="AB51" s="38"/>
      <c r="AD51" s="31"/>
      <c r="AE51" s="43"/>
    </row>
    <row r="52" spans="28:31" x14ac:dyDescent="0.4">
      <c r="AB52" s="38"/>
      <c r="AD52" s="31"/>
      <c r="AE52" s="43"/>
    </row>
    <row r="53" spans="28:31" x14ac:dyDescent="0.4">
      <c r="AB53" s="38"/>
      <c r="AD53" s="31"/>
      <c r="AE53" s="43"/>
    </row>
    <row r="54" spans="28:31" x14ac:dyDescent="0.4">
      <c r="AB54" s="38"/>
      <c r="AD54" s="31"/>
      <c r="AE54" s="43"/>
    </row>
    <row r="55" spans="28:31" x14ac:dyDescent="0.4">
      <c r="AB55" s="38"/>
      <c r="AD55" s="31"/>
      <c r="AE55" s="43"/>
    </row>
    <row r="56" spans="28:31" x14ac:dyDescent="0.4">
      <c r="AB56" s="38"/>
      <c r="AD56" s="31"/>
      <c r="AE56" s="43"/>
    </row>
    <row r="57" spans="28:31" x14ac:dyDescent="0.4">
      <c r="AB57" s="38"/>
      <c r="AD57" s="31"/>
      <c r="AE57" s="43"/>
    </row>
    <row r="58" spans="28:31" x14ac:dyDescent="0.4">
      <c r="AB58" s="38"/>
      <c r="AD58" s="31"/>
      <c r="AE58" s="43"/>
    </row>
    <row r="59" spans="28:31" x14ac:dyDescent="0.4">
      <c r="AB59" s="38"/>
      <c r="AD59" s="31"/>
      <c r="AE59" s="43"/>
    </row>
    <row r="60" spans="28:31" x14ac:dyDescent="0.4">
      <c r="AB60" s="38"/>
      <c r="AD60" s="31"/>
      <c r="AE60" s="43"/>
    </row>
    <row r="61" spans="28:31" x14ac:dyDescent="0.4">
      <c r="AB61" s="38"/>
      <c r="AD61" s="31"/>
      <c r="AE61" s="43"/>
    </row>
    <row r="62" spans="28:31" x14ac:dyDescent="0.4">
      <c r="AB62" s="38"/>
      <c r="AD62" s="31"/>
      <c r="AE62" s="43"/>
    </row>
    <row r="63" spans="28:31" x14ac:dyDescent="0.4">
      <c r="AB63" s="38"/>
      <c r="AD63" s="31"/>
      <c r="AE63" s="43"/>
    </row>
    <row r="64" spans="28:31" x14ac:dyDescent="0.4">
      <c r="AB64" s="38"/>
      <c r="AD64" s="31"/>
      <c r="AE64" s="43"/>
    </row>
    <row r="65" spans="28:31" x14ac:dyDescent="0.4">
      <c r="AB65" s="38"/>
      <c r="AD65" s="31"/>
      <c r="AE65" s="43"/>
    </row>
    <row r="66" spans="28:31" x14ac:dyDescent="0.4">
      <c r="AB66" s="38"/>
      <c r="AD66" s="31"/>
      <c r="AE66" s="43"/>
    </row>
    <row r="67" spans="28:31" x14ac:dyDescent="0.4">
      <c r="AB67" s="38"/>
      <c r="AD67" s="31"/>
      <c r="AE67" s="43"/>
    </row>
    <row r="68" spans="28:31" x14ac:dyDescent="0.4">
      <c r="AB68" s="38"/>
      <c r="AD68" s="31"/>
      <c r="AE68" s="43"/>
    </row>
    <row r="69" spans="28:31" x14ac:dyDescent="0.4">
      <c r="AB69" s="38"/>
      <c r="AD69" s="31"/>
      <c r="AE69" s="43"/>
    </row>
    <row r="70" spans="28:31" x14ac:dyDescent="0.4">
      <c r="AB70" s="38"/>
      <c r="AD70" s="31"/>
      <c r="AE70" s="43"/>
    </row>
    <row r="71" spans="28:31" x14ac:dyDescent="0.4">
      <c r="AB71" s="38"/>
      <c r="AD71" s="31"/>
      <c r="AE71" s="43"/>
    </row>
    <row r="72" spans="28:31" x14ac:dyDescent="0.4">
      <c r="AB72" s="38"/>
      <c r="AD72" s="31"/>
      <c r="AE72" s="43"/>
    </row>
    <row r="73" spans="28:31" x14ac:dyDescent="0.4">
      <c r="AB73" s="38"/>
      <c r="AD73" s="31"/>
      <c r="AE73" s="43"/>
    </row>
    <row r="74" spans="28:31" x14ac:dyDescent="0.4">
      <c r="AB74" s="38"/>
      <c r="AD74" s="31"/>
      <c r="AE74" s="43"/>
    </row>
    <row r="75" spans="28:31" x14ac:dyDescent="0.4">
      <c r="AB75" s="38"/>
      <c r="AD75" s="31"/>
      <c r="AE75" s="43"/>
    </row>
    <row r="76" spans="28:31" x14ac:dyDescent="0.4">
      <c r="AB76" s="38"/>
      <c r="AD76" s="31"/>
      <c r="AE76" s="43"/>
    </row>
    <row r="77" spans="28:31" x14ac:dyDescent="0.4">
      <c r="AB77" s="38"/>
      <c r="AD77" s="31"/>
      <c r="AE77" s="43"/>
    </row>
    <row r="78" spans="28:31" x14ac:dyDescent="0.4">
      <c r="AB78" s="38"/>
      <c r="AD78" s="31"/>
      <c r="AE78" s="43"/>
    </row>
    <row r="79" spans="28:31" x14ac:dyDescent="0.4">
      <c r="AB79" s="38"/>
      <c r="AD79" s="31"/>
      <c r="AE79" s="43"/>
    </row>
    <row r="80" spans="28:31" x14ac:dyDescent="0.4">
      <c r="AB80" s="38"/>
      <c r="AD80" s="31"/>
      <c r="AE80" s="43"/>
    </row>
    <row r="81" spans="28:31" x14ac:dyDescent="0.4">
      <c r="AB81" s="38"/>
      <c r="AD81" s="31"/>
      <c r="AE81" s="43"/>
    </row>
    <row r="82" spans="28:31" x14ac:dyDescent="0.4">
      <c r="AB82" s="38"/>
      <c r="AD82" s="31"/>
      <c r="AE82" s="43"/>
    </row>
    <row r="83" spans="28:31" x14ac:dyDescent="0.4">
      <c r="AB83" s="38"/>
      <c r="AD83" s="31"/>
      <c r="AE83" s="43"/>
    </row>
    <row r="84" spans="28:31" x14ac:dyDescent="0.4">
      <c r="AB84" s="38"/>
      <c r="AD84" s="31"/>
      <c r="AE84" s="43"/>
    </row>
    <row r="85" spans="28:31" x14ac:dyDescent="0.4">
      <c r="AB85" s="38"/>
      <c r="AD85" s="31"/>
      <c r="AE85" s="43"/>
    </row>
    <row r="86" spans="28:31" x14ac:dyDescent="0.4">
      <c r="AB86" s="38"/>
      <c r="AD86" s="31"/>
      <c r="AE86" s="43"/>
    </row>
    <row r="87" spans="28:31" x14ac:dyDescent="0.4">
      <c r="AB87" s="38"/>
      <c r="AD87" s="31"/>
      <c r="AE87" s="43"/>
    </row>
    <row r="88" spans="28:31" x14ac:dyDescent="0.4">
      <c r="AB88" s="38"/>
      <c r="AD88" s="31"/>
      <c r="AE88" s="43"/>
    </row>
    <row r="89" spans="28:31" x14ac:dyDescent="0.4">
      <c r="AB89" s="38"/>
      <c r="AD89" s="31"/>
      <c r="AE89" s="43"/>
    </row>
    <row r="90" spans="28:31" x14ac:dyDescent="0.4">
      <c r="AB90" s="38"/>
      <c r="AD90" s="31"/>
      <c r="AE90" s="43"/>
    </row>
    <row r="91" spans="28:31" x14ac:dyDescent="0.4">
      <c r="AB91" s="38"/>
      <c r="AD91" s="31"/>
      <c r="AE91" s="43"/>
    </row>
    <row r="92" spans="28:31" x14ac:dyDescent="0.4">
      <c r="AB92" s="38"/>
      <c r="AD92" s="31"/>
      <c r="AE92" s="43"/>
    </row>
    <row r="93" spans="28:31" x14ac:dyDescent="0.4">
      <c r="AB93" s="38"/>
      <c r="AD93" s="31"/>
      <c r="AE93" s="43"/>
    </row>
    <row r="94" spans="28:31" x14ac:dyDescent="0.4">
      <c r="AB94" s="38"/>
      <c r="AD94" s="31"/>
      <c r="AE94" s="43"/>
    </row>
    <row r="95" spans="28:31" x14ac:dyDescent="0.4">
      <c r="AB95" s="38"/>
      <c r="AD95" s="31"/>
      <c r="AE95" s="43"/>
    </row>
    <row r="96" spans="28:31" x14ac:dyDescent="0.4">
      <c r="AB96" s="38"/>
      <c r="AD96" s="31"/>
      <c r="AE96" s="43"/>
    </row>
    <row r="97" spans="28:31" x14ac:dyDescent="0.4">
      <c r="AB97" s="38"/>
      <c r="AD97" s="31"/>
      <c r="AE97" s="43"/>
    </row>
    <row r="98" spans="28:31" x14ac:dyDescent="0.4">
      <c r="AB98" s="38"/>
      <c r="AD98" s="31"/>
      <c r="AE98" s="43"/>
    </row>
    <row r="99" spans="28:31" x14ac:dyDescent="0.4">
      <c r="AB99" s="38"/>
      <c r="AD99" s="31"/>
      <c r="AE99" s="43"/>
    </row>
    <row r="100" spans="28:31" x14ac:dyDescent="0.4">
      <c r="AB100" s="38"/>
      <c r="AD100" s="31"/>
      <c r="AE100" s="43"/>
    </row>
    <row r="101" spans="28:31" x14ac:dyDescent="0.4">
      <c r="AB101" s="38"/>
      <c r="AD101" s="31"/>
      <c r="AE101" s="43"/>
    </row>
    <row r="102" spans="28:31" x14ac:dyDescent="0.4">
      <c r="AB102" s="38"/>
      <c r="AD102" s="31"/>
      <c r="AE102" s="43"/>
    </row>
    <row r="103" spans="28:31" x14ac:dyDescent="0.4">
      <c r="AB103" s="38"/>
      <c r="AD103" s="31"/>
      <c r="AE103" s="43"/>
    </row>
    <row r="104" spans="28:31" x14ac:dyDescent="0.4">
      <c r="AB104" s="38"/>
      <c r="AD104" s="31"/>
      <c r="AE104" s="43"/>
    </row>
    <row r="105" spans="28:31" x14ac:dyDescent="0.4">
      <c r="AB105" s="38"/>
      <c r="AD105" s="31"/>
      <c r="AE105" s="43"/>
    </row>
    <row r="106" spans="28:31" x14ac:dyDescent="0.4">
      <c r="AB106" s="38"/>
      <c r="AD106" s="31"/>
      <c r="AE106" s="43"/>
    </row>
    <row r="107" spans="28:31" x14ac:dyDescent="0.4">
      <c r="AB107" s="38"/>
      <c r="AD107" s="31"/>
      <c r="AE107" s="43"/>
    </row>
    <row r="108" spans="28:31" x14ac:dyDescent="0.4">
      <c r="AB108" s="38"/>
      <c r="AD108" s="31"/>
      <c r="AE108" s="43"/>
    </row>
    <row r="109" spans="28:31" x14ac:dyDescent="0.4">
      <c r="AB109" s="38"/>
      <c r="AD109" s="31"/>
      <c r="AE109" s="43"/>
    </row>
    <row r="110" spans="28:31" x14ac:dyDescent="0.4">
      <c r="AB110" s="38"/>
      <c r="AD110" s="31"/>
      <c r="AE110" s="43"/>
    </row>
    <row r="111" spans="28:31" x14ac:dyDescent="0.4">
      <c r="AB111" s="38"/>
      <c r="AD111" s="31"/>
      <c r="AE111" s="43"/>
    </row>
    <row r="112" spans="28:31" x14ac:dyDescent="0.4">
      <c r="AB112" s="38"/>
      <c r="AD112" s="31"/>
      <c r="AE112" s="43"/>
    </row>
    <row r="113" spans="28:31" x14ac:dyDescent="0.4">
      <c r="AB113" s="38"/>
      <c r="AD113" s="31"/>
      <c r="AE113" s="43"/>
    </row>
    <row r="114" spans="28:31" x14ac:dyDescent="0.4">
      <c r="AB114" s="38"/>
      <c r="AD114" s="31"/>
      <c r="AE114" s="43"/>
    </row>
    <row r="115" spans="28:31" x14ac:dyDescent="0.4">
      <c r="AB115" s="38"/>
      <c r="AD115" s="31"/>
      <c r="AE115" s="43"/>
    </row>
    <row r="116" spans="28:31" x14ac:dyDescent="0.4">
      <c r="AB116" s="38"/>
      <c r="AD116" s="31"/>
      <c r="AE116" s="43"/>
    </row>
    <row r="117" spans="28:31" x14ac:dyDescent="0.4">
      <c r="AB117" s="38"/>
      <c r="AD117" s="31"/>
      <c r="AE117" s="43"/>
    </row>
    <row r="118" spans="28:31" x14ac:dyDescent="0.4">
      <c r="AB118" s="38"/>
      <c r="AD118" s="31"/>
      <c r="AE118" s="43"/>
    </row>
    <row r="119" spans="28:31" x14ac:dyDescent="0.4">
      <c r="AB119" s="38"/>
      <c r="AD119" s="31"/>
      <c r="AE119" s="43"/>
    </row>
    <row r="120" spans="28:31" x14ac:dyDescent="0.4">
      <c r="AB120" s="38"/>
      <c r="AD120" s="31"/>
      <c r="AE120" s="43"/>
    </row>
    <row r="121" spans="28:31" x14ac:dyDescent="0.4">
      <c r="AB121" s="38"/>
      <c r="AD121" s="31"/>
      <c r="AE121" s="43"/>
    </row>
    <row r="122" spans="28:31" x14ac:dyDescent="0.4">
      <c r="AB122" s="38"/>
      <c r="AD122" s="31"/>
      <c r="AE122" s="43"/>
    </row>
    <row r="123" spans="28:31" x14ac:dyDescent="0.4">
      <c r="AB123" s="38"/>
      <c r="AD123" s="31"/>
      <c r="AE123" s="43"/>
    </row>
    <row r="124" spans="28:31" x14ac:dyDescent="0.4">
      <c r="AB124" s="38"/>
      <c r="AD124" s="31"/>
      <c r="AE124" s="43"/>
    </row>
    <row r="125" spans="28:31" x14ac:dyDescent="0.4">
      <c r="AB125" s="38"/>
      <c r="AD125" s="31"/>
      <c r="AE125" s="43"/>
    </row>
    <row r="126" spans="28:31" x14ac:dyDescent="0.4">
      <c r="AB126" s="38"/>
      <c r="AD126" s="31"/>
      <c r="AE126" s="43"/>
    </row>
    <row r="127" spans="28:31" x14ac:dyDescent="0.4">
      <c r="AB127" s="38"/>
      <c r="AD127" s="31"/>
      <c r="AE127" s="43"/>
    </row>
    <row r="128" spans="28:31" x14ac:dyDescent="0.4">
      <c r="AB128" s="38"/>
      <c r="AD128" s="31"/>
      <c r="AE128" s="43"/>
    </row>
    <row r="129" spans="28:31" x14ac:dyDescent="0.4">
      <c r="AB129" s="38"/>
      <c r="AD129" s="31"/>
      <c r="AE129" s="43"/>
    </row>
    <row r="130" spans="28:31" x14ac:dyDescent="0.4">
      <c r="AB130" s="38"/>
      <c r="AD130" s="31"/>
      <c r="AE130" s="43"/>
    </row>
    <row r="131" spans="28:31" x14ac:dyDescent="0.4">
      <c r="AB131" s="38"/>
      <c r="AD131" s="31"/>
      <c r="AE131" s="43"/>
    </row>
    <row r="132" spans="28:31" x14ac:dyDescent="0.4">
      <c r="AB132" s="38"/>
      <c r="AD132" s="31"/>
      <c r="AE132" s="43"/>
    </row>
    <row r="133" spans="28:31" x14ac:dyDescent="0.4">
      <c r="AB133" s="38"/>
      <c r="AD133" s="31"/>
      <c r="AE133" s="43"/>
    </row>
    <row r="134" spans="28:31" x14ac:dyDescent="0.4">
      <c r="AB134" s="38"/>
      <c r="AD134" s="31"/>
      <c r="AE134" s="43"/>
    </row>
    <row r="135" spans="28:31" x14ac:dyDescent="0.4">
      <c r="AB135" s="38"/>
      <c r="AD135" s="31"/>
      <c r="AE135" s="43"/>
    </row>
    <row r="136" spans="28:31" x14ac:dyDescent="0.4">
      <c r="AB136" s="38"/>
      <c r="AD136" s="31"/>
      <c r="AE136" s="43"/>
    </row>
    <row r="137" spans="28:31" x14ac:dyDescent="0.4">
      <c r="AB137" s="38"/>
      <c r="AD137" s="31"/>
      <c r="AE137" s="43"/>
    </row>
    <row r="138" spans="28:31" x14ac:dyDescent="0.4">
      <c r="AB138" s="38"/>
      <c r="AD138" s="31"/>
      <c r="AE138" s="43"/>
    </row>
    <row r="139" spans="28:31" x14ac:dyDescent="0.4">
      <c r="AB139" s="38"/>
      <c r="AD139" s="31"/>
      <c r="AE139" s="43"/>
    </row>
    <row r="140" spans="28:31" x14ac:dyDescent="0.4">
      <c r="AB140" s="38"/>
      <c r="AD140" s="31"/>
      <c r="AE140" s="43"/>
    </row>
    <row r="141" spans="28:31" x14ac:dyDescent="0.4">
      <c r="AB141" s="38"/>
      <c r="AD141" s="31"/>
      <c r="AE141" s="43"/>
    </row>
    <row r="142" spans="28:31" x14ac:dyDescent="0.4">
      <c r="AB142" s="38"/>
      <c r="AD142" s="31"/>
      <c r="AE142" s="43"/>
    </row>
    <row r="143" spans="28:31" x14ac:dyDescent="0.4">
      <c r="AB143" s="38"/>
      <c r="AD143" s="31"/>
      <c r="AE143" s="43"/>
    </row>
    <row r="144" spans="28:31" x14ac:dyDescent="0.4">
      <c r="AB144" s="38"/>
      <c r="AD144" s="31"/>
      <c r="AE144" s="43"/>
    </row>
    <row r="145" spans="28:31" x14ac:dyDescent="0.4">
      <c r="AB145" s="38"/>
      <c r="AD145" s="31"/>
      <c r="AE145" s="43"/>
    </row>
    <row r="146" spans="28:31" x14ac:dyDescent="0.4">
      <c r="AB146" s="38"/>
      <c r="AD146" s="31"/>
      <c r="AE146" s="43"/>
    </row>
    <row r="147" spans="28:31" x14ac:dyDescent="0.4">
      <c r="AB147" s="38"/>
      <c r="AD147" s="31"/>
      <c r="AE147" s="43"/>
    </row>
  </sheetData>
  <mergeCells count="2">
    <mergeCell ref="C2:J2"/>
    <mergeCell ref="AA8:AE8"/>
  </mergeCells>
  <pageMargins left="0.7" right="0.7" top="0.75" bottom="0.75" header="0.3" footer="0.3"/>
  <pageSetup scale="27" orientation="landscape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FFE796-4D0E-4322-8BB4-826FE5F634D2}">
  <sheetPr>
    <pageSetUpPr fitToPage="1"/>
  </sheetPr>
  <dimension ref="B1:Q27"/>
  <sheetViews>
    <sheetView workbookViewId="0">
      <selection activeCell="C12" sqref="C12"/>
    </sheetView>
  </sheetViews>
  <sheetFormatPr defaultRowHeight="18" x14ac:dyDescent="0.3"/>
  <cols>
    <col min="1" max="1" width="8.88671875" style="87"/>
    <col min="2" max="2" width="29.77734375" style="88" customWidth="1"/>
    <col min="3" max="3" width="11.5546875" style="89" customWidth="1"/>
    <col min="4" max="4" width="1.6640625" style="90" customWidth="1"/>
    <col min="5" max="5" width="20.6640625" style="89" customWidth="1"/>
    <col min="6" max="6" width="20.33203125" style="89" customWidth="1"/>
    <col min="7" max="7" width="17" style="90" customWidth="1"/>
    <col min="8" max="8" width="29.77734375" style="90" customWidth="1"/>
    <col min="9" max="9" width="5" style="90" customWidth="1"/>
    <col min="10" max="17" width="8.88671875" style="90"/>
    <col min="18" max="16384" width="8.88671875" style="87"/>
  </cols>
  <sheetData>
    <row r="1" spans="2:10" ht="18.600000000000001" thickBot="1" x14ac:dyDescent="0.35"/>
    <row r="2" spans="2:10" ht="66" customHeight="1" thickBot="1" x14ac:dyDescent="0.35">
      <c r="B2" s="91" t="s">
        <v>54</v>
      </c>
      <c r="C2" s="92"/>
      <c r="D2" s="93"/>
      <c r="E2" s="94" t="s">
        <v>55</v>
      </c>
      <c r="F2" s="95">
        <v>243</v>
      </c>
      <c r="H2" s="87"/>
      <c r="I2" s="87"/>
      <c r="J2" s="87"/>
    </row>
    <row r="3" spans="2:10" ht="18.600000000000001" thickBot="1" x14ac:dyDescent="0.35">
      <c r="B3" s="96"/>
      <c r="C3" s="97"/>
      <c r="D3" s="98"/>
      <c r="E3" s="99"/>
      <c r="F3" s="100"/>
      <c r="H3" s="87"/>
      <c r="I3" s="87"/>
      <c r="J3" s="87"/>
    </row>
    <row r="4" spans="2:10" ht="36.6" thickBot="1" x14ac:dyDescent="0.35">
      <c r="B4" s="101" t="s">
        <v>56</v>
      </c>
      <c r="C4" s="102">
        <v>0.34200000000000003</v>
      </c>
      <c r="D4" s="98"/>
      <c r="E4" s="101" t="s">
        <v>57</v>
      </c>
      <c r="F4" s="103">
        <f>'[1]Epoch-243'!D13</f>
        <v>20470000</v>
      </c>
      <c r="H4" s="104"/>
    </row>
    <row r="5" spans="2:10" ht="18.600000000000001" thickBot="1" x14ac:dyDescent="0.35">
      <c r="B5" s="105"/>
      <c r="C5" s="97"/>
      <c r="D5" s="106"/>
      <c r="E5" s="97"/>
      <c r="F5" s="107"/>
    </row>
    <row r="6" spans="2:10" ht="45" customHeight="1" thickBot="1" x14ac:dyDescent="0.35">
      <c r="B6" s="108" t="s">
        <v>58</v>
      </c>
      <c r="C6" s="109" t="s">
        <v>59</v>
      </c>
      <c r="D6" s="106"/>
      <c r="E6" s="110" t="s">
        <v>60</v>
      </c>
      <c r="F6" s="111" t="s">
        <v>59</v>
      </c>
      <c r="G6" s="87"/>
      <c r="H6" s="87"/>
    </row>
    <row r="7" spans="2:10" ht="18.600000000000001" thickTop="1" x14ac:dyDescent="0.3">
      <c r="B7" s="112"/>
      <c r="C7" s="113"/>
      <c r="D7" s="106"/>
      <c r="E7" s="114"/>
      <c r="F7" s="113"/>
      <c r="G7" s="87"/>
      <c r="H7" s="87"/>
    </row>
    <row r="8" spans="2:10" ht="41.4" customHeight="1" x14ac:dyDescent="0.3">
      <c r="B8" s="115" t="s">
        <v>61</v>
      </c>
      <c r="C8" s="116">
        <f>(160.6+42.05)/6</f>
        <v>33.774999999999999</v>
      </c>
      <c r="D8" s="106"/>
      <c r="E8" s="117" t="s">
        <v>62</v>
      </c>
      <c r="F8" s="116">
        <f>(340)*C4</f>
        <v>116.28000000000002</v>
      </c>
      <c r="G8" s="87"/>
      <c r="H8" s="87"/>
    </row>
    <row r="9" spans="2:10" x14ac:dyDescent="0.3">
      <c r="B9" s="115"/>
      <c r="C9" s="116"/>
      <c r="D9" s="106"/>
      <c r="E9" s="117"/>
      <c r="F9" s="116"/>
      <c r="G9" s="87"/>
      <c r="H9" s="87"/>
    </row>
    <row r="10" spans="2:10" ht="48" customHeight="1" x14ac:dyDescent="0.3">
      <c r="B10" s="115" t="s">
        <v>63</v>
      </c>
      <c r="C10" s="116">
        <f>(189.96/12)/6</f>
        <v>2.6383333333333332</v>
      </c>
      <c r="D10" s="106"/>
      <c r="E10" s="117" t="s">
        <v>64</v>
      </c>
      <c r="F10" s="116">
        <f>(('[1]Epoch-243'!I25))*C4</f>
        <v>239.42403156663846</v>
      </c>
      <c r="G10" s="87"/>
      <c r="H10" s="87"/>
    </row>
    <row r="11" spans="2:10" ht="18.600000000000001" thickBot="1" x14ac:dyDescent="0.35">
      <c r="B11" s="115"/>
      <c r="C11" s="116"/>
      <c r="D11" s="106"/>
      <c r="E11" s="118"/>
      <c r="F11" s="119"/>
      <c r="G11" s="87"/>
      <c r="H11" s="87"/>
    </row>
    <row r="12" spans="2:10" ht="69.599999999999994" customHeight="1" thickTop="1" thickBot="1" x14ac:dyDescent="0.35">
      <c r="B12" s="115" t="s">
        <v>65</v>
      </c>
      <c r="C12" s="120">
        <f>((F8+F10)/(F4*C4))*(F4*C4)/2.8</f>
        <v>127.03715413094233</v>
      </c>
      <c r="D12" s="106"/>
      <c r="E12" s="121" t="s">
        <v>66</v>
      </c>
      <c r="F12" s="122">
        <f>SUM(F8:F11)</f>
        <v>355.70403156663849</v>
      </c>
      <c r="G12" s="87"/>
    </row>
    <row r="13" spans="2:10" ht="18.600000000000001" thickBot="1" x14ac:dyDescent="0.35">
      <c r="B13" s="115"/>
      <c r="C13" s="116"/>
      <c r="D13" s="106"/>
      <c r="E13" s="97"/>
      <c r="F13" s="107"/>
    </row>
    <row r="14" spans="2:10" ht="65.400000000000006" customHeight="1" thickBot="1" x14ac:dyDescent="0.35">
      <c r="B14" s="123" t="s">
        <v>67</v>
      </c>
      <c r="C14" s="119">
        <f>((F8+F10)/(F4*C4))*(F4*C4)/4.8</f>
        <v>74.105006576383019</v>
      </c>
      <c r="D14" s="106"/>
      <c r="E14" s="124" t="s">
        <v>79</v>
      </c>
      <c r="F14" s="125">
        <f>F12-C15</f>
        <v>118.1485375259798</v>
      </c>
    </row>
    <row r="15" spans="2:10" ht="26.4" customHeight="1" thickTop="1" thickBot="1" x14ac:dyDescent="0.35">
      <c r="B15" s="126" t="s">
        <v>66</v>
      </c>
      <c r="C15" s="122">
        <f>SUM(C8:C14)-C13</f>
        <v>237.55549404065869</v>
      </c>
      <c r="D15" s="106"/>
      <c r="E15" s="127"/>
      <c r="F15" s="128"/>
    </row>
    <row r="16" spans="2:10" ht="26.4" customHeight="1" thickBot="1" x14ac:dyDescent="0.35">
      <c r="B16" s="129"/>
      <c r="C16" s="130"/>
      <c r="D16" s="131"/>
      <c r="E16" s="132"/>
      <c r="F16" s="133"/>
    </row>
    <row r="17" spans="2:6" ht="57" customHeight="1" thickBot="1" x14ac:dyDescent="0.35">
      <c r="B17" s="134" t="s">
        <v>80</v>
      </c>
      <c r="C17" s="135"/>
      <c r="D17" s="136"/>
      <c r="E17" s="137" t="s">
        <v>73</v>
      </c>
      <c r="F17" s="138">
        <f>(39.8*2)/6</f>
        <v>13.266666666666666</v>
      </c>
    </row>
    <row r="18" spans="2:6" ht="41.4" customHeight="1" thickBot="1" x14ac:dyDescent="0.35">
      <c r="B18" s="139"/>
      <c r="C18" s="97"/>
      <c r="D18" s="106"/>
      <c r="E18" s="118" t="s">
        <v>74</v>
      </c>
      <c r="F18" s="119">
        <f>F14-F17</f>
        <v>104.88187085931314</v>
      </c>
    </row>
    <row r="19" spans="2:6" ht="25.8" customHeight="1" thickTop="1" thickBot="1" x14ac:dyDescent="0.35">
      <c r="B19" s="140"/>
      <c r="C19" s="141"/>
      <c r="D19" s="106"/>
      <c r="E19" s="121" t="s">
        <v>66</v>
      </c>
      <c r="F19" s="122">
        <f>SUM(F17:F18)</f>
        <v>118.1485375259798</v>
      </c>
    </row>
    <row r="20" spans="2:6" ht="18.600000000000001" thickBot="1" x14ac:dyDescent="0.35">
      <c r="B20" s="140"/>
      <c r="C20" s="141"/>
      <c r="D20" s="106"/>
      <c r="E20" s="97"/>
      <c r="F20" s="107"/>
    </row>
    <row r="21" spans="2:6" ht="54.6" thickBot="1" x14ac:dyDescent="0.35">
      <c r="B21" s="140"/>
      <c r="C21" s="141"/>
      <c r="D21" s="98"/>
      <c r="E21" s="142" t="s">
        <v>68</v>
      </c>
      <c r="F21" s="143" t="s">
        <v>59</v>
      </c>
    </row>
    <row r="22" spans="2:6" ht="18.600000000000001" thickTop="1" x14ac:dyDescent="0.3">
      <c r="B22" s="140"/>
      <c r="C22" s="141"/>
      <c r="D22" s="106"/>
      <c r="E22" s="144"/>
      <c r="F22" s="145"/>
    </row>
    <row r="23" spans="2:6" x14ac:dyDescent="0.3">
      <c r="B23" s="140"/>
      <c r="C23" s="141"/>
      <c r="D23" s="106"/>
      <c r="E23" s="146" t="s">
        <v>69</v>
      </c>
      <c r="F23" s="147">
        <f>C15*6</f>
        <v>1425.3329642439521</v>
      </c>
    </row>
    <row r="24" spans="2:6" x14ac:dyDescent="0.3">
      <c r="B24" s="140"/>
      <c r="C24" s="141"/>
      <c r="D24" s="106"/>
      <c r="E24" s="146" t="s">
        <v>70</v>
      </c>
      <c r="F24" s="147">
        <f>F12*6</f>
        <v>2134.2241893998307</v>
      </c>
    </row>
    <row r="25" spans="2:6" ht="18.600000000000001" thickBot="1" x14ac:dyDescent="0.35">
      <c r="B25" s="140"/>
      <c r="C25" s="141"/>
      <c r="D25" s="106"/>
      <c r="E25" s="148" t="s">
        <v>71</v>
      </c>
      <c r="F25" s="149">
        <f>F14*6</f>
        <v>708.89122515587883</v>
      </c>
    </row>
    <row r="26" spans="2:6" ht="18.600000000000001" thickBot="1" x14ac:dyDescent="0.35">
      <c r="B26" s="150"/>
      <c r="C26" s="151"/>
      <c r="D26" s="131"/>
      <c r="E26" s="152" t="s">
        <v>72</v>
      </c>
      <c r="F26" s="153">
        <f>F25</f>
        <v>708.89122515587883</v>
      </c>
    </row>
    <row r="27" spans="2:6" ht="14.4" x14ac:dyDescent="0.3">
      <c r="B27" s="154"/>
      <c r="C27" s="154"/>
      <c r="D27" s="104"/>
      <c r="E27" s="87"/>
      <c r="F27" s="87"/>
    </row>
  </sheetData>
  <mergeCells count="5">
    <mergeCell ref="B2:C2"/>
    <mergeCell ref="E14:E15"/>
    <mergeCell ref="F14:F15"/>
    <mergeCell ref="B17:C17"/>
    <mergeCell ref="B19:C25"/>
  </mergeCells>
  <pageMargins left="0.7" right="0.7" top="0.75" bottom="0.75" header="0.3" footer="0.3"/>
  <pageSetup scale="79" fitToWidth="0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Epoch-243</vt:lpstr>
      <vt:lpstr>PROFITS-243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 Mata</dc:creator>
  <cp:lastModifiedBy>Ray Mata</cp:lastModifiedBy>
  <dcterms:created xsi:type="dcterms:W3CDTF">2021-01-22T05:42:46Z</dcterms:created>
  <dcterms:modified xsi:type="dcterms:W3CDTF">2021-01-22T06:42:54Z</dcterms:modified>
</cp:coreProperties>
</file>