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eremy\Downloads\"/>
    </mc:Choice>
  </mc:AlternateContent>
  <xr:revisionPtr revIDLastSave="0" documentId="13_ncr:1_{3E6BFA5C-19C4-41D5-B944-7E223B11EC2B}" xr6:coauthVersionLast="47" xr6:coauthVersionMax="47" xr10:uidLastSave="{00000000-0000-0000-0000-000000000000}"/>
  <bookViews>
    <workbookView xWindow="-120" yWindow="-120" windowWidth="29040" windowHeight="15840" activeTab="2" xr2:uid="{F3C7274D-97A2-4F37-A69D-65952EC80250}"/>
  </bookViews>
  <sheets>
    <sheet name="Introduction" sheetId="4" r:id="rId1"/>
    <sheet name="Usage" sheetId="3" r:id="rId2"/>
    <sheet name="Strategic Overview" sheetId="1" r:id="rId3"/>
    <sheet name="Threat Hunts" sheetId="6" r:id="rId4"/>
    <sheet name="Data"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6" l="1" a="1"/>
  <c r="M2" i="6" s="1"/>
  <c r="D93" i="1" s="1" a="1"/>
  <c r="D93" i="1" s="1"/>
  <c r="E16" i="1"/>
  <c r="E15" i="1"/>
  <c r="E14" i="1"/>
  <c r="E13" i="1"/>
  <c r="E12" i="1"/>
  <c r="E11" i="1"/>
  <c r="E10" i="1"/>
  <c r="E9" i="1"/>
  <c r="E8" i="1"/>
  <c r="E7" i="1"/>
  <c r="E6" i="1"/>
  <c r="E5" i="1"/>
  <c r="E3" i="1"/>
  <c r="K16" i="1"/>
  <c r="K15" i="1"/>
  <c r="K14" i="1"/>
  <c r="K13" i="1"/>
  <c r="K12" i="1"/>
  <c r="K10" i="1"/>
  <c r="K11" i="1"/>
  <c r="K9" i="1"/>
  <c r="K8" i="1"/>
  <c r="K7" i="1"/>
  <c r="K6" i="1"/>
  <c r="K5" i="1"/>
  <c r="K3" i="1"/>
  <c r="J16" i="1"/>
  <c r="J15" i="1"/>
  <c r="J14" i="1"/>
  <c r="J13" i="1"/>
  <c r="J12" i="1"/>
  <c r="J11" i="1"/>
  <c r="J10" i="1"/>
  <c r="J9" i="1"/>
  <c r="J8" i="1"/>
  <c r="J7" i="1"/>
  <c r="J6" i="1"/>
  <c r="J5" i="1"/>
  <c r="J3" i="1"/>
  <c r="I16" i="1"/>
  <c r="I15" i="1"/>
  <c r="I14" i="1"/>
  <c r="I13" i="1"/>
  <c r="I12" i="1"/>
  <c r="I11" i="1"/>
  <c r="I10" i="1"/>
  <c r="I9" i="1"/>
  <c r="I8" i="1"/>
  <c r="I7" i="1"/>
  <c r="I6" i="1"/>
  <c r="I5" i="1"/>
  <c r="I3" i="1"/>
  <c r="H16" i="1"/>
  <c r="H15" i="1"/>
  <c r="H14" i="1"/>
  <c r="H13" i="1"/>
  <c r="H12" i="1"/>
  <c r="H11" i="1"/>
  <c r="H10" i="1"/>
  <c r="H9" i="1"/>
  <c r="H8" i="1"/>
  <c r="H7" i="1"/>
  <c r="H6" i="1"/>
  <c r="H5" i="1"/>
  <c r="H3" i="1"/>
  <c r="G16" i="1"/>
  <c r="G15" i="1"/>
  <c r="G14" i="1"/>
  <c r="G13" i="1"/>
  <c r="G12" i="1"/>
  <c r="G11" i="1"/>
  <c r="G10" i="1"/>
  <c r="G9" i="1"/>
  <c r="G8" i="1"/>
  <c r="G7" i="1"/>
  <c r="G6" i="1"/>
  <c r="G5" i="1"/>
  <c r="G3" i="1"/>
  <c r="G12" i="6"/>
  <c r="F13" i="1" s="1"/>
  <c r="G13" i="6"/>
  <c r="F14" i="1" s="1"/>
  <c r="G14" i="6"/>
  <c r="G15" i="6"/>
  <c r="F16" i="1" s="1"/>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3" i="6"/>
  <c r="G4" i="6"/>
  <c r="F5" i="1" s="1"/>
  <c r="G5" i="6"/>
  <c r="F6" i="1" s="1"/>
  <c r="G6" i="6"/>
  <c r="G7" i="6"/>
  <c r="F8" i="1" s="1"/>
  <c r="G8" i="6"/>
  <c r="F9" i="1" s="1"/>
  <c r="G9" i="6"/>
  <c r="F10" i="1" s="1"/>
  <c r="G10" i="6"/>
  <c r="F11" i="1" s="1"/>
  <c r="G11" i="6"/>
  <c r="F12" i="1" s="1"/>
  <c r="G2" i="6"/>
  <c r="F3" i="1" s="1"/>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6" i="6"/>
  <c r="B17" i="6"/>
  <c r="B18" i="6"/>
  <c r="B19" i="6"/>
  <c r="B20" i="6"/>
  <c r="B21" i="6"/>
  <c r="B22" i="6"/>
  <c r="B23" i="6"/>
  <c r="B24" i="6"/>
  <c r="B25" i="6"/>
  <c r="B26" i="6"/>
  <c r="B27" i="6"/>
  <c r="B28" i="6"/>
  <c r="B29" i="6"/>
  <c r="B30" i="6"/>
  <c r="B31" i="6"/>
  <c r="B3" i="6"/>
  <c r="B4" i="6"/>
  <c r="B5" i="6"/>
  <c r="B6" i="6"/>
  <c r="B7" i="6"/>
  <c r="B8" i="6"/>
  <c r="B9" i="6"/>
  <c r="B10" i="6"/>
  <c r="B11" i="6"/>
  <c r="B12" i="6"/>
  <c r="B13" i="6"/>
  <c r="B14" i="6"/>
  <c r="B15" i="6"/>
  <c r="B2" i="6"/>
  <c r="N31" i="1" l="1"/>
  <c r="O72" i="1"/>
  <c r="O32" i="1"/>
  <c r="M74" i="1"/>
  <c r="M52" i="1"/>
  <c r="N93" i="1"/>
  <c r="M30" i="1"/>
  <c r="N53" i="1"/>
  <c r="O94" i="1"/>
  <c r="N30" i="1"/>
  <c r="N33" i="1" s="1"/>
  <c r="O31" i="1"/>
  <c r="M51" i="1"/>
  <c r="N52" i="1"/>
  <c r="O53" i="1"/>
  <c r="M73" i="1"/>
  <c r="N74" i="1"/>
  <c r="O93" i="1"/>
  <c r="O96" i="1" s="1"/>
  <c r="M95" i="1"/>
  <c r="O30" i="1"/>
  <c r="M32" i="1"/>
  <c r="N51" i="1"/>
  <c r="O52" i="1"/>
  <c r="M72" i="1"/>
  <c r="N73" i="1"/>
  <c r="O74" i="1"/>
  <c r="M94" i="1"/>
  <c r="N95" i="1"/>
  <c r="F7" i="1"/>
  <c r="M31" i="1"/>
  <c r="M33" i="1" s="1"/>
  <c r="N32" i="1"/>
  <c r="O51" i="1"/>
  <c r="M53" i="1"/>
  <c r="N72" i="1"/>
  <c r="O73" i="1"/>
  <c r="O75" i="1" s="1"/>
  <c r="M93" i="1"/>
  <c r="N94" i="1"/>
  <c r="N96" i="1" s="1"/>
  <c r="O95" i="1"/>
  <c r="F15" i="1"/>
  <c r="D84" i="1" a="1"/>
  <c r="D84" i="1" s="1"/>
  <c r="C83" i="1" a="1"/>
  <c r="C83" i="1" s="1"/>
  <c r="B82" i="1" a="1"/>
  <c r="B82" i="1" s="1"/>
  <c r="D80" i="1" a="1"/>
  <c r="D80" i="1" s="1"/>
  <c r="C79" i="1" a="1"/>
  <c r="C79" i="1" s="1"/>
  <c r="B78" i="1" a="1"/>
  <c r="B78" i="1" s="1"/>
  <c r="D76" i="1" a="1"/>
  <c r="D76" i="1" s="1"/>
  <c r="C75" i="1" a="1"/>
  <c r="C75" i="1" s="1"/>
  <c r="B74" i="1" a="1"/>
  <c r="B74" i="1" s="1"/>
  <c r="D72" i="1" a="1"/>
  <c r="D72" i="1" s="1"/>
  <c r="C84" i="1" a="1"/>
  <c r="C84" i="1" s="1"/>
  <c r="B83" i="1" a="1"/>
  <c r="B83" i="1" s="1"/>
  <c r="D81" i="1" a="1"/>
  <c r="D81" i="1" s="1"/>
  <c r="C80" i="1" a="1"/>
  <c r="C80" i="1" s="1"/>
  <c r="B79" i="1" a="1"/>
  <c r="B79" i="1" s="1"/>
  <c r="D77" i="1" a="1"/>
  <c r="D77" i="1" s="1"/>
  <c r="C76" i="1" a="1"/>
  <c r="C76" i="1" s="1"/>
  <c r="B75" i="1" a="1"/>
  <c r="B75" i="1" s="1"/>
  <c r="D73" i="1" a="1"/>
  <c r="D73" i="1" s="1"/>
  <c r="C72" i="1" a="1"/>
  <c r="C72" i="1" s="1"/>
  <c r="B84" i="1" a="1"/>
  <c r="B84" i="1" s="1"/>
  <c r="D82" i="1" a="1"/>
  <c r="D82" i="1" s="1"/>
  <c r="C81" i="1" a="1"/>
  <c r="C81" i="1" s="1"/>
  <c r="B80" i="1" a="1"/>
  <c r="B80" i="1" s="1"/>
  <c r="D78" i="1" a="1"/>
  <c r="D78" i="1" s="1"/>
  <c r="C77" i="1" a="1"/>
  <c r="C77" i="1" s="1"/>
  <c r="B76" i="1" a="1"/>
  <c r="B76" i="1" s="1"/>
  <c r="D74" i="1" a="1"/>
  <c r="D74" i="1" s="1"/>
  <c r="C73" i="1" a="1"/>
  <c r="C73" i="1" s="1"/>
  <c r="B72" i="1" a="1"/>
  <c r="B72" i="1" s="1"/>
  <c r="D83" i="1" a="1"/>
  <c r="D83" i="1" s="1"/>
  <c r="C82" i="1" a="1"/>
  <c r="C82" i="1" s="1"/>
  <c r="B81" i="1" a="1"/>
  <c r="B81" i="1" s="1"/>
  <c r="D79" i="1" a="1"/>
  <c r="D79" i="1" s="1"/>
  <c r="C78" i="1" a="1"/>
  <c r="C78" i="1" s="1"/>
  <c r="B77" i="1" a="1"/>
  <c r="B77" i="1" s="1"/>
  <c r="D75" i="1" a="1"/>
  <c r="D75" i="1" s="1"/>
  <c r="C74" i="1" a="1"/>
  <c r="C74" i="1" s="1"/>
  <c r="B73" i="1" a="1"/>
  <c r="B73" i="1" s="1"/>
  <c r="B32" i="1" a="1"/>
  <c r="B32" i="1" s="1"/>
  <c r="B35" i="1" a="1"/>
  <c r="B35" i="1" s="1"/>
  <c r="B39" i="1" a="1"/>
  <c r="B39" i="1" s="1"/>
  <c r="C42" i="1" a="1"/>
  <c r="C42" i="1" s="1"/>
  <c r="C38" i="1" a="1"/>
  <c r="C38" i="1" s="1"/>
  <c r="C34" i="1" a="1"/>
  <c r="C34" i="1" s="1"/>
  <c r="C30" i="1" a="1"/>
  <c r="C30" i="1" s="1"/>
  <c r="D39" i="1" a="1"/>
  <c r="D39" i="1" s="1"/>
  <c r="D35" i="1" a="1"/>
  <c r="D35" i="1" s="1"/>
  <c r="D31" i="1" a="1"/>
  <c r="D31" i="1" s="1"/>
  <c r="B61" i="1" a="1"/>
  <c r="B61" i="1" s="1"/>
  <c r="B57" i="1" a="1"/>
  <c r="B57" i="1" s="1"/>
  <c r="B53" i="1" a="1"/>
  <c r="B53" i="1" s="1"/>
  <c r="C62" i="1" a="1"/>
  <c r="C62" i="1" s="1"/>
  <c r="C58" i="1" a="1"/>
  <c r="C58" i="1" s="1"/>
  <c r="C54" i="1" a="1"/>
  <c r="C54" i="1" s="1"/>
  <c r="D63" i="1" a="1"/>
  <c r="D63" i="1" s="1"/>
  <c r="D59" i="1" a="1"/>
  <c r="D59" i="1" s="1"/>
  <c r="D53" i="1" a="1"/>
  <c r="D53" i="1" s="1"/>
  <c r="B102" i="1" a="1"/>
  <c r="B102" i="1" s="1"/>
  <c r="B98" i="1" a="1"/>
  <c r="B98" i="1" s="1"/>
  <c r="B94" i="1" a="1"/>
  <c r="B94" i="1" s="1"/>
  <c r="C103" i="1" a="1"/>
  <c r="C103" i="1" s="1"/>
  <c r="C99" i="1" a="1"/>
  <c r="C99" i="1" s="1"/>
  <c r="C95" i="1" a="1"/>
  <c r="C95" i="1" s="1"/>
  <c r="D104" i="1" a="1"/>
  <c r="D104" i="1" s="1"/>
  <c r="D100" i="1" a="1"/>
  <c r="D100" i="1" s="1"/>
  <c r="D96" i="1" a="1"/>
  <c r="D96" i="1" s="1"/>
  <c r="B36" i="1" a="1"/>
  <c r="B36" i="1" s="1"/>
  <c r="B40" i="1" a="1"/>
  <c r="B40" i="1" s="1"/>
  <c r="C41" i="1" a="1"/>
  <c r="C41" i="1" s="1"/>
  <c r="C37" i="1" a="1"/>
  <c r="C37" i="1" s="1"/>
  <c r="C33" i="1" a="1"/>
  <c r="C33" i="1" s="1"/>
  <c r="D42" i="1" a="1"/>
  <c r="D42" i="1" s="1"/>
  <c r="D38" i="1" a="1"/>
  <c r="D38" i="1" s="1"/>
  <c r="D34" i="1" a="1"/>
  <c r="D34" i="1" s="1"/>
  <c r="D30" i="1" a="1"/>
  <c r="D30" i="1" s="1"/>
  <c r="B60" i="1" a="1"/>
  <c r="B60" i="1" s="1"/>
  <c r="B56" i="1" a="1"/>
  <c r="B56" i="1" s="1"/>
  <c r="B52" i="1" a="1"/>
  <c r="B52" i="1" s="1"/>
  <c r="C61" i="1" a="1"/>
  <c r="C61" i="1" s="1"/>
  <c r="C57" i="1" a="1"/>
  <c r="C57" i="1" s="1"/>
  <c r="C53" i="1" a="1"/>
  <c r="C53" i="1" s="1"/>
  <c r="D62" i="1" a="1"/>
  <c r="D62" i="1" s="1"/>
  <c r="D56" i="1" a="1"/>
  <c r="D56" i="1" s="1"/>
  <c r="D52" i="1" a="1"/>
  <c r="D52" i="1" s="1"/>
  <c r="B105" i="1" a="1"/>
  <c r="B105" i="1" s="1"/>
  <c r="B101" i="1" a="1"/>
  <c r="B101" i="1" s="1"/>
  <c r="B97" i="1" a="1"/>
  <c r="B97" i="1" s="1"/>
  <c r="B93" i="1" a="1"/>
  <c r="B93" i="1" s="1"/>
  <c r="C102" i="1" a="1"/>
  <c r="C102" i="1" s="1"/>
  <c r="C98" i="1" a="1"/>
  <c r="C98" i="1" s="1"/>
  <c r="C94" i="1" a="1"/>
  <c r="C94" i="1" s="1"/>
  <c r="D103" i="1" a="1"/>
  <c r="D103" i="1" s="1"/>
  <c r="D99" i="1" a="1"/>
  <c r="D99" i="1" s="1"/>
  <c r="D95" i="1" a="1"/>
  <c r="D95" i="1" s="1"/>
  <c r="B30" i="1" a="1"/>
  <c r="B30" i="1" s="1"/>
  <c r="B33" i="1" a="1"/>
  <c r="B33" i="1" s="1"/>
  <c r="B37" i="1" a="1"/>
  <c r="B37" i="1" s="1"/>
  <c r="B41" i="1" a="1"/>
  <c r="B41" i="1" s="1"/>
  <c r="C40" i="1" a="1"/>
  <c r="C40" i="1" s="1"/>
  <c r="C36" i="1" a="1"/>
  <c r="C36" i="1" s="1"/>
  <c r="C32" i="1" a="1"/>
  <c r="C32" i="1" s="1"/>
  <c r="D41" i="1" a="1"/>
  <c r="D41" i="1" s="1"/>
  <c r="D37" i="1" a="1"/>
  <c r="D37" i="1" s="1"/>
  <c r="D33" i="1" a="1"/>
  <c r="D33" i="1" s="1"/>
  <c r="B63" i="1" a="1"/>
  <c r="B63" i="1" s="1"/>
  <c r="B59" i="1" a="1"/>
  <c r="B59" i="1" s="1"/>
  <c r="B55" i="1" a="1"/>
  <c r="B55" i="1" s="1"/>
  <c r="B51" i="1" a="1"/>
  <c r="B51" i="1" s="1"/>
  <c r="C60" i="1" a="1"/>
  <c r="C60" i="1" s="1"/>
  <c r="C56" i="1" a="1"/>
  <c r="C56" i="1" s="1"/>
  <c r="C52" i="1" a="1"/>
  <c r="C52" i="1" s="1"/>
  <c r="D61" i="1" a="1"/>
  <c r="D61" i="1" s="1"/>
  <c r="D58" i="1" a="1"/>
  <c r="D58" i="1" s="1"/>
  <c r="D55" i="1" a="1"/>
  <c r="D55" i="1" s="1"/>
  <c r="D51" i="1" a="1"/>
  <c r="D51" i="1" s="1"/>
  <c r="B104" i="1" a="1"/>
  <c r="B104" i="1" s="1"/>
  <c r="B100" i="1" a="1"/>
  <c r="B100" i="1" s="1"/>
  <c r="B96" i="1" a="1"/>
  <c r="B96" i="1" s="1"/>
  <c r="C105" i="1" a="1"/>
  <c r="C105" i="1" s="1"/>
  <c r="C101" i="1" a="1"/>
  <c r="C101" i="1" s="1"/>
  <c r="C97" i="1" a="1"/>
  <c r="C97" i="1" s="1"/>
  <c r="C93" i="1" a="1"/>
  <c r="C93" i="1" s="1"/>
  <c r="D102" i="1" a="1"/>
  <c r="D102" i="1" s="1"/>
  <c r="D98" i="1" a="1"/>
  <c r="D98" i="1" s="1"/>
  <c r="D94" i="1" a="1"/>
  <c r="D94" i="1" s="1"/>
  <c r="B31" i="1" a="1"/>
  <c r="B31" i="1" s="1"/>
  <c r="B34" i="1" a="1"/>
  <c r="B34" i="1" s="1"/>
  <c r="B38" i="1" a="1"/>
  <c r="B38" i="1" s="1"/>
  <c r="B42" i="1" a="1"/>
  <c r="B42" i="1" s="1"/>
  <c r="C39" i="1" a="1"/>
  <c r="C39" i="1" s="1"/>
  <c r="C35" i="1" a="1"/>
  <c r="C35" i="1" s="1"/>
  <c r="C31" i="1" a="1"/>
  <c r="C31" i="1" s="1"/>
  <c r="D40" i="1" a="1"/>
  <c r="D40" i="1" s="1"/>
  <c r="D36" i="1" a="1"/>
  <c r="D36" i="1" s="1"/>
  <c r="D32" i="1" a="1"/>
  <c r="D32" i="1" s="1"/>
  <c r="B62" i="1" a="1"/>
  <c r="B62" i="1" s="1"/>
  <c r="B58" i="1" a="1"/>
  <c r="B58" i="1" s="1"/>
  <c r="B54" i="1" a="1"/>
  <c r="B54" i="1" s="1"/>
  <c r="C63" i="1" a="1"/>
  <c r="C63" i="1" s="1"/>
  <c r="C59" i="1" a="1"/>
  <c r="C59" i="1" s="1"/>
  <c r="C55" i="1" a="1"/>
  <c r="C55" i="1" s="1"/>
  <c r="C51" i="1" a="1"/>
  <c r="C51" i="1" s="1"/>
  <c r="D60" i="1" a="1"/>
  <c r="D60" i="1" s="1"/>
  <c r="D57" i="1" a="1"/>
  <c r="D57" i="1" s="1"/>
  <c r="D54" i="1" a="1"/>
  <c r="D54" i="1" s="1"/>
  <c r="B103" i="1" a="1"/>
  <c r="B103" i="1" s="1"/>
  <c r="B99" i="1" a="1"/>
  <c r="B99" i="1" s="1"/>
  <c r="B95" i="1" a="1"/>
  <c r="B95" i="1" s="1"/>
  <c r="C104" i="1" a="1"/>
  <c r="C104" i="1" s="1"/>
  <c r="C100" i="1" a="1"/>
  <c r="C100" i="1" s="1"/>
  <c r="C96" i="1" a="1"/>
  <c r="C96" i="1" s="1"/>
  <c r="D105" i="1" a="1"/>
  <c r="D105" i="1" s="1"/>
  <c r="D101" i="1" a="1"/>
  <c r="D101" i="1" s="1"/>
  <c r="D97" i="1" a="1"/>
  <c r="D97" i="1" s="1"/>
  <c r="H21" i="1"/>
  <c r="M54" i="1" l="1"/>
  <c r="M96" i="1"/>
  <c r="O54" i="1"/>
  <c r="M75" i="1"/>
  <c r="O33" i="1"/>
  <c r="N75" i="1"/>
  <c r="N54" i="1"/>
  <c r="L21" i="1"/>
  <c r="K21" i="1"/>
  <c r="E21" i="1"/>
  <c r="I21" i="1"/>
  <c r="E22" i="1"/>
  <c r="J21" i="1"/>
  <c r="E2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<sst xmlns="http://schemas.openxmlformats.org/spreadsheetml/2006/main" count="280" uniqueCount="138">
  <si>
    <t>Total time spent hunting (hours)</t>
  </si>
  <si>
    <t>Total dwell time (hours)</t>
  </si>
  <si>
    <t># incidents found</t>
  </si>
  <si>
    <t># security recommendations</t>
  </si>
  <si>
    <t># vulnerabilities found</t>
  </si>
  <si>
    <t>Description</t>
  </si>
  <si>
    <t>Reconnaissance</t>
  </si>
  <si>
    <t>Not Applicable, this action is performed at the attacker side and is invisible to the target organization</t>
  </si>
  <si>
    <t>Command &amp; Control</t>
  </si>
  <si>
    <t>Mitre ATT&amp;CK</t>
  </si>
  <si>
    <t>Resource Development</t>
  </si>
  <si>
    <t>Initial Access</t>
  </si>
  <si>
    <t>Execution</t>
  </si>
  <si>
    <t>Persistence</t>
  </si>
  <si>
    <t>Mitre Tactic</t>
  </si>
  <si>
    <t>Privilege Escalation</t>
  </si>
  <si>
    <t>Defense Evasion</t>
  </si>
  <si>
    <t>Credential Access</t>
  </si>
  <si>
    <t>Discovery</t>
  </si>
  <si>
    <t>Lateral Movement</t>
  </si>
  <si>
    <t>Collection</t>
  </si>
  <si>
    <t>Exfiltration</t>
  </si>
  <si>
    <t>Impact</t>
  </si>
  <si>
    <t>The adversary is trying to gather information they can use to plan future operations. (people, assets, services)</t>
  </si>
  <si>
    <t>The adversary is trying to get into your network.</t>
  </si>
  <si>
    <t>The adversary is trying to run malicious code.</t>
  </si>
  <si>
    <t>The adversary is trying to maintain their foothold.</t>
  </si>
  <si>
    <t>The adversary is trying to gain higher-level permissions.</t>
  </si>
  <si>
    <t>The adversary is trying to avoid being detected.</t>
  </si>
  <si>
    <t>The adversary is trying to steal account names and passwords.</t>
  </si>
  <si>
    <t>The adversary is trying to figure out your environment.</t>
  </si>
  <si>
    <t>The adversary is trying to move through your enviornment.</t>
  </si>
  <si>
    <t>The adversary is trying to gatehr data of interest to their goal.</t>
  </si>
  <si>
    <t>The adversary is trying to communciate with compromised systems to control them.</t>
  </si>
  <si>
    <t>The adversary is trying to steal data.</t>
  </si>
  <si>
    <t>The adversary is trying to manipuate, interrupt, or destroy your systems and data.</t>
  </si>
  <si>
    <t>Amount</t>
  </si>
  <si>
    <t>Average dwell time (hours)</t>
  </si>
  <si>
    <t>Total number of hunts</t>
  </si>
  <si>
    <t>Total hunting time (hours)</t>
  </si>
  <si>
    <t>Average hunting time (hours)</t>
  </si>
  <si>
    <t>TA0043</t>
  </si>
  <si>
    <t>Threat Framework</t>
  </si>
  <si>
    <t>Introduction</t>
  </si>
  <si>
    <t>Metrics</t>
  </si>
  <si>
    <t>Time spent (hours)</t>
  </si>
  <si>
    <r>
      <t xml:space="preserve">This metric is used to </t>
    </r>
    <r>
      <rPr>
        <sz val="11"/>
        <rFont val="Calibri"/>
        <family val="2"/>
        <scheme val="minor"/>
      </rPr>
      <t>calculate</t>
    </r>
    <r>
      <rPr>
        <sz val="11"/>
        <color theme="1"/>
        <rFont val="Calibri"/>
        <family val="2"/>
        <scheme val="minor"/>
      </rPr>
      <t xml:space="preserve"> the amount of time spent in hunting investigations</t>
    </r>
  </si>
  <si>
    <t>Dwell time (hours)</t>
  </si>
  <si>
    <t>This metric is used to calculate the amount of time from initial breach of the organization to detection of the attacker in the network. Of course, this only applies to situations where the hunting investigation has led to the discovery of attackers.</t>
  </si>
  <si>
    <r>
      <t xml:space="preserve">This metric is used to calculate the number of incidents uncovered during a hunting investigation. In most cases, this will either be '0' or '1', but it is possible that multiple breaches in which the same TTP was used are uncovered in a single hunting </t>
    </r>
    <r>
      <rPr>
        <sz val="11"/>
        <rFont val="Calibri"/>
        <family val="2"/>
        <scheme val="minor"/>
      </rPr>
      <t>investigation.</t>
    </r>
  </si>
  <si>
    <t>This metric is used to determine the added value to preventative controls. Hunting investigation may lead to new insights about how to protect the network from attackers.</t>
  </si>
  <si>
    <t>This metrics is used to determine the added value to vulnerability management. Hunting investigations may lead to findings regarding vulnerable systems that need to be resolved.</t>
  </si>
  <si>
    <t>Intiial Access</t>
  </si>
  <si>
    <t>Discover</t>
  </si>
  <si>
    <t>Mitre Tactic Code</t>
  </si>
  <si>
    <t>TA0042</t>
  </si>
  <si>
    <t>TA0001</t>
  </si>
  <si>
    <t>TA0002</t>
  </si>
  <si>
    <t>TA0003</t>
  </si>
  <si>
    <t>TA0004</t>
  </si>
  <si>
    <t>TA0005</t>
  </si>
  <si>
    <t>TA0006</t>
  </si>
  <si>
    <t>TA0007</t>
  </si>
  <si>
    <t>TA0008</t>
  </si>
  <si>
    <t>TA0009</t>
  </si>
  <si>
    <t>TA0011</t>
  </si>
  <si>
    <t>TA0010</t>
  </si>
  <si>
    <t>TA0040</t>
  </si>
  <si>
    <t># Threat Hunts</t>
  </si>
  <si>
    <t>Date      mm/dd/yyyy</t>
  </si>
  <si>
    <t>Threat Hunt Name</t>
  </si>
  <si>
    <t>Total Time Spent (Minutes)</t>
  </si>
  <si>
    <t>Incident Found</t>
  </si>
  <si>
    <t># Vulnerabilities Found</t>
  </si>
  <si>
    <t># Mis-Configurations Found</t>
  </si>
  <si>
    <t># Security Recommendations</t>
  </si>
  <si>
    <t>Hyphothesis</t>
  </si>
  <si>
    <t>Graphs (Q1: Janurary - March)</t>
  </si>
  <si>
    <t>Graphs (Q2: April - June)</t>
  </si>
  <si>
    <t>Graphs (Q3: July - September)</t>
  </si>
  <si>
    <t>Graphs (Q4: October - December)</t>
  </si>
  <si>
    <t>Average and maximum dwell time per month (Q1)</t>
  </si>
  <si>
    <t>Average and maximum dwell time per month (Q2)</t>
  </si>
  <si>
    <t>Average and maximum dwell time per month (Q3)</t>
  </si>
  <si>
    <t>Average and maximum dwell time per month (Q4)</t>
  </si>
  <si>
    <t># mis-configurations</t>
  </si>
  <si>
    <t>March</t>
  </si>
  <si>
    <t>April</t>
  </si>
  <si>
    <t>May</t>
  </si>
  <si>
    <t>June</t>
  </si>
  <si>
    <t>July</t>
  </si>
  <si>
    <t>August</t>
  </si>
  <si>
    <t>September</t>
  </si>
  <si>
    <t>October</t>
  </si>
  <si>
    <t>November</t>
  </si>
  <si>
    <t>December</t>
  </si>
  <si>
    <t>Time spent hunting per month on each Mitre Tactic (Q1)</t>
  </si>
  <si>
    <t>Time spent hunting per month on each Mitre Tactic (Q2)</t>
  </si>
  <si>
    <t>Time spent hunting per month on each Mitre Tactic (Q3)</t>
  </si>
  <si>
    <t>Time spent hunting per month on each Mitre Tactic (Q4)</t>
  </si>
  <si>
    <t>January</t>
  </si>
  <si>
    <t>February</t>
  </si>
  <si>
    <t>Total Time Spent (Hours)</t>
  </si>
  <si>
    <t>Total Dwell Time (Hours)</t>
  </si>
  <si>
    <t># Incidents Found</t>
  </si>
  <si>
    <t>Author: Jeremy Wiedner</t>
  </si>
  <si>
    <t>Version: 1.0</t>
  </si>
  <si>
    <t>Threat Hunting Tool - Usage</t>
  </si>
  <si>
    <t>There are 6 metrics used in the  Threat Hunting Tool. Each of these metrics is entered in the "Threat Hunts" tab only.  The "Strategic Overview" tab calculates these automatically based on the information entered in the "Threat Hunts" tab.  The following metrics are used:</t>
  </si>
  <si>
    <t>Numerical Month</t>
  </si>
  <si>
    <t># Incidents</t>
  </si>
  <si>
    <t>Average Dwell Time</t>
  </si>
  <si>
    <t>Total Dwell Time</t>
  </si>
  <si>
    <t>Max Dwell Time</t>
  </si>
  <si>
    <t>Notes</t>
  </si>
  <si>
    <t xml:space="preserve">Usage of the Threat Hunting Tool is fairly straightforward. The "Strategic Overview" tab has been pre-defined based on the Mitre ATT&amp;CK for Enterprise v11.3.  The "Threat Hunts" tab is for executed hunts and provides the detail of completed hunts.   You do no need to do anything to the Strategic Overiew tab as it will auto-update based on what you put in the "Threat Hunts" tab.  The "Data" tab contains data for usage in the "Threat Hunts" tab and is not anything you need to change.  
</t>
  </si>
  <si>
    <t>Documenting Threat Hunts</t>
  </si>
  <si>
    <t>New Threat Hunts and details can be added to the "Threat Hunts" tab.  The information here will be used to auto-update the "Strategic Overiew" Tab.</t>
  </si>
  <si>
    <t xml:space="preserve">Choose from the pre-defined list of Mitre Tactics.  Choosing a Tactic will auto-populate the Mitre T Code.
</t>
  </si>
  <si>
    <t>Date</t>
  </si>
  <si>
    <t>Enter the date in the format mm/dd/yyyy.  For example:  07/15/2022.  This is used to track the metrics for each month and quarter.</t>
  </si>
  <si>
    <t>Threat Hunt Hypothesis</t>
  </si>
  <si>
    <t>The name you give your threat hunt.</t>
  </si>
  <si>
    <t>A brief overview of the hypothesis for your threat hunt.</t>
  </si>
  <si>
    <t>The time you spent in minutes for your threat hunt.  Includes hypothesis development, testing, querying and analyzing data as well as reporting time.</t>
  </si>
  <si>
    <t>This is auto-calculated from the Total Time Spent (Minutes) column and is rounded to 2 decimal places.</t>
  </si>
  <si>
    <t>If an incident is discovered this is the time from the adversary gaining a foothold to the time you discovered them.</t>
  </si>
  <si>
    <t>Place a 1 here if you found an incident.  It is used to auto-calculate metrics on the "Strategic Overview" tab.  Put a 0 if no incident is found.</t>
  </si>
  <si>
    <t># of Mis-Configurations found during your hunt that could increase risk to the organization.</t>
  </si>
  <si>
    <t>#  of Security recommendations provided to improve the overall security posture based on the findings of your hunt.</t>
  </si>
  <si>
    <t># of Vulnerabilities you found that can be passed along to the Vulnerability Management Team</t>
  </si>
  <si>
    <t>Auto-calculated based on the date you enter and used for calculations in the "Strategic Overview" tab to determine month/quarter.</t>
  </si>
  <si>
    <t>Any notes you feel are releavant.</t>
  </si>
  <si>
    <t>This metric is used to determine the added value to overall security posture. Hunting investigations may lead to discovery of insecure configurations that increase your overall attack surface. Correcting these configurations can help increase your overall Security Posture and reduce your attack surface.</t>
  </si>
  <si>
    <t>Threat Hunting Metrics Tool</t>
  </si>
  <si>
    <t>Date: 2022.08.15</t>
  </si>
  <si>
    <t>Strategic Overview (Annual)</t>
  </si>
  <si>
    <t>Overall Performance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</si>
</sst>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
    <numFmt numFmtId="165" formatCode="[$-413]mmm/yy;@"/>
    <numFmt numFmtId="166" formatCode="[$-409]mmm\-yy;@"/>
    <numFmt numFmtId="167" formatCode="[$-409]mmmm\ d\,\ yyyy;@"/>
  </numFmts>
  <fonts count="23" x14ac:knownFonts="1">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6"/>
      <color theme="0"/>
      <name val="Calibri"/>
      <family val="2"/>
      <scheme val="minor"/>
    </font>
    <font>
      <b/>
      <sz val="10"/>
      <color theme="0"/>
      <name val="Calibri"/>
      <family val="2"/>
      <scheme val="minor"/>
    </font>
    <font>
      <b/>
      <sz val="14"/>
      <color theme="1"/>
      <name val="Calibri"/>
      <family val="2"/>
      <scheme val="minor"/>
    </font>
    <font>
      <b/>
      <sz val="11"/>
      <color rgb="FF000000"/>
      <name val="Calibri"/>
      <family val="2"/>
      <scheme val="minor"/>
    </font>
    <font>
      <u/>
      <sz val="11"/>
      <color theme="10"/>
      <name val="Calibri"/>
      <family val="2"/>
      <scheme val="minor"/>
    </font>
    <font>
      <sz val="11"/>
      <color indexed="8"/>
      <name val="Calibri"/>
      <family val="2"/>
      <charset val="1"/>
    </font>
    <font>
      <b/>
      <sz val="26"/>
      <color theme="0"/>
      <name val="Calibri"/>
      <family val="2"/>
    </font>
    <font>
      <b/>
      <sz val="11"/>
      <color indexed="8"/>
      <name val="Calibri"/>
      <family val="2"/>
    </font>
    <font>
      <b/>
      <sz val="12"/>
      <color theme="0"/>
      <name val="Calibri"/>
      <family val="2"/>
      <scheme val="minor"/>
    </font>
    <font>
      <b/>
      <sz val="14"/>
      <color theme="0"/>
      <name val="Calibri"/>
      <family val="2"/>
      <scheme val="minor"/>
    </font>
    <font>
      <b/>
      <sz val="12"/>
      <color theme="1"/>
      <name val="Calibri"/>
      <family val="2"/>
      <scheme val="minor"/>
    </font>
    <font>
      <b/>
      <sz val="12"/>
      <name val="Calibri"/>
      <family val="2"/>
      <scheme val="minor"/>
    </font>
    <font>
      <sz val="12"/>
      <color theme="1"/>
      <name val="Calibri"/>
      <family val="2"/>
      <scheme val="minor"/>
    </font>
    <font>
      <i/>
      <sz val="11"/>
      <color theme="1"/>
      <name val="Calibri"/>
      <family val="2"/>
      <scheme val="minor"/>
    </font>
    <font>
      <sz val="8"/>
      <color theme="1"/>
      <name val="Calibri"/>
      <family val="2"/>
      <scheme val="minor"/>
    </font>
    <font>
      <b/>
      <i/>
      <sz val="11"/>
      <color theme="1"/>
      <name val="Calibri"/>
      <family val="2"/>
      <scheme val="minor"/>
    </font>
    <font>
      <sz val="11"/>
      <name val="Calibri"/>
      <family val="2"/>
      <scheme val="minor"/>
    </font>
    <font>
      <b/>
      <sz val="28"/>
      <color theme="1"/>
      <name val="Calibri"/>
      <family val="2"/>
      <scheme val="minor"/>
    </font>
  </fonts>
  <fills count="8">
    <fill>
      <patternFill patternType="none"/>
    </fill>
    <fill>
      <patternFill patternType="gray125"/>
    </fill>
    <fill>
      <patternFill patternType="solid">
        <fgColor rgb="FFF2F2F2"/>
      </patternFill>
    </fill>
    <fill>
      <patternFill patternType="solid">
        <fgColor rgb="FF002060"/>
        <bgColor indexed="64"/>
      </patternFill>
    </fill>
    <fill>
      <patternFill patternType="solid">
        <fgColor theme="4" tint="-0.249977111117893"/>
        <bgColor theme="4"/>
      </patternFill>
    </fill>
    <fill>
      <patternFill patternType="solid">
        <fgColor theme="1"/>
        <bgColor indexed="64"/>
      </patternFill>
    </fill>
    <fill>
      <patternFill patternType="solid">
        <fgColor theme="0"/>
        <bgColor indexed="64"/>
      </patternFill>
    </fill>
    <fill>
      <patternFill patternType="solid">
        <fgColor theme="4" tint="0.39997558519241921"/>
        <bgColor indexed="64"/>
      </patternFill>
    </fill>
  </fills>
  <borders count="33">
    <border>
      <left/>
      <right/>
      <top/>
      <bottom/>
      <diagonal/>
    </border>
    <border>
      <left style="thin">
        <color rgb="FF3F3F3F"/>
      </left>
      <right style="thin">
        <color rgb="FF3F3F3F"/>
      </right>
      <top style="thin">
        <color rgb="FF3F3F3F"/>
      </top>
      <bottom style="thin">
        <color rgb="FF3F3F3F"/>
      </bottom>
      <diagonal/>
    </border>
    <border>
      <left/>
      <right/>
      <top style="medium">
        <color indexed="64"/>
      </top>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top/>
      <bottom style="thin">
        <color indexed="64"/>
      </bottom>
      <diagonal/>
    </border>
    <border>
      <left/>
      <right style="thin">
        <color indexed="64"/>
      </right>
      <top style="medium">
        <color indexed="64"/>
      </top>
      <bottom/>
      <diagonal/>
    </border>
    <border>
      <left style="medium">
        <color indexed="64"/>
      </left>
      <right/>
      <top style="medium">
        <color indexed="64"/>
      </top>
      <bottom/>
      <diagonal/>
    </border>
  </borders>
  <cellStyleXfs count="4">
    <xf numFmtId="0" fontId="0" fillId="0" borderId="0"/>
    <xf numFmtId="0" fontId="1" fillId="2" borderId="1" applyNumberFormat="0" applyAlignment="0" applyProtection="0"/>
    <xf numFmtId="0" fontId="9" fillId="0" borderId="0" applyNumberFormat="0" applyFill="0" applyBorder="0" applyAlignment="0" applyProtection="0"/>
    <xf numFmtId="0" fontId="10" fillId="0" borderId="0"/>
  </cellStyleXfs>
  <cellXfs count="102">
    <xf numFmtId="0" fontId="0" fillId="0" borderId="0" xfId="0"/>
    <xf numFmtId="0" fontId="5" fillId="3" borderId="2" xfId="0" applyFont="1" applyFill="1" applyBorder="1"/>
    <xf numFmtId="0" fontId="5" fillId="3" borderId="3" xfId="0" applyFont="1" applyFill="1" applyBorder="1"/>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1" fillId="2" borderId="13" xfId="1" applyBorder="1" applyAlignment="1">
      <alignment horizontal="center" vertical="center" wrapText="1"/>
    </xf>
    <xf numFmtId="1" fontId="1" fillId="2" borderId="13" xfId="1" applyNumberFormat="1" applyBorder="1" applyAlignment="1">
      <alignment horizontal="center" vertical="center" wrapText="1"/>
    </xf>
    <xf numFmtId="0" fontId="1" fillId="5" borderId="13" xfId="1" applyFill="1" applyBorder="1" applyAlignment="1">
      <alignment horizontal="center" vertical="center" wrapText="1"/>
    </xf>
    <xf numFmtId="9" fontId="2" fillId="5" borderId="13" xfId="1" applyNumberFormat="1" applyFont="1" applyFill="1" applyBorder="1" applyAlignment="1">
      <alignment horizontal="center" vertical="center" wrapText="1"/>
    </xf>
    <xf numFmtId="0" fontId="10" fillId="6" borderId="0" xfId="3" applyFill="1"/>
    <xf numFmtId="0" fontId="8" fillId="6" borderId="0" xfId="0" applyFont="1" applyFill="1" applyAlignment="1">
      <alignment horizontal="center" vertical="center" wrapText="1"/>
    </xf>
    <xf numFmtId="0" fontId="10" fillId="0" borderId="0" xfId="3"/>
    <xf numFmtId="0" fontId="11" fillId="3" borderId="19" xfId="3" applyFont="1" applyFill="1" applyBorder="1" applyAlignment="1">
      <alignment vertical="center"/>
    </xf>
    <xf numFmtId="0" fontId="11" fillId="3" borderId="3" xfId="3" applyFont="1" applyFill="1" applyBorder="1" applyAlignment="1">
      <alignment vertical="center"/>
    </xf>
    <xf numFmtId="0" fontId="12" fillId="6" borderId="0" xfId="3" applyFont="1" applyFill="1" applyAlignment="1">
      <alignment horizontal="center" vertical="center"/>
    </xf>
    <xf numFmtId="0" fontId="13" fillId="4" borderId="20" xfId="0" applyFont="1" applyFill="1" applyBorder="1" applyAlignment="1">
      <alignment horizontal="center" vertical="center" wrapText="1"/>
    </xf>
    <xf numFmtId="0" fontId="14" fillId="6" borderId="0" xfId="0" applyFont="1" applyFill="1" applyAlignment="1">
      <alignment horizontal="center" vertical="center" wrapText="1"/>
    </xf>
    <xf numFmtId="0" fontId="1" fillId="6" borderId="0" xfId="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0" fillId="6" borderId="0" xfId="0" applyFill="1"/>
    <xf numFmtId="1" fontId="15" fillId="0" borderId="23" xfId="0" applyNumberFormat="1" applyFont="1" applyBorder="1" applyAlignment="1">
      <alignment horizontal="center" vertical="center"/>
    </xf>
    <xf numFmtId="1" fontId="7" fillId="6" borderId="0" xfId="0" applyNumberFormat="1" applyFont="1" applyFill="1" applyAlignment="1">
      <alignment vertical="center"/>
    </xf>
    <xf numFmtId="1" fontId="15" fillId="0" borderId="13" xfId="0" applyNumberFormat="1" applyFont="1" applyBorder="1" applyAlignment="1">
      <alignment horizontal="center" vertical="center"/>
    </xf>
    <xf numFmtId="9" fontId="7" fillId="6" borderId="0" xfId="0" applyNumberFormat="1" applyFont="1" applyFill="1"/>
    <xf numFmtId="1" fontId="16" fillId="0" borderId="25" xfId="0" applyNumberFormat="1" applyFont="1" applyBorder="1" applyAlignment="1">
      <alignment horizontal="center" vertical="center"/>
    </xf>
    <xf numFmtId="1" fontId="15" fillId="6" borderId="0" xfId="0" applyNumberFormat="1" applyFont="1" applyFill="1" applyAlignment="1">
      <alignment horizontal="center" vertical="center"/>
    </xf>
    <xf numFmtId="1" fontId="16" fillId="0" borderId="28" xfId="0" applyNumberFormat="1" applyFont="1" applyBorder="1" applyAlignment="1">
      <alignment horizontal="center" vertical="center"/>
    </xf>
    <xf numFmtId="9" fontId="0" fillId="6" borderId="0" xfId="0" applyNumberFormat="1" applyFill="1"/>
    <xf numFmtId="0" fontId="17" fillId="6" borderId="0" xfId="0" applyFont="1" applyFill="1" applyAlignment="1">
      <alignment vertical="center" wrapText="1"/>
    </xf>
    <xf numFmtId="0" fontId="0" fillId="3" borderId="19" xfId="0" applyFill="1" applyBorder="1"/>
    <xf numFmtId="0" fontId="5" fillId="3" borderId="3" xfId="0" applyFont="1" applyFill="1" applyBorder="1" applyAlignment="1">
      <alignment vertical="center"/>
    </xf>
    <xf numFmtId="0" fontId="0" fillId="6" borderId="29" xfId="0" applyFill="1" applyBorder="1"/>
    <xf numFmtId="0" fontId="19" fillId="6" borderId="0" xfId="0" applyFont="1" applyFill="1"/>
    <xf numFmtId="0" fontId="7" fillId="6" borderId="0" xfId="0" applyFont="1" applyFill="1"/>
    <xf numFmtId="0" fontId="0" fillId="6" borderId="15" xfId="0" applyFill="1" applyBorder="1"/>
    <xf numFmtId="0" fontId="0" fillId="6" borderId="30" xfId="0" applyFill="1" applyBorder="1"/>
    <xf numFmtId="0" fontId="0" fillId="6" borderId="17" xfId="0" applyFill="1" applyBorder="1"/>
    <xf numFmtId="0" fontId="0" fillId="6" borderId="30" xfId="0" applyFill="1" applyBorder="1" applyAlignment="1">
      <alignment horizontal="left"/>
    </xf>
    <xf numFmtId="0" fontId="3" fillId="6" borderId="30" xfId="0" applyFont="1" applyFill="1" applyBorder="1"/>
    <xf numFmtId="0" fontId="0" fillId="3" borderId="0" xfId="0" applyFill="1"/>
    <xf numFmtId="0" fontId="0" fillId="7" borderId="0" xfId="0" applyFill="1"/>
    <xf numFmtId="0" fontId="20" fillId="7" borderId="0" xfId="0" applyFont="1" applyFill="1"/>
    <xf numFmtId="0" fontId="0" fillId="7" borderId="0" xfId="0" applyFill="1" applyAlignment="1">
      <alignment vertical="top" wrapText="1"/>
    </xf>
    <xf numFmtId="0" fontId="0" fillId="7" borderId="0" xfId="0" applyFill="1" applyAlignment="1">
      <alignment wrapText="1"/>
    </xf>
    <xf numFmtId="0" fontId="18" fillId="7" borderId="0" xfId="0" quotePrefix="1" applyFont="1" applyFill="1" applyAlignment="1">
      <alignment vertical="top"/>
    </xf>
    <xf numFmtId="0" fontId="0" fillId="7" borderId="0" xfId="0" applyFill="1" applyAlignment="1">
      <alignment horizontal="left" vertical="top" wrapText="1"/>
    </xf>
    <xf numFmtId="164" fontId="2" fillId="4" borderId="13" xfId="0" applyNumberFormat="1" applyFont="1" applyFill="1" applyBorder="1" applyAlignment="1">
      <alignment horizontal="center" vertical="center" wrapText="1"/>
    </xf>
    <xf numFmtId="164" fontId="2" fillId="4" borderId="5" xfId="0" applyNumberFormat="1" applyFont="1" applyFill="1" applyBorder="1" applyAlignment="1">
      <alignment horizontal="center" vertical="center" wrapText="1"/>
    </xf>
    <xf numFmtId="165" fontId="2" fillId="4" borderId="13" xfId="0" applyNumberFormat="1"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0" borderId="0" xfId="0" applyFont="1"/>
    <xf numFmtId="0" fontId="9" fillId="0" borderId="13" xfId="2" applyBorder="1"/>
    <xf numFmtId="0" fontId="9" fillId="5" borderId="13" xfId="2" applyFill="1" applyBorder="1"/>
    <xf numFmtId="0" fontId="5" fillId="3" borderId="2" xfId="0" applyFont="1" applyFill="1" applyBorder="1" applyAlignment="1">
      <alignment vertical="center"/>
    </xf>
    <xf numFmtId="0" fontId="0" fillId="3" borderId="32" xfId="0" applyFill="1" applyBorder="1"/>
    <xf numFmtId="166" fontId="0" fillId="0" borderId="0" xfId="0" applyNumberFormat="1"/>
    <xf numFmtId="167" fontId="0" fillId="0" borderId="0" xfId="0" applyNumberFormat="1"/>
    <xf numFmtId="0" fontId="0" fillId="0" borderId="0" xfId="0" applyAlignment="1">
      <alignment horizontal="center"/>
    </xf>
    <xf numFmtId="0" fontId="0" fillId="0" borderId="0" xfId="0" applyAlignment="1">
      <alignment horizontal="left"/>
    </xf>
    <xf numFmtId="0" fontId="0" fillId="0" borderId="13" xfId="0" applyFont="1" applyBorder="1" applyAlignment="1">
      <alignment horizontal="center"/>
    </xf>
    <xf numFmtId="0" fontId="4" fillId="5" borderId="13" xfId="0" applyFont="1" applyFill="1" applyBorder="1" applyAlignment="1">
      <alignment horizontal="center"/>
    </xf>
    <xf numFmtId="0" fontId="22" fillId="0" borderId="0" xfId="0" applyFont="1"/>
    <xf numFmtId="0" fontId="0" fillId="7" borderId="0" xfId="0" applyFill="1" applyAlignment="1">
      <alignment horizontal="left" vertical="top" wrapText="1"/>
    </xf>
    <xf numFmtId="0" fontId="5" fillId="3" borderId="0" xfId="0" applyFont="1" applyFill="1" applyAlignment="1">
      <alignment horizontal="left" vertical="center"/>
    </xf>
    <xf numFmtId="0" fontId="7" fillId="6" borderId="2" xfId="0" applyFont="1" applyFill="1" applyBorder="1" applyAlignment="1">
      <alignment horizontal="center" vertical="center"/>
    </xf>
    <xf numFmtId="0" fontId="7" fillId="6" borderId="31"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16" xfId="0" applyFont="1" applyFill="1" applyBorder="1" applyAlignment="1">
      <alignment horizontal="center" vertical="center"/>
    </xf>
    <xf numFmtId="0" fontId="7" fillId="6" borderId="30"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0" xfId="0" applyFont="1" applyFill="1" applyAlignment="1">
      <alignment horizontal="center" vertical="center"/>
    </xf>
    <xf numFmtId="0" fontId="0" fillId="0" borderId="4"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13" fillId="4" borderId="19" xfId="0" applyFont="1" applyFill="1" applyBorder="1" applyAlignment="1">
      <alignment horizontal="left" vertical="center" wrapText="1"/>
    </xf>
    <xf numFmtId="0" fontId="13" fillId="4" borderId="3" xfId="0" applyFont="1" applyFill="1" applyBorder="1" applyAlignment="1">
      <alignment horizontal="left" vertical="center" wrapText="1"/>
    </xf>
    <xf numFmtId="0" fontId="15" fillId="0" borderId="22" xfId="0" applyFont="1" applyBorder="1" applyAlignment="1">
      <alignment vertical="center" wrapText="1"/>
    </xf>
    <xf numFmtId="0" fontId="15" fillId="0" borderId="9" xfId="0" applyFont="1" applyBorder="1" applyAlignment="1">
      <alignment vertical="center" wrapText="1"/>
    </xf>
    <xf numFmtId="0" fontId="15" fillId="0" borderId="24" xfId="0" applyFont="1" applyBorder="1" applyAlignment="1">
      <alignment horizontal="left" vertical="center" wrapText="1"/>
    </xf>
    <xf numFmtId="0" fontId="15" fillId="0" borderId="14" xfId="0" applyFont="1" applyBorder="1" applyAlignment="1">
      <alignment horizontal="left" vertical="center" wrapText="1"/>
    </xf>
    <xf numFmtId="0" fontId="15" fillId="0" borderId="26" xfId="0" applyFont="1" applyBorder="1" applyAlignment="1">
      <alignment horizontal="left" vertical="center" wrapText="1"/>
    </xf>
    <xf numFmtId="0" fontId="15" fillId="0" borderId="27" xfId="0" applyFont="1" applyBorder="1" applyAlignment="1">
      <alignment horizontal="left" vertical="center" wrapText="1"/>
    </xf>
    <xf numFmtId="0" fontId="7" fillId="6" borderId="13" xfId="0" applyFont="1" applyFill="1" applyBorder="1" applyAlignment="1">
      <alignment horizontal="center" vertical="center"/>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0" fillId="0" borderId="4" xfId="0" applyBorder="1" applyAlignment="1" applyProtection="1">
      <alignment vertical="center" wrapText="1"/>
      <protection locked="0"/>
    </xf>
    <xf numFmtId="0" fontId="0" fillId="0" borderId="14" xfId="0" applyBorder="1" applyAlignment="1" applyProtection="1">
      <alignment vertical="center" wrapText="1"/>
      <protection locked="0"/>
    </xf>
    <xf numFmtId="0" fontId="0" fillId="0" borderId="5" xfId="0" applyBorder="1" applyAlignment="1" applyProtection="1">
      <alignment vertical="center" wrapText="1"/>
      <protection locked="0"/>
    </xf>
    <xf numFmtId="0" fontId="4" fillId="5" borderId="4" xfId="0" applyFont="1" applyFill="1" applyBorder="1" applyAlignment="1" applyProtection="1">
      <alignment vertical="center" wrapText="1"/>
      <protection locked="0"/>
    </xf>
    <xf numFmtId="0" fontId="4" fillId="5" borderId="14" xfId="0" applyFont="1" applyFill="1" applyBorder="1" applyAlignment="1" applyProtection="1">
      <alignment vertical="center" wrapText="1"/>
      <protection locked="0"/>
    </xf>
    <xf numFmtId="0" fontId="4" fillId="5" borderId="5" xfId="0" applyFont="1" applyFill="1" applyBorder="1" applyAlignment="1" applyProtection="1">
      <alignment vertical="center" wrapText="1"/>
      <protection locked="0"/>
    </xf>
  </cellXfs>
  <cellStyles count="4">
    <cellStyle name="Excel Built-in Normal" xfId="3" xr:uid="{663EBB73-C979-4469-A9EB-2ACD88EA4CAA}"/>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Hours</a:t>
            </a:r>
            <a:r>
              <a:rPr lang="en-US" baseline="0"/>
              <a:t> Month Hunting/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Overview'!$B$50</c:f>
              <c:strCache>
                <c:ptCount val="1"/>
                <c:pt idx="0">
                  <c:v>April</c:v>
                </c:pt>
              </c:strCache>
            </c:strRef>
          </c:tx>
          <c:spPr>
            <a:solidFill>
              <a:schemeClr val="accent1"/>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Overview'!$B$51:$B$63</c:f>
              <c:numCache>
                <c:formatCode>General</c:formatCode>
                <c:ptCount val="13"/>
                <c:pt idx="0">
                  <c:v>0</c:v>
                </c:pt>
                <c:pt idx="1">
                  <c:v>0</c:v>
                </c:pt>
                <c:pt idx="2">
                  <c:v>2</c:v>
                </c:pt>
                <c:pt idx="3">
                  <c:v>0</c:v>
                </c:pt>
                <c:pt idx="4">
                  <c:v>0</c:v>
                </c:pt>
                <c:pt idx="5">
                  <c:v>0</c:v>
                </c:pt>
                <c:pt idx="6">
                  <c:v>0</c:v>
                </c:pt>
                <c:pt idx="7">
                  <c:v>0</c:v>
                </c:pt>
                <c:pt idx="8">
                  <c:v>0</c:v>
                </c:pt>
                <c:pt idx="9">
                  <c:v>0</c:v>
                </c:pt>
                <c:pt idx="10">
                  <c:v>0</c:v>
                </c:pt>
                <c:pt idx="11">
                  <c:v>0</c:v>
                </c:pt>
                <c:pt idx="12">
                  <c:v>13.67</c:v>
                </c:pt>
              </c:numCache>
            </c:numRef>
          </c:val>
          <c:extLst>
            <c:ext xmlns:c16="http://schemas.microsoft.com/office/drawing/2014/chart" uri="{C3380CC4-5D6E-409C-BE32-E72D297353CC}">
              <c16:uniqueId val="{00000000-12C1-47CA-8ADC-5DD569471787}"/>
            </c:ext>
          </c:extLst>
        </c:ser>
        <c:ser>
          <c:idx val="1"/>
          <c:order val="1"/>
          <c:tx>
            <c:strRef>
              <c:f>'Strategic Overview'!$C$50</c:f>
              <c:strCache>
                <c:ptCount val="1"/>
                <c:pt idx="0">
                  <c:v>May</c:v>
                </c:pt>
              </c:strCache>
            </c:strRef>
          </c:tx>
          <c:spPr>
            <a:solidFill>
              <a:schemeClr val="accent2"/>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Overview'!$C$51:$C$63</c:f>
              <c:numCache>
                <c:formatCode>General</c:formatCode>
                <c:ptCount val="13"/>
                <c:pt idx="0">
                  <c:v>0</c:v>
                </c:pt>
                <c:pt idx="1">
                  <c:v>0</c:v>
                </c:pt>
                <c:pt idx="2">
                  <c:v>0</c:v>
                </c:pt>
                <c:pt idx="3">
                  <c:v>6.67</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2C1-47CA-8ADC-5DD569471787}"/>
            </c:ext>
          </c:extLst>
        </c:ser>
        <c:ser>
          <c:idx val="2"/>
          <c:order val="2"/>
          <c:tx>
            <c:strRef>
              <c:f>'Strategic Overview'!$D$50</c:f>
              <c:strCache>
                <c:ptCount val="1"/>
                <c:pt idx="0">
                  <c:v>June</c:v>
                </c:pt>
              </c:strCache>
            </c:strRef>
          </c:tx>
          <c:spPr>
            <a:solidFill>
              <a:schemeClr val="accent3"/>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Overview'!$D$51:$D$63</c:f>
              <c:numCache>
                <c:formatCode>General</c:formatCode>
                <c:ptCount val="13"/>
                <c:pt idx="0">
                  <c:v>0</c:v>
                </c:pt>
                <c:pt idx="1">
                  <c:v>0</c:v>
                </c:pt>
                <c:pt idx="2">
                  <c:v>0</c:v>
                </c:pt>
                <c:pt idx="3">
                  <c:v>1.25</c:v>
                </c:pt>
                <c:pt idx="4">
                  <c:v>1.5</c:v>
                </c:pt>
                <c:pt idx="5">
                  <c:v>0</c:v>
                </c:pt>
                <c:pt idx="6">
                  <c:v>14.34</c:v>
                </c:pt>
                <c:pt idx="7">
                  <c:v>0</c:v>
                </c:pt>
                <c:pt idx="8">
                  <c:v>0</c:v>
                </c:pt>
                <c:pt idx="9">
                  <c:v>0</c:v>
                </c:pt>
                <c:pt idx="10">
                  <c:v>0</c:v>
                </c:pt>
                <c:pt idx="11">
                  <c:v>0</c:v>
                </c:pt>
                <c:pt idx="12">
                  <c:v>0</c:v>
                </c:pt>
              </c:numCache>
            </c:numRef>
          </c:val>
          <c:extLst>
            <c:ext xmlns:c16="http://schemas.microsoft.com/office/drawing/2014/chart" uri="{C3380CC4-5D6E-409C-BE32-E72D297353CC}">
              <c16:uniqueId val="{00000002-12C1-47CA-8ADC-5DD569471787}"/>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Hours Month Hunting/ Mitre Tactic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Overview'!$B$29</c:f>
              <c:strCache>
                <c:ptCount val="1"/>
                <c:pt idx="0">
                  <c:v>January</c:v>
                </c:pt>
              </c:strCache>
            </c:strRef>
          </c:tx>
          <c:spPr>
            <a:solidFill>
              <a:schemeClr val="accent1"/>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Overview'!$B$30:$B$42</c:f>
              <c:numCache>
                <c:formatCode>General</c:formatCode>
                <c:ptCount val="13"/>
                <c:pt idx="0">
                  <c:v>3.67</c:v>
                </c:pt>
                <c:pt idx="1">
                  <c:v>0</c:v>
                </c:pt>
                <c:pt idx="2">
                  <c:v>0</c:v>
                </c:pt>
                <c:pt idx="3">
                  <c:v>0</c:v>
                </c:pt>
                <c:pt idx="4">
                  <c:v>0</c:v>
                </c:pt>
                <c:pt idx="5">
                  <c:v>0</c:v>
                </c:pt>
                <c:pt idx="6">
                  <c:v>0</c:v>
                </c:pt>
                <c:pt idx="7">
                  <c:v>0</c:v>
                </c:pt>
                <c:pt idx="8">
                  <c:v>0</c:v>
                </c:pt>
                <c:pt idx="9">
                  <c:v>0</c:v>
                </c:pt>
                <c:pt idx="10">
                  <c:v>0</c:v>
                </c:pt>
                <c:pt idx="11">
                  <c:v>1.3</c:v>
                </c:pt>
                <c:pt idx="12">
                  <c:v>0</c:v>
                </c:pt>
              </c:numCache>
            </c:numRef>
          </c:val>
          <c:extLst>
            <c:ext xmlns:c16="http://schemas.microsoft.com/office/drawing/2014/chart" uri="{C3380CC4-5D6E-409C-BE32-E72D297353CC}">
              <c16:uniqueId val="{00000000-A6E0-44F7-AAE0-2F98FB8D1C3A}"/>
            </c:ext>
          </c:extLst>
        </c:ser>
        <c:ser>
          <c:idx val="1"/>
          <c:order val="1"/>
          <c:tx>
            <c:strRef>
              <c:f>'Strategic Overview'!$C$29</c:f>
              <c:strCache>
                <c:ptCount val="1"/>
                <c:pt idx="0">
                  <c:v>February</c:v>
                </c:pt>
              </c:strCache>
            </c:strRef>
          </c:tx>
          <c:spPr>
            <a:solidFill>
              <a:schemeClr val="accent2"/>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Overview'!$C$30:$C$42</c:f>
              <c:numCache>
                <c:formatCode>General</c:formatCode>
                <c:ptCount val="13"/>
                <c:pt idx="0">
                  <c:v>0</c:v>
                </c:pt>
                <c:pt idx="1">
                  <c:v>0</c:v>
                </c:pt>
                <c:pt idx="2">
                  <c:v>0</c:v>
                </c:pt>
                <c:pt idx="3">
                  <c:v>0</c:v>
                </c:pt>
                <c:pt idx="4">
                  <c:v>0</c:v>
                </c:pt>
                <c:pt idx="5">
                  <c:v>0</c:v>
                </c:pt>
                <c:pt idx="6">
                  <c:v>0</c:v>
                </c:pt>
                <c:pt idx="7">
                  <c:v>0</c:v>
                </c:pt>
                <c:pt idx="8">
                  <c:v>0</c:v>
                </c:pt>
                <c:pt idx="9">
                  <c:v>0</c:v>
                </c:pt>
                <c:pt idx="10">
                  <c:v>4.17</c:v>
                </c:pt>
                <c:pt idx="11">
                  <c:v>0</c:v>
                </c:pt>
                <c:pt idx="12">
                  <c:v>0</c:v>
                </c:pt>
              </c:numCache>
            </c:numRef>
          </c:val>
          <c:extLst>
            <c:ext xmlns:c16="http://schemas.microsoft.com/office/drawing/2014/chart" uri="{C3380CC4-5D6E-409C-BE32-E72D297353CC}">
              <c16:uniqueId val="{00000001-A6E0-44F7-AAE0-2F98FB8D1C3A}"/>
            </c:ext>
          </c:extLst>
        </c:ser>
        <c:ser>
          <c:idx val="2"/>
          <c:order val="2"/>
          <c:tx>
            <c:strRef>
              <c:f>'Strategic Overview'!$D$29</c:f>
              <c:strCache>
                <c:ptCount val="1"/>
                <c:pt idx="0">
                  <c:v>March</c:v>
                </c:pt>
              </c:strCache>
            </c:strRef>
          </c:tx>
          <c:spPr>
            <a:solidFill>
              <a:schemeClr val="accent3"/>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Overview'!$D$30:$D$42</c:f>
              <c:numCache>
                <c:formatCode>General</c:formatCode>
                <c:ptCount val="13"/>
                <c:pt idx="0">
                  <c:v>0</c:v>
                </c:pt>
                <c:pt idx="1">
                  <c:v>17.07</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A6E0-44F7-AAE0-2F98FB8D1C3A}"/>
            </c:ext>
          </c:extLst>
        </c:ser>
        <c:dLbls>
          <c:showLegendKey val="0"/>
          <c:showVal val="0"/>
          <c:showCatName val="0"/>
          <c:showSerName val="0"/>
          <c:showPercent val="0"/>
          <c:showBubbleSize val="0"/>
        </c:dLbls>
        <c:gapWidth val="150"/>
        <c:overlap val="100"/>
        <c:axId val="1527900864"/>
        <c:axId val="1527903360"/>
      </c:barChart>
      <c:catAx>
        <c:axId val="152790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3360"/>
        <c:crosses val="autoZero"/>
        <c:auto val="1"/>
        <c:lblAlgn val="ctr"/>
        <c:lblOffset val="100"/>
        <c:noMultiLvlLbl val="0"/>
      </c:catAx>
      <c:valAx>
        <c:axId val="15279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0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Overview'!$B$71</c:f>
              <c:strCache>
                <c:ptCount val="1"/>
                <c:pt idx="0">
                  <c:v>July</c:v>
                </c:pt>
              </c:strCache>
            </c:strRef>
          </c:tx>
          <c:spPr>
            <a:solidFill>
              <a:schemeClr val="accent1"/>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Overview'!$B$72:$B$84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E0A3-469C-84B0-BDDBE7E6E492}"/>
            </c:ext>
          </c:extLst>
        </c:ser>
        <c:ser>
          <c:idx val="1"/>
          <c:order val="1"/>
          <c:tx>
            <c:strRef>
              <c:f>'Strategic Overview'!$C$71</c:f>
              <c:strCache>
                <c:ptCount val="1"/>
                <c:pt idx="0">
                  <c:v>August</c:v>
                </c:pt>
              </c:strCache>
            </c:strRef>
          </c:tx>
          <c:spPr>
            <a:solidFill>
              <a:schemeClr val="accent2"/>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Overview'!$C$72:$C$84</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E0A3-469C-84B0-BDDBE7E6E492}"/>
            </c:ext>
          </c:extLst>
        </c:ser>
        <c:ser>
          <c:idx val="2"/>
          <c:order val="2"/>
          <c:tx>
            <c:strRef>
              <c:f>'Strategic Overview'!$D$71</c:f>
              <c:strCache>
                <c:ptCount val="1"/>
                <c:pt idx="0">
                  <c:v>September</c:v>
                </c:pt>
              </c:strCache>
            </c:strRef>
          </c:tx>
          <c:spPr>
            <a:solidFill>
              <a:schemeClr val="accent3"/>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Overview'!$D$72:$D$84</c:f>
              <c:numCache>
                <c:formatCode>General</c:formatCode>
                <c:ptCount val="13"/>
                <c:pt idx="0">
                  <c:v>0</c:v>
                </c:pt>
                <c:pt idx="1">
                  <c:v>0</c:v>
                </c:pt>
                <c:pt idx="2">
                  <c:v>0</c:v>
                </c:pt>
                <c:pt idx="3">
                  <c:v>0</c:v>
                </c:pt>
                <c:pt idx="4">
                  <c:v>0</c:v>
                </c:pt>
                <c:pt idx="5">
                  <c:v>0</c:v>
                </c:pt>
                <c:pt idx="6">
                  <c:v>6</c:v>
                </c:pt>
                <c:pt idx="7">
                  <c:v>0</c:v>
                </c:pt>
                <c:pt idx="8">
                  <c:v>0</c:v>
                </c:pt>
                <c:pt idx="9">
                  <c:v>0</c:v>
                </c:pt>
                <c:pt idx="10">
                  <c:v>0</c:v>
                </c:pt>
                <c:pt idx="11">
                  <c:v>0</c:v>
                </c:pt>
                <c:pt idx="12">
                  <c:v>0</c:v>
                </c:pt>
              </c:numCache>
            </c:numRef>
          </c:val>
          <c:extLst>
            <c:ext xmlns:c16="http://schemas.microsoft.com/office/drawing/2014/chart" uri="{C3380CC4-5D6E-409C-BE32-E72D297353CC}">
              <c16:uniqueId val="{00000002-E0A3-469C-84B0-BDDBE7E6E492}"/>
            </c:ext>
          </c:extLst>
        </c:ser>
        <c:dLbls>
          <c:showLegendKey val="0"/>
          <c:showVal val="0"/>
          <c:showCatName val="0"/>
          <c:showSerName val="0"/>
          <c:showPercent val="0"/>
          <c:showBubbleSize val="0"/>
        </c:dLbls>
        <c:gapWidth val="150"/>
        <c:overlap val="100"/>
        <c:axId val="1350338144"/>
        <c:axId val="1350336064"/>
      </c:barChart>
      <c:catAx>
        <c:axId val="135033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6064"/>
        <c:crosses val="autoZero"/>
        <c:auto val="1"/>
        <c:lblAlgn val="ctr"/>
        <c:lblOffset val="100"/>
        <c:noMultiLvlLbl val="0"/>
      </c:catAx>
      <c:valAx>
        <c:axId val="135033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8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Overview'!$B$92</c:f>
              <c:strCache>
                <c:ptCount val="1"/>
                <c:pt idx="0">
                  <c:v>October</c:v>
                </c:pt>
              </c:strCache>
            </c:strRef>
          </c:tx>
          <c:spPr>
            <a:solidFill>
              <a:schemeClr val="accent1"/>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Overview'!$B$93:$B$105</c:f>
              <c:numCache>
                <c:formatCode>General</c:formatCode>
                <c:ptCount val="13"/>
                <c:pt idx="0">
                  <c:v>0</c:v>
                </c:pt>
                <c:pt idx="1">
                  <c:v>0</c:v>
                </c:pt>
                <c:pt idx="2">
                  <c:v>0</c:v>
                </c:pt>
                <c:pt idx="3">
                  <c:v>0</c:v>
                </c:pt>
                <c:pt idx="4">
                  <c:v>0</c:v>
                </c:pt>
                <c:pt idx="5">
                  <c:v>0</c:v>
                </c:pt>
                <c:pt idx="6">
                  <c:v>0</c:v>
                </c:pt>
                <c:pt idx="7">
                  <c:v>7</c:v>
                </c:pt>
                <c:pt idx="8">
                  <c:v>0</c:v>
                </c:pt>
                <c:pt idx="9">
                  <c:v>0</c:v>
                </c:pt>
                <c:pt idx="10">
                  <c:v>0</c:v>
                </c:pt>
                <c:pt idx="11">
                  <c:v>0</c:v>
                </c:pt>
                <c:pt idx="12">
                  <c:v>0</c:v>
                </c:pt>
              </c:numCache>
            </c:numRef>
          </c:val>
          <c:extLst>
            <c:ext xmlns:c16="http://schemas.microsoft.com/office/drawing/2014/chart" uri="{C3380CC4-5D6E-409C-BE32-E72D297353CC}">
              <c16:uniqueId val="{00000000-5DD1-4822-B3AC-9F9CD2778383}"/>
            </c:ext>
          </c:extLst>
        </c:ser>
        <c:ser>
          <c:idx val="1"/>
          <c:order val="1"/>
          <c:tx>
            <c:strRef>
              <c:f>'Strategic Overview'!$C$92</c:f>
              <c:strCache>
                <c:ptCount val="1"/>
                <c:pt idx="0">
                  <c:v>November</c:v>
                </c:pt>
              </c:strCache>
            </c:strRef>
          </c:tx>
          <c:spPr>
            <a:solidFill>
              <a:schemeClr val="accent2"/>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Overview'!$C$93:$C$105</c:f>
              <c:numCache>
                <c:formatCode>General</c:formatCode>
                <c:ptCount val="13"/>
                <c:pt idx="0">
                  <c:v>0</c:v>
                </c:pt>
                <c:pt idx="1">
                  <c:v>0</c:v>
                </c:pt>
                <c:pt idx="2">
                  <c:v>0</c:v>
                </c:pt>
                <c:pt idx="3">
                  <c:v>0</c:v>
                </c:pt>
                <c:pt idx="4">
                  <c:v>0</c:v>
                </c:pt>
                <c:pt idx="5">
                  <c:v>0</c:v>
                </c:pt>
                <c:pt idx="6">
                  <c:v>0</c:v>
                </c:pt>
                <c:pt idx="7">
                  <c:v>0</c:v>
                </c:pt>
                <c:pt idx="8">
                  <c:v>0.75</c:v>
                </c:pt>
                <c:pt idx="9">
                  <c:v>0</c:v>
                </c:pt>
                <c:pt idx="10">
                  <c:v>0</c:v>
                </c:pt>
                <c:pt idx="11">
                  <c:v>11.17</c:v>
                </c:pt>
                <c:pt idx="12">
                  <c:v>0</c:v>
                </c:pt>
              </c:numCache>
            </c:numRef>
          </c:val>
          <c:extLst>
            <c:ext xmlns:c16="http://schemas.microsoft.com/office/drawing/2014/chart" uri="{C3380CC4-5D6E-409C-BE32-E72D297353CC}">
              <c16:uniqueId val="{00000001-5DD1-4822-B3AC-9F9CD2778383}"/>
            </c:ext>
          </c:extLst>
        </c:ser>
        <c:ser>
          <c:idx val="2"/>
          <c:order val="2"/>
          <c:tx>
            <c:strRef>
              <c:f>'Strategic Overview'!$D$92</c:f>
              <c:strCache>
                <c:ptCount val="1"/>
                <c:pt idx="0">
                  <c:v>December</c:v>
                </c:pt>
              </c:strCache>
            </c:strRef>
          </c:tx>
          <c:spPr>
            <a:solidFill>
              <a:schemeClr val="accent3"/>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Overview'!$D$93:$D$105</c:f>
              <c:numCache>
                <c:formatCode>General</c:formatCode>
                <c:ptCount val="13"/>
                <c:pt idx="0">
                  <c:v>0</c:v>
                </c:pt>
                <c:pt idx="1">
                  <c:v>0</c:v>
                </c:pt>
                <c:pt idx="2">
                  <c:v>0</c:v>
                </c:pt>
                <c:pt idx="3">
                  <c:v>0</c:v>
                </c:pt>
                <c:pt idx="4">
                  <c:v>0</c:v>
                </c:pt>
                <c:pt idx="5">
                  <c:v>0</c:v>
                </c:pt>
                <c:pt idx="6">
                  <c:v>0</c:v>
                </c:pt>
                <c:pt idx="7">
                  <c:v>0</c:v>
                </c:pt>
                <c:pt idx="8">
                  <c:v>0</c:v>
                </c:pt>
                <c:pt idx="9">
                  <c:v>0.5</c:v>
                </c:pt>
                <c:pt idx="10">
                  <c:v>0</c:v>
                </c:pt>
                <c:pt idx="11">
                  <c:v>0</c:v>
                </c:pt>
                <c:pt idx="12">
                  <c:v>0</c:v>
                </c:pt>
              </c:numCache>
            </c:numRef>
          </c:val>
          <c:extLst>
            <c:ext xmlns:c16="http://schemas.microsoft.com/office/drawing/2014/chart" uri="{C3380CC4-5D6E-409C-BE32-E72D297353CC}">
              <c16:uniqueId val="{00000002-5DD1-4822-B3AC-9F9CD2778383}"/>
            </c:ext>
          </c:extLst>
        </c:ser>
        <c:dLbls>
          <c:showLegendKey val="0"/>
          <c:showVal val="0"/>
          <c:showCatName val="0"/>
          <c:showSerName val="0"/>
          <c:showPercent val="0"/>
          <c:showBubbleSize val="0"/>
        </c:dLbls>
        <c:gapWidth val="219"/>
        <c:overlap val="-27"/>
        <c:axId val="1468102192"/>
        <c:axId val="1468095536"/>
      </c:barChart>
      <c:catAx>
        <c:axId val="146810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095536"/>
        <c:crosses val="autoZero"/>
        <c:auto val="1"/>
        <c:lblAlgn val="ctr"/>
        <c:lblOffset val="100"/>
        <c:noMultiLvlLbl val="0"/>
      </c:catAx>
      <c:valAx>
        <c:axId val="146809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10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Overview'!$L$32</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Overview'!$M$29:$O$29</c:f>
              <c:strCache>
                <c:ptCount val="3"/>
                <c:pt idx="0">
                  <c:v>January</c:v>
                </c:pt>
                <c:pt idx="1">
                  <c:v>February</c:v>
                </c:pt>
                <c:pt idx="2">
                  <c:v>March</c:v>
                </c:pt>
              </c:strCache>
            </c:strRef>
          </c:cat>
          <c:val>
            <c:numRef>
              <c:f>'Strategic Overview'!$M$32:$O$32</c:f>
              <c:numCache>
                <c:formatCode>General</c:formatCode>
                <c:ptCount val="3"/>
                <c:pt idx="0">
                  <c:v>720</c:v>
                </c:pt>
                <c:pt idx="1">
                  <c:v>2769</c:v>
                </c:pt>
                <c:pt idx="2">
                  <c:v>720</c:v>
                </c:pt>
              </c:numCache>
            </c:numRef>
          </c:val>
          <c:smooth val="0"/>
          <c:extLst>
            <c:ext xmlns:c16="http://schemas.microsoft.com/office/drawing/2014/chart" uri="{C3380CC4-5D6E-409C-BE32-E72D297353CC}">
              <c16:uniqueId val="{00000002-58FE-4ABA-B852-C7C996D0AAF0}"/>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2</c:v>
                      </c:pt>
                      <c:pt idx="1">
                        <c:v>2</c:v>
                      </c:pt>
                      <c:pt idx="2">
                        <c:v>1</c:v>
                      </c:pt>
                    </c:numCache>
                  </c:numRef>
                </c:val>
                <c:smooth val="0"/>
                <c:extLst>
                  <c:ext xmlns:c16="http://schemas.microsoft.com/office/drawing/2014/chart" uri="{C3380CC4-5D6E-409C-BE32-E72D297353CC}">
                    <c16:uniqueId val="{00000000-58FE-4ABA-B852-C7C996D0AAF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888</c:v>
                      </c:pt>
                      <c:pt idx="1">
                        <c:v>2861</c:v>
                      </c:pt>
                      <c:pt idx="2">
                        <c:v>720</c:v>
                      </c:pt>
                    </c:numCache>
                  </c:numRef>
                </c:val>
                <c:smooth val="0"/>
                <c:extLst xmlns:c15="http://schemas.microsoft.com/office/drawing/2012/chart">
                  <c:ext xmlns:c16="http://schemas.microsoft.com/office/drawing/2014/chart" uri="{C3380CC4-5D6E-409C-BE32-E72D297353CC}">
                    <c16:uniqueId val="{00000001-58FE-4ABA-B852-C7C996D0AAF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Overview'!$L$33</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Overview'!$M$33:$O$33</c15:sqref>
                        </c15:formulaRef>
                      </c:ext>
                    </c:extLst>
                    <c:numCache>
                      <c:formatCode>General</c:formatCode>
                      <c:ptCount val="3"/>
                      <c:pt idx="0">
                        <c:v>444</c:v>
                      </c:pt>
                      <c:pt idx="1">
                        <c:v>1430.5</c:v>
                      </c:pt>
                      <c:pt idx="2">
                        <c:v>720</c:v>
                      </c:pt>
                    </c:numCache>
                  </c:numRef>
                </c:val>
                <c:smooth val="0"/>
                <c:extLst xmlns:c15="http://schemas.microsoft.com/office/drawing/2012/chart">
                  <c:ext xmlns:c16="http://schemas.microsoft.com/office/drawing/2014/chart" uri="{C3380CC4-5D6E-409C-BE32-E72D297353CC}">
                    <c16:uniqueId val="{00000003-58FE-4ABA-B852-C7C996D0AAF0}"/>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Overview'!$L$33</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Overview'!$M$29:$O$29</c:f>
              <c:strCache>
                <c:ptCount val="3"/>
                <c:pt idx="0">
                  <c:v>January</c:v>
                </c:pt>
                <c:pt idx="1">
                  <c:v>February</c:v>
                </c:pt>
                <c:pt idx="2">
                  <c:v>March</c:v>
                </c:pt>
              </c:strCache>
              <c:extLst xmlns:c15="http://schemas.microsoft.com/office/drawing/2012/chart"/>
            </c:strRef>
          </c:cat>
          <c:val>
            <c:numRef>
              <c:f>'Strategic Overview'!$M$33:$O$33</c:f>
              <c:numCache>
                <c:formatCode>General</c:formatCode>
                <c:ptCount val="3"/>
                <c:pt idx="0">
                  <c:v>444</c:v>
                </c:pt>
                <c:pt idx="1">
                  <c:v>1430.5</c:v>
                </c:pt>
                <c:pt idx="2">
                  <c:v>720</c:v>
                </c:pt>
              </c:numCache>
              <c:extLst xmlns:c15="http://schemas.microsoft.com/office/drawing/2012/chart"/>
            </c:numRef>
          </c:val>
          <c:smooth val="0"/>
          <c:extLst>
            <c:ext xmlns:c16="http://schemas.microsoft.com/office/drawing/2014/chart" uri="{C3380CC4-5D6E-409C-BE32-E72D297353CC}">
              <c16:uniqueId val="{00000003-3EEB-4128-9A79-90B6A6E9374A}"/>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2</c:v>
                      </c:pt>
                      <c:pt idx="1">
                        <c:v>2</c:v>
                      </c:pt>
                      <c:pt idx="2">
                        <c:v>1</c:v>
                      </c:pt>
                    </c:numCache>
                  </c:numRef>
                </c:val>
                <c:smooth val="0"/>
                <c:extLst>
                  <c:ext xmlns:c16="http://schemas.microsoft.com/office/drawing/2014/chart" uri="{C3380CC4-5D6E-409C-BE32-E72D297353CC}">
                    <c16:uniqueId val="{00000001-3EEB-4128-9A79-90B6A6E9374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888</c:v>
                      </c:pt>
                      <c:pt idx="1">
                        <c:v>2861</c:v>
                      </c:pt>
                      <c:pt idx="2">
                        <c:v>720</c:v>
                      </c:pt>
                    </c:numCache>
                  </c:numRef>
                </c:val>
                <c:smooth val="0"/>
                <c:extLst xmlns:c15="http://schemas.microsoft.com/office/drawing/2012/chart">
                  <c:ext xmlns:c16="http://schemas.microsoft.com/office/drawing/2014/chart" uri="{C3380CC4-5D6E-409C-BE32-E72D297353CC}">
                    <c16:uniqueId val="{00000002-3EEB-4128-9A79-90B6A6E9374A}"/>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Overview'!$L$32</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Overview'!$M$32:$O$32</c15:sqref>
                        </c15:formulaRef>
                      </c:ext>
                    </c:extLst>
                    <c:numCache>
                      <c:formatCode>General</c:formatCode>
                      <c:ptCount val="3"/>
                      <c:pt idx="0">
                        <c:v>720</c:v>
                      </c:pt>
                      <c:pt idx="1">
                        <c:v>2769</c:v>
                      </c:pt>
                      <c:pt idx="2">
                        <c:v>720</c:v>
                      </c:pt>
                    </c:numCache>
                  </c:numRef>
                </c:val>
                <c:smooth val="0"/>
                <c:extLst xmlns:c15="http://schemas.microsoft.com/office/drawing/2012/chart">
                  <c:ext xmlns:c16="http://schemas.microsoft.com/office/drawing/2014/chart" uri="{C3380CC4-5D6E-409C-BE32-E72D297353CC}">
                    <c16:uniqueId val="{00000000-3EEB-4128-9A79-90B6A6E9374A}"/>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Overview'!$L$53</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Overview'!$M$50:$O$50</c:f>
              <c:strCache>
                <c:ptCount val="3"/>
                <c:pt idx="0">
                  <c:v>April</c:v>
                </c:pt>
                <c:pt idx="1">
                  <c:v>May</c:v>
                </c:pt>
                <c:pt idx="2">
                  <c:v>June</c:v>
                </c:pt>
              </c:strCache>
            </c:strRef>
          </c:cat>
          <c:val>
            <c:numRef>
              <c:f>'Strategic Overview'!$M$53:$O$53</c:f>
              <c:numCache>
                <c:formatCode>General</c:formatCode>
                <c:ptCount val="3"/>
                <c:pt idx="0">
                  <c:v>1024</c:v>
                </c:pt>
                <c:pt idx="1">
                  <c:v>2048</c:v>
                </c:pt>
                <c:pt idx="2">
                  <c:v>1920</c:v>
                </c:pt>
              </c:numCache>
            </c:numRef>
          </c:val>
          <c:smooth val="0"/>
          <c:extLst>
            <c:ext xmlns:c16="http://schemas.microsoft.com/office/drawing/2014/chart" uri="{C3380CC4-5D6E-409C-BE32-E72D297353CC}">
              <c16:uniqueId val="{00000002-380B-4301-9DB0-E0630900FA3B}"/>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2</c:v>
                      </c:pt>
                      <c:pt idx="1">
                        <c:v>1</c:v>
                      </c:pt>
                      <c:pt idx="2">
                        <c:v>3</c:v>
                      </c:pt>
                    </c:numCache>
                  </c:numRef>
                </c:val>
                <c:smooth val="0"/>
                <c:extLst>
                  <c:ext xmlns:c16="http://schemas.microsoft.com/office/drawing/2014/chart" uri="{C3380CC4-5D6E-409C-BE32-E72D297353CC}">
                    <c16:uniqueId val="{00000000-380B-4301-9DB0-E0630900FA3B}"/>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1060</c:v>
                      </c:pt>
                      <c:pt idx="1">
                        <c:v>2048</c:v>
                      </c:pt>
                      <c:pt idx="2">
                        <c:v>2370</c:v>
                      </c:pt>
                    </c:numCache>
                  </c:numRef>
                </c:val>
                <c:smooth val="0"/>
                <c:extLst xmlns:c15="http://schemas.microsoft.com/office/drawing/2012/chart">
                  <c:ext xmlns:c16="http://schemas.microsoft.com/office/drawing/2014/chart" uri="{C3380CC4-5D6E-409C-BE32-E72D297353CC}">
                    <c16:uniqueId val="{00000001-380B-4301-9DB0-E0630900FA3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Overview'!$L$54</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Overview'!$M$54:$O$54</c15:sqref>
                        </c15:formulaRef>
                      </c:ext>
                    </c:extLst>
                    <c:numCache>
                      <c:formatCode>General</c:formatCode>
                      <c:ptCount val="3"/>
                      <c:pt idx="0">
                        <c:v>530</c:v>
                      </c:pt>
                      <c:pt idx="1">
                        <c:v>2048</c:v>
                      </c:pt>
                      <c:pt idx="2">
                        <c:v>790</c:v>
                      </c:pt>
                    </c:numCache>
                  </c:numRef>
                </c:val>
                <c:smooth val="0"/>
                <c:extLst xmlns:c15="http://schemas.microsoft.com/office/drawing/2012/chart">
                  <c:ext xmlns:c16="http://schemas.microsoft.com/office/drawing/2014/chart" uri="{C3380CC4-5D6E-409C-BE32-E72D297353CC}">
                    <c16:uniqueId val="{00000003-380B-4301-9DB0-E0630900FA3B}"/>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Overview'!$L$54</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Overview'!$M$50:$O$50</c:f>
              <c:strCache>
                <c:ptCount val="3"/>
                <c:pt idx="0">
                  <c:v>April</c:v>
                </c:pt>
                <c:pt idx="1">
                  <c:v>May</c:v>
                </c:pt>
                <c:pt idx="2">
                  <c:v>June</c:v>
                </c:pt>
              </c:strCache>
              <c:extLst xmlns:c15="http://schemas.microsoft.com/office/drawing/2012/chart"/>
            </c:strRef>
          </c:cat>
          <c:val>
            <c:numRef>
              <c:f>'Strategic Overview'!$M$54:$O$54</c:f>
              <c:numCache>
                <c:formatCode>General</c:formatCode>
                <c:ptCount val="3"/>
                <c:pt idx="0">
                  <c:v>530</c:v>
                </c:pt>
                <c:pt idx="1">
                  <c:v>2048</c:v>
                </c:pt>
                <c:pt idx="2">
                  <c:v>790</c:v>
                </c:pt>
              </c:numCache>
              <c:extLst xmlns:c15="http://schemas.microsoft.com/office/drawing/2012/chart"/>
            </c:numRef>
          </c:val>
          <c:smooth val="0"/>
          <c:extLst>
            <c:ext xmlns:c16="http://schemas.microsoft.com/office/drawing/2014/chart" uri="{C3380CC4-5D6E-409C-BE32-E72D297353CC}">
              <c16:uniqueId val="{00000003-EE69-4B48-A2EA-8D7088C3BAA6}"/>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2</c:v>
                      </c:pt>
                      <c:pt idx="1">
                        <c:v>1</c:v>
                      </c:pt>
                      <c:pt idx="2">
                        <c:v>3</c:v>
                      </c:pt>
                    </c:numCache>
                  </c:numRef>
                </c:val>
                <c:smooth val="0"/>
                <c:extLst>
                  <c:ext xmlns:c16="http://schemas.microsoft.com/office/drawing/2014/chart" uri="{C3380CC4-5D6E-409C-BE32-E72D297353CC}">
                    <c16:uniqueId val="{00000001-EE69-4B48-A2EA-8D7088C3BAA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1060</c:v>
                      </c:pt>
                      <c:pt idx="1">
                        <c:v>2048</c:v>
                      </c:pt>
                      <c:pt idx="2">
                        <c:v>2370</c:v>
                      </c:pt>
                    </c:numCache>
                  </c:numRef>
                </c:val>
                <c:smooth val="0"/>
                <c:extLst xmlns:c15="http://schemas.microsoft.com/office/drawing/2012/chart">
                  <c:ext xmlns:c16="http://schemas.microsoft.com/office/drawing/2014/chart" uri="{C3380CC4-5D6E-409C-BE32-E72D297353CC}">
                    <c16:uniqueId val="{00000002-EE69-4B48-A2EA-8D7088C3BAA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Overview'!$L$53</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Overview'!$M$53:$O$53</c15:sqref>
                        </c15:formulaRef>
                      </c:ext>
                    </c:extLst>
                    <c:numCache>
                      <c:formatCode>General</c:formatCode>
                      <c:ptCount val="3"/>
                      <c:pt idx="0">
                        <c:v>1024</c:v>
                      </c:pt>
                      <c:pt idx="1">
                        <c:v>2048</c:v>
                      </c:pt>
                      <c:pt idx="2">
                        <c:v>1920</c:v>
                      </c:pt>
                    </c:numCache>
                  </c:numRef>
                </c:val>
                <c:smooth val="0"/>
                <c:extLst xmlns:c15="http://schemas.microsoft.com/office/drawing/2012/chart">
                  <c:ext xmlns:c16="http://schemas.microsoft.com/office/drawing/2014/chart" uri="{C3380CC4-5D6E-409C-BE32-E72D297353CC}">
                    <c16:uniqueId val="{00000000-EE69-4B48-A2EA-8D7088C3BAA6}"/>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Overview'!$L$74</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Overview'!$M$71:$O$71</c:f>
              <c:strCache>
                <c:ptCount val="3"/>
                <c:pt idx="0">
                  <c:v>July</c:v>
                </c:pt>
                <c:pt idx="1">
                  <c:v>August</c:v>
                </c:pt>
                <c:pt idx="2">
                  <c:v>September</c:v>
                </c:pt>
              </c:strCache>
            </c:strRef>
          </c:cat>
          <c:val>
            <c:numRef>
              <c:f>'Strategic Overview'!$M$74:$O$74</c:f>
              <c:numCache>
                <c:formatCode>General</c:formatCode>
                <c:ptCount val="3"/>
                <c:pt idx="0">
                  <c:v>0</c:v>
                </c:pt>
                <c:pt idx="1">
                  <c:v>2100</c:v>
                </c:pt>
                <c:pt idx="2">
                  <c:v>2500</c:v>
                </c:pt>
              </c:numCache>
            </c:numRef>
          </c:val>
          <c:smooth val="0"/>
          <c:extLst>
            <c:ext xmlns:c16="http://schemas.microsoft.com/office/drawing/2014/chart" uri="{C3380CC4-5D6E-409C-BE32-E72D297353CC}">
              <c16:uniqueId val="{00000002-52FA-42ED-8E9C-206720FF7FEA}"/>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1</c:v>
                      </c:pt>
                      <c:pt idx="2">
                        <c:v>1</c:v>
                      </c:pt>
                    </c:numCache>
                  </c:numRef>
                </c:val>
                <c:smooth val="0"/>
                <c:extLst>
                  <c:ext xmlns:c16="http://schemas.microsoft.com/office/drawing/2014/chart" uri="{C3380CC4-5D6E-409C-BE32-E72D297353CC}">
                    <c16:uniqueId val="{00000000-52FA-42ED-8E9C-206720FF7FE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2100</c:v>
                      </c:pt>
                      <c:pt idx="2">
                        <c:v>2500</c:v>
                      </c:pt>
                    </c:numCache>
                  </c:numRef>
                </c:val>
                <c:smooth val="0"/>
                <c:extLst xmlns:c15="http://schemas.microsoft.com/office/drawing/2012/chart">
                  <c:ext xmlns:c16="http://schemas.microsoft.com/office/drawing/2014/chart" uri="{C3380CC4-5D6E-409C-BE32-E72D297353CC}">
                    <c16:uniqueId val="{00000001-52FA-42ED-8E9C-206720FF7FEA}"/>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Overview'!$L$75</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Overview'!$M$75:$O$75</c15:sqref>
                        </c15:formulaRef>
                      </c:ext>
                    </c:extLst>
                    <c:numCache>
                      <c:formatCode>General</c:formatCode>
                      <c:ptCount val="3"/>
                      <c:pt idx="0">
                        <c:v>0</c:v>
                      </c:pt>
                      <c:pt idx="1">
                        <c:v>2100</c:v>
                      </c:pt>
                      <c:pt idx="2">
                        <c:v>2500</c:v>
                      </c:pt>
                    </c:numCache>
                  </c:numRef>
                </c:val>
                <c:smooth val="0"/>
                <c:extLst xmlns:c15="http://schemas.microsoft.com/office/drawing/2012/chart">
                  <c:ext xmlns:c16="http://schemas.microsoft.com/office/drawing/2014/chart" uri="{C3380CC4-5D6E-409C-BE32-E72D297353CC}">
                    <c16:uniqueId val="{00000003-52FA-42ED-8E9C-206720FF7FEA}"/>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Overview'!$L$75</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Overview'!$M$71:$O$71</c:f>
              <c:strCache>
                <c:ptCount val="3"/>
                <c:pt idx="0">
                  <c:v>July</c:v>
                </c:pt>
                <c:pt idx="1">
                  <c:v>August</c:v>
                </c:pt>
                <c:pt idx="2">
                  <c:v>September</c:v>
                </c:pt>
              </c:strCache>
              <c:extLst xmlns:c15="http://schemas.microsoft.com/office/drawing/2012/chart"/>
            </c:strRef>
          </c:cat>
          <c:val>
            <c:numRef>
              <c:f>'Strategic Overview'!$M$75:$O$75</c:f>
              <c:numCache>
                <c:formatCode>General</c:formatCode>
                <c:ptCount val="3"/>
                <c:pt idx="0">
                  <c:v>0</c:v>
                </c:pt>
                <c:pt idx="1">
                  <c:v>2100</c:v>
                </c:pt>
                <c:pt idx="2">
                  <c:v>2500</c:v>
                </c:pt>
              </c:numCache>
              <c:extLst xmlns:c15="http://schemas.microsoft.com/office/drawing/2012/chart"/>
            </c:numRef>
          </c:val>
          <c:smooth val="0"/>
          <c:extLst>
            <c:ext xmlns:c16="http://schemas.microsoft.com/office/drawing/2014/chart" uri="{C3380CC4-5D6E-409C-BE32-E72D297353CC}">
              <c16:uniqueId val="{00000003-E911-41CC-AE78-394660EC0BF7}"/>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1</c:v>
                      </c:pt>
                      <c:pt idx="2">
                        <c:v>1</c:v>
                      </c:pt>
                    </c:numCache>
                  </c:numRef>
                </c:val>
                <c:smooth val="0"/>
                <c:extLst>
                  <c:ext xmlns:c16="http://schemas.microsoft.com/office/drawing/2014/chart" uri="{C3380CC4-5D6E-409C-BE32-E72D297353CC}">
                    <c16:uniqueId val="{00000001-E911-41CC-AE78-394660EC0BF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2100</c:v>
                      </c:pt>
                      <c:pt idx="2">
                        <c:v>2500</c:v>
                      </c:pt>
                    </c:numCache>
                  </c:numRef>
                </c:val>
                <c:smooth val="0"/>
                <c:extLst xmlns:c15="http://schemas.microsoft.com/office/drawing/2012/chart">
                  <c:ext xmlns:c16="http://schemas.microsoft.com/office/drawing/2014/chart" uri="{C3380CC4-5D6E-409C-BE32-E72D297353CC}">
                    <c16:uniqueId val="{00000002-E911-41CC-AE78-394660EC0BF7}"/>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Overview'!$L$74</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Overview'!$M$74:$O$74</c15:sqref>
                        </c15:formulaRef>
                      </c:ext>
                    </c:extLst>
                    <c:numCache>
                      <c:formatCode>General</c:formatCode>
                      <c:ptCount val="3"/>
                      <c:pt idx="0">
                        <c:v>0</c:v>
                      </c:pt>
                      <c:pt idx="1">
                        <c:v>2100</c:v>
                      </c:pt>
                      <c:pt idx="2">
                        <c:v>2500</c:v>
                      </c:pt>
                    </c:numCache>
                  </c:numRef>
                </c:val>
                <c:smooth val="0"/>
                <c:extLst xmlns:c15="http://schemas.microsoft.com/office/drawing/2012/chart">
                  <c:ext xmlns:c16="http://schemas.microsoft.com/office/drawing/2014/chart" uri="{C3380CC4-5D6E-409C-BE32-E72D297353CC}">
                    <c16:uniqueId val="{00000000-E911-41CC-AE78-394660EC0BF7}"/>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Overview'!$L$95</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Overview'!$M$92:$O$92</c:f>
              <c:strCache>
                <c:ptCount val="3"/>
                <c:pt idx="0">
                  <c:v>October</c:v>
                </c:pt>
                <c:pt idx="1">
                  <c:v>November</c:v>
                </c:pt>
                <c:pt idx="2">
                  <c:v>December</c:v>
                </c:pt>
              </c:strCache>
            </c:strRef>
          </c:cat>
          <c:val>
            <c:numRef>
              <c:f>'Strategic Overview'!$M$95:$O$95</c:f>
              <c:numCache>
                <c:formatCode>General</c:formatCode>
                <c:ptCount val="3"/>
                <c:pt idx="0">
                  <c:v>200</c:v>
                </c:pt>
                <c:pt idx="1">
                  <c:v>30</c:v>
                </c:pt>
                <c:pt idx="2">
                  <c:v>525</c:v>
                </c:pt>
              </c:numCache>
            </c:numRef>
          </c:val>
          <c:smooth val="0"/>
          <c:extLst>
            <c:ext xmlns:c16="http://schemas.microsoft.com/office/drawing/2014/chart" uri="{C3380CC4-5D6E-409C-BE32-E72D297353CC}">
              <c16:uniqueId val="{00000002-8DD0-4F05-8267-4A83CD935480}"/>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1</c:v>
                      </c:pt>
                      <c:pt idx="1">
                        <c:v>2</c:v>
                      </c:pt>
                      <c:pt idx="2">
                        <c:v>1</c:v>
                      </c:pt>
                    </c:numCache>
                  </c:numRef>
                </c:val>
                <c:smooth val="0"/>
                <c:extLst>
                  <c:ext xmlns:c16="http://schemas.microsoft.com/office/drawing/2014/chart" uri="{C3380CC4-5D6E-409C-BE32-E72D297353CC}">
                    <c16:uniqueId val="{00000000-8DD0-4F05-8267-4A83CD93548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200</c:v>
                      </c:pt>
                      <c:pt idx="1">
                        <c:v>45</c:v>
                      </c:pt>
                      <c:pt idx="2">
                        <c:v>525</c:v>
                      </c:pt>
                    </c:numCache>
                  </c:numRef>
                </c:val>
                <c:smooth val="0"/>
                <c:extLst xmlns:c15="http://schemas.microsoft.com/office/drawing/2012/chart">
                  <c:ext xmlns:c16="http://schemas.microsoft.com/office/drawing/2014/chart" uri="{C3380CC4-5D6E-409C-BE32-E72D297353CC}">
                    <c16:uniqueId val="{00000001-8DD0-4F05-8267-4A83CD93548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Overview'!$L$96</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Overview'!$M$96:$O$96</c15:sqref>
                        </c15:formulaRef>
                      </c:ext>
                    </c:extLst>
                    <c:numCache>
                      <c:formatCode>General</c:formatCode>
                      <c:ptCount val="3"/>
                      <c:pt idx="0">
                        <c:v>200</c:v>
                      </c:pt>
                      <c:pt idx="1">
                        <c:v>22.5</c:v>
                      </c:pt>
                      <c:pt idx="2">
                        <c:v>525</c:v>
                      </c:pt>
                    </c:numCache>
                  </c:numRef>
                </c:val>
                <c:smooth val="0"/>
                <c:extLst xmlns:c15="http://schemas.microsoft.com/office/drawing/2012/chart">
                  <c:ext xmlns:c16="http://schemas.microsoft.com/office/drawing/2014/chart" uri="{C3380CC4-5D6E-409C-BE32-E72D297353CC}">
                    <c16:uniqueId val="{00000003-8DD0-4F05-8267-4A83CD935480}"/>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Overview'!$L$96</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Overview'!$M$92:$O$92</c:f>
              <c:strCache>
                <c:ptCount val="3"/>
                <c:pt idx="0">
                  <c:v>October</c:v>
                </c:pt>
                <c:pt idx="1">
                  <c:v>November</c:v>
                </c:pt>
                <c:pt idx="2">
                  <c:v>December</c:v>
                </c:pt>
              </c:strCache>
              <c:extLst xmlns:c15="http://schemas.microsoft.com/office/drawing/2012/chart"/>
            </c:strRef>
          </c:cat>
          <c:val>
            <c:numRef>
              <c:f>'Strategic Overview'!$M$96:$O$96</c:f>
              <c:numCache>
                <c:formatCode>General</c:formatCode>
                <c:ptCount val="3"/>
                <c:pt idx="0">
                  <c:v>200</c:v>
                </c:pt>
                <c:pt idx="1">
                  <c:v>22.5</c:v>
                </c:pt>
                <c:pt idx="2">
                  <c:v>525</c:v>
                </c:pt>
              </c:numCache>
              <c:extLst xmlns:c15="http://schemas.microsoft.com/office/drawing/2012/chart"/>
            </c:numRef>
          </c:val>
          <c:smooth val="0"/>
          <c:extLst>
            <c:ext xmlns:c16="http://schemas.microsoft.com/office/drawing/2014/chart" uri="{C3380CC4-5D6E-409C-BE32-E72D297353CC}">
              <c16:uniqueId val="{00000003-01B8-42AE-85F6-510A2DC99231}"/>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1</c:v>
                      </c:pt>
                      <c:pt idx="1">
                        <c:v>2</c:v>
                      </c:pt>
                      <c:pt idx="2">
                        <c:v>1</c:v>
                      </c:pt>
                    </c:numCache>
                  </c:numRef>
                </c:val>
                <c:smooth val="0"/>
                <c:extLst>
                  <c:ext xmlns:c16="http://schemas.microsoft.com/office/drawing/2014/chart" uri="{C3380CC4-5D6E-409C-BE32-E72D297353CC}">
                    <c16:uniqueId val="{00000001-01B8-42AE-85F6-510A2DC99231}"/>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200</c:v>
                      </c:pt>
                      <c:pt idx="1">
                        <c:v>45</c:v>
                      </c:pt>
                      <c:pt idx="2">
                        <c:v>525</c:v>
                      </c:pt>
                    </c:numCache>
                  </c:numRef>
                </c:val>
                <c:smooth val="0"/>
                <c:extLst xmlns:c15="http://schemas.microsoft.com/office/drawing/2012/chart">
                  <c:ext xmlns:c16="http://schemas.microsoft.com/office/drawing/2014/chart" uri="{C3380CC4-5D6E-409C-BE32-E72D297353CC}">
                    <c16:uniqueId val="{00000002-01B8-42AE-85F6-510A2DC99231}"/>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Overview'!$L$95</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Overview'!$M$95:$O$95</c15:sqref>
                        </c15:formulaRef>
                      </c:ext>
                    </c:extLst>
                    <c:numCache>
                      <c:formatCode>General</c:formatCode>
                      <c:ptCount val="3"/>
                      <c:pt idx="0">
                        <c:v>200</c:v>
                      </c:pt>
                      <c:pt idx="1">
                        <c:v>30</c:v>
                      </c:pt>
                      <c:pt idx="2">
                        <c:v>525</c:v>
                      </c:pt>
                    </c:numCache>
                  </c:numRef>
                </c:val>
                <c:smooth val="0"/>
                <c:extLst xmlns:c15="http://schemas.microsoft.com/office/drawing/2012/chart">
                  <c:ext xmlns:c16="http://schemas.microsoft.com/office/drawing/2014/chart" uri="{C3380CC4-5D6E-409C-BE32-E72D297353CC}">
                    <c16:uniqueId val="{00000000-01B8-42AE-85F6-510A2DC99231}"/>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152399</xdr:colOff>
      <xdr:row>49</xdr:row>
      <xdr:rowOff>23811</xdr:rowOff>
    </xdr:from>
    <xdr:to>
      <xdr:col>10</xdr:col>
      <xdr:colOff>942974</xdr:colOff>
      <xdr:row>64</xdr:row>
      <xdr:rowOff>161924</xdr:rowOff>
    </xdr:to>
    <xdr:graphicFrame macro="">
      <xdr:nvGraphicFramePr>
        <xdr:cNvPr id="2" name="Chart 1">
          <a:extLst>
            <a:ext uri="{FF2B5EF4-FFF2-40B4-BE49-F238E27FC236}">
              <a16:creationId xmlns:a16="http://schemas.microsoft.com/office/drawing/2014/main" id="{20503D5A-C613-B829-3919-DBE0AD6E1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161924</xdr:colOff>
      <xdr:row>28</xdr:row>
      <xdr:rowOff>42862</xdr:rowOff>
    </xdr:from>
    <xdr:to>
      <xdr:col>10</xdr:col>
      <xdr:colOff>971549</xdr:colOff>
      <xdr:row>44</xdr:row>
      <xdr:rowOff>95250</xdr:rowOff>
    </xdr:to>
    <xdr:graphicFrame macro="">
      <xdr:nvGraphicFramePr>
        <xdr:cNvPr id="3" name="Chart 2">
          <a:extLst>
            <a:ext uri="{FF2B5EF4-FFF2-40B4-BE49-F238E27FC236}">
              <a16:creationId xmlns:a16="http://schemas.microsoft.com/office/drawing/2014/main" id="{110BB5C3-FF84-3324-38A4-EDD71548F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171449</xdr:colOff>
      <xdr:row>70</xdr:row>
      <xdr:rowOff>33337</xdr:rowOff>
    </xdr:from>
    <xdr:to>
      <xdr:col>10</xdr:col>
      <xdr:colOff>971550</xdr:colOff>
      <xdr:row>85</xdr:row>
      <xdr:rowOff>142875</xdr:rowOff>
    </xdr:to>
    <xdr:graphicFrame macro="">
      <xdr:nvGraphicFramePr>
        <xdr:cNvPr id="4" name="Chart 3">
          <a:extLst>
            <a:ext uri="{FF2B5EF4-FFF2-40B4-BE49-F238E27FC236}">
              <a16:creationId xmlns:a16="http://schemas.microsoft.com/office/drawing/2014/main" id="{65B30815-395C-1815-77BE-027989A82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142875</xdr:colOff>
      <xdr:row>91</xdr:row>
      <xdr:rowOff>23811</xdr:rowOff>
    </xdr:from>
    <xdr:to>
      <xdr:col>10</xdr:col>
      <xdr:colOff>1000125</xdr:colOff>
      <xdr:row>106</xdr:row>
      <xdr:rowOff>104774</xdr:rowOff>
    </xdr:to>
    <xdr:graphicFrame macro="">
      <xdr:nvGraphicFramePr>
        <xdr:cNvPr id="5" name="Chart 4">
          <a:extLst>
            <a:ext uri="{FF2B5EF4-FFF2-40B4-BE49-F238E27FC236}">
              <a16:creationId xmlns:a16="http://schemas.microsoft.com/office/drawing/2014/main" id="{D1394221-2EFC-45E0-5818-2689DDC52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19050</xdr:colOff>
      <xdr:row>33</xdr:row>
      <xdr:rowOff>109537</xdr:rowOff>
    </xdr:from>
    <xdr:to>
      <xdr:col>14</xdr:col>
      <xdr:colOff>57150</xdr:colOff>
      <xdr:row>43</xdr:row>
      <xdr:rowOff>180975</xdr:rowOff>
    </xdr:to>
    <xdr:graphicFrame macro="">
      <xdr:nvGraphicFramePr>
        <xdr:cNvPr id="6" name="Chart 5">
          <a:extLst>
            <a:ext uri="{FF2B5EF4-FFF2-40B4-BE49-F238E27FC236}">
              <a16:creationId xmlns:a16="http://schemas.microsoft.com/office/drawing/2014/main" id="{76B6F261-68B8-86B5-15B1-24C972929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257175</xdr:colOff>
      <xdr:row>33</xdr:row>
      <xdr:rowOff>95250</xdr:rowOff>
    </xdr:from>
    <xdr:to>
      <xdr:col>14</xdr:col>
      <xdr:colOff>3838575</xdr:colOff>
      <xdr:row>43</xdr:row>
      <xdr:rowOff>166688</xdr:rowOff>
    </xdr:to>
    <xdr:graphicFrame macro="">
      <xdr:nvGraphicFramePr>
        <xdr:cNvPr id="7" name="Chart 6">
          <a:extLst>
            <a:ext uri="{FF2B5EF4-FFF2-40B4-BE49-F238E27FC236}">
              <a16:creationId xmlns:a16="http://schemas.microsoft.com/office/drawing/2014/main" id="{4298C2A4-3E43-40A8-B412-E0437297F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1104900</xdr:colOff>
      <xdr:row>54</xdr:row>
      <xdr:rowOff>80962</xdr:rowOff>
    </xdr:from>
    <xdr:to>
      <xdr:col>14</xdr:col>
      <xdr:colOff>200025</xdr:colOff>
      <xdr:row>65</xdr:row>
      <xdr:rowOff>0</xdr:rowOff>
    </xdr:to>
    <xdr:graphicFrame macro="">
      <xdr:nvGraphicFramePr>
        <xdr:cNvPr id="8" name="Chart 7">
          <a:extLst>
            <a:ext uri="{FF2B5EF4-FFF2-40B4-BE49-F238E27FC236}">
              <a16:creationId xmlns:a16="http://schemas.microsoft.com/office/drawing/2014/main" id="{1C550297-4A22-F607-F432-6A68B8F44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390525</xdr:colOff>
      <xdr:row>54</xdr:row>
      <xdr:rowOff>85725</xdr:rowOff>
    </xdr:from>
    <xdr:to>
      <xdr:col>14</xdr:col>
      <xdr:colOff>4162425</xdr:colOff>
      <xdr:row>65</xdr:row>
      <xdr:rowOff>4763</xdr:rowOff>
    </xdr:to>
    <xdr:graphicFrame macro="">
      <xdr:nvGraphicFramePr>
        <xdr:cNvPr id="9" name="Chart 8">
          <a:extLst>
            <a:ext uri="{FF2B5EF4-FFF2-40B4-BE49-F238E27FC236}">
              <a16:creationId xmlns:a16="http://schemas.microsoft.com/office/drawing/2014/main" id="{B3736AF6-6405-44A7-AC8F-6FA3CB007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1123950</xdr:colOff>
      <xdr:row>75</xdr:row>
      <xdr:rowOff>109537</xdr:rowOff>
    </xdr:from>
    <xdr:to>
      <xdr:col>14</xdr:col>
      <xdr:colOff>285750</xdr:colOff>
      <xdr:row>85</xdr:row>
      <xdr:rowOff>133350</xdr:rowOff>
    </xdr:to>
    <xdr:graphicFrame macro="">
      <xdr:nvGraphicFramePr>
        <xdr:cNvPr id="10" name="Chart 9">
          <a:extLst>
            <a:ext uri="{FF2B5EF4-FFF2-40B4-BE49-F238E27FC236}">
              <a16:creationId xmlns:a16="http://schemas.microsoft.com/office/drawing/2014/main" id="{58966F97-9A07-6726-ECCB-7916D3CA7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400050</xdr:colOff>
      <xdr:row>75</xdr:row>
      <xdr:rowOff>114300</xdr:rowOff>
    </xdr:from>
    <xdr:to>
      <xdr:col>14</xdr:col>
      <xdr:colOff>4238625</xdr:colOff>
      <xdr:row>85</xdr:row>
      <xdr:rowOff>138113</xdr:rowOff>
    </xdr:to>
    <xdr:graphicFrame macro="">
      <xdr:nvGraphicFramePr>
        <xdr:cNvPr id="11" name="Chart 10">
          <a:extLst>
            <a:ext uri="{FF2B5EF4-FFF2-40B4-BE49-F238E27FC236}">
              <a16:creationId xmlns:a16="http://schemas.microsoft.com/office/drawing/2014/main" id="{B7113CFC-90B2-4D2A-A609-A73C27AA5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1123950</xdr:colOff>
      <xdr:row>96</xdr:row>
      <xdr:rowOff>119062</xdr:rowOff>
    </xdr:from>
    <xdr:to>
      <xdr:col>14</xdr:col>
      <xdr:colOff>104775</xdr:colOff>
      <xdr:row>106</xdr:row>
      <xdr:rowOff>85725</xdr:rowOff>
    </xdr:to>
    <xdr:graphicFrame macro="">
      <xdr:nvGraphicFramePr>
        <xdr:cNvPr id="13" name="Chart 12">
          <a:extLst>
            <a:ext uri="{FF2B5EF4-FFF2-40B4-BE49-F238E27FC236}">
              <a16:creationId xmlns:a16="http://schemas.microsoft.com/office/drawing/2014/main" id="{D8C33570-76E9-0B46-6B58-CE2FE104A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247650</xdr:colOff>
      <xdr:row>96</xdr:row>
      <xdr:rowOff>123825</xdr:rowOff>
    </xdr:from>
    <xdr:to>
      <xdr:col>14</xdr:col>
      <xdr:colOff>3905250</xdr:colOff>
      <xdr:row>106</xdr:row>
      <xdr:rowOff>90488</xdr:rowOff>
    </xdr:to>
    <xdr:graphicFrame macro="">
      <xdr:nvGraphicFramePr>
        <xdr:cNvPr id="14" name="Chart 13">
          <a:extLst>
            <a:ext uri="{FF2B5EF4-FFF2-40B4-BE49-F238E27FC236}">
              <a16:creationId xmlns:a16="http://schemas.microsoft.com/office/drawing/2014/main" id="{B352AB6A-FC21-45A1-9F79-0C4798F19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tactics/TA0006/" TargetMode="External"/><Relationship Id="rId13" Type="http://schemas.openxmlformats.org/officeDocument/2006/relationships/hyperlink" Target="https://attack.mitre.org/tactics/TA0010/" TargetMode="External"/><Relationship Id="rId3" Type="http://schemas.openxmlformats.org/officeDocument/2006/relationships/hyperlink" Target="https://attack.mitre.org/tactics/TA0001/" TargetMode="External"/><Relationship Id="rId7" Type="http://schemas.openxmlformats.org/officeDocument/2006/relationships/hyperlink" Target="https://attack.mitre.org/tactics/TA0005/" TargetMode="External"/><Relationship Id="rId12" Type="http://schemas.openxmlformats.org/officeDocument/2006/relationships/hyperlink" Target="https://attack.mitre.org/tactics/TA0011/" TargetMode="External"/><Relationship Id="rId2" Type="http://schemas.openxmlformats.org/officeDocument/2006/relationships/hyperlink" Target="https://attack.mitre.org/tactics/TA0042/" TargetMode="External"/><Relationship Id="rId16" Type="http://schemas.openxmlformats.org/officeDocument/2006/relationships/drawing" Target="../drawings/drawing1.xml"/><Relationship Id="rId1" Type="http://schemas.openxmlformats.org/officeDocument/2006/relationships/hyperlink" Target="https://attack.mitre.org/tactics/TA0043/" TargetMode="External"/><Relationship Id="rId6" Type="http://schemas.openxmlformats.org/officeDocument/2006/relationships/hyperlink" Target="https://attack.mitre.org/tactics/TA0004/" TargetMode="External"/><Relationship Id="rId11" Type="http://schemas.openxmlformats.org/officeDocument/2006/relationships/hyperlink" Target="https://attack.mitre.org/tactics/TA0009/" TargetMode="External"/><Relationship Id="rId5" Type="http://schemas.openxmlformats.org/officeDocument/2006/relationships/hyperlink" Target="https://attack.mitre.org/tactics/TA0003/" TargetMode="External"/><Relationship Id="rId15" Type="http://schemas.openxmlformats.org/officeDocument/2006/relationships/printerSettings" Target="../printerSettings/printerSettings2.bin"/><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2/" TargetMode="External"/><Relationship Id="rId9" Type="http://schemas.openxmlformats.org/officeDocument/2006/relationships/hyperlink" Target="https://attack.mitre.org/tactics/TA0007/" TargetMode="External"/><Relationship Id="rId14" Type="http://schemas.openxmlformats.org/officeDocument/2006/relationships/hyperlink" Target="https://attack.mitre.org/tactics/TA00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5A4DC-9272-4A1B-9B42-9FCA01AF6FD4}">
  <sheetPr>
    <tabColor theme="0" tint="-0.34998626667073579"/>
  </sheetPr>
  <dimension ref="A1:A5"/>
  <sheetViews>
    <sheetView workbookViewId="0">
      <selection activeCell="A4" sqref="A4"/>
    </sheetView>
  </sheetViews>
  <sheetFormatPr defaultRowHeight="15" x14ac:dyDescent="0.25"/>
  <cols>
    <col min="1" max="1" width="23.140625" bestFit="1" customWidth="1"/>
  </cols>
  <sheetData>
    <row r="1" spans="1:1" ht="36" x14ac:dyDescent="0.55000000000000004">
      <c r="A1" s="63" t="s">
        <v>134</v>
      </c>
    </row>
    <row r="3" spans="1:1" x14ac:dyDescent="0.25">
      <c r="A3" t="s">
        <v>105</v>
      </c>
    </row>
    <row r="4" spans="1:1" x14ac:dyDescent="0.25">
      <c r="A4" t="s">
        <v>135</v>
      </c>
    </row>
    <row r="5" spans="1:1" x14ac:dyDescent="0.25">
      <c r="A5"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07D79-49C6-484F-B319-37B83EE54729}">
  <sheetPr>
    <tabColor theme="4"/>
  </sheetPr>
  <dimension ref="A1:D45"/>
  <sheetViews>
    <sheetView showRowColHeaders="0" workbookViewId="0">
      <selection activeCell="D45" sqref="A1:D45"/>
    </sheetView>
  </sheetViews>
  <sheetFormatPr defaultColWidth="0" defaultRowHeight="15" zeroHeight="1" x14ac:dyDescent="0.25"/>
  <cols>
    <col min="1" max="1" width="9.140625" customWidth="1"/>
    <col min="2" max="2" width="25.5703125" customWidth="1"/>
    <col min="3" max="3" width="100.7109375" customWidth="1"/>
    <col min="4" max="4" width="9.140625" customWidth="1"/>
    <col min="5" max="16384" width="9.140625" hidden="1"/>
  </cols>
  <sheetData>
    <row r="1" spans="1:4" ht="33.75" x14ac:dyDescent="0.25">
      <c r="A1" s="41"/>
      <c r="B1" s="65" t="s">
        <v>107</v>
      </c>
      <c r="C1" s="65"/>
      <c r="D1" s="41"/>
    </row>
    <row r="2" spans="1:4" x14ac:dyDescent="0.25">
      <c r="A2" s="42"/>
      <c r="B2" s="43" t="s">
        <v>43</v>
      </c>
      <c r="C2" s="42"/>
      <c r="D2" s="42"/>
    </row>
    <row r="3" spans="1:4" ht="151.5" customHeight="1" x14ac:dyDescent="0.25">
      <c r="A3" s="42"/>
      <c r="B3" s="64" t="s">
        <v>115</v>
      </c>
      <c r="C3" s="64"/>
      <c r="D3" s="42"/>
    </row>
    <row r="4" spans="1:4" ht="15" customHeight="1" x14ac:dyDescent="0.25">
      <c r="A4" s="42"/>
      <c r="B4" s="44"/>
      <c r="C4" s="44"/>
      <c r="D4" s="42"/>
    </row>
    <row r="5" spans="1:4" x14ac:dyDescent="0.25">
      <c r="A5" s="42"/>
      <c r="B5" s="43" t="s">
        <v>44</v>
      </c>
      <c r="C5" s="42"/>
      <c r="D5" s="42"/>
    </row>
    <row r="6" spans="1:4" ht="32.25" customHeight="1" x14ac:dyDescent="0.25">
      <c r="A6" s="42"/>
      <c r="B6" s="64" t="s">
        <v>108</v>
      </c>
      <c r="C6" s="64"/>
      <c r="D6" s="42"/>
    </row>
    <row r="7" spans="1:4" ht="32.25" customHeight="1" x14ac:dyDescent="0.25">
      <c r="A7" s="42"/>
      <c r="B7" s="47"/>
      <c r="C7" s="47"/>
      <c r="D7" s="42"/>
    </row>
    <row r="8" spans="1:4" x14ac:dyDescent="0.25">
      <c r="A8" s="42"/>
      <c r="B8" s="46" t="s">
        <v>45</v>
      </c>
      <c r="C8" s="45" t="s">
        <v>46</v>
      </c>
      <c r="D8" s="42"/>
    </row>
    <row r="9" spans="1:4" ht="45" x14ac:dyDescent="0.25">
      <c r="A9" s="42"/>
      <c r="B9" s="46" t="s">
        <v>47</v>
      </c>
      <c r="C9" s="44" t="s">
        <v>48</v>
      </c>
      <c r="D9" s="42"/>
    </row>
    <row r="10" spans="1:4" ht="45" x14ac:dyDescent="0.25">
      <c r="A10" s="42"/>
      <c r="B10" s="46" t="s">
        <v>2</v>
      </c>
      <c r="C10" s="47" t="s">
        <v>49</v>
      </c>
      <c r="D10" s="42"/>
    </row>
    <row r="11" spans="1:4" ht="48" customHeight="1" x14ac:dyDescent="0.25">
      <c r="A11" s="42"/>
      <c r="B11" s="46" t="s">
        <v>85</v>
      </c>
      <c r="C11" s="44" t="s">
        <v>133</v>
      </c>
      <c r="D11" s="42"/>
    </row>
    <row r="12" spans="1:4" ht="30" x14ac:dyDescent="0.25">
      <c r="A12" s="42"/>
      <c r="B12" s="46" t="s">
        <v>3</v>
      </c>
      <c r="C12" s="45" t="s">
        <v>50</v>
      </c>
      <c r="D12" s="42"/>
    </row>
    <row r="13" spans="1:4" ht="30" x14ac:dyDescent="0.25">
      <c r="A13" s="42"/>
      <c r="B13" s="46" t="s">
        <v>4</v>
      </c>
      <c r="C13" s="45" t="s">
        <v>51</v>
      </c>
      <c r="D13" s="42"/>
    </row>
    <row r="14" spans="1:4" hidden="1" x14ac:dyDescent="0.25">
      <c r="A14" s="42"/>
      <c r="B14" s="46"/>
      <c r="C14" s="45"/>
      <c r="D14" s="42"/>
    </row>
    <row r="15" spans="1:4" x14ac:dyDescent="0.25">
      <c r="A15" s="42"/>
      <c r="B15" s="46"/>
      <c r="C15" s="45"/>
      <c r="D15" s="42"/>
    </row>
    <row r="16" spans="1:4" x14ac:dyDescent="0.25">
      <c r="A16" s="42"/>
      <c r="B16" s="43" t="s">
        <v>116</v>
      </c>
      <c r="C16" s="42"/>
      <c r="D16" s="42"/>
    </row>
    <row r="17" spans="1:4" ht="29.25" customHeight="1" x14ac:dyDescent="0.25">
      <c r="A17" s="42"/>
      <c r="B17" s="64" t="s">
        <v>117</v>
      </c>
      <c r="C17" s="64"/>
      <c r="D17" s="42"/>
    </row>
    <row r="18" spans="1:4" ht="29.25" customHeight="1" x14ac:dyDescent="0.25">
      <c r="A18" s="42"/>
      <c r="B18" s="47"/>
      <c r="C18" s="47"/>
      <c r="D18" s="42"/>
    </row>
    <row r="19" spans="1:4" ht="30" x14ac:dyDescent="0.25">
      <c r="A19" s="42"/>
      <c r="B19" s="46" t="s">
        <v>14</v>
      </c>
      <c r="C19" s="47" t="s">
        <v>118</v>
      </c>
      <c r="D19" s="42"/>
    </row>
    <row r="20" spans="1:4" ht="30" x14ac:dyDescent="0.25">
      <c r="A20" s="42"/>
      <c r="B20" s="46" t="s">
        <v>119</v>
      </c>
      <c r="C20" s="47" t="s">
        <v>120</v>
      </c>
      <c r="D20" s="42"/>
    </row>
    <row r="21" spans="1:4" x14ac:dyDescent="0.25">
      <c r="A21" s="42"/>
      <c r="B21" s="46"/>
      <c r="C21" s="47"/>
      <c r="D21" s="42"/>
    </row>
    <row r="22" spans="1:4" x14ac:dyDescent="0.25">
      <c r="A22" s="42"/>
      <c r="B22" s="46" t="s">
        <v>70</v>
      </c>
      <c r="C22" s="47" t="s">
        <v>122</v>
      </c>
      <c r="D22" s="42"/>
    </row>
    <row r="23" spans="1:4" x14ac:dyDescent="0.25">
      <c r="A23" s="42"/>
      <c r="B23" s="46"/>
      <c r="C23" s="47"/>
      <c r="D23" s="42"/>
    </row>
    <row r="24" spans="1:4" x14ac:dyDescent="0.25">
      <c r="A24" s="42"/>
      <c r="B24" s="46" t="s">
        <v>121</v>
      </c>
      <c r="C24" s="47" t="s">
        <v>123</v>
      </c>
      <c r="D24" s="42"/>
    </row>
    <row r="25" spans="1:4" x14ac:dyDescent="0.25">
      <c r="A25" s="42"/>
      <c r="B25" s="46"/>
      <c r="C25" s="47"/>
      <c r="D25" s="42"/>
    </row>
    <row r="26" spans="1:4" ht="30" x14ac:dyDescent="0.25">
      <c r="A26" s="42"/>
      <c r="B26" s="46" t="s">
        <v>71</v>
      </c>
      <c r="C26" s="47" t="s">
        <v>124</v>
      </c>
      <c r="D26" s="42"/>
    </row>
    <row r="27" spans="1:4" x14ac:dyDescent="0.25">
      <c r="A27" s="42"/>
      <c r="B27" s="46"/>
      <c r="C27" s="47"/>
      <c r="D27" s="42"/>
    </row>
    <row r="28" spans="1:4" x14ac:dyDescent="0.25">
      <c r="A28" s="42"/>
      <c r="B28" s="46" t="s">
        <v>102</v>
      </c>
      <c r="C28" s="47" t="s">
        <v>125</v>
      </c>
      <c r="D28" s="42"/>
    </row>
    <row r="29" spans="1:4" x14ac:dyDescent="0.25">
      <c r="A29" s="42"/>
      <c r="B29" s="46"/>
      <c r="C29" s="47"/>
      <c r="D29" s="42"/>
    </row>
    <row r="30" spans="1:4" ht="30" x14ac:dyDescent="0.25">
      <c r="A30" s="42"/>
      <c r="B30" s="46" t="s">
        <v>103</v>
      </c>
      <c r="C30" s="47" t="s">
        <v>126</v>
      </c>
      <c r="D30" s="42"/>
    </row>
    <row r="31" spans="1:4" x14ac:dyDescent="0.25">
      <c r="A31" s="42"/>
      <c r="B31" s="46"/>
      <c r="C31" s="47"/>
      <c r="D31" s="42"/>
    </row>
    <row r="32" spans="1:4" ht="30" x14ac:dyDescent="0.25">
      <c r="A32" s="42"/>
      <c r="B32" s="46" t="s">
        <v>72</v>
      </c>
      <c r="C32" s="47" t="s">
        <v>127</v>
      </c>
      <c r="D32" s="42"/>
    </row>
    <row r="33" spans="1:4" x14ac:dyDescent="0.25">
      <c r="A33" s="42"/>
      <c r="B33" s="46"/>
      <c r="C33" s="47"/>
      <c r="D33" s="42"/>
    </row>
    <row r="34" spans="1:4" x14ac:dyDescent="0.25">
      <c r="A34" s="42"/>
      <c r="B34" s="46" t="s">
        <v>74</v>
      </c>
      <c r="C34" s="47" t="s">
        <v>128</v>
      </c>
      <c r="D34" s="42"/>
    </row>
    <row r="35" spans="1:4" x14ac:dyDescent="0.25">
      <c r="A35" s="42"/>
      <c r="B35" s="46"/>
      <c r="C35" s="47"/>
      <c r="D35" s="42"/>
    </row>
    <row r="36" spans="1:4" ht="30" x14ac:dyDescent="0.25">
      <c r="A36" s="42"/>
      <c r="B36" s="46" t="s">
        <v>75</v>
      </c>
      <c r="C36" s="47" t="s">
        <v>129</v>
      </c>
      <c r="D36" s="42"/>
    </row>
    <row r="37" spans="1:4" x14ac:dyDescent="0.25">
      <c r="A37" s="42"/>
      <c r="B37" s="46"/>
      <c r="C37" s="47"/>
      <c r="D37" s="42"/>
    </row>
    <row r="38" spans="1:4" x14ac:dyDescent="0.25">
      <c r="A38" s="42"/>
      <c r="B38" s="46" t="s">
        <v>73</v>
      </c>
      <c r="C38" s="47" t="s">
        <v>130</v>
      </c>
      <c r="D38" s="42"/>
    </row>
    <row r="39" spans="1:4" x14ac:dyDescent="0.25">
      <c r="A39" s="42"/>
      <c r="B39" s="46"/>
      <c r="C39" s="47"/>
      <c r="D39" s="42"/>
    </row>
    <row r="40" spans="1:4" ht="30" x14ac:dyDescent="0.25">
      <c r="A40" s="42"/>
      <c r="B40" s="46" t="s">
        <v>109</v>
      </c>
      <c r="C40" s="47" t="s">
        <v>131</v>
      </c>
      <c r="D40" s="42"/>
    </row>
    <row r="41" spans="1:4" x14ac:dyDescent="0.25">
      <c r="A41" s="42"/>
      <c r="B41" s="46"/>
      <c r="C41" s="47"/>
      <c r="D41" s="42"/>
    </row>
    <row r="42" spans="1:4" x14ac:dyDescent="0.25">
      <c r="A42" s="42"/>
      <c r="B42" s="46" t="s">
        <v>114</v>
      </c>
      <c r="C42" s="47" t="s">
        <v>132</v>
      </c>
      <c r="D42" s="42"/>
    </row>
    <row r="43" spans="1:4" x14ac:dyDescent="0.25">
      <c r="A43" s="42"/>
      <c r="B43" s="46"/>
      <c r="C43" s="47"/>
      <c r="D43" s="42"/>
    </row>
    <row r="44" spans="1:4" x14ac:dyDescent="0.25">
      <c r="A44" s="42"/>
      <c r="B44" s="46"/>
      <c r="C44" s="47"/>
      <c r="D44" s="42"/>
    </row>
    <row r="45" spans="1:4" x14ac:dyDescent="0.25">
      <c r="A45" s="42"/>
      <c r="B45" s="46"/>
      <c r="C45" s="47"/>
      <c r="D45" s="42"/>
    </row>
  </sheetData>
  <mergeCells count="4">
    <mergeCell ref="B17:C17"/>
    <mergeCell ref="B1:C1"/>
    <mergeCell ref="B3:C3"/>
    <mergeCell ref="B6:C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B915-372C-42BF-B0C3-15DBB79863A1}">
  <sheetPr>
    <tabColor rgb="FF92D050"/>
  </sheetPr>
  <dimension ref="A1:Q105"/>
  <sheetViews>
    <sheetView tabSelected="1" workbookViewId="0">
      <selection activeCell="C18" sqref="C18"/>
    </sheetView>
  </sheetViews>
  <sheetFormatPr defaultRowHeight="15" x14ac:dyDescent="0.25"/>
  <cols>
    <col min="1" max="1" width="20" customWidth="1"/>
    <col min="2" max="2" width="15" customWidth="1"/>
    <col min="3" max="3" width="11.5703125" customWidth="1"/>
    <col min="4" max="4" width="23.140625" customWidth="1"/>
    <col min="5" max="5" width="13.7109375" customWidth="1"/>
    <col min="9" max="9" width="14.5703125" customWidth="1"/>
    <col min="10" max="10" width="16.5703125" customWidth="1"/>
    <col min="11" max="11" width="17" customWidth="1"/>
    <col min="12" max="12" width="19.140625" customWidth="1"/>
    <col min="13" max="13" width="21.85546875" customWidth="1"/>
    <col min="14" max="14" width="12.140625" customWidth="1"/>
    <col min="15" max="15" width="83.42578125" customWidth="1"/>
  </cols>
  <sheetData>
    <row r="1" spans="1:15" ht="34.5" thickBot="1" x14ac:dyDescent="0.55000000000000004">
      <c r="A1" s="1"/>
      <c r="B1" s="1"/>
      <c r="C1" s="2" t="s">
        <v>136</v>
      </c>
      <c r="D1" s="2"/>
      <c r="E1" s="2"/>
      <c r="F1" s="2"/>
      <c r="G1" s="2"/>
      <c r="H1" s="2"/>
      <c r="I1" s="2"/>
      <c r="J1" s="2"/>
      <c r="K1" s="2"/>
      <c r="L1" s="2"/>
      <c r="M1" s="2"/>
      <c r="N1" s="2"/>
      <c r="O1" s="2"/>
    </row>
    <row r="2" spans="1:15" ht="51" x14ac:dyDescent="0.25">
      <c r="A2" s="85" t="s">
        <v>42</v>
      </c>
      <c r="B2" s="86"/>
      <c r="C2" s="3" t="s">
        <v>54</v>
      </c>
      <c r="D2" s="3" t="s">
        <v>14</v>
      </c>
      <c r="E2" s="3" t="s">
        <v>68</v>
      </c>
      <c r="F2" s="4" t="s">
        <v>0</v>
      </c>
      <c r="G2" s="4" t="s">
        <v>1</v>
      </c>
      <c r="H2" s="4" t="s">
        <v>104</v>
      </c>
      <c r="I2" s="4" t="s">
        <v>74</v>
      </c>
      <c r="J2" s="4" t="s">
        <v>75</v>
      </c>
      <c r="K2" s="4" t="s">
        <v>73</v>
      </c>
      <c r="L2" s="87" t="s">
        <v>5</v>
      </c>
      <c r="M2" s="88"/>
      <c r="N2" s="88"/>
      <c r="O2" s="89"/>
    </row>
    <row r="3" spans="1:15" x14ac:dyDescent="0.25">
      <c r="A3" s="90" t="s">
        <v>9</v>
      </c>
      <c r="B3" s="91"/>
      <c r="C3" s="61" t="s">
        <v>41</v>
      </c>
      <c r="D3" s="53" t="s">
        <v>6</v>
      </c>
      <c r="E3" s="5">
        <f>COUNTIF('Threat Hunts'!A2:A1001, "Reconnaissance")</f>
        <v>1</v>
      </c>
      <c r="F3" s="5">
        <f>SUMIF('Threat Hunts'!A2:A1001,"Reconnaissance",'Threat Hunts'!G2:G1001)</f>
        <v>3.67</v>
      </c>
      <c r="G3" s="6">
        <f>SUMIF('Threat Hunts'!A2:A1001,"Reconnaissance",'Threat Hunts'!H2:H1001)</f>
        <v>168</v>
      </c>
      <c r="H3" s="6">
        <f>SUMIF('Threat Hunts'!A2:A1001,"Reconnaissance",'Threat Hunts'!I2:I1001)</f>
        <v>1</v>
      </c>
      <c r="I3" s="6">
        <f>SUMIF('Threat Hunts'!A2:A1001,"Reconnaissance",'Threat Hunts'!J2:J1001)</f>
        <v>3</v>
      </c>
      <c r="J3" s="6">
        <f>SUMIF('Threat Hunts'!A2:A1001,"Reconnaissance",'Threat Hunts'!K2:K1001)</f>
        <v>2</v>
      </c>
      <c r="K3" s="6">
        <f>SUMIF('Threat Hunts'!A2:A1001,"Reconnaissance",'Threat Hunts'!L2:L1001)</f>
        <v>0</v>
      </c>
      <c r="L3" s="96" t="s">
        <v>23</v>
      </c>
      <c r="M3" s="97"/>
      <c r="N3" s="97"/>
      <c r="O3" s="98"/>
    </row>
    <row r="4" spans="1:15" ht="25.5" customHeight="1" x14ac:dyDescent="0.25">
      <c r="A4" s="92"/>
      <c r="B4" s="93"/>
      <c r="C4" s="62" t="s">
        <v>55</v>
      </c>
      <c r="D4" s="54" t="s">
        <v>10</v>
      </c>
      <c r="E4" s="7"/>
      <c r="F4" s="7"/>
      <c r="G4" s="8"/>
      <c r="H4" s="8"/>
      <c r="I4" s="8"/>
      <c r="J4" s="8"/>
      <c r="K4" s="8"/>
      <c r="L4" s="99" t="s">
        <v>7</v>
      </c>
      <c r="M4" s="100"/>
      <c r="N4" s="100"/>
      <c r="O4" s="101"/>
    </row>
    <row r="5" spans="1:15" x14ac:dyDescent="0.25">
      <c r="A5" s="92"/>
      <c r="B5" s="93"/>
      <c r="C5" s="61" t="s">
        <v>56</v>
      </c>
      <c r="D5" s="53" t="s">
        <v>11</v>
      </c>
      <c r="E5" s="5">
        <f>COUNTIF('Threat Hunts'!A2:A1001, "Initial Access")</f>
        <v>1</v>
      </c>
      <c r="F5" s="5">
        <f>SUMIF('Threat Hunts'!A2:A1001,"Initial Access",'Threat Hunts'!G2:G1001)</f>
        <v>17.07</v>
      </c>
      <c r="G5" s="6">
        <f>SUMIF('Threat Hunts'!A2:A1001,"Initial Access",'Threat Hunts'!H2:H1001)</f>
        <v>720</v>
      </c>
      <c r="H5" s="6">
        <f>SUMIF('Threat Hunts'!A2:A1001,"Initial Access",'Threat Hunts'!I2:I1001)</f>
        <v>1</v>
      </c>
      <c r="I5" s="6">
        <f>SUMIF('Threat Hunts'!A2:A1001,"Initial Access",'Threat Hunts'!J2:J1001)</f>
        <v>4</v>
      </c>
      <c r="J5" s="6">
        <f>SUMIF('Threat Hunts'!A2:A1001,"Initial Access",'Threat Hunts'!K2:K1001)</f>
        <v>0</v>
      </c>
      <c r="K5" s="6">
        <f>SUMIF('Threat Hunts'!A2:A1001,"Initial Access",'Threat Hunts'!L2:L1001)</f>
        <v>0</v>
      </c>
      <c r="L5" s="96" t="s">
        <v>24</v>
      </c>
      <c r="M5" s="97"/>
      <c r="N5" s="97"/>
      <c r="O5" s="98"/>
    </row>
    <row r="6" spans="1:15" x14ac:dyDescent="0.25">
      <c r="A6" s="92"/>
      <c r="B6" s="93"/>
      <c r="C6" s="61" t="s">
        <v>57</v>
      </c>
      <c r="D6" s="53" t="s">
        <v>12</v>
      </c>
      <c r="E6" s="5">
        <f>COUNTIF('Threat Hunts'!A2:A1001, "Execution")</f>
        <v>1</v>
      </c>
      <c r="F6" s="5">
        <f>SUMIF('Threat Hunts'!A2:A1001,"Execution",'Threat Hunts'!G2:G1001)</f>
        <v>2</v>
      </c>
      <c r="G6" s="6">
        <f>SUMIF('Threat Hunts'!A2:A1001,"Execution",'Threat Hunts'!H2:H1001)</f>
        <v>1024</v>
      </c>
      <c r="H6" s="6">
        <f>SUMIF('Threat Hunts'!A2:A1001,"Execution",'Threat Hunts'!I2:I1001)</f>
        <v>1</v>
      </c>
      <c r="I6" s="6">
        <f>SUMIF('Threat Hunts'!A2:A1001,"Execution",'Threat Hunts'!J2:J1001)</f>
        <v>0</v>
      </c>
      <c r="J6" s="6">
        <f>SUMIF('Threat Hunts'!A2:A1001,"Execution",'Threat Hunts'!K2:K1001)</f>
        <v>0</v>
      </c>
      <c r="K6" s="6">
        <f>SUMIF('Threat Hunts'!A2:A1001,"Execution",'Threat Hunts'!L2:L1001)</f>
        <v>0</v>
      </c>
      <c r="L6" s="96" t="s">
        <v>25</v>
      </c>
      <c r="M6" s="97"/>
      <c r="N6" s="97"/>
      <c r="O6" s="98"/>
    </row>
    <row r="7" spans="1:15" x14ac:dyDescent="0.25">
      <c r="A7" s="92"/>
      <c r="B7" s="93"/>
      <c r="C7" s="61" t="s">
        <v>58</v>
      </c>
      <c r="D7" s="53" t="s">
        <v>13</v>
      </c>
      <c r="E7" s="5">
        <f>COUNTIF('Threat Hunts'!A2:A1001, "Persistence")</f>
        <v>2</v>
      </c>
      <c r="F7" s="5">
        <f>SUMIF('Threat Hunts'!A2:A1001,"Persistence",'Threat Hunts'!G2:G1001)</f>
        <v>7.92</v>
      </c>
      <c r="G7" s="6">
        <f>SUMIF('Threat Hunts'!A2:A1001,"Persistence",'Threat Hunts'!H2:H1001)</f>
        <v>2078</v>
      </c>
      <c r="H7" s="6">
        <f>SUMIF('Threat Hunts'!A2:A1001,"Persistence",'Threat Hunts'!I2:I1001)</f>
        <v>2</v>
      </c>
      <c r="I7" s="6">
        <f>SUMIF('Threat Hunts'!A2:A1001,"Persistence",'Threat Hunts'!J2:J1001)</f>
        <v>0</v>
      </c>
      <c r="J7" s="6">
        <f>SUMIF('Threat Hunts'!A2:A1001,"Persistence",'Threat Hunts'!K2:K1001)</f>
        <v>2</v>
      </c>
      <c r="K7" s="6">
        <f>SUMIF('Threat Hunts'!A2:A1001,"Persistence",'Threat Hunts'!L2:L1001)</f>
        <v>1</v>
      </c>
      <c r="L7" s="96" t="s">
        <v>26</v>
      </c>
      <c r="M7" s="97"/>
      <c r="N7" s="97"/>
      <c r="O7" s="98"/>
    </row>
    <row r="8" spans="1:15" x14ac:dyDescent="0.25">
      <c r="A8" s="92"/>
      <c r="B8" s="93"/>
      <c r="C8" s="61" t="s">
        <v>59</v>
      </c>
      <c r="D8" s="53" t="s">
        <v>15</v>
      </c>
      <c r="E8" s="5">
        <f>COUNTIF('Threat Hunts'!A2:A1001, "Privilege Escalation")</f>
        <v>1</v>
      </c>
      <c r="F8" s="5">
        <f>SUMIF('Threat Hunts'!A2:A1001,"Privilege Escalation",'Threat Hunts'!G2:G1001)</f>
        <v>1.5</v>
      </c>
      <c r="G8" s="6">
        <f>SUMIF('Threat Hunts'!A2:A1001,"Privilege Escalation",'Threat Hunts'!H2:H1001)</f>
        <v>1920</v>
      </c>
      <c r="H8" s="6">
        <f>SUMIF('Threat Hunts'!A2:A1001,"Privilege Escalation",'Threat Hunts'!I2:I1001)</f>
        <v>1</v>
      </c>
      <c r="I8" s="6">
        <f>SUMIF('Threat Hunts'!A2:A1001,"Privilege Escalation",'Threat Hunts'!J2:J1001)</f>
        <v>0</v>
      </c>
      <c r="J8" s="6">
        <f>SUMIF('Threat Hunts'!A2:A1001,"Privilege Escalation",'Threat Hunts'!K2:K1001)</f>
        <v>1</v>
      </c>
      <c r="K8" s="6">
        <f>SUMIF('Threat Hunts'!A2:A1001,"Privilege Escalation",'Threat Hunts'!L2:L1001)</f>
        <v>0</v>
      </c>
      <c r="L8" s="96" t="s">
        <v>27</v>
      </c>
      <c r="M8" s="97"/>
      <c r="N8" s="97"/>
      <c r="O8" s="98"/>
    </row>
    <row r="9" spans="1:15" x14ac:dyDescent="0.25">
      <c r="A9" s="92"/>
      <c r="B9" s="93"/>
      <c r="C9" s="61" t="s">
        <v>60</v>
      </c>
      <c r="D9" s="53" t="s">
        <v>16</v>
      </c>
      <c r="E9" s="5">
        <f>COUNTIF('Threat Hunts'!A2:A1001, "Defense Evasion")</f>
        <v>1</v>
      </c>
      <c r="F9" s="5">
        <f>SUMIF('Threat Hunts'!A2:A1001,"Defense Evasion",'Threat Hunts'!G2:G1001)</f>
        <v>1</v>
      </c>
      <c r="G9" s="6">
        <f>SUMIF('Threat Hunts'!A2:A1001,"Defense Evasion",'Threat Hunts'!H2:H1001)</f>
        <v>2100</v>
      </c>
      <c r="H9" s="6">
        <f>SUMIF('Threat Hunts'!A2:A1001,"Defense Evasion",'Threat Hunts'!I2:I1001)</f>
        <v>1</v>
      </c>
      <c r="I9" s="6">
        <f>SUMIF('Threat Hunts'!A2:A1001,"Defense Evasion",'Threat Hunts'!J2:J1001)</f>
        <v>0</v>
      </c>
      <c r="J9" s="6">
        <f>SUMIF('Threat Hunts'!A2:A1001,"Defense Evasion",'Threat Hunts'!K2:K1001)</f>
        <v>5</v>
      </c>
      <c r="K9" s="6">
        <f>SUMIF('Threat Hunts'!A2:A1001,"Defense Evasion",'Threat Hunts'!L2:L1001)</f>
        <v>0</v>
      </c>
      <c r="L9" s="96" t="s">
        <v>28</v>
      </c>
      <c r="M9" s="97"/>
      <c r="N9" s="97"/>
      <c r="O9" s="98"/>
    </row>
    <row r="10" spans="1:15" x14ac:dyDescent="0.25">
      <c r="A10" s="92"/>
      <c r="B10" s="93"/>
      <c r="C10" s="61" t="s">
        <v>61</v>
      </c>
      <c r="D10" s="53" t="s">
        <v>17</v>
      </c>
      <c r="E10" s="5">
        <f>COUNTIF('Threat Hunts'!A2:A1001, "Credential Access")</f>
        <v>2</v>
      </c>
      <c r="F10" s="5">
        <f>SUMIF('Threat Hunts'!A2:A1001,"Credential Access",'Threat Hunts'!G2:G1001)</f>
        <v>20.34</v>
      </c>
      <c r="G10" s="6">
        <f>SUMIF('Threat Hunts'!A2:A1001,"Credential Access",'Threat Hunts'!H2:H1001)</f>
        <v>2920</v>
      </c>
      <c r="H10" s="6">
        <f>SUMIF('Threat Hunts'!A2:A1001,"Credential Access",'Threat Hunts'!I2:I1001)</f>
        <v>2</v>
      </c>
      <c r="I10" s="6">
        <f>SUMIF('Threat Hunts'!A2:A1001,"Credential Access",'Threat Hunts'!J2:J1001)</f>
        <v>0</v>
      </c>
      <c r="J10" s="6">
        <f>SUMIF('Threat Hunts'!A2:A1001,"Credential Access",'Threat Hunts'!K2:K1001)</f>
        <v>2</v>
      </c>
      <c r="K10" s="6">
        <f>SUMIF('Threat Hunts'!A2:A1001,"Credential Access",'Threat Hunts'!L2:L1001)</f>
        <v>4</v>
      </c>
      <c r="L10" s="73" t="s">
        <v>29</v>
      </c>
      <c r="M10" s="74"/>
      <c r="N10" s="74"/>
      <c r="O10" s="75"/>
    </row>
    <row r="11" spans="1:15" x14ac:dyDescent="0.25">
      <c r="A11" s="92"/>
      <c r="B11" s="93"/>
      <c r="C11" s="61" t="s">
        <v>62</v>
      </c>
      <c r="D11" s="53" t="s">
        <v>18</v>
      </c>
      <c r="E11" s="5">
        <f>COUNTIF('Threat Hunts'!A2:A1001, "Discover")</f>
        <v>1</v>
      </c>
      <c r="F11" s="5">
        <f>SUMIF('Threat Hunts'!A2:A1001,"Discover",'Threat Hunts'!G2:G1001)</f>
        <v>7</v>
      </c>
      <c r="G11" s="6">
        <f>SUMIF('Threat Hunts'!A2:A1001,"Discover",'Threat Hunts'!H2:H1001)</f>
        <v>200</v>
      </c>
      <c r="H11" s="6">
        <f>SUMIF('Threat Hunts'!A2:A1001,"Discover",'Threat Hunts'!I2:I1001)</f>
        <v>1</v>
      </c>
      <c r="I11" s="6">
        <f>SUMIF('Threat Hunts'!A2:A1001,"Discover",'Threat Hunts'!J2:J1001)</f>
        <v>0</v>
      </c>
      <c r="J11" s="6">
        <f>SUMIF('Threat Hunts'!A2:A1001,"Discover",'Threat Hunts'!K2:K1001)</f>
        <v>0</v>
      </c>
      <c r="K11" s="6">
        <f>SUMIF('Threat Hunts'!A2:A1001,"Discover",'Threat Hunts'!L2:L1001)</f>
        <v>0</v>
      </c>
      <c r="L11" s="73" t="s">
        <v>30</v>
      </c>
      <c r="M11" s="74"/>
      <c r="N11" s="74"/>
      <c r="O11" s="75"/>
    </row>
    <row r="12" spans="1:15" x14ac:dyDescent="0.25">
      <c r="A12" s="92"/>
      <c r="B12" s="93"/>
      <c r="C12" s="61" t="s">
        <v>63</v>
      </c>
      <c r="D12" s="53" t="s">
        <v>19</v>
      </c>
      <c r="E12" s="5">
        <f>COUNTIF('Threat Hunts'!A2:A1001, "Lateral Movement")</f>
        <v>1</v>
      </c>
      <c r="F12" s="5">
        <f>SUMIF('Threat Hunts'!A2:A1001,"Lateral Movement",'Threat Hunts'!G2:G1001)</f>
        <v>0.75</v>
      </c>
      <c r="G12" s="6">
        <f>SUMIF('Threat Hunts'!A2:A1001,"Lateral Movement",'Threat Hunts'!H2:H1001)</f>
        <v>30</v>
      </c>
      <c r="H12" s="6">
        <f>SUMIF('Threat Hunts'!A2:A1001,"Lateral Movement",'Threat Hunts'!I2:I1001)</f>
        <v>1</v>
      </c>
      <c r="I12" s="6">
        <f>SUMIF('Threat Hunts'!A2:A1001,"Lateral Movement",'Threat Hunts'!J2:J1001)</f>
        <v>0</v>
      </c>
      <c r="J12" s="6">
        <f>SUMIF('Threat Hunts'!A2:A1001,"Lateral Movement",'Threat Hunts'!K2:K1001)</f>
        <v>0</v>
      </c>
      <c r="K12" s="6">
        <f>SUMIF('Threat Hunts'!A2:A1001,"Lateral Movement",'Threat Hunts'!L2:L1001)</f>
        <v>0</v>
      </c>
      <c r="L12" s="73" t="s">
        <v>31</v>
      </c>
      <c r="M12" s="74"/>
      <c r="N12" s="74"/>
      <c r="O12" s="75"/>
    </row>
    <row r="13" spans="1:15" x14ac:dyDescent="0.25">
      <c r="A13" s="92"/>
      <c r="B13" s="93"/>
      <c r="C13" s="61" t="s">
        <v>64</v>
      </c>
      <c r="D13" s="53" t="s">
        <v>20</v>
      </c>
      <c r="E13" s="5">
        <f>COUNTIF('Threat Hunts'!A2:A1001, "Collection")</f>
        <v>1</v>
      </c>
      <c r="F13" s="5">
        <f>SUMIF('Threat Hunts'!A2:A1001,"Collection",'Threat Hunts'!G2:G1001)</f>
        <v>0.5</v>
      </c>
      <c r="G13" s="6">
        <f>SUMIF('Threat Hunts'!A2:A1001,"Collection",'Threat Hunts'!H2:H1001)</f>
        <v>525</v>
      </c>
      <c r="H13" s="6">
        <f>SUMIF('Threat Hunts'!A2:A1001,"Collection",'Threat Hunts'!I2:I1001)</f>
        <v>1</v>
      </c>
      <c r="I13" s="6">
        <f>SUMIF('Threat Hunts'!A2:A1001,"Collection",'Threat Hunts'!J2:J1001)</f>
        <v>1</v>
      </c>
      <c r="J13" s="6">
        <f>SUMIF('Threat Hunts'!A2:A1001,"Collection",'Threat Hunts'!K2:K1001)</f>
        <v>1</v>
      </c>
      <c r="K13" s="6">
        <f>SUMIF('Threat Hunts'!A2:A1001,"Collection",'Threat Hunts'!L2:L1001)</f>
        <v>0</v>
      </c>
      <c r="L13" s="73" t="s">
        <v>32</v>
      </c>
      <c r="M13" s="74"/>
      <c r="N13" s="74"/>
      <c r="O13" s="75"/>
    </row>
    <row r="14" spans="1:15" x14ac:dyDescent="0.25">
      <c r="A14" s="92"/>
      <c r="B14" s="93"/>
      <c r="C14" s="61" t="s">
        <v>65</v>
      </c>
      <c r="D14" s="53" t="s">
        <v>8</v>
      </c>
      <c r="E14" s="5">
        <f>COUNTIF('Threat Hunts'!A2:A1001, "Command &amp; Control")</f>
        <v>1</v>
      </c>
      <c r="F14" s="5">
        <f>SUMIF('Threat Hunts'!A2:A1001,"Command &amp; Control",'Threat Hunts'!G2:G1001)</f>
        <v>4.17</v>
      </c>
      <c r="G14" s="6">
        <f>SUMIF('Threat Hunts'!A2:A1001,"Command &amp; Control",'Threat Hunts'!H2:H1001)</f>
        <v>2769</v>
      </c>
      <c r="H14" s="6">
        <f>SUMIF('Threat Hunts'!A2:A1001,"Command &amp; Control",'Threat Hunts'!I2:I1001)</f>
        <v>1</v>
      </c>
      <c r="I14" s="6">
        <f>SUMIF('Threat Hunts'!A2:A1001,"Command &amp; Control",'Threat Hunts'!J2:J1001)</f>
        <v>0</v>
      </c>
      <c r="J14" s="6">
        <f>SUMIF('Threat Hunts'!A2:A1001,"Command &amp; Control",'Threat Hunts'!K2:K1001)</f>
        <v>0</v>
      </c>
      <c r="K14" s="6">
        <f>SUMIF('Threat Hunts'!A2:A1001,"Command &amp; Control",'Threat Hunts'!L2:L1001)</f>
        <v>0</v>
      </c>
      <c r="L14" s="73" t="s">
        <v>33</v>
      </c>
      <c r="M14" s="74"/>
      <c r="N14" s="74"/>
      <c r="O14" s="75"/>
    </row>
    <row r="15" spans="1:15" x14ac:dyDescent="0.25">
      <c r="A15" s="92"/>
      <c r="B15" s="93"/>
      <c r="C15" s="61" t="s">
        <v>66</v>
      </c>
      <c r="D15" s="53" t="s">
        <v>21</v>
      </c>
      <c r="E15" s="5">
        <f>COUNTIF('Threat Hunts'!A2:A1001, "Exfiltration")</f>
        <v>2</v>
      </c>
      <c r="F15" s="5">
        <f>SUMIF('Threat Hunts'!A2:A1001,"Exfiltration",'Threat Hunts'!G2:G1001)</f>
        <v>12.47</v>
      </c>
      <c r="G15" s="6">
        <f>SUMIF('Threat Hunts'!A2:A1001,"Exfiltration",'Threat Hunts'!H2:H1001)</f>
        <v>735</v>
      </c>
      <c r="H15" s="6">
        <f>SUMIF('Threat Hunts'!A2:A1001,"Exfiltration",'Threat Hunts'!I2:I1001)</f>
        <v>2</v>
      </c>
      <c r="I15" s="6">
        <f>SUMIF('Threat Hunts'!A2:A1001,"Exfiltration",'Threat Hunts'!J2:J1001)</f>
        <v>3</v>
      </c>
      <c r="J15" s="6">
        <f>SUMIF('Threat Hunts'!A2:A1001,"Exfiltration",'Threat Hunts'!K2:K1001)</f>
        <v>3</v>
      </c>
      <c r="K15" s="6">
        <f>SUMIF('Threat Hunts'!A2:A1001,"Exfiltration",'Threat Hunts'!L2:L1001)</f>
        <v>3</v>
      </c>
      <c r="L15" s="73" t="s">
        <v>34</v>
      </c>
      <c r="M15" s="74"/>
      <c r="N15" s="74"/>
      <c r="O15" s="75"/>
    </row>
    <row r="16" spans="1:15" x14ac:dyDescent="0.25">
      <c r="A16" s="94"/>
      <c r="B16" s="95"/>
      <c r="C16" s="61" t="s">
        <v>67</v>
      </c>
      <c r="D16" s="53" t="s">
        <v>22</v>
      </c>
      <c r="E16" s="5">
        <f>COUNTIF('Threat Hunts'!A2:A1001, "Impact")</f>
        <v>1</v>
      </c>
      <c r="F16" s="5">
        <f>SUMIF('Threat Hunts'!A2:A1001,"Impact",'Threat Hunts'!G2:G1001)</f>
        <v>13.67</v>
      </c>
      <c r="G16" s="6">
        <f>SUMIF('Threat Hunts'!A2:A1001,"Impact",'Threat Hunts'!H2:H1001)</f>
        <v>36</v>
      </c>
      <c r="H16" s="6">
        <f>SUMIF('Threat Hunts'!A2:A1001,"Impact",'Threat Hunts'!I2:I1001)</f>
        <v>1</v>
      </c>
      <c r="I16" s="6">
        <f>SUMIF('Threat Hunts'!A2:A1001,"Impact",'Threat Hunts'!J2:J1001)</f>
        <v>0</v>
      </c>
      <c r="J16" s="6">
        <f>SUMIF('Threat Hunts'!A2:A1001,"Impact",'Threat Hunts'!K2:K1001)</f>
        <v>0</v>
      </c>
      <c r="K16" s="6">
        <f>SUMIF('Threat Hunts'!A2:A1001,"Impact",'Threat Hunts'!L2:L1001)</f>
        <v>0</v>
      </c>
      <c r="L16" s="73" t="s">
        <v>35</v>
      </c>
      <c r="M16" s="74"/>
      <c r="N16" s="74"/>
      <c r="O16" s="75"/>
    </row>
    <row r="17" spans="1:17" s="11" customFormat="1" ht="15.75" thickBot="1" x14ac:dyDescent="0.3">
      <c r="A17" s="9"/>
      <c r="B17" s="9"/>
      <c r="C17" s="10"/>
      <c r="D17" s="9"/>
      <c r="E17" s="9"/>
      <c r="F17" s="9"/>
      <c r="G17" s="9"/>
      <c r="H17" s="9"/>
      <c r="I17" s="9"/>
      <c r="J17" s="9"/>
      <c r="K17" s="9"/>
      <c r="L17" s="9"/>
      <c r="M17" s="9"/>
      <c r="N17" s="9"/>
      <c r="O17" s="9"/>
    </row>
    <row r="18" spans="1:17" s="11" customFormat="1" ht="34.5" thickBot="1" x14ac:dyDescent="0.3">
      <c r="A18" s="12"/>
      <c r="B18" s="13"/>
      <c r="C18" s="13" t="s">
        <v>137</v>
      </c>
      <c r="D18" s="13"/>
      <c r="E18" s="13"/>
      <c r="F18" s="13"/>
      <c r="G18" s="13"/>
      <c r="H18" s="13"/>
      <c r="I18" s="13"/>
      <c r="J18" s="13"/>
      <c r="K18" s="13"/>
      <c r="L18" s="13"/>
      <c r="M18" s="13"/>
      <c r="N18" s="13"/>
      <c r="O18" s="13"/>
    </row>
    <row r="19" spans="1:17" s="11" customFormat="1" ht="15.75" thickBot="1" x14ac:dyDescent="0.3">
      <c r="A19" s="9"/>
      <c r="B19" s="14"/>
      <c r="C19" s="14"/>
      <c r="D19" s="14"/>
      <c r="E19" s="14"/>
      <c r="F19" s="14"/>
      <c r="G19" s="14"/>
      <c r="H19" s="14"/>
      <c r="I19" s="14"/>
      <c r="J19" s="14"/>
      <c r="K19" s="14"/>
      <c r="L19" s="14"/>
      <c r="M19" s="14"/>
      <c r="N19" s="14"/>
      <c r="O19" s="14"/>
    </row>
    <row r="20" spans="1:17" s="11" customFormat="1" ht="44.25" customHeight="1" thickBot="1" x14ac:dyDescent="0.3">
      <c r="A20" s="9"/>
      <c r="B20" s="9"/>
      <c r="C20" s="76" t="s">
        <v>5</v>
      </c>
      <c r="D20" s="77"/>
      <c r="E20" s="15" t="s">
        <v>36</v>
      </c>
      <c r="F20" s="16"/>
      <c r="G20" s="17"/>
      <c r="H20" s="18" t="s">
        <v>37</v>
      </c>
      <c r="I20" s="19" t="s">
        <v>104</v>
      </c>
      <c r="J20" s="19" t="s">
        <v>74</v>
      </c>
      <c r="K20" s="19" t="s">
        <v>75</v>
      </c>
      <c r="L20" s="20" t="s">
        <v>73</v>
      </c>
      <c r="M20" s="17"/>
      <c r="N20" s="17"/>
      <c r="O20" s="17"/>
    </row>
    <row r="21" spans="1:17" ht="30" customHeight="1" x14ac:dyDescent="0.3">
      <c r="A21" s="21"/>
      <c r="B21" s="21"/>
      <c r="C21" s="78" t="s">
        <v>38</v>
      </c>
      <c r="D21" s="79"/>
      <c r="E21" s="22">
        <f>SUM(E3:E16)</f>
        <v>16</v>
      </c>
      <c r="F21" s="21"/>
      <c r="G21" s="23"/>
      <c r="H21" s="24">
        <f>SUM(G3:G16)/SUM(H3:H16)</f>
        <v>951.5625</v>
      </c>
      <c r="I21" s="24">
        <f>SUM(H3:H16)</f>
        <v>16</v>
      </c>
      <c r="J21" s="24">
        <f>SUM(I3:I16)</f>
        <v>11</v>
      </c>
      <c r="K21" s="24">
        <f>SUM(J3:J16)</f>
        <v>16</v>
      </c>
      <c r="L21" s="24">
        <f>SUM(K3:K16)</f>
        <v>8</v>
      </c>
      <c r="M21" s="25"/>
      <c r="N21" s="25"/>
      <c r="O21" s="25"/>
    </row>
    <row r="22" spans="1:17" ht="30" customHeight="1" x14ac:dyDescent="0.3">
      <c r="A22" s="21"/>
      <c r="B22" s="21"/>
      <c r="C22" s="80" t="s">
        <v>39</v>
      </c>
      <c r="D22" s="81"/>
      <c r="E22" s="26">
        <f>SUM(F3:F16)</f>
        <v>92.06</v>
      </c>
      <c r="F22" s="21"/>
      <c r="G22" s="23"/>
      <c r="H22" s="27"/>
      <c r="I22" s="27"/>
      <c r="J22" s="27"/>
      <c r="K22" s="27"/>
      <c r="L22" s="27"/>
      <c r="M22" s="25"/>
      <c r="N22" s="25"/>
      <c r="O22" s="25"/>
    </row>
    <row r="23" spans="1:17" ht="30" customHeight="1" thickBot="1" x14ac:dyDescent="0.3">
      <c r="A23" s="21"/>
      <c r="B23" s="21"/>
      <c r="C23" s="82" t="s">
        <v>40</v>
      </c>
      <c r="D23" s="83"/>
      <c r="E23" s="28">
        <f>E22/E21</f>
        <v>5.7537500000000001</v>
      </c>
      <c r="F23" s="21"/>
      <c r="G23" s="21"/>
      <c r="H23" s="21"/>
      <c r="I23" s="29"/>
      <c r="J23" s="29"/>
      <c r="K23" s="29"/>
      <c r="L23" s="29"/>
      <c r="M23" s="29"/>
      <c r="N23" s="29"/>
      <c r="O23" s="29"/>
    </row>
    <row r="24" spans="1:17" ht="16.5" thickBot="1" x14ac:dyDescent="0.3">
      <c r="A24" s="21"/>
      <c r="B24" s="21"/>
      <c r="C24" s="21"/>
      <c r="D24" s="30"/>
      <c r="E24" s="21"/>
      <c r="F24" s="21"/>
      <c r="G24" s="21"/>
      <c r="H24" s="21"/>
      <c r="I24" s="29"/>
      <c r="J24" s="29"/>
      <c r="K24" s="29"/>
      <c r="L24" s="29"/>
      <c r="M24" s="29"/>
      <c r="N24" s="29"/>
      <c r="O24" s="29"/>
    </row>
    <row r="25" spans="1:17" ht="34.5" customHeight="1" thickBot="1" x14ac:dyDescent="0.3">
      <c r="A25" s="31"/>
      <c r="B25" s="32"/>
      <c r="C25" s="32" t="s">
        <v>77</v>
      </c>
      <c r="D25" s="32"/>
      <c r="E25" s="32"/>
      <c r="F25" s="32"/>
      <c r="G25" s="32"/>
      <c r="H25" s="32"/>
      <c r="I25" s="32"/>
      <c r="J25" s="32"/>
      <c r="K25" s="32"/>
      <c r="L25" s="32"/>
      <c r="M25" s="32"/>
      <c r="N25" s="32"/>
      <c r="O25" s="32"/>
    </row>
    <row r="26" spans="1:17" x14ac:dyDescent="0.25">
      <c r="A26" s="66" t="s">
        <v>96</v>
      </c>
      <c r="B26" s="66"/>
      <c r="C26" s="66"/>
      <c r="D26" s="66"/>
      <c r="E26" s="66"/>
      <c r="F26" s="66"/>
      <c r="G26" s="66"/>
      <c r="H26" s="66"/>
      <c r="I26" s="66"/>
      <c r="J26" s="67"/>
      <c r="K26" s="33"/>
      <c r="L26" s="21"/>
      <c r="M26" s="34"/>
      <c r="N26" s="21"/>
      <c r="O26" s="21"/>
    </row>
    <row r="27" spans="1:17" ht="18.75" x14ac:dyDescent="0.3">
      <c r="A27" s="72"/>
      <c r="B27" s="72"/>
      <c r="C27" s="72"/>
      <c r="D27" s="72"/>
      <c r="E27" s="72"/>
      <c r="F27" s="72"/>
      <c r="G27" s="72"/>
      <c r="H27" s="72"/>
      <c r="I27" s="72"/>
      <c r="J27" s="69"/>
      <c r="K27" s="36"/>
      <c r="M27" s="35" t="s">
        <v>81</v>
      </c>
      <c r="N27" s="21"/>
      <c r="O27" s="21"/>
    </row>
    <row r="28" spans="1:17" x14ac:dyDescent="0.25">
      <c r="A28" s="70"/>
      <c r="B28" s="70"/>
      <c r="C28" s="70"/>
      <c r="D28" s="70"/>
      <c r="E28" s="70"/>
      <c r="F28" s="70"/>
      <c r="G28" s="70"/>
      <c r="H28" s="70"/>
      <c r="I28" s="70"/>
      <c r="J28" s="71"/>
      <c r="K28" s="38"/>
      <c r="L28" s="37"/>
      <c r="M28" s="39"/>
      <c r="N28" s="40"/>
      <c r="O28" s="39"/>
    </row>
    <row r="29" spans="1:17" x14ac:dyDescent="0.25">
      <c r="A29" s="52"/>
      <c r="B29" s="52" t="s">
        <v>100</v>
      </c>
      <c r="C29" s="52" t="s">
        <v>101</v>
      </c>
      <c r="D29" s="52" t="s">
        <v>86</v>
      </c>
      <c r="E29" s="52"/>
      <c r="F29" s="52"/>
      <c r="H29" s="52"/>
      <c r="J29" s="52"/>
      <c r="M29" s="52" t="s">
        <v>100</v>
      </c>
      <c r="N29" s="52" t="s">
        <v>101</v>
      </c>
      <c r="O29" s="52" t="s">
        <v>86</v>
      </c>
      <c r="P29" s="52"/>
      <c r="Q29" s="52"/>
    </row>
    <row r="30" spans="1:17" x14ac:dyDescent="0.25">
      <c r="A30" s="52" t="s">
        <v>6</v>
      </c>
      <c r="B30" cm="1">
        <f t="array" ref="B30">SUM(SUMIFS('Threat Hunts'!G2:G1001,'Threat Hunts'!M2:M1001,{"1"},'Threat Hunts'!A2:A1001,{"Reconnaissance"}))</f>
        <v>3.67</v>
      </c>
      <c r="C30" cm="1">
        <f t="array" ref="C30">SUM(SUMIFS('Threat Hunts'!G2:G1001,'Threat Hunts'!M2:M1001,{"2"},'Threat Hunts'!A2:A1001,{"Reconnaissance"}))</f>
        <v>0</v>
      </c>
      <c r="D30" cm="1">
        <f t="array" ref="D30">SUM(SUMIFS('Threat Hunts'!G2:G1001,'Threat Hunts'!M2:M1001,{"3"},'Threat Hunts'!A2:A1001,{"Reconnaissance"}))</f>
        <v>0</v>
      </c>
      <c r="L30" s="52" t="s">
        <v>110</v>
      </c>
      <c r="M30" s="59">
        <f>COUNTIFS('Threat Hunts'!M2:M1001,"1",'Threat Hunts'!I2:I1001,"1")</f>
        <v>2</v>
      </c>
      <c r="N30" s="59">
        <f>COUNTIFS('Threat Hunts'!M2:M1001,"2",'Threat Hunts'!I2:I1001,"1")</f>
        <v>2</v>
      </c>
      <c r="O30" s="60">
        <f>COUNTIFS('Threat Hunts'!M2:M1001,"3",'Threat Hunts'!I2:I1001,"1")</f>
        <v>1</v>
      </c>
    </row>
    <row r="31" spans="1:17" x14ac:dyDescent="0.25">
      <c r="A31" s="52" t="s">
        <v>52</v>
      </c>
      <c r="B31" cm="1">
        <f t="array" ref="B31">SUM(SUMIFS('Threat Hunts'!G2:G1001,'Threat Hunts'!M2:M1001,{"1"},'Threat Hunts'!A2:A1001,{"Initial Access"}))</f>
        <v>0</v>
      </c>
      <c r="C31" cm="1">
        <f t="array" ref="C31">SUM(SUMIFS('Threat Hunts'!G2:G1001,'Threat Hunts'!M2:M1001,{"2"},'Threat Hunts'!A2:A1001,{"Initial Access"}))</f>
        <v>0</v>
      </c>
      <c r="D31" cm="1">
        <f t="array" ref="D31">SUM(SUMIFS('Threat Hunts'!G2:G1001,'Threat Hunts'!M2:M1001,{"3"},'Threat Hunts'!A2:A1001,{"Initial Access"}))</f>
        <v>17.07</v>
      </c>
      <c r="L31" s="52" t="s">
        <v>112</v>
      </c>
      <c r="M31" s="59">
        <f>SUMIF('Threat Hunts'!M2:M1001,"1",'Threat Hunts'!H2:H1001)</f>
        <v>888</v>
      </c>
      <c r="N31" s="59">
        <f>SUMIF('Threat Hunts'!M2:M1001,"2",'Threat Hunts'!H2:H1001)</f>
        <v>2861</v>
      </c>
      <c r="O31" s="60">
        <f>SUMIF('Threat Hunts'!M2:M1001,"3",'Threat Hunts'!H2:H1001)</f>
        <v>720</v>
      </c>
    </row>
    <row r="32" spans="1:17" x14ac:dyDescent="0.25">
      <c r="A32" s="52" t="s">
        <v>12</v>
      </c>
      <c r="B32" cm="1">
        <f t="array" ref="B32">SUM(SUMIFS('Threat Hunts'!G2:G1001,'Threat Hunts'!M2:M1001,{"1"},'Threat Hunts'!A2:A1001,{"Execution"}))</f>
        <v>0</v>
      </c>
      <c r="C32" cm="1">
        <f t="array" ref="C32">SUM(SUMIFS('Threat Hunts'!G2:G1001,'Threat Hunts'!M2:M1001,{"2"},'Threat Hunts'!A2:A1001,{"Execution"}))</f>
        <v>0</v>
      </c>
      <c r="D32" cm="1">
        <f t="array" ref="D32">SUM(SUMIFS('Threat Hunts'!G2:G1001,'Threat Hunts'!M2:M1001,{"3"},'Threat Hunts'!A2:A1001,{"Execution"}))</f>
        <v>0</v>
      </c>
      <c r="L32" s="52" t="s">
        <v>113</v>
      </c>
      <c r="M32" s="59">
        <f>_xlfn.MAXIFS('Threat Hunts'!H2:H1001,'Threat Hunts'!M2:M1001,"1")</f>
        <v>720</v>
      </c>
      <c r="N32" s="59">
        <f>_xlfn.MAXIFS('Threat Hunts'!H2:H1001,'Threat Hunts'!M2:M1001,"2")</f>
        <v>2769</v>
      </c>
      <c r="O32" s="60">
        <f>_xlfn.MAXIFS('Threat Hunts'!H2:H1001,'Threat Hunts'!M2:M1001,"3")</f>
        <v>720</v>
      </c>
    </row>
    <row r="33" spans="1:15" x14ac:dyDescent="0.25">
      <c r="A33" s="52" t="s">
        <v>13</v>
      </c>
      <c r="B33" cm="1">
        <f t="array" ref="B33">SUM(SUMIFS('Threat Hunts'!G2:G1001,'Threat Hunts'!M2:M1001,{"1"},'Threat Hunts'!A2:A1001,{"Persistence"}))</f>
        <v>0</v>
      </c>
      <c r="C33" cm="1">
        <f t="array" ref="C33">SUM(SUMIFS('Threat Hunts'!G2:G1001,'Threat Hunts'!M2:M1001,{"2"},'Threat Hunts'!A2:A1001,{"Persistence"}))</f>
        <v>0</v>
      </c>
      <c r="D33" cm="1">
        <f t="array" ref="D33">SUM(SUMIFS('Threat Hunts'!G2:G1001,'Threat Hunts'!M2:M1001,{"3"},'Threat Hunts'!A2:A1001,{"Persistence"}))</f>
        <v>0</v>
      </c>
      <c r="L33" s="52" t="s">
        <v>111</v>
      </c>
      <c r="M33" s="59">
        <f>ROUNDUP(M31/M30,2)</f>
        <v>444</v>
      </c>
      <c r="N33" s="59">
        <f>ROUNDUP(N31/N30,2)</f>
        <v>1430.5</v>
      </c>
      <c r="O33" s="60">
        <f>ROUNDUP(O31/O30,2)</f>
        <v>720</v>
      </c>
    </row>
    <row r="34" spans="1:15" x14ac:dyDescent="0.25">
      <c r="A34" s="52" t="s">
        <v>15</v>
      </c>
      <c r="B34" cm="1">
        <f t="array" ref="B34">SUM(SUMIFS('Threat Hunts'!G2:G1001,'Threat Hunts'!M2:M1001,{"1"},'Threat Hunts'!A2:A1001,{"Privilege Escalation"}))</f>
        <v>0</v>
      </c>
      <c r="C34" cm="1">
        <f t="array" ref="C34">SUM(SUMIFS('Threat Hunts'!G2:G1001,'Threat Hunts'!M2:M1001,{"2"},'Threat Hunts'!A2:A1001,{"Privilege Escalation"}))</f>
        <v>0</v>
      </c>
      <c r="D34" cm="1">
        <f t="array" ref="D34">SUM(SUMIFS('Threat Hunts'!G2:G1001,'Threat Hunts'!M2:M1001,{"3"},'Threat Hunts'!A2:A1001,{"Privilege Escalation"}))</f>
        <v>0</v>
      </c>
    </row>
    <row r="35" spans="1:15" x14ac:dyDescent="0.25">
      <c r="A35" s="52" t="s">
        <v>16</v>
      </c>
      <c r="B35" cm="1">
        <f t="array" ref="B35">SUM(SUMIFS('Threat Hunts'!G2:G1001,'Threat Hunts'!M2:M1001,{"1"},'Threat Hunts'!A2:A1001,{"Defense Evasion"}))</f>
        <v>0</v>
      </c>
      <c r="C35" cm="1">
        <f t="array" ref="C35">SUM(SUMIFS('Threat Hunts'!G2:G1001,'Threat Hunts'!M2:M1001,{"2"},'Threat Hunts'!A2:A1001,{"Defense Evasion"}))</f>
        <v>0</v>
      </c>
      <c r="D35" cm="1">
        <f t="array" ref="D35">SUM(SUMIFS('Threat Hunts'!G2:G1001,'Threat Hunts'!M2:M1001,{"3"},'Threat Hunts'!A2:A1001,{"Defense Evasion"}))</f>
        <v>0</v>
      </c>
    </row>
    <row r="36" spans="1:15" x14ac:dyDescent="0.25">
      <c r="A36" s="52" t="s">
        <v>17</v>
      </c>
      <c r="B36" cm="1">
        <f t="array" ref="B36">SUM(SUMIFS('Threat Hunts'!G2:G1001,'Threat Hunts'!M2:M1001,{"1"},'Threat Hunts'!A2:A1001,{"Credential Access"}))</f>
        <v>0</v>
      </c>
      <c r="C36" cm="1">
        <f t="array" ref="C36">SUM(SUMIFS('Threat Hunts'!G2:G1001,'Threat Hunts'!M2:M1001,{"2"},'Threat Hunts'!A2:A1001,{"Credential Access"}))</f>
        <v>0</v>
      </c>
      <c r="D36" cm="1">
        <f t="array" ref="D36">SUM(SUMIFS('Threat Hunts'!G2:G1001,'Threat Hunts'!M2:M1001,{"3"},'Threat Hunts'!A2:A1001,{"Credential Access"}))</f>
        <v>0</v>
      </c>
    </row>
    <row r="37" spans="1:15" x14ac:dyDescent="0.25">
      <c r="A37" s="52" t="s">
        <v>53</v>
      </c>
      <c r="B37" cm="1">
        <f t="array" ref="B37">SUM(SUMIFS('Threat Hunts'!G2:G1001,'Threat Hunts'!M2:M1001,{"1"},'Threat Hunts'!A2:A1001,{"Discover"}))</f>
        <v>0</v>
      </c>
      <c r="C37" cm="1">
        <f t="array" ref="C37">SUM(SUMIFS('Threat Hunts'!G2:G1001,'Threat Hunts'!M2:M1001,{"2"},'Threat Hunts'!A2:A1001,{"Discover"}))</f>
        <v>0</v>
      </c>
      <c r="D37" cm="1">
        <f t="array" ref="D37">SUM(SUMIFS('Threat Hunts'!G2:G1001,'Threat Hunts'!M2:M1001,{"3"},'Threat Hunts'!A2:A1001,{"Discover"}))</f>
        <v>0</v>
      </c>
    </row>
    <row r="38" spans="1:15" x14ac:dyDescent="0.25">
      <c r="A38" s="52" t="s">
        <v>19</v>
      </c>
      <c r="B38" cm="1">
        <f t="array" ref="B38">SUM(SUMIFS('Threat Hunts'!G2:G1001,'Threat Hunts'!M2:M1001,{"1"},'Threat Hunts'!A2:A1001,{"Lateral Movement"}))</f>
        <v>0</v>
      </c>
      <c r="C38" cm="1">
        <f t="array" ref="C38">SUM(SUMIFS('Threat Hunts'!G2:G1001,'Threat Hunts'!M2:M1001,{"2"},'Threat Hunts'!A2:A1001,{"Lateral Movement"}))</f>
        <v>0</v>
      </c>
      <c r="D38" cm="1">
        <f t="array" ref="D38">SUM(SUMIFS('Threat Hunts'!G2:G1001,'Threat Hunts'!M2:M1001,{"3"},'Threat Hunts'!A2:A1001,{"Lateral Movement"}))</f>
        <v>0</v>
      </c>
    </row>
    <row r="39" spans="1:15" x14ac:dyDescent="0.25">
      <c r="A39" s="52" t="s">
        <v>20</v>
      </c>
      <c r="B39" cm="1">
        <f t="array" ref="B39">SUM(SUMIFS('Threat Hunts'!G2:G1001,'Threat Hunts'!M2:M1001,{"1"},'Threat Hunts'!A2:A1001,{"Collection"}))</f>
        <v>0</v>
      </c>
      <c r="C39" cm="1">
        <f t="array" ref="C39">SUM(SUMIFS('Threat Hunts'!G2:G1001,'Threat Hunts'!M2:M1001,{"2"},'Threat Hunts'!A2:A1001,{"Collection"}))</f>
        <v>0</v>
      </c>
      <c r="D39" cm="1">
        <f t="array" ref="D39">SUM(SUMIFS('Threat Hunts'!G2:G1001,'Threat Hunts'!M2:M1001,{"3"},'Threat Hunts'!A2:A1001,{"Collection"}))</f>
        <v>0</v>
      </c>
    </row>
    <row r="40" spans="1:15" x14ac:dyDescent="0.25">
      <c r="A40" s="52" t="s">
        <v>8</v>
      </c>
      <c r="B40" cm="1">
        <f t="array" ref="B40">SUM(SUMIFS('Threat Hunts'!G2:G1001,'Threat Hunts'!M2:M1001,{"1"},'Threat Hunts'!A2:A1001,{"Command &amp; Control"}))</f>
        <v>0</v>
      </c>
      <c r="C40" cm="1">
        <f t="array" ref="C40">SUM(SUMIFS('Threat Hunts'!G2:G1001,'Threat Hunts'!M2:M1001,{"2"},'Threat Hunts'!A2:A1001,{"Command &amp; Control"}))</f>
        <v>4.17</v>
      </c>
      <c r="D40" cm="1">
        <f t="array" ref="D40">SUM(SUMIFS('Threat Hunts'!G2:G1001,'Threat Hunts'!M2:M1001,{"3"},'Threat Hunts'!A2:A1001,{"Command &amp; Control"}))</f>
        <v>0</v>
      </c>
    </row>
    <row r="41" spans="1:15" x14ac:dyDescent="0.25">
      <c r="A41" s="52" t="s">
        <v>21</v>
      </c>
      <c r="B41" cm="1">
        <f t="array" ref="B41">SUM(SUMIFS('Threat Hunts'!G2:G1001,'Threat Hunts'!M2:M1001,{"1"},'Threat Hunts'!A2:A1001,{"Exfiltration"}))</f>
        <v>1.3</v>
      </c>
      <c r="C41" cm="1">
        <f t="array" ref="C41">SUM(SUMIFS('Threat Hunts'!G2:G1001,'Threat Hunts'!M2:M1001,{"2"},'Threat Hunts'!A2:A1001,{"Exfiltration"}))</f>
        <v>0</v>
      </c>
      <c r="D41" cm="1">
        <f t="array" ref="D41">SUM(SUMIFS('Threat Hunts'!G2:G1001,'Threat Hunts'!M2:M1001,{"3"},'Threat Hunts'!A2:A1001,{"Exfiltration"}))</f>
        <v>0</v>
      </c>
    </row>
    <row r="42" spans="1:15" x14ac:dyDescent="0.25">
      <c r="A42" s="52" t="s">
        <v>22</v>
      </c>
      <c r="B42" cm="1">
        <f t="array" ref="B42">SUM(SUMIFS('Threat Hunts'!G2:G1001,'Threat Hunts'!M2:M1001,{"1"},'Threat Hunts'!A2:A1001,{"Impact"}))</f>
        <v>0</v>
      </c>
      <c r="C42" cm="1">
        <f t="array" ref="C42">SUM(SUMIFS('Threat Hunts'!G2:G1001,'Threat Hunts'!M2:M1001,{"2"},'Threat Hunts'!A2:A1001,{"Impact"}))</f>
        <v>0</v>
      </c>
      <c r="D42" cm="1">
        <f t="array" ref="D42">SUM(SUMIFS('Threat Hunts'!G2:G1001,'Threat Hunts'!M2:M1001,{"3"},'Threat Hunts'!A2:A1001,{"Impact"}))</f>
        <v>0</v>
      </c>
    </row>
    <row r="45" spans="1:15" ht="15.75" thickBot="1" x14ac:dyDescent="0.3"/>
    <row r="46" spans="1:15" ht="34.5" thickBot="1" x14ac:dyDescent="0.3">
      <c r="A46" s="56"/>
      <c r="B46" s="55"/>
      <c r="C46" s="55" t="s">
        <v>78</v>
      </c>
      <c r="D46" s="55"/>
      <c r="E46" s="55"/>
      <c r="F46" s="55"/>
      <c r="G46" s="55"/>
      <c r="H46" s="55"/>
      <c r="I46" s="55"/>
      <c r="J46" s="55"/>
      <c r="K46" s="32"/>
      <c r="L46" s="32"/>
      <c r="M46" s="32"/>
      <c r="N46" s="32"/>
      <c r="O46" s="32"/>
    </row>
    <row r="47" spans="1:15" x14ac:dyDescent="0.25">
      <c r="A47" s="84" t="s">
        <v>97</v>
      </c>
      <c r="B47" s="84"/>
      <c r="C47" s="84"/>
      <c r="D47" s="84"/>
      <c r="E47" s="84"/>
      <c r="F47" s="84"/>
      <c r="G47" s="84"/>
      <c r="H47" s="84"/>
      <c r="I47" s="84"/>
      <c r="J47" s="84"/>
      <c r="K47" s="33"/>
      <c r="L47" s="21"/>
      <c r="M47" s="34"/>
      <c r="N47" s="21"/>
      <c r="O47" s="21"/>
    </row>
    <row r="48" spans="1:15" ht="18.75" x14ac:dyDescent="0.3">
      <c r="A48" s="84"/>
      <c r="B48" s="84"/>
      <c r="C48" s="84"/>
      <c r="D48" s="84"/>
      <c r="E48" s="84"/>
      <c r="F48" s="84"/>
      <c r="G48" s="84"/>
      <c r="H48" s="84"/>
      <c r="I48" s="84"/>
      <c r="J48" s="84"/>
      <c r="K48" s="36"/>
      <c r="M48" s="35" t="s">
        <v>82</v>
      </c>
      <c r="N48" s="21"/>
      <c r="O48" s="21"/>
    </row>
    <row r="49" spans="1:15" x14ac:dyDescent="0.25">
      <c r="A49" s="84"/>
      <c r="B49" s="84"/>
      <c r="C49" s="84"/>
      <c r="D49" s="84"/>
      <c r="E49" s="84"/>
      <c r="F49" s="84"/>
      <c r="G49" s="84"/>
      <c r="H49" s="84"/>
      <c r="I49" s="84"/>
      <c r="J49" s="84"/>
      <c r="K49" s="38"/>
      <c r="L49" s="37"/>
      <c r="M49" s="39"/>
      <c r="N49" s="40"/>
      <c r="O49" s="39"/>
    </row>
    <row r="50" spans="1:15" x14ac:dyDescent="0.25">
      <c r="A50" s="52"/>
      <c r="B50" s="52" t="s">
        <v>87</v>
      </c>
      <c r="C50" s="52" t="s">
        <v>88</v>
      </c>
      <c r="D50" s="52" t="s">
        <v>89</v>
      </c>
      <c r="M50" s="52" t="s">
        <v>87</v>
      </c>
      <c r="N50" s="52" t="s">
        <v>88</v>
      </c>
      <c r="O50" s="52" t="s">
        <v>89</v>
      </c>
    </row>
    <row r="51" spans="1:15" x14ac:dyDescent="0.25">
      <c r="A51" s="52" t="s">
        <v>6</v>
      </c>
      <c r="B51" cm="1">
        <f t="array" ref="B51">SUM(SUMIFS('Threat Hunts'!G2:G1001,'Threat Hunts'!M2:M1001,{"4"},'Threat Hunts'!A2:A1001,{"Reconnaissance"}))</f>
        <v>0</v>
      </c>
      <c r="C51" cm="1">
        <f t="array" ref="C51">SUM(SUMIFS('Threat Hunts'!G2:G1001,'Threat Hunts'!M2:M1001,{"5"},'Threat Hunts'!A2:A1001,{"Reconnaissance"}))</f>
        <v>0</v>
      </c>
      <c r="D51" cm="1">
        <f t="array" ref="D51">SUM(SUMIFS('Threat Hunts'!G2:G1001,'Threat Hunts'!M2:M1001,{"6"},'Threat Hunts'!A2:A1001,{"Reconnaissance"}))</f>
        <v>0</v>
      </c>
      <c r="L51" s="52" t="s">
        <v>110</v>
      </c>
      <c r="M51" s="59">
        <f>COUNTIFS('Threat Hunts'!M2:M1001,"4",'Threat Hunts'!I2:I1001,"1")</f>
        <v>2</v>
      </c>
      <c r="N51" s="59">
        <f>COUNTIFS('Threat Hunts'!M2:M1001,"5",'Threat Hunts'!I2:I1001,"1")</f>
        <v>1</v>
      </c>
      <c r="O51" s="60">
        <f>COUNTIFS('Threat Hunts'!M2:M1001,"6",'Threat Hunts'!I2:I1001,"1")</f>
        <v>3</v>
      </c>
    </row>
    <row r="52" spans="1:15" x14ac:dyDescent="0.25">
      <c r="A52" s="52" t="s">
        <v>52</v>
      </c>
      <c r="B52" cm="1">
        <f t="array" ref="B52">SUM(SUMIFS('Threat Hunts'!G2:G1001,'Threat Hunts'!M2:M1001,{"4"},'Threat Hunts'!A2:A1001,{"Initial Access"}))</f>
        <v>0</v>
      </c>
      <c r="C52" cm="1">
        <f t="array" ref="C52">SUM(SUMIFS('Threat Hunts'!G2:G1001,'Threat Hunts'!M2:M1001,{"5"},'Threat Hunts'!A2:A1001,{"Initial Access"}))</f>
        <v>0</v>
      </c>
      <c r="D52" cm="1">
        <f t="array" ref="D52">SUM(SUMIFS('Threat Hunts'!G2:G1001,'Threat Hunts'!M2:M1001,{"6"},'Threat Hunts'!A2:A1001,{"Initial Access"}))</f>
        <v>0</v>
      </c>
      <c r="L52" s="52" t="s">
        <v>112</v>
      </c>
      <c r="M52" s="59">
        <f>SUMIF('Threat Hunts'!M2:M1001,"4",'Threat Hunts'!H2:H1001)</f>
        <v>1060</v>
      </c>
      <c r="N52" s="59">
        <f>SUMIF('Threat Hunts'!M2:M1001,"5",'Threat Hunts'!H2:H1001)</f>
        <v>2048</v>
      </c>
      <c r="O52" s="60">
        <f>SUMIF('Threat Hunts'!M2:M1001,"6",'Threat Hunts'!H2:H1001)</f>
        <v>2370</v>
      </c>
    </row>
    <row r="53" spans="1:15" x14ac:dyDescent="0.25">
      <c r="A53" s="52" t="s">
        <v>12</v>
      </c>
      <c r="B53" cm="1">
        <f t="array" ref="B53">SUM(SUMIFS('Threat Hunts'!G2:G1001,'Threat Hunts'!M2:M1001,{"4"},'Threat Hunts'!A2:A1001,{"Execution"}))</f>
        <v>2</v>
      </c>
      <c r="C53" cm="1">
        <f t="array" ref="C53">SUM(SUMIFS('Threat Hunts'!G2:G1001,'Threat Hunts'!M2:M1001,{"5"},'Threat Hunts'!A2:A1001,{"Execution"}))</f>
        <v>0</v>
      </c>
      <c r="D53" cm="1">
        <f t="array" ref="D53">SUM(SUMIFS('Threat Hunts'!G2:G1001,'Threat Hunts'!M2:M1001,{"6"},'Threat Hunts'!A2:A1001,{"Execution"}))</f>
        <v>0</v>
      </c>
      <c r="L53" s="52" t="s">
        <v>113</v>
      </c>
      <c r="M53" s="59">
        <f>_xlfn.MAXIFS('Threat Hunts'!H2:H1001,'Threat Hunts'!M2:M1001,"4")</f>
        <v>1024</v>
      </c>
      <c r="N53" s="59">
        <f>SUMIF('Threat Hunts'!M2:M1001,"5",'Threat Hunts'!H2:H1001)</f>
        <v>2048</v>
      </c>
      <c r="O53" s="60">
        <f>_xlfn.MAXIFS('Threat Hunts'!H2:H1001,'Threat Hunts'!M2:M1001,"6")</f>
        <v>1920</v>
      </c>
    </row>
    <row r="54" spans="1:15" x14ac:dyDescent="0.25">
      <c r="A54" s="52" t="s">
        <v>13</v>
      </c>
      <c r="B54" cm="1">
        <f t="array" ref="B54">SUM(SUMIFS('Threat Hunts'!G2:G1001,'Threat Hunts'!M2:M1001,{"4"},'Threat Hunts'!A2:A1001,{"Persistence"}))</f>
        <v>0</v>
      </c>
      <c r="C54" cm="1">
        <f t="array" ref="C54">SUM(SUMIFS('Threat Hunts'!G2:G1001,'Threat Hunts'!M2:M1001,{"5"},'Threat Hunts'!A2:A1001,{"Persistence"}))</f>
        <v>6.67</v>
      </c>
      <c r="D54" cm="1">
        <f t="array" ref="D54">SUM(SUMIFS('Threat Hunts'!G2:G1001,'Threat Hunts'!M2:M1001,{"6"},'Threat Hunts'!A2:A1001,{"Persistence"}))</f>
        <v>1.25</v>
      </c>
      <c r="L54" s="52" t="s">
        <v>111</v>
      </c>
      <c r="M54" s="59">
        <f>ROUND(M52/M51,2)</f>
        <v>530</v>
      </c>
      <c r="N54" s="59">
        <f>ROUNDUP(N52/N51,2)</f>
        <v>2048</v>
      </c>
      <c r="O54" s="60">
        <f>ROUNDUP(O52/O51,2)</f>
        <v>790</v>
      </c>
    </row>
    <row r="55" spans="1:15" x14ac:dyDescent="0.25">
      <c r="A55" s="52" t="s">
        <v>15</v>
      </c>
      <c r="B55" cm="1">
        <f t="array" ref="B55">SUM(SUMIFS('Threat Hunts'!G2:G1001,'Threat Hunts'!M2:M1001,{"4"},'Threat Hunts'!A2:A1001,{"Privilege Escalation"}))</f>
        <v>0</v>
      </c>
      <c r="C55" cm="1">
        <f t="array" ref="C55">SUM(SUMIFS('Threat Hunts'!G2:G1001,'Threat Hunts'!M2:M1001,{"5"},'Threat Hunts'!A2:A1001,{"Privilege Escalation"}))</f>
        <v>0</v>
      </c>
      <c r="D55" cm="1">
        <f t="array" ref="D55">SUM(SUMIFS('Threat Hunts'!G2:G1001,'Threat Hunts'!M2:M1001,{"6"},'Threat Hunts'!A2:A1001,{"Privilege Escalation"}))</f>
        <v>1.5</v>
      </c>
    </row>
    <row r="56" spans="1:15" x14ac:dyDescent="0.25">
      <c r="A56" s="52" t="s">
        <v>16</v>
      </c>
      <c r="B56" cm="1">
        <f t="array" ref="B56">SUM(SUMIFS('Threat Hunts'!G2:G1001,'Threat Hunts'!M2:M1001,{"4"},'Threat Hunts'!A2:A1001,{"Defense Evasion"}))</f>
        <v>0</v>
      </c>
      <c r="C56" cm="1">
        <f t="array" ref="C56">SUM(SUMIFS('Threat Hunts'!G2:G1001,'Threat Hunts'!M2:M1001,{"5"},'Threat Hunts'!A2:A1001,{"Defense Evasion"}))</f>
        <v>0</v>
      </c>
      <c r="D56" cm="1">
        <f t="array" ref="D56">SUM(SUMIFS('Threat Hunts'!G2:G1001,'Threat Hunts'!M2:M1001,{"6"},'Threat Hunts'!A2:A1001,{"Defense Evasion"}))</f>
        <v>0</v>
      </c>
    </row>
    <row r="57" spans="1:15" x14ac:dyDescent="0.25">
      <c r="A57" s="52" t="s">
        <v>17</v>
      </c>
      <c r="B57" cm="1">
        <f t="array" ref="B57">SUM(SUMIFS('Threat Hunts'!G2:G1001,'Threat Hunts'!M2:M1001,{"4"},'Threat Hunts'!A2:A1001,{"Credential Access"}))</f>
        <v>0</v>
      </c>
      <c r="C57" cm="1">
        <f t="array" ref="C57">SUM(SUMIFS('Threat Hunts'!G2:G1001,'Threat Hunts'!M2:M1001,{"5"},'Threat Hunts'!A2:A1001,{"Credential Access"}))</f>
        <v>0</v>
      </c>
      <c r="D57" cm="1">
        <f t="array" ref="D57">SUM(SUMIFS('Threat Hunts'!G2:G1001,'Threat Hunts'!M2:M1001,{"6"},'Threat Hunts'!A2:A1001,{"Credential Access"}))</f>
        <v>14.34</v>
      </c>
    </row>
    <row r="58" spans="1:15" x14ac:dyDescent="0.25">
      <c r="A58" s="52" t="s">
        <v>53</v>
      </c>
      <c r="B58" cm="1">
        <f t="array" ref="B58">SUM(SUMIFS('Threat Hunts'!G2:G1001,'Threat Hunts'!M2:M1001,{"4"},'Threat Hunts'!A2:A1001,{"Discover"}))</f>
        <v>0</v>
      </c>
      <c r="C58" cm="1">
        <f t="array" ref="C58">SUM(SUMIFS('Threat Hunts'!G2:G1001,'Threat Hunts'!M2:M1001,{"5"},'Threat Hunts'!A2:A1001,{"Discover"}))</f>
        <v>0</v>
      </c>
      <c r="D58" cm="1">
        <f t="array" ref="D58">SUM(SUMIFS('Threat Hunts'!G2:G1001,'Threat Hunts'!M2:M1001,{"6"},'Threat Hunts'!A2:A1001,{"Discover"}))</f>
        <v>0</v>
      </c>
    </row>
    <row r="59" spans="1:15" x14ac:dyDescent="0.25">
      <c r="A59" s="52" t="s">
        <v>19</v>
      </c>
      <c r="B59" cm="1">
        <f t="array" ref="B59">SUM(SUMIFS('Threat Hunts'!G2:G1001,'Threat Hunts'!M2:M1001,{"4"},'Threat Hunts'!A2:A1001,{"Lateral Movement"}))</f>
        <v>0</v>
      </c>
      <c r="C59" cm="1">
        <f t="array" ref="C59">SUM(SUMIFS('Threat Hunts'!G2:G1001,'Threat Hunts'!M2:M1001,{"5"},'Threat Hunts'!A2:A1001,{"Lateral Movement"}))</f>
        <v>0</v>
      </c>
      <c r="D59" cm="1">
        <f t="array" ref="D59">SUM(SUMIFS('Threat Hunts'!G2:G1001,'Threat Hunts'!M2:M1001,{"6"},'Threat Hunts'!A2:A1001,{"Lateral Movement"}))</f>
        <v>0</v>
      </c>
    </row>
    <row r="60" spans="1:15" x14ac:dyDescent="0.25">
      <c r="A60" s="52" t="s">
        <v>20</v>
      </c>
      <c r="B60" cm="1">
        <f t="array" ref="B60">SUM(SUMIFS('Threat Hunts'!G2:G1001,'Threat Hunts'!M2:M1001,{"4"},'Threat Hunts'!A2:A1001,{"Collection"}))</f>
        <v>0</v>
      </c>
      <c r="C60" cm="1">
        <f t="array" ref="C60">SUM(SUMIFS('Threat Hunts'!G2:G1001,'Threat Hunts'!M2:M1001,{"5"},'Threat Hunts'!A2:A1001,{"Collection"}))</f>
        <v>0</v>
      </c>
      <c r="D60" cm="1">
        <f t="array" ref="D60">SUM(SUMIFS('Threat Hunts'!G2:G1001,'Threat Hunts'!M2:M1001,{"6"},'Threat Hunts'!A2:A1001,{"Collection"}))</f>
        <v>0</v>
      </c>
    </row>
    <row r="61" spans="1:15" x14ac:dyDescent="0.25">
      <c r="A61" s="52" t="s">
        <v>8</v>
      </c>
      <c r="B61" cm="1">
        <f t="array" ref="B61">SUM(SUMIFS('Threat Hunts'!G2:G1001,'Threat Hunts'!M2:M1001,{"4"},'Threat Hunts'!A2:A1001,{"Command &amp; Control"}))</f>
        <v>0</v>
      </c>
      <c r="C61" cm="1">
        <f t="array" ref="C61">SUM(SUMIFS('Threat Hunts'!G2:G1001,'Threat Hunts'!M2:M1001,{"5"},'Threat Hunts'!A2:A1001,{"Command &amp; Control"}))</f>
        <v>0</v>
      </c>
      <c r="D61" cm="1">
        <f t="array" ref="D61">SUM(SUMIFS('Threat Hunts'!G2:G1001,'Threat Hunts'!M2:M1001,{"6"},'Threat Hunts'!A2:A1001,{"Command &amp; Control"}))</f>
        <v>0</v>
      </c>
    </row>
    <row r="62" spans="1:15" x14ac:dyDescent="0.25">
      <c r="A62" s="52" t="s">
        <v>21</v>
      </c>
      <c r="B62" cm="1">
        <f t="array" ref="B62">SUM(SUMIFS('Threat Hunts'!G2:G1001,'Threat Hunts'!M2:M1001,{"4"},'Threat Hunts'!A2:A1001,{"Exfiltration"}))</f>
        <v>0</v>
      </c>
      <c r="C62" cm="1">
        <f t="array" ref="C62">SUM(SUMIFS('Threat Hunts'!G2:G1001,'Threat Hunts'!M2:M1001,{"5"},'Threat Hunts'!A2:A1001,{"Exfiltration"}))</f>
        <v>0</v>
      </c>
      <c r="D62" cm="1">
        <f t="array" ref="D62">SUM(SUMIFS('Threat Hunts'!G2:G1001,'Threat Hunts'!M2:M1001,{"6"},'Threat Hunts'!A2:A1001,{"Exfiltration"}))</f>
        <v>0</v>
      </c>
    </row>
    <row r="63" spans="1:15" x14ac:dyDescent="0.25">
      <c r="A63" s="52" t="s">
        <v>22</v>
      </c>
      <c r="B63" cm="1">
        <f t="array" ref="B63">SUM(SUMIFS('Threat Hunts'!G2:G1001,'Threat Hunts'!M2:M1001,{"4"},'Threat Hunts'!A2:A1001,{"Impact"}))</f>
        <v>13.67</v>
      </c>
      <c r="C63" cm="1">
        <f t="array" ref="C63">SUM(SUMIFS('Threat Hunts'!G2:G1001,'Threat Hunts'!M2:M1001,{"5"},'Threat Hunts'!A2:A1001,{"Impact"}))</f>
        <v>0</v>
      </c>
      <c r="D63" cm="1">
        <f t="array" ref="D63">SUM(SUMIFS('Threat Hunts'!G2:G1001,'Threat Hunts'!M2:M1001,{"6"},'Threat Hunts'!A2:A1001,{"Impact"}))</f>
        <v>0</v>
      </c>
    </row>
    <row r="66" spans="1:15" ht="15.75" thickBot="1" x14ac:dyDescent="0.3"/>
    <row r="67" spans="1:15" ht="34.5" thickBot="1" x14ac:dyDescent="0.3">
      <c r="A67" s="31"/>
      <c r="B67" s="32"/>
      <c r="C67" s="32" t="s">
        <v>79</v>
      </c>
      <c r="D67" s="32"/>
      <c r="E67" s="32"/>
      <c r="F67" s="32"/>
      <c r="G67" s="32"/>
      <c r="H67" s="32"/>
      <c r="I67" s="32"/>
      <c r="J67" s="32"/>
      <c r="K67" s="32"/>
      <c r="L67" s="32"/>
      <c r="M67" s="32"/>
      <c r="N67" s="32"/>
      <c r="O67" s="32"/>
    </row>
    <row r="68" spans="1:15" ht="15" customHeight="1" x14ac:dyDescent="0.25">
      <c r="A68" s="66" t="s">
        <v>98</v>
      </c>
      <c r="B68" s="66"/>
      <c r="C68" s="66"/>
      <c r="D68" s="66"/>
      <c r="E68" s="66"/>
      <c r="F68" s="66"/>
      <c r="G68" s="66"/>
      <c r="H68" s="66"/>
      <c r="I68" s="66"/>
      <c r="J68" s="67"/>
      <c r="K68" s="33"/>
      <c r="L68" s="21"/>
      <c r="M68" s="34"/>
      <c r="N68" s="21"/>
      <c r="O68" s="21"/>
    </row>
    <row r="69" spans="1:15" ht="18.75" x14ac:dyDescent="0.3">
      <c r="A69" s="68"/>
      <c r="B69" s="68"/>
      <c r="C69" s="68"/>
      <c r="D69" s="68"/>
      <c r="E69" s="68"/>
      <c r="F69" s="68"/>
      <c r="G69" s="68"/>
      <c r="H69" s="68"/>
      <c r="I69" s="68"/>
      <c r="J69" s="69"/>
      <c r="K69" s="36"/>
      <c r="M69" s="35" t="s">
        <v>83</v>
      </c>
      <c r="N69" s="21"/>
      <c r="O69" s="21"/>
    </row>
    <row r="70" spans="1:15" x14ac:dyDescent="0.25">
      <c r="A70" s="70"/>
      <c r="B70" s="70"/>
      <c r="C70" s="70"/>
      <c r="D70" s="70"/>
      <c r="E70" s="70"/>
      <c r="F70" s="70"/>
      <c r="G70" s="70"/>
      <c r="H70" s="70"/>
      <c r="I70" s="70"/>
      <c r="J70" s="71"/>
      <c r="K70" s="38"/>
      <c r="L70" s="37"/>
      <c r="M70" s="39"/>
      <c r="N70" s="40"/>
      <c r="O70" s="39"/>
    </row>
    <row r="71" spans="1:15" x14ac:dyDescent="0.25">
      <c r="A71" s="52"/>
      <c r="B71" s="52" t="s">
        <v>90</v>
      </c>
      <c r="C71" s="52" t="s">
        <v>91</v>
      </c>
      <c r="D71" s="52" t="s">
        <v>92</v>
      </c>
      <c r="M71" s="52" t="s">
        <v>90</v>
      </c>
      <c r="N71" s="52" t="s">
        <v>91</v>
      </c>
      <c r="O71" s="52" t="s">
        <v>92</v>
      </c>
    </row>
    <row r="72" spans="1:15" x14ac:dyDescent="0.25">
      <c r="A72" s="52" t="s">
        <v>6</v>
      </c>
      <c r="B72" cm="1">
        <f t="array" ref="B72">SUM(SUMIFS('Threat Hunts'!G2:G1001,'Threat Hunts'!M2:M1001,{"7"},'Threat Hunts'!A2:A1001,{"Reconnaissance"}))</f>
        <v>0</v>
      </c>
      <c r="C72" cm="1">
        <f t="array" ref="C72">SUM(SUMIFS('Threat Hunts'!G2:G1001,'Threat Hunts'!M2:M1001,{"8"},'Threat Hunts'!A2:A1001,{"Reconnaissance"}))</f>
        <v>0</v>
      </c>
      <c r="D72" cm="1">
        <f t="array" ref="D72">SUM(SUMIFS('Threat Hunts'!G2:G1001,'Threat Hunts'!M2:M1001,{"9"},'Threat Hunts'!A2:A1001,{"Reconnaissance"}))</f>
        <v>0</v>
      </c>
      <c r="L72" s="52" t="s">
        <v>110</v>
      </c>
      <c r="M72" s="59">
        <f>COUNTIFS('Threat Hunts'!M2:M1001,"7",'Threat Hunts'!I2:I1001,"1")</f>
        <v>0</v>
      </c>
      <c r="N72" s="59">
        <f>COUNTIFS('Threat Hunts'!M2:M1001,"8",'Threat Hunts'!I2:I1001,"1")</f>
        <v>1</v>
      </c>
      <c r="O72" s="60">
        <f>COUNTIFS('Threat Hunts'!M2:M1001,"9",'Threat Hunts'!I2:I1001,"1")</f>
        <v>1</v>
      </c>
    </row>
    <row r="73" spans="1:15" x14ac:dyDescent="0.25">
      <c r="A73" s="52" t="s">
        <v>52</v>
      </c>
      <c r="B73" cm="1">
        <f t="array" ref="B73">SUM(SUMIFS('Threat Hunts'!G2:G1001,'Threat Hunts'!M2:M1001,{"7"},'Threat Hunts'!A2:A1001,{"Initial Access"}))</f>
        <v>0</v>
      </c>
      <c r="C73" cm="1">
        <f t="array" ref="C73">SUM(SUMIFS('Threat Hunts'!G2:G1001,'Threat Hunts'!M2:M1001,{"8"},'Threat Hunts'!A2:A1001,{"Initial Access"}))</f>
        <v>0</v>
      </c>
      <c r="D73" cm="1">
        <f t="array" ref="D73">SUM(SUMIFS('Threat Hunts'!G2:G1001,'Threat Hunts'!M2:M1001,{"9"},'Threat Hunts'!A2:A1001,{"Initial Access"}))</f>
        <v>0</v>
      </c>
      <c r="L73" s="52" t="s">
        <v>112</v>
      </c>
      <c r="M73" s="59">
        <f>SUMIF('Threat Hunts'!M2:M1001,"7",'Threat Hunts'!H2:H1001)</f>
        <v>0</v>
      </c>
      <c r="N73" s="59">
        <f>SUMIF('Threat Hunts'!M2:M1001,"8",'Threat Hunts'!H2:H1001)</f>
        <v>2100</v>
      </c>
      <c r="O73" s="60">
        <f>SUMIF('Threat Hunts'!M2:M1001,"9",'Threat Hunts'!H2:H1001)</f>
        <v>2500</v>
      </c>
    </row>
    <row r="74" spans="1:15" x14ac:dyDescent="0.25">
      <c r="A74" s="52" t="s">
        <v>12</v>
      </c>
      <c r="B74" cm="1">
        <f t="array" ref="B74">SUM(SUMIFS('Threat Hunts'!G2:G1001,'Threat Hunts'!M2:M1001,{"7"},'Threat Hunts'!A2:A1001,{"Execution"}))</f>
        <v>0</v>
      </c>
      <c r="C74" cm="1">
        <f t="array" ref="C74">SUM(SUMIFS('Threat Hunts'!G2:G1001,'Threat Hunts'!M2:M1001,{"8"},'Threat Hunts'!A2:A1001,{"Execution"}))</f>
        <v>0</v>
      </c>
      <c r="D74" cm="1">
        <f t="array" ref="D74">SUM(SUMIFS('Threat Hunts'!G2:G1001,'Threat Hunts'!M2:M1001,{"9"},'Threat Hunts'!A2:A1001,{"Execution"}))</f>
        <v>0</v>
      </c>
      <c r="L74" s="52" t="s">
        <v>113</v>
      </c>
      <c r="M74" s="59">
        <f>_xlfn.MAXIFS('Threat Hunts'!H2:H1001,'Threat Hunts'!M2:M1001,"7")</f>
        <v>0</v>
      </c>
      <c r="N74" s="59">
        <f>_xlfn.MAXIFS('Threat Hunts'!H2:H1001,'Threat Hunts'!M2:M1001,"8")</f>
        <v>2100</v>
      </c>
      <c r="O74" s="60">
        <f>_xlfn.MAXIFS('Threat Hunts'!H2:H1001,'Threat Hunts'!M2:M1001,"9")</f>
        <v>2500</v>
      </c>
    </row>
    <row r="75" spans="1:15" x14ac:dyDescent="0.25">
      <c r="A75" s="52" t="s">
        <v>13</v>
      </c>
      <c r="B75" cm="1">
        <f t="array" ref="B75">SUM(SUMIFS('Threat Hunts'!G2:G1001,'Threat Hunts'!M2:M1001,{"7"},'Threat Hunts'!A2:A1001,{"Persistence"}))</f>
        <v>0</v>
      </c>
      <c r="C75" cm="1">
        <f t="array" ref="C75">SUM(SUMIFS('Threat Hunts'!G2:G1001,'Threat Hunts'!M2:M1001,{"8"},'Threat Hunts'!A2:A1001,{"Persistence"}))</f>
        <v>0</v>
      </c>
      <c r="D75" cm="1">
        <f t="array" ref="D75">SUM(SUMIFS('Threat Hunts'!G2:G1001,'Threat Hunts'!M2:M1001,{"9"},'Threat Hunts'!A2:A1001,{"Persistence"}))</f>
        <v>0</v>
      </c>
      <c r="L75" s="52" t="s">
        <v>111</v>
      </c>
      <c r="M75" s="59" t="e">
        <f>ROUNDUP(M73/M72,2)</f>
        <v>#DIV/0!</v>
      </c>
      <c r="N75" s="59">
        <f>ROUND(N73/N72,2)</f>
        <v>2100</v>
      </c>
      <c r="O75" s="60">
        <f>ROUNDUP(O73/O72,2)</f>
        <v>2500</v>
      </c>
    </row>
    <row r="76" spans="1:15" x14ac:dyDescent="0.25">
      <c r="A76" s="52" t="s">
        <v>15</v>
      </c>
      <c r="B76" cm="1">
        <f t="array" ref="B76">SUM(SUMIFS('Threat Hunts'!G2:G1001,'Threat Hunts'!M2:M1001,{"7"},'Threat Hunts'!A2:A1001,{"Privilege Escalation"}))</f>
        <v>0</v>
      </c>
      <c r="C76" cm="1">
        <f t="array" ref="C76">SUM(SUMIFS('Threat Hunts'!G2:G1001,'Threat Hunts'!M2:M1001,{"8"},'Threat Hunts'!A2:A1001,{"Privilege Escalation"}))</f>
        <v>0</v>
      </c>
      <c r="D76" cm="1">
        <f t="array" ref="D76">SUM(SUMIFS('Threat Hunts'!G2:G1001,'Threat Hunts'!M2:M1001,{"9"},'Threat Hunts'!A2:A1001,{"Privilege Escalation"}))</f>
        <v>0</v>
      </c>
    </row>
    <row r="77" spans="1:15" x14ac:dyDescent="0.25">
      <c r="A77" s="52" t="s">
        <v>16</v>
      </c>
      <c r="B77" cm="1">
        <f t="array" ref="B77">SUM(SUMIFS('Threat Hunts'!G2:G1001,'Threat Hunts'!M2:M1001,{"7"},'Threat Hunts'!A2:A1001,{"Defense Evasion"}))</f>
        <v>0</v>
      </c>
      <c r="C77" cm="1">
        <f t="array" ref="C77">SUM(SUMIFS('Threat Hunts'!G2:G1001,'Threat Hunts'!M2:M1001,{"8"},'Threat Hunts'!A2:A1001,{"Defense Evasion"}))</f>
        <v>1</v>
      </c>
      <c r="D77" cm="1">
        <f t="array" ref="D77">SUM(SUMIFS('Threat Hunts'!G2:G1001,'Threat Hunts'!M2:M1001,{"9"},'Threat Hunts'!A2:A1001,{"Defense Evasion"}))</f>
        <v>0</v>
      </c>
    </row>
    <row r="78" spans="1:15" x14ac:dyDescent="0.25">
      <c r="A78" s="52" t="s">
        <v>17</v>
      </c>
      <c r="B78" cm="1">
        <f t="array" ref="B78">SUM(SUMIFS('Threat Hunts'!G2:G1001,'Threat Hunts'!M2:M1001,{"7"},'Threat Hunts'!A2:A1001,{"Credential Access"}))</f>
        <v>0</v>
      </c>
      <c r="C78" cm="1">
        <f t="array" ref="C78">SUM(SUMIFS('Threat Hunts'!G2:G1001,'Threat Hunts'!M2:M1001,{"8"},'Threat Hunts'!A2:A1001,{"Credential Access"}))</f>
        <v>0</v>
      </c>
      <c r="D78" cm="1">
        <f t="array" ref="D78">SUM(SUMIFS('Threat Hunts'!G2:G1001,'Threat Hunts'!M2:M1001,{"9"},'Threat Hunts'!A2:A1001,{"Credential Access"}))</f>
        <v>6</v>
      </c>
    </row>
    <row r="79" spans="1:15" x14ac:dyDescent="0.25">
      <c r="A79" s="52" t="s">
        <v>53</v>
      </c>
      <c r="B79" cm="1">
        <f t="array" ref="B79">SUM(SUMIFS('Threat Hunts'!G2:G1001,'Threat Hunts'!M2:M1001,{"7"},'Threat Hunts'!A2:A1001,{"Discover"}))</f>
        <v>0</v>
      </c>
      <c r="C79" cm="1">
        <f t="array" ref="C79">SUM(SUMIFS('Threat Hunts'!G2:G1001,'Threat Hunts'!M2:M1001,{"8"},'Threat Hunts'!A2:A1001,{"Discover"}))</f>
        <v>0</v>
      </c>
      <c r="D79" cm="1">
        <f t="array" ref="D79">SUM(SUMIFS('Threat Hunts'!G2:G1001,'Threat Hunts'!M2:M1001,{"9"},'Threat Hunts'!A2:A1001,{"Discover"}))</f>
        <v>0</v>
      </c>
    </row>
    <row r="80" spans="1:15" x14ac:dyDescent="0.25">
      <c r="A80" s="52" t="s">
        <v>19</v>
      </c>
      <c r="B80" cm="1">
        <f t="array" ref="B80">SUM(SUMIFS('Threat Hunts'!G2:G1001,'Threat Hunts'!M2:M1001,{"7"},'Threat Hunts'!A2:A1001,{"Lateral Movement"}))</f>
        <v>0</v>
      </c>
      <c r="C80" cm="1">
        <f t="array" ref="C80">SUM(SUMIFS('Threat Hunts'!G2:G1001,'Threat Hunts'!M2:M1001,{"8"},'Threat Hunts'!A2:A1001,{"Lateral Movement"}))</f>
        <v>0</v>
      </c>
      <c r="D80" cm="1">
        <f t="array" ref="D80">SUM(SUMIFS('Threat Hunts'!G2:G1001,'Threat Hunts'!M2:M1001,{"9"},'Threat Hunts'!A2:A1001,{"Lateral Movement"}))</f>
        <v>0</v>
      </c>
    </row>
    <row r="81" spans="1:15" x14ac:dyDescent="0.25">
      <c r="A81" s="52" t="s">
        <v>20</v>
      </c>
      <c r="B81" cm="1">
        <f t="array" ref="B81">SUM(SUMIFS('Threat Hunts'!G2:G1001,'Threat Hunts'!M2:M1001,{"7"},'Threat Hunts'!A2:A1001,{"Collection"}))</f>
        <v>0</v>
      </c>
      <c r="C81" cm="1">
        <f t="array" ref="C81">SUM(SUMIFS('Threat Hunts'!G2:G1001,'Threat Hunts'!M2:M1001,{"8"},'Threat Hunts'!A2:A1001,{"Collection"}))</f>
        <v>0</v>
      </c>
      <c r="D81" cm="1">
        <f t="array" ref="D81">SUM(SUMIFS('Threat Hunts'!G2:G1001,'Threat Hunts'!M2:M1001,{"9"},'Threat Hunts'!A2:A1001,{"Collection"}))</f>
        <v>0</v>
      </c>
    </row>
    <row r="82" spans="1:15" x14ac:dyDescent="0.25">
      <c r="A82" s="52" t="s">
        <v>8</v>
      </c>
      <c r="B82" cm="1">
        <f t="array" ref="B82">SUM(SUMIFS('Threat Hunts'!G2:G1001,'Threat Hunts'!M2:M1001,{"7"},'Threat Hunts'!A2:A1001,{"Command &amp; Control"}))</f>
        <v>0</v>
      </c>
      <c r="C82" cm="1">
        <f t="array" ref="C82">SUM(SUMIFS('Threat Hunts'!G2:G1001,'Threat Hunts'!M2:M1001,{"8"},'Threat Hunts'!A2:A1001,{"Command &amp; Control"}))</f>
        <v>0</v>
      </c>
      <c r="D82" cm="1">
        <f t="array" ref="D82">SUM(SUMIFS('Threat Hunts'!G2:G1001,'Threat Hunts'!M2:M1001,{"9"},'Threat Hunts'!A2:A1001,{"Command &amp; Control"}))</f>
        <v>0</v>
      </c>
    </row>
    <row r="83" spans="1:15" x14ac:dyDescent="0.25">
      <c r="A83" s="52" t="s">
        <v>21</v>
      </c>
      <c r="B83" cm="1">
        <f t="array" ref="B83">SUM(SUMIFS('Threat Hunts'!G2:G1001,'Threat Hunts'!M2:M1001,{"7"},'Threat Hunts'!A2:A1001,{"Exfiltration"}))</f>
        <v>0</v>
      </c>
      <c r="C83" cm="1">
        <f t="array" ref="C83">SUM(SUMIFS('Threat Hunts'!G2:G1001,'Threat Hunts'!M2:M1001,{"8"},'Threat Hunts'!A2:A1001,{"Exfiltration"}))</f>
        <v>0</v>
      </c>
      <c r="D83" cm="1">
        <f t="array" ref="D83">SUM(SUMIFS('Threat Hunts'!G2:G1001,'Threat Hunts'!M2:M1001,{"9"},'Threat Hunts'!A2:A1001,{"Exfiltration"}))</f>
        <v>0</v>
      </c>
    </row>
    <row r="84" spans="1:15" x14ac:dyDescent="0.25">
      <c r="A84" s="52" t="s">
        <v>22</v>
      </c>
      <c r="B84" cm="1">
        <f t="array" ref="B84">SUM(SUMIFS('Threat Hunts'!G2:G1001,'Threat Hunts'!M2:M1001,{"7"},'Threat Hunts'!A2:A1001,{"Impact"}))</f>
        <v>0</v>
      </c>
      <c r="C84" cm="1">
        <f t="array" ref="C84">SUM(SUMIFS('Threat Hunts'!G2:G1001,'Threat Hunts'!M2:M1001,{"8"},'Threat Hunts'!A2:A1001,{"Impact"}))</f>
        <v>0</v>
      </c>
      <c r="D84" cm="1">
        <f t="array" ref="D84">SUM(SUMIFS('Threat Hunts'!G2:G1001,'Threat Hunts'!M2:M1001,{"9"},'Threat Hunts'!A2:A1001,{"Impact"}))</f>
        <v>0</v>
      </c>
    </row>
    <row r="87" spans="1:15" ht="15.75" thickBot="1" x14ac:dyDescent="0.3"/>
    <row r="88" spans="1:15" ht="34.5" thickBot="1" x14ac:dyDescent="0.3">
      <c r="A88" s="31"/>
      <c r="B88" s="32"/>
      <c r="C88" s="32" t="s">
        <v>80</v>
      </c>
      <c r="D88" s="32"/>
      <c r="E88" s="32"/>
      <c r="F88" s="32"/>
      <c r="G88" s="32"/>
      <c r="H88" s="32"/>
      <c r="I88" s="32"/>
      <c r="J88" s="32"/>
      <c r="K88" s="32"/>
      <c r="L88" s="32"/>
      <c r="M88" s="32"/>
      <c r="N88" s="32"/>
      <c r="O88" s="32"/>
    </row>
    <row r="89" spans="1:15" x14ac:dyDescent="0.25">
      <c r="A89" s="66" t="s">
        <v>99</v>
      </c>
      <c r="B89" s="66"/>
      <c r="C89" s="66"/>
      <c r="D89" s="66"/>
      <c r="E89" s="66"/>
      <c r="F89" s="66"/>
      <c r="G89" s="66"/>
      <c r="H89" s="66"/>
      <c r="I89" s="66"/>
      <c r="J89" s="67"/>
      <c r="K89" s="33"/>
      <c r="L89" s="21"/>
      <c r="M89" s="34"/>
      <c r="N89" s="21"/>
      <c r="O89" s="21"/>
    </row>
    <row r="90" spans="1:15" ht="18.75" x14ac:dyDescent="0.3">
      <c r="A90" s="72"/>
      <c r="B90" s="72"/>
      <c r="C90" s="72"/>
      <c r="D90" s="72"/>
      <c r="E90" s="72"/>
      <c r="F90" s="72"/>
      <c r="G90" s="72"/>
      <c r="H90" s="72"/>
      <c r="I90" s="72"/>
      <c r="J90" s="69"/>
      <c r="K90" s="36"/>
      <c r="M90" s="35" t="s">
        <v>84</v>
      </c>
      <c r="N90" s="21"/>
      <c r="O90" s="21"/>
    </row>
    <row r="91" spans="1:15" x14ac:dyDescent="0.25">
      <c r="A91" s="70"/>
      <c r="B91" s="70"/>
      <c r="C91" s="70"/>
      <c r="D91" s="70"/>
      <c r="E91" s="70"/>
      <c r="F91" s="70"/>
      <c r="G91" s="70"/>
      <c r="H91" s="70"/>
      <c r="I91" s="70"/>
      <c r="J91" s="71"/>
      <c r="K91" s="38"/>
      <c r="L91" s="37"/>
      <c r="M91" s="39"/>
      <c r="N91" s="40"/>
      <c r="O91" s="39"/>
    </row>
    <row r="92" spans="1:15" x14ac:dyDescent="0.25">
      <c r="A92" s="52"/>
      <c r="B92" s="52" t="s">
        <v>93</v>
      </c>
      <c r="C92" s="52" t="s">
        <v>94</v>
      </c>
      <c r="D92" s="52" t="s">
        <v>95</v>
      </c>
      <c r="M92" s="52" t="s">
        <v>93</v>
      </c>
      <c r="N92" s="52" t="s">
        <v>94</v>
      </c>
      <c r="O92" s="52" t="s">
        <v>95</v>
      </c>
    </row>
    <row r="93" spans="1:15" x14ac:dyDescent="0.25">
      <c r="A93" s="52" t="s">
        <v>6</v>
      </c>
      <c r="B93" cm="1">
        <f t="array" ref="B93">SUM(SUMIFS('Threat Hunts'!G2:G1001,'Threat Hunts'!M2:M1001,{"10"},'Threat Hunts'!A2:A1001,{"Reconnaissance"}))</f>
        <v>0</v>
      </c>
      <c r="C93" cm="1">
        <f t="array" ref="C93">SUM(SUMIFS('Threat Hunts'!G2:G1001,'Threat Hunts'!M2:M1001,{"11"},'Threat Hunts'!A2:A1001,{"Reconnaissance"}))</f>
        <v>0</v>
      </c>
      <c r="D93" cm="1">
        <f t="array" ref="D93">SUM(SUMIFS('Threat Hunts'!G2:G1001,'Threat Hunts'!M2:M1001,{"12"},'Threat Hunts'!A2:A1001,{"Reconnaissance"}))</f>
        <v>0</v>
      </c>
      <c r="L93" s="52" t="s">
        <v>110</v>
      </c>
      <c r="M93" s="59">
        <f>COUNTIFS('Threat Hunts'!M2:M1001,"10",'Threat Hunts'!I2:I1001,"1")</f>
        <v>1</v>
      </c>
      <c r="N93" s="59">
        <f>COUNTIFS('Threat Hunts'!M2:M1001,"11",'Threat Hunts'!I2:I1001,"1")</f>
        <v>2</v>
      </c>
      <c r="O93" s="60">
        <f>COUNTIFS('Threat Hunts'!M2:M1001,"12",'Threat Hunts'!I2:I1001,"1")</f>
        <v>1</v>
      </c>
    </row>
    <row r="94" spans="1:15" x14ac:dyDescent="0.25">
      <c r="A94" s="52" t="s">
        <v>52</v>
      </c>
      <c r="B94" cm="1">
        <f t="array" ref="B94">SUM(SUMIFS('Threat Hunts'!G2:G1001,'Threat Hunts'!M2:M1001,{"10"},'Threat Hunts'!A2:A1001,{"Initial Access"}))</f>
        <v>0</v>
      </c>
      <c r="C94" cm="1">
        <f t="array" ref="C94">SUM(SUMIFS('Threat Hunts'!G2:G1001,'Threat Hunts'!M2:M1001,{"11"},'Threat Hunts'!A2:A1001,{"Initial Access"}))</f>
        <v>0</v>
      </c>
      <c r="D94" cm="1">
        <f t="array" ref="D94">SUM(SUMIFS('Threat Hunts'!G2:G1001,'Threat Hunts'!M2:M1001,{"12"},'Threat Hunts'!A2:A1001,{"Initial Access"}))</f>
        <v>0</v>
      </c>
      <c r="L94" s="52" t="s">
        <v>112</v>
      </c>
      <c r="M94" s="59">
        <f>SUMIF('Threat Hunts'!M2:M1001,"10",'Threat Hunts'!H2:H1001)</f>
        <v>200</v>
      </c>
      <c r="N94" s="59">
        <f>SUMIF('Threat Hunts'!M2:M1001,"11",'Threat Hunts'!H2:H1001)</f>
        <v>45</v>
      </c>
      <c r="O94" s="60">
        <f>SUMIF('Threat Hunts'!M2:M1001,"12",'Threat Hunts'!H2:H1001)</f>
        <v>525</v>
      </c>
    </row>
    <row r="95" spans="1:15" x14ac:dyDescent="0.25">
      <c r="A95" s="52" t="s">
        <v>12</v>
      </c>
      <c r="B95" cm="1">
        <f t="array" ref="B95">SUM(SUMIFS('Threat Hunts'!G2:G1001,'Threat Hunts'!M2:M1001,{"10"},'Threat Hunts'!A2:A1001,{"Execution"}))</f>
        <v>0</v>
      </c>
      <c r="C95" cm="1">
        <f t="array" ref="C95">SUM(SUMIFS('Threat Hunts'!G2:G1001,'Threat Hunts'!M2:M1001,{"11"},'Threat Hunts'!A2:A1001,{"Execution"}))</f>
        <v>0</v>
      </c>
      <c r="D95" cm="1">
        <f t="array" ref="D95">SUM(SUMIFS('Threat Hunts'!G2:G1001,'Threat Hunts'!M2:M1001,{"12"},'Threat Hunts'!A2:A1001,{"Execution"}))</f>
        <v>0</v>
      </c>
      <c r="L95" s="52" t="s">
        <v>113</v>
      </c>
      <c r="M95" s="59">
        <f>_xlfn.MAXIFS('Threat Hunts'!H2:H1001,'Threat Hunts'!M2:M1001,"10")</f>
        <v>200</v>
      </c>
      <c r="N95" s="59">
        <f>_xlfn.MAXIFS('Threat Hunts'!H2:H1001,'Threat Hunts'!M2:M1001,"11")</f>
        <v>30</v>
      </c>
      <c r="O95" s="60">
        <f>_xlfn.MAXIFS('Threat Hunts'!H2:H1001,'Threat Hunts'!M2:M1001,"12")</f>
        <v>525</v>
      </c>
    </row>
    <row r="96" spans="1:15" x14ac:dyDescent="0.25">
      <c r="A96" s="52" t="s">
        <v>13</v>
      </c>
      <c r="B96" cm="1">
        <f t="array" ref="B96">SUM(SUMIFS('Threat Hunts'!G2:G1001,'Threat Hunts'!M2:M1001,{"10"},'Threat Hunts'!A2:A1001,{"Persistence"}))</f>
        <v>0</v>
      </c>
      <c r="C96" cm="1">
        <f t="array" ref="C96">SUM(SUMIFS('Threat Hunts'!G2:G1001,'Threat Hunts'!M2:M1001,{"11"},'Threat Hunts'!A2:A1001,{"Persistence"}))</f>
        <v>0</v>
      </c>
      <c r="D96" cm="1">
        <f t="array" ref="D96">SUM(SUMIFS('Threat Hunts'!G2:G1001,'Threat Hunts'!M2:M1001,{"12"},'Threat Hunts'!A2:A1001,{"Persistence"}))</f>
        <v>0</v>
      </c>
      <c r="L96" s="52" t="s">
        <v>111</v>
      </c>
      <c r="M96" s="59">
        <f>ROUNDUP(M94/M93,2)</f>
        <v>200</v>
      </c>
      <c r="N96" s="59">
        <f>ROUNDUP(N94/N93,2)</f>
        <v>22.5</v>
      </c>
      <c r="O96" s="60">
        <f>ROUNDUP(O94/O93,2)</f>
        <v>525</v>
      </c>
    </row>
    <row r="97" spans="1:4" x14ac:dyDescent="0.25">
      <c r="A97" s="52" t="s">
        <v>15</v>
      </c>
      <c r="B97" cm="1">
        <f t="array" ref="B97">SUM(SUMIFS('Threat Hunts'!G2:G1001,'Threat Hunts'!M2:M1001,{"10"},'Threat Hunts'!A2:A1001,{"Privilege Escalation"}))</f>
        <v>0</v>
      </c>
      <c r="C97" cm="1">
        <f t="array" ref="C97">SUM(SUMIFS('Threat Hunts'!G2:G1001,'Threat Hunts'!M2:M1001,{"11"},'Threat Hunts'!A2:A1001,{"Privilege Escalation"}))</f>
        <v>0</v>
      </c>
      <c r="D97" cm="1">
        <f t="array" ref="D97">SUM(SUMIFS('Threat Hunts'!G2:G1001,'Threat Hunts'!M2:M1001,{"12"},'Threat Hunts'!A2:A1001,{"Privilege Escalation"}))</f>
        <v>0</v>
      </c>
    </row>
    <row r="98" spans="1:4" x14ac:dyDescent="0.25">
      <c r="A98" s="52" t="s">
        <v>16</v>
      </c>
      <c r="B98" cm="1">
        <f t="array" ref="B98">SUM(SUMIFS('Threat Hunts'!G2:G1001,'Threat Hunts'!M2:M1001,{"10"},'Threat Hunts'!A2:A1001,{"Defense Evasion"}))</f>
        <v>0</v>
      </c>
      <c r="C98" cm="1">
        <f t="array" ref="C98">SUM(SUMIFS('Threat Hunts'!G2:G1001,'Threat Hunts'!M2:M1001,{"11"},'Threat Hunts'!A2:A1001,{"Defense Evasion"}))</f>
        <v>0</v>
      </c>
      <c r="D98" cm="1">
        <f t="array" ref="D98">SUM(SUMIFS('Threat Hunts'!G2:G1001,'Threat Hunts'!M2:M1001,{"12"},'Threat Hunts'!A2:A1001,{"Defense Evasion"}))</f>
        <v>0</v>
      </c>
    </row>
    <row r="99" spans="1:4" x14ac:dyDescent="0.25">
      <c r="A99" s="52" t="s">
        <v>17</v>
      </c>
      <c r="B99" cm="1">
        <f t="array" ref="B99">SUM(SUMIFS('Threat Hunts'!G2:G1001,'Threat Hunts'!M2:M1001,{"10"},'Threat Hunts'!A2:A1001,{"Credential Access"}))</f>
        <v>0</v>
      </c>
      <c r="C99" cm="1">
        <f t="array" ref="C99">SUM(SUMIFS('Threat Hunts'!G2:G1001,'Threat Hunts'!M2:M1001,{"11"},'Threat Hunts'!A2:A1001,{"Credential Access"}))</f>
        <v>0</v>
      </c>
      <c r="D99" cm="1">
        <f t="array" ref="D99">SUM(SUMIFS('Threat Hunts'!G2:G1001,'Threat Hunts'!M2:M1001,{"12"},'Threat Hunts'!A2:A1001,{"Credential Access"}))</f>
        <v>0</v>
      </c>
    </row>
    <row r="100" spans="1:4" x14ac:dyDescent="0.25">
      <c r="A100" s="52" t="s">
        <v>53</v>
      </c>
      <c r="B100" cm="1">
        <f t="array" ref="B100">SUM(SUMIFS('Threat Hunts'!G2:G1001,'Threat Hunts'!M2:M1001,{"10"},'Threat Hunts'!A2:A1001,{"Discover"}))</f>
        <v>7</v>
      </c>
      <c r="C100" cm="1">
        <f t="array" ref="C100">SUM(SUMIFS('Threat Hunts'!G2:G1001,'Threat Hunts'!M2:M1001,{"11"},'Threat Hunts'!A2:A1001,{"Discover"}))</f>
        <v>0</v>
      </c>
      <c r="D100" cm="1">
        <f t="array" ref="D100">SUM(SUMIFS('Threat Hunts'!G2:G1001,'Threat Hunts'!M2:M1001,{"12"},'Threat Hunts'!A2:A1001,{"Discover"}))</f>
        <v>0</v>
      </c>
    </row>
    <row r="101" spans="1:4" x14ac:dyDescent="0.25">
      <c r="A101" s="52" t="s">
        <v>19</v>
      </c>
      <c r="B101" cm="1">
        <f t="array" ref="B101">SUM(SUMIFS('Threat Hunts'!G2:G1001,'Threat Hunts'!M2:M1001,{"10"},'Threat Hunts'!A2:A1001,{"Lateral Movement"}))</f>
        <v>0</v>
      </c>
      <c r="C101" cm="1">
        <f t="array" ref="C101">SUM(SUMIFS('Threat Hunts'!G2:G1001,'Threat Hunts'!M2:M1001,{"11"},'Threat Hunts'!A2:A1001,{"Lateral Movement"}))</f>
        <v>0.75</v>
      </c>
      <c r="D101" cm="1">
        <f t="array" ref="D101">SUM(SUMIFS('Threat Hunts'!G2:G1001,'Threat Hunts'!M2:M1001,{"12"},'Threat Hunts'!A2:A1001,{"Lateral Movement"}))</f>
        <v>0</v>
      </c>
    </row>
    <row r="102" spans="1:4" x14ac:dyDescent="0.25">
      <c r="A102" s="52" t="s">
        <v>20</v>
      </c>
      <c r="B102" cm="1">
        <f t="array" ref="B102">SUM(SUMIFS('Threat Hunts'!G2:G1001,'Threat Hunts'!M2:M1001,{"10"},'Threat Hunts'!A2:A1001,{"Collection"}))</f>
        <v>0</v>
      </c>
      <c r="C102" cm="1">
        <f t="array" ref="C102">SUM(SUMIFS('Threat Hunts'!G2:G1001,'Threat Hunts'!M2:M1001,{"11"},'Threat Hunts'!A2:A1001,{"Collection"}))</f>
        <v>0</v>
      </c>
      <c r="D102" cm="1">
        <f t="array" ref="D102">SUM(SUMIFS('Threat Hunts'!G2:G1001,'Threat Hunts'!M2:M1001,{"12"},'Threat Hunts'!A2:A1001,{"Collection"}))</f>
        <v>0.5</v>
      </c>
    </row>
    <row r="103" spans="1:4" x14ac:dyDescent="0.25">
      <c r="A103" s="52" t="s">
        <v>8</v>
      </c>
      <c r="B103" cm="1">
        <f t="array" ref="B103">SUM(SUMIFS('Threat Hunts'!G2:G1001,'Threat Hunts'!M2:M1001,{"10"},'Threat Hunts'!A2:A1001,{"Command &amp; Control"}))</f>
        <v>0</v>
      </c>
      <c r="C103" cm="1">
        <f t="array" ref="C103">SUM(SUMIFS('Threat Hunts'!G2:G1001,'Threat Hunts'!M2:M1001,{"11"},'Threat Hunts'!A2:A1001,{"Command &amp; Control"}))</f>
        <v>0</v>
      </c>
      <c r="D103" cm="1">
        <f t="array" ref="D103">SUM(SUMIFS('Threat Hunts'!G2:G1001,'Threat Hunts'!M2:M1001,{"12"},'Threat Hunts'!A2:A1001,{"Command &amp; Control"}))</f>
        <v>0</v>
      </c>
    </row>
    <row r="104" spans="1:4" x14ac:dyDescent="0.25">
      <c r="A104" s="52" t="s">
        <v>21</v>
      </c>
      <c r="B104" cm="1">
        <f t="array" ref="B104">SUM(SUMIFS('Threat Hunts'!G2:G1001,'Threat Hunts'!M2:M1001,{"10"},'Threat Hunts'!A2:A1001,{"Exfiltration"}))</f>
        <v>0</v>
      </c>
      <c r="C104" cm="1">
        <f t="array" ref="C104">SUM(SUMIFS('Threat Hunts'!G2:G1001,'Threat Hunts'!M2:M1001,{"11"},'Threat Hunts'!A2:A1001,{"Exfiltration"}))</f>
        <v>11.17</v>
      </c>
      <c r="D104" cm="1">
        <f t="array" ref="D104">SUM(SUMIFS('Threat Hunts'!G2:G1001,'Threat Hunts'!M2:M1001,{"12"},'Threat Hunts'!A2:A1001,{"Exfiltration"}))</f>
        <v>0</v>
      </c>
    </row>
    <row r="105" spans="1:4" x14ac:dyDescent="0.25">
      <c r="A105" s="52" t="s">
        <v>22</v>
      </c>
      <c r="B105" cm="1">
        <f t="array" ref="B105">SUM(SUMIFS('Threat Hunts'!G2:G1001,'Threat Hunts'!M2:M1001,{"10"},'Threat Hunts'!A2:A1001,{"Impact"}))</f>
        <v>0</v>
      </c>
      <c r="C105" cm="1">
        <f t="array" ref="C105">SUM(SUMIFS('Threat Hunts'!G2:G1001,'Threat Hunts'!M2:M1001,{"11"},'Threat Hunts'!A2:A1001,{"Impact"}))</f>
        <v>0</v>
      </c>
      <c r="D105" cm="1">
        <f t="array" ref="D105">SUM(SUMIFS('Threat Hunts'!G2:G1001,'Threat Hunts'!M2:M1001,{"12"},'Threat Hunts'!A2:A1001,{"Impact"}))</f>
        <v>0</v>
      </c>
    </row>
  </sheetData>
  <mergeCells count="25">
    <mergeCell ref="L14:O14"/>
    <mergeCell ref="A2:B2"/>
    <mergeCell ref="L2:O2"/>
    <mergeCell ref="A3:B16"/>
    <mergeCell ref="L3:O3"/>
    <mergeCell ref="L4:O4"/>
    <mergeCell ref="L5:O5"/>
    <mergeCell ref="L6:O6"/>
    <mergeCell ref="L7:O7"/>
    <mergeCell ref="L8:O8"/>
    <mergeCell ref="L16:O16"/>
    <mergeCell ref="L9:O9"/>
    <mergeCell ref="L10:O10"/>
    <mergeCell ref="L11:O11"/>
    <mergeCell ref="L12:O12"/>
    <mergeCell ref="L13:O13"/>
    <mergeCell ref="A68:J70"/>
    <mergeCell ref="A89:J91"/>
    <mergeCell ref="L15:O15"/>
    <mergeCell ref="C20:D20"/>
    <mergeCell ref="C21:D21"/>
    <mergeCell ref="C22:D22"/>
    <mergeCell ref="C23:D23"/>
    <mergeCell ref="A47:J49"/>
    <mergeCell ref="A26:J28"/>
  </mergeCells>
  <conditionalFormatting sqref="F2:K2">
    <cfRule type="colorScale" priority="1">
      <colorScale>
        <cfvo type="min"/>
        <cfvo type="percentile" val="50"/>
        <cfvo type="max"/>
        <color rgb="FFF8696B"/>
        <color rgb="FFFFEB84"/>
        <color rgb="FF63BE7B"/>
      </colorScale>
    </cfRule>
  </conditionalFormatting>
  <hyperlinks>
    <hyperlink ref="D3" r:id="rId1" xr:uid="{A03E546C-6B25-4F82-96AE-64074C073848}"/>
    <hyperlink ref="D4" r:id="rId2" xr:uid="{EF628E36-A3FF-4600-87E1-E9D93BE3AFE5}"/>
    <hyperlink ref="D5" r:id="rId3" xr:uid="{1EB9D7C2-3B81-4385-92E6-CD5F2CFFA26C}"/>
    <hyperlink ref="D6" r:id="rId4" xr:uid="{55E8FA87-96C9-405E-A61C-860032B69CEB}"/>
    <hyperlink ref="D7" r:id="rId5" xr:uid="{CF4410D0-0506-409A-B1B1-95BF8852D450}"/>
    <hyperlink ref="D8" r:id="rId6" xr:uid="{FC99CFC7-FF0C-471D-897C-87729AD27B49}"/>
    <hyperlink ref="D9" r:id="rId7" xr:uid="{F867446C-1914-4E73-A915-27F35C67CCB3}"/>
    <hyperlink ref="D10" r:id="rId8" xr:uid="{9CD62AA2-F685-4748-BEB3-2E8DC0917780}"/>
    <hyperlink ref="D11" r:id="rId9" xr:uid="{122CCD96-1A8E-4F4E-9995-5B6B023A726A}"/>
    <hyperlink ref="D12" r:id="rId10" xr:uid="{BE64A62C-15EC-41E7-8352-8714C1BF3E7A}"/>
    <hyperlink ref="D13" r:id="rId11" xr:uid="{B92687FA-C399-47A2-B4D3-0C7E7562623D}"/>
    <hyperlink ref="D14" r:id="rId12" xr:uid="{BFD13E4C-A242-41E5-842D-E671B48C5D11}"/>
    <hyperlink ref="D15" r:id="rId13" xr:uid="{B2138E91-BC66-4E75-B2BF-51C3E0A31578}"/>
    <hyperlink ref="D16" r:id="rId14" xr:uid="{23068DE5-C45C-4453-B26E-13CD54CFE0DC}"/>
  </hyperlinks>
  <pageMargins left="0.7" right="0.7" top="0.75" bottom="0.75" header="0.3" footer="0.3"/>
  <pageSetup orientation="portrait" r:id="rId15"/>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E63B-B824-45A7-A392-94DD6191B714}">
  <sheetPr>
    <tabColor rgb="FFFFC000"/>
  </sheetPr>
  <dimension ref="A1:N1001"/>
  <sheetViews>
    <sheetView workbookViewId="0">
      <selection activeCell="C1" sqref="C1:C1048576"/>
    </sheetView>
  </sheetViews>
  <sheetFormatPr defaultRowHeight="15" x14ac:dyDescent="0.25"/>
  <cols>
    <col min="1" max="1" width="22.140625" bestFit="1" customWidth="1"/>
    <col min="3" max="3" width="18.140625" bestFit="1" customWidth="1"/>
    <col min="4" max="5" width="18.28515625" customWidth="1"/>
    <col min="6" max="6" width="16" bestFit="1" customWidth="1"/>
    <col min="7" max="7" width="16" customWidth="1"/>
    <col min="8" max="8" width="16" bestFit="1" customWidth="1"/>
    <col min="9" max="9" width="14.42578125" bestFit="1" customWidth="1"/>
    <col min="10" max="10" width="19.7109375" bestFit="1" customWidth="1"/>
    <col min="11" max="11" width="18.140625" customWidth="1"/>
    <col min="12" max="12" width="18.5703125" customWidth="1"/>
    <col min="13" max="13" width="13.85546875" customWidth="1"/>
    <col min="14" max="14" width="39.5703125" customWidth="1"/>
  </cols>
  <sheetData>
    <row r="1" spans="1:14" ht="45" x14ac:dyDescent="0.25">
      <c r="A1" s="48" t="s">
        <v>14</v>
      </c>
      <c r="B1" s="49" t="s">
        <v>54</v>
      </c>
      <c r="C1" s="48" t="s">
        <v>69</v>
      </c>
      <c r="D1" s="48" t="s">
        <v>70</v>
      </c>
      <c r="E1" s="48" t="s">
        <v>76</v>
      </c>
      <c r="F1" s="48" t="s">
        <v>71</v>
      </c>
      <c r="G1" s="48" t="s">
        <v>102</v>
      </c>
      <c r="H1" s="50" t="s">
        <v>103</v>
      </c>
      <c r="I1" s="51" t="s">
        <v>72</v>
      </c>
      <c r="J1" s="51" t="s">
        <v>74</v>
      </c>
      <c r="K1" s="51" t="s">
        <v>75</v>
      </c>
      <c r="L1" s="51" t="s">
        <v>73</v>
      </c>
      <c r="M1" s="51" t="s">
        <v>109</v>
      </c>
      <c r="N1" s="51" t="s">
        <v>114</v>
      </c>
    </row>
    <row r="2" spans="1:14" x14ac:dyDescent="0.25">
      <c r="A2" t="s">
        <v>6</v>
      </c>
      <c r="B2" t="str">
        <f>VLOOKUP(A2,Data!$A$2:$B$16,2,FALSE)</f>
        <v>TA0043</v>
      </c>
      <c r="C2" s="58">
        <v>44576</v>
      </c>
      <c r="F2">
        <v>220</v>
      </c>
      <c r="G2">
        <f>ROUNDUP(F2/60,2)</f>
        <v>3.67</v>
      </c>
      <c r="H2">
        <v>168</v>
      </c>
      <c r="I2">
        <v>1</v>
      </c>
      <c r="J2">
        <v>3</v>
      </c>
      <c r="K2">
        <v>2</v>
      </c>
      <c r="L2">
        <v>0</v>
      </c>
      <c r="M2" cm="1">
        <f t="array" ref="M2:M1001">MONTH($C$2:$C$1001)</f>
        <v>1</v>
      </c>
    </row>
    <row r="3" spans="1:14" x14ac:dyDescent="0.25">
      <c r="A3" t="s">
        <v>10</v>
      </c>
      <c r="B3" t="str">
        <f>VLOOKUP(A3,Data!$A$2:$B$16,2,FALSE)</f>
        <v>TA0042</v>
      </c>
      <c r="C3" s="58">
        <v>44604</v>
      </c>
      <c r="F3">
        <v>460</v>
      </c>
      <c r="G3">
        <f t="shared" ref="G3:G66" si="0">ROUNDUP(F3/60,2)</f>
        <v>7.67</v>
      </c>
      <c r="H3">
        <v>92</v>
      </c>
      <c r="I3">
        <v>1</v>
      </c>
      <c r="J3">
        <v>2</v>
      </c>
      <c r="K3">
        <v>1</v>
      </c>
      <c r="L3">
        <v>0</v>
      </c>
      <c r="M3">
        <v>2</v>
      </c>
    </row>
    <row r="4" spans="1:14" x14ac:dyDescent="0.25">
      <c r="A4" t="s">
        <v>11</v>
      </c>
      <c r="B4" t="str">
        <f>VLOOKUP(A4,Data!$A$2:$B$16,2,FALSE)</f>
        <v>TA0001</v>
      </c>
      <c r="C4" s="58">
        <v>44621</v>
      </c>
      <c r="F4">
        <v>1024</v>
      </c>
      <c r="G4">
        <f t="shared" si="0"/>
        <v>17.07</v>
      </c>
      <c r="H4">
        <v>720</v>
      </c>
      <c r="I4">
        <v>1</v>
      </c>
      <c r="J4">
        <v>4</v>
      </c>
      <c r="K4">
        <v>0</v>
      </c>
      <c r="L4">
        <v>0</v>
      </c>
      <c r="M4">
        <v>3</v>
      </c>
    </row>
    <row r="5" spans="1:14" x14ac:dyDescent="0.25">
      <c r="A5" t="s">
        <v>12</v>
      </c>
      <c r="B5" t="str">
        <f>VLOOKUP(A5,Data!$A$2:$B$16,2,FALSE)</f>
        <v>TA0002</v>
      </c>
      <c r="C5" s="58">
        <v>44655</v>
      </c>
      <c r="F5">
        <v>120</v>
      </c>
      <c r="G5">
        <f t="shared" si="0"/>
        <v>2</v>
      </c>
      <c r="H5">
        <v>1024</v>
      </c>
      <c r="I5">
        <v>1</v>
      </c>
      <c r="J5">
        <v>0</v>
      </c>
      <c r="K5">
        <v>0</v>
      </c>
      <c r="L5">
        <v>0</v>
      </c>
      <c r="M5">
        <v>4</v>
      </c>
    </row>
    <row r="6" spans="1:14" x14ac:dyDescent="0.25">
      <c r="A6" t="s">
        <v>13</v>
      </c>
      <c r="B6" t="str">
        <f>VLOOKUP(A6,Data!$A$2:$B$16,2,FALSE)</f>
        <v>TA0003</v>
      </c>
      <c r="C6" s="58">
        <v>44682</v>
      </c>
      <c r="F6">
        <v>400</v>
      </c>
      <c r="G6">
        <f t="shared" si="0"/>
        <v>6.67</v>
      </c>
      <c r="H6">
        <v>2048</v>
      </c>
      <c r="I6">
        <v>1</v>
      </c>
      <c r="J6">
        <v>0</v>
      </c>
      <c r="K6">
        <v>0</v>
      </c>
      <c r="L6">
        <v>1</v>
      </c>
      <c r="M6">
        <v>5</v>
      </c>
    </row>
    <row r="7" spans="1:14" x14ac:dyDescent="0.25">
      <c r="A7" t="s">
        <v>15</v>
      </c>
      <c r="B7" t="str">
        <f>VLOOKUP(A7,Data!$A$2:$B$16,2,FALSE)</f>
        <v>TA0004</v>
      </c>
      <c r="C7" s="58">
        <v>44719</v>
      </c>
      <c r="F7">
        <v>90</v>
      </c>
      <c r="G7">
        <f t="shared" si="0"/>
        <v>1.5</v>
      </c>
      <c r="H7">
        <v>1920</v>
      </c>
      <c r="I7">
        <v>1</v>
      </c>
      <c r="J7">
        <v>0</v>
      </c>
      <c r="K7">
        <v>1</v>
      </c>
      <c r="L7">
        <v>0</v>
      </c>
      <c r="M7">
        <v>6</v>
      </c>
    </row>
    <row r="8" spans="1:14" x14ac:dyDescent="0.25">
      <c r="A8" t="s">
        <v>16</v>
      </c>
      <c r="B8" t="str">
        <f>VLOOKUP(A8,Data!$A$2:$B$16,2,FALSE)</f>
        <v>TA0005</v>
      </c>
      <c r="C8" s="58">
        <v>44781</v>
      </c>
      <c r="F8">
        <v>60</v>
      </c>
      <c r="G8">
        <f t="shared" si="0"/>
        <v>1</v>
      </c>
      <c r="H8">
        <v>2100</v>
      </c>
      <c r="I8">
        <v>1</v>
      </c>
      <c r="J8">
        <v>0</v>
      </c>
      <c r="K8">
        <v>5</v>
      </c>
      <c r="L8">
        <v>0</v>
      </c>
      <c r="M8">
        <v>8</v>
      </c>
    </row>
    <row r="9" spans="1:14" x14ac:dyDescent="0.25">
      <c r="A9" t="s">
        <v>17</v>
      </c>
      <c r="B9" t="str">
        <f>VLOOKUP(A9,Data!$A$2:$B$16,2,FALSE)</f>
        <v>TA0006</v>
      </c>
      <c r="C9" s="58">
        <v>44805</v>
      </c>
      <c r="F9">
        <v>360</v>
      </c>
      <c r="G9">
        <f t="shared" si="0"/>
        <v>6</v>
      </c>
      <c r="H9">
        <v>2500</v>
      </c>
      <c r="I9">
        <v>1</v>
      </c>
      <c r="J9">
        <v>0</v>
      </c>
      <c r="K9">
        <v>0</v>
      </c>
      <c r="L9">
        <v>3</v>
      </c>
      <c r="M9">
        <v>9</v>
      </c>
    </row>
    <row r="10" spans="1:14" x14ac:dyDescent="0.25">
      <c r="A10" t="s">
        <v>53</v>
      </c>
      <c r="B10" t="str">
        <f>VLOOKUP(A10,Data!$A$2:$B$16,2,FALSE)</f>
        <v>TA0007</v>
      </c>
      <c r="C10" s="58">
        <v>44836</v>
      </c>
      <c r="F10">
        <v>420</v>
      </c>
      <c r="G10">
        <f t="shared" si="0"/>
        <v>7</v>
      </c>
      <c r="H10">
        <v>200</v>
      </c>
      <c r="I10">
        <v>1</v>
      </c>
      <c r="J10">
        <v>0</v>
      </c>
      <c r="K10">
        <v>0</v>
      </c>
      <c r="L10">
        <v>0</v>
      </c>
      <c r="M10">
        <v>10</v>
      </c>
    </row>
    <row r="11" spans="1:14" x14ac:dyDescent="0.25">
      <c r="A11" t="s">
        <v>19</v>
      </c>
      <c r="B11" t="str">
        <f>VLOOKUP(A11,Data!$A$2:$B$16,2,FALSE)</f>
        <v>TA0008</v>
      </c>
      <c r="C11" s="58">
        <v>44876</v>
      </c>
      <c r="F11">
        <v>45</v>
      </c>
      <c r="G11">
        <f t="shared" si="0"/>
        <v>0.75</v>
      </c>
      <c r="H11">
        <v>30</v>
      </c>
      <c r="I11">
        <v>1</v>
      </c>
      <c r="J11">
        <v>0</v>
      </c>
      <c r="K11">
        <v>0</v>
      </c>
      <c r="L11">
        <v>0</v>
      </c>
      <c r="M11">
        <v>11</v>
      </c>
    </row>
    <row r="12" spans="1:14" x14ac:dyDescent="0.25">
      <c r="A12" t="s">
        <v>20</v>
      </c>
      <c r="B12" t="str">
        <f>VLOOKUP(A12,Data!$A$2:$B$16,2,FALSE)</f>
        <v>TA0009</v>
      </c>
      <c r="C12" s="58">
        <v>44907</v>
      </c>
      <c r="F12">
        <v>30</v>
      </c>
      <c r="G12">
        <f t="shared" si="0"/>
        <v>0.5</v>
      </c>
      <c r="H12">
        <v>525</v>
      </c>
      <c r="I12">
        <v>1</v>
      </c>
      <c r="J12">
        <v>1</v>
      </c>
      <c r="K12">
        <v>1</v>
      </c>
      <c r="L12">
        <v>0</v>
      </c>
      <c r="M12">
        <v>12</v>
      </c>
    </row>
    <row r="13" spans="1:14" x14ac:dyDescent="0.25">
      <c r="A13" t="s">
        <v>8</v>
      </c>
      <c r="B13" t="str">
        <f>VLOOKUP(A13,Data!$A$2:$B$16,2,FALSE)</f>
        <v>TA0011</v>
      </c>
      <c r="C13" s="58">
        <v>44594</v>
      </c>
      <c r="F13">
        <v>250</v>
      </c>
      <c r="G13">
        <f t="shared" si="0"/>
        <v>4.17</v>
      </c>
      <c r="H13">
        <v>2769</v>
      </c>
      <c r="I13">
        <v>1</v>
      </c>
      <c r="J13">
        <v>0</v>
      </c>
      <c r="K13">
        <v>0</v>
      </c>
      <c r="L13">
        <v>0</v>
      </c>
      <c r="M13">
        <v>2</v>
      </c>
    </row>
    <row r="14" spans="1:14" x14ac:dyDescent="0.25">
      <c r="A14" t="s">
        <v>21</v>
      </c>
      <c r="B14" t="str">
        <f>VLOOKUP(A14,Data!$A$2:$B$16,2,FALSE)</f>
        <v>TA0010</v>
      </c>
      <c r="C14" s="58">
        <v>44876</v>
      </c>
      <c r="F14">
        <v>670</v>
      </c>
      <c r="G14">
        <f t="shared" si="0"/>
        <v>11.17</v>
      </c>
      <c r="H14">
        <v>15</v>
      </c>
      <c r="I14">
        <v>1</v>
      </c>
      <c r="J14">
        <v>2</v>
      </c>
      <c r="K14">
        <v>0</v>
      </c>
      <c r="L14">
        <v>3</v>
      </c>
      <c r="M14">
        <v>11</v>
      </c>
    </row>
    <row r="15" spans="1:14" x14ac:dyDescent="0.25">
      <c r="A15" t="s">
        <v>22</v>
      </c>
      <c r="B15" t="str">
        <f>VLOOKUP(A15,Data!$A$2:$B$16,2,FALSE)</f>
        <v>TA0040</v>
      </c>
      <c r="C15" s="58">
        <v>44673</v>
      </c>
      <c r="F15">
        <v>820</v>
      </c>
      <c r="G15">
        <f t="shared" si="0"/>
        <v>13.67</v>
      </c>
      <c r="H15">
        <v>36</v>
      </c>
      <c r="I15">
        <v>1</v>
      </c>
      <c r="J15">
        <v>0</v>
      </c>
      <c r="K15">
        <v>0</v>
      </c>
      <c r="L15">
        <v>0</v>
      </c>
      <c r="M15">
        <v>4</v>
      </c>
    </row>
    <row r="16" spans="1:14" x14ac:dyDescent="0.25">
      <c r="A16" t="s">
        <v>17</v>
      </c>
      <c r="B16" t="str">
        <f>VLOOKUP(A16,Data!$A$2:$B$16,2,FALSE)</f>
        <v>TA0006</v>
      </c>
      <c r="C16" s="58">
        <v>44724</v>
      </c>
      <c r="F16">
        <v>860</v>
      </c>
      <c r="G16">
        <f t="shared" si="0"/>
        <v>14.34</v>
      </c>
      <c r="H16">
        <v>420</v>
      </c>
      <c r="I16">
        <v>1</v>
      </c>
      <c r="J16">
        <v>0</v>
      </c>
      <c r="K16">
        <v>2</v>
      </c>
      <c r="L16">
        <v>1</v>
      </c>
      <c r="M16">
        <v>6</v>
      </c>
    </row>
    <row r="17" spans="1:13" x14ac:dyDescent="0.25">
      <c r="A17" t="s">
        <v>21</v>
      </c>
      <c r="B17" t="str">
        <f>VLOOKUP(A17,Data!$A$2:$B$16,2,FALSE)</f>
        <v>TA0010</v>
      </c>
      <c r="C17" s="58">
        <v>44562</v>
      </c>
      <c r="F17">
        <v>78</v>
      </c>
      <c r="G17">
        <f t="shared" si="0"/>
        <v>1.3</v>
      </c>
      <c r="H17">
        <v>720</v>
      </c>
      <c r="I17">
        <v>1</v>
      </c>
      <c r="J17">
        <v>1</v>
      </c>
      <c r="K17">
        <v>3</v>
      </c>
      <c r="L17">
        <v>0</v>
      </c>
      <c r="M17">
        <v>1</v>
      </c>
    </row>
    <row r="18" spans="1:13" x14ac:dyDescent="0.25">
      <c r="B18" t="e">
        <f>VLOOKUP(A18,Data!$A$2:$B$16,2,FALSE)</f>
        <v>#N/A</v>
      </c>
      <c r="C18" s="58">
        <v>44757</v>
      </c>
      <c r="G18">
        <f t="shared" si="0"/>
        <v>0</v>
      </c>
      <c r="M18">
        <v>7</v>
      </c>
    </row>
    <row r="19" spans="1:13" x14ac:dyDescent="0.25">
      <c r="B19" t="e">
        <f>VLOOKUP(A19,Data!$A$2:$B$16,2,FALSE)</f>
        <v>#N/A</v>
      </c>
      <c r="C19" s="58"/>
      <c r="G19">
        <f t="shared" si="0"/>
        <v>0</v>
      </c>
      <c r="M19">
        <v>1</v>
      </c>
    </row>
    <row r="20" spans="1:13" x14ac:dyDescent="0.25">
      <c r="A20" t="s">
        <v>13</v>
      </c>
      <c r="B20" t="str">
        <f>VLOOKUP(A20,Data!$A$2:$B$16,2,FALSE)</f>
        <v>TA0003</v>
      </c>
      <c r="C20" s="58">
        <v>44714</v>
      </c>
      <c r="F20">
        <v>75</v>
      </c>
      <c r="G20">
        <f t="shared" si="0"/>
        <v>1.25</v>
      </c>
      <c r="H20">
        <v>30</v>
      </c>
      <c r="I20">
        <v>1</v>
      </c>
      <c r="J20">
        <v>0</v>
      </c>
      <c r="K20">
        <v>2</v>
      </c>
      <c r="L20">
        <v>0</v>
      </c>
      <c r="M20">
        <v>6</v>
      </c>
    </row>
    <row r="21" spans="1:13" x14ac:dyDescent="0.25">
      <c r="B21" t="e">
        <f>VLOOKUP(A21,Data!$A$2:$B$16,2,FALSE)</f>
        <v>#N/A</v>
      </c>
      <c r="C21" s="57"/>
      <c r="G21">
        <f t="shared" si="0"/>
        <v>0</v>
      </c>
      <c r="M21">
        <v>1</v>
      </c>
    </row>
    <row r="22" spans="1:13" x14ac:dyDescent="0.25">
      <c r="B22" t="e">
        <f>VLOOKUP(A22,Data!$A$2:$B$16,2,FALSE)</f>
        <v>#N/A</v>
      </c>
      <c r="C22" s="57"/>
      <c r="G22">
        <f t="shared" si="0"/>
        <v>0</v>
      </c>
      <c r="M22">
        <v>1</v>
      </c>
    </row>
    <row r="23" spans="1:13" x14ac:dyDescent="0.25">
      <c r="B23" t="e">
        <f>VLOOKUP(A23,Data!$A$2:$B$16,2,FALSE)</f>
        <v>#N/A</v>
      </c>
      <c r="C23" s="57"/>
      <c r="G23">
        <f t="shared" si="0"/>
        <v>0</v>
      </c>
      <c r="M23">
        <v>1</v>
      </c>
    </row>
    <row r="24" spans="1:13" x14ac:dyDescent="0.25">
      <c r="B24" t="e">
        <f>VLOOKUP(A24,Data!$A$2:$B$16,2,FALSE)</f>
        <v>#N/A</v>
      </c>
      <c r="C24" s="57"/>
      <c r="G24">
        <f t="shared" si="0"/>
        <v>0</v>
      </c>
      <c r="M24">
        <v>1</v>
      </c>
    </row>
    <row r="25" spans="1:13" x14ac:dyDescent="0.25">
      <c r="B25" t="e">
        <f>VLOOKUP(A25,Data!$A$2:$B$16,2,FALSE)</f>
        <v>#N/A</v>
      </c>
      <c r="C25" s="57"/>
      <c r="G25">
        <f t="shared" si="0"/>
        <v>0</v>
      </c>
      <c r="M25">
        <v>1</v>
      </c>
    </row>
    <row r="26" spans="1:13" x14ac:dyDescent="0.25">
      <c r="B26" t="e">
        <f>VLOOKUP(A26,Data!$A$2:$B$16,2,FALSE)</f>
        <v>#N/A</v>
      </c>
      <c r="C26" s="57"/>
      <c r="G26">
        <f t="shared" si="0"/>
        <v>0</v>
      </c>
      <c r="M26">
        <v>1</v>
      </c>
    </row>
    <row r="27" spans="1:13" x14ac:dyDescent="0.25">
      <c r="B27" t="e">
        <f>VLOOKUP(A27,Data!$A$2:$B$16,2,FALSE)</f>
        <v>#N/A</v>
      </c>
      <c r="C27" s="57"/>
      <c r="G27">
        <f t="shared" si="0"/>
        <v>0</v>
      </c>
      <c r="M27">
        <v>1</v>
      </c>
    </row>
    <row r="28" spans="1:13" x14ac:dyDescent="0.25">
      <c r="B28" t="e">
        <f>VLOOKUP(A28,Data!$A$2:$B$16,2,FALSE)</f>
        <v>#N/A</v>
      </c>
      <c r="C28" s="57"/>
      <c r="G28">
        <f t="shared" si="0"/>
        <v>0</v>
      </c>
      <c r="M28">
        <v>1</v>
      </c>
    </row>
    <row r="29" spans="1:13" x14ac:dyDescent="0.25">
      <c r="B29" t="e">
        <f>VLOOKUP(A29,Data!$A$2:$B$16,2,FALSE)</f>
        <v>#N/A</v>
      </c>
      <c r="C29" s="57"/>
      <c r="G29">
        <f t="shared" si="0"/>
        <v>0</v>
      </c>
      <c r="M29">
        <v>1</v>
      </c>
    </row>
    <row r="30" spans="1:13" x14ac:dyDescent="0.25">
      <c r="B30" t="e">
        <f>VLOOKUP(A30,Data!$A$2:$B$16,2,FALSE)</f>
        <v>#N/A</v>
      </c>
      <c r="C30" s="57"/>
      <c r="G30">
        <f t="shared" si="0"/>
        <v>0</v>
      </c>
      <c r="M30">
        <v>1</v>
      </c>
    </row>
    <row r="31" spans="1:13" x14ac:dyDescent="0.25">
      <c r="B31" t="e">
        <f>VLOOKUP(A31,Data!$A$2:$B$16,2,FALSE)</f>
        <v>#N/A</v>
      </c>
      <c r="C31" s="57"/>
      <c r="G31">
        <f t="shared" si="0"/>
        <v>0</v>
      </c>
      <c r="M31">
        <v>1</v>
      </c>
    </row>
    <row r="32" spans="1:13" x14ac:dyDescent="0.25">
      <c r="B32" t="e">
        <f>VLOOKUP(A32,Data!$A$2:$B$16,2,FALSE)</f>
        <v>#N/A</v>
      </c>
      <c r="C32" s="57"/>
      <c r="G32">
        <f t="shared" si="0"/>
        <v>0</v>
      </c>
      <c r="M32">
        <v>1</v>
      </c>
    </row>
    <row r="33" spans="2:13" x14ac:dyDescent="0.25">
      <c r="B33" t="e">
        <f>VLOOKUP(A33,Data!$A$2:$B$16,2,FALSE)</f>
        <v>#N/A</v>
      </c>
      <c r="C33" s="57"/>
      <c r="G33">
        <f t="shared" si="0"/>
        <v>0</v>
      </c>
      <c r="M33">
        <v>1</v>
      </c>
    </row>
    <row r="34" spans="2:13" x14ac:dyDescent="0.25">
      <c r="B34" t="e">
        <f>VLOOKUP(A34,Data!$A$2:$B$16,2,FALSE)</f>
        <v>#N/A</v>
      </c>
      <c r="C34" s="57"/>
      <c r="G34">
        <f t="shared" si="0"/>
        <v>0</v>
      </c>
      <c r="M34">
        <v>1</v>
      </c>
    </row>
    <row r="35" spans="2:13" x14ac:dyDescent="0.25">
      <c r="B35" t="e">
        <f>VLOOKUP(A35,Data!$A$2:$B$16,2,FALSE)</f>
        <v>#N/A</v>
      </c>
      <c r="C35" s="57"/>
      <c r="G35">
        <f t="shared" si="0"/>
        <v>0</v>
      </c>
      <c r="M35">
        <v>1</v>
      </c>
    </row>
    <row r="36" spans="2:13" x14ac:dyDescent="0.25">
      <c r="B36" t="e">
        <f>VLOOKUP(A36,Data!$A$2:$B$16,2,FALSE)</f>
        <v>#N/A</v>
      </c>
      <c r="C36" s="57"/>
      <c r="G36">
        <f t="shared" si="0"/>
        <v>0</v>
      </c>
      <c r="M36">
        <v>1</v>
      </c>
    </row>
    <row r="37" spans="2:13" x14ac:dyDescent="0.25">
      <c r="B37" t="e">
        <f>VLOOKUP(A37,Data!$A$2:$B$16,2,FALSE)</f>
        <v>#N/A</v>
      </c>
      <c r="C37" s="57"/>
      <c r="G37">
        <f t="shared" si="0"/>
        <v>0</v>
      </c>
      <c r="M37">
        <v>1</v>
      </c>
    </row>
    <row r="38" spans="2:13" x14ac:dyDescent="0.25">
      <c r="B38" t="e">
        <f>VLOOKUP(A38,Data!$A$2:$B$16,2,FALSE)</f>
        <v>#N/A</v>
      </c>
      <c r="C38" s="57"/>
      <c r="G38">
        <f t="shared" si="0"/>
        <v>0</v>
      </c>
      <c r="M38">
        <v>1</v>
      </c>
    </row>
    <row r="39" spans="2:13" x14ac:dyDescent="0.25">
      <c r="B39" t="e">
        <f>VLOOKUP(A39,Data!$A$2:$B$16,2,FALSE)</f>
        <v>#N/A</v>
      </c>
      <c r="C39" s="57"/>
      <c r="G39">
        <f t="shared" si="0"/>
        <v>0</v>
      </c>
      <c r="M39">
        <v>1</v>
      </c>
    </row>
    <row r="40" spans="2:13" x14ac:dyDescent="0.25">
      <c r="B40" t="e">
        <f>VLOOKUP(A40,Data!$A$2:$B$16,2,FALSE)</f>
        <v>#N/A</v>
      </c>
      <c r="C40" s="57"/>
      <c r="G40">
        <f t="shared" si="0"/>
        <v>0</v>
      </c>
      <c r="M40">
        <v>1</v>
      </c>
    </row>
    <row r="41" spans="2:13" x14ac:dyDescent="0.25">
      <c r="B41" t="e">
        <f>VLOOKUP(A41,Data!$A$2:$B$16,2,FALSE)</f>
        <v>#N/A</v>
      </c>
      <c r="C41" s="57"/>
      <c r="G41">
        <f t="shared" si="0"/>
        <v>0</v>
      </c>
      <c r="M41">
        <v>1</v>
      </c>
    </row>
    <row r="42" spans="2:13" x14ac:dyDescent="0.25">
      <c r="B42" t="e">
        <f>VLOOKUP(A42,Data!$A$2:$B$16,2,FALSE)</f>
        <v>#N/A</v>
      </c>
      <c r="C42" s="57"/>
      <c r="G42">
        <f t="shared" si="0"/>
        <v>0</v>
      </c>
      <c r="M42">
        <v>1</v>
      </c>
    </row>
    <row r="43" spans="2:13" x14ac:dyDescent="0.25">
      <c r="B43" t="e">
        <f>VLOOKUP(A43,Data!$A$2:$B$16,2,FALSE)</f>
        <v>#N/A</v>
      </c>
      <c r="C43" s="57"/>
      <c r="G43">
        <f t="shared" si="0"/>
        <v>0</v>
      </c>
      <c r="M43">
        <v>1</v>
      </c>
    </row>
    <row r="44" spans="2:13" x14ac:dyDescent="0.25">
      <c r="B44" t="e">
        <f>VLOOKUP(A44,Data!$A$2:$B$16,2,FALSE)</f>
        <v>#N/A</v>
      </c>
      <c r="C44" s="57"/>
      <c r="G44">
        <f t="shared" si="0"/>
        <v>0</v>
      </c>
      <c r="M44">
        <v>1</v>
      </c>
    </row>
    <row r="45" spans="2:13" x14ac:dyDescent="0.25">
      <c r="B45" t="e">
        <f>VLOOKUP(A45,Data!$A$2:$B$16,2,FALSE)</f>
        <v>#N/A</v>
      </c>
      <c r="C45" s="57"/>
      <c r="G45">
        <f t="shared" si="0"/>
        <v>0</v>
      </c>
      <c r="M45">
        <v>1</v>
      </c>
    </row>
    <row r="46" spans="2:13" x14ac:dyDescent="0.25">
      <c r="B46" t="e">
        <f>VLOOKUP(A46,Data!$A$2:$B$16,2,FALSE)</f>
        <v>#N/A</v>
      </c>
      <c r="C46" s="57"/>
      <c r="G46">
        <f t="shared" si="0"/>
        <v>0</v>
      </c>
      <c r="M46">
        <v>1</v>
      </c>
    </row>
    <row r="47" spans="2:13" x14ac:dyDescent="0.25">
      <c r="B47" t="e">
        <f>VLOOKUP(A47,Data!$A$2:$B$16,2,FALSE)</f>
        <v>#N/A</v>
      </c>
      <c r="C47" s="57"/>
      <c r="G47">
        <f t="shared" si="0"/>
        <v>0</v>
      </c>
      <c r="M47">
        <v>1</v>
      </c>
    </row>
    <row r="48" spans="2:13" x14ac:dyDescent="0.25">
      <c r="B48" t="e">
        <f>VLOOKUP(A48,Data!$A$2:$B$16,2,FALSE)</f>
        <v>#N/A</v>
      </c>
      <c r="C48" s="57"/>
      <c r="G48">
        <f t="shared" si="0"/>
        <v>0</v>
      </c>
      <c r="M48">
        <v>1</v>
      </c>
    </row>
    <row r="49" spans="2:13" x14ac:dyDescent="0.25">
      <c r="B49" t="e">
        <f>VLOOKUP(A49,Data!$A$2:$B$16,2,FALSE)</f>
        <v>#N/A</v>
      </c>
      <c r="C49" s="57"/>
      <c r="G49">
        <f t="shared" si="0"/>
        <v>0</v>
      </c>
      <c r="M49">
        <v>1</v>
      </c>
    </row>
    <row r="50" spans="2:13" x14ac:dyDescent="0.25">
      <c r="B50" t="e">
        <f>VLOOKUP(A50,Data!$A$2:$B$16,2,FALSE)</f>
        <v>#N/A</v>
      </c>
      <c r="C50" s="57"/>
      <c r="G50">
        <f t="shared" si="0"/>
        <v>0</v>
      </c>
      <c r="M50">
        <v>1</v>
      </c>
    </row>
    <row r="51" spans="2:13" x14ac:dyDescent="0.25">
      <c r="B51" t="e">
        <f>VLOOKUP(A51,Data!$A$2:$B$16,2,FALSE)</f>
        <v>#N/A</v>
      </c>
      <c r="C51" s="57"/>
      <c r="G51">
        <f t="shared" si="0"/>
        <v>0</v>
      </c>
      <c r="M51">
        <v>1</v>
      </c>
    </row>
    <row r="52" spans="2:13" x14ac:dyDescent="0.25">
      <c r="B52" t="e">
        <f>VLOOKUP(A52,Data!$A$2:$B$16,2,FALSE)</f>
        <v>#N/A</v>
      </c>
      <c r="C52" s="57"/>
      <c r="G52">
        <f t="shared" si="0"/>
        <v>0</v>
      </c>
      <c r="M52">
        <v>1</v>
      </c>
    </row>
    <row r="53" spans="2:13" x14ac:dyDescent="0.25">
      <c r="B53" t="e">
        <f>VLOOKUP(A53,Data!$A$2:$B$16,2,FALSE)</f>
        <v>#N/A</v>
      </c>
      <c r="C53" s="57"/>
      <c r="G53">
        <f t="shared" si="0"/>
        <v>0</v>
      </c>
      <c r="M53">
        <v>1</v>
      </c>
    </row>
    <row r="54" spans="2:13" x14ac:dyDescent="0.25">
      <c r="B54" t="e">
        <f>VLOOKUP(A54,Data!$A$2:$B$16,2,FALSE)</f>
        <v>#N/A</v>
      </c>
      <c r="C54" s="57"/>
      <c r="G54">
        <f t="shared" si="0"/>
        <v>0</v>
      </c>
      <c r="M54">
        <v>1</v>
      </c>
    </row>
    <row r="55" spans="2:13" x14ac:dyDescent="0.25">
      <c r="B55" t="e">
        <f>VLOOKUP(A55,Data!$A$2:$B$16,2,FALSE)</f>
        <v>#N/A</v>
      </c>
      <c r="C55" s="57"/>
      <c r="G55">
        <f t="shared" si="0"/>
        <v>0</v>
      </c>
      <c r="M55">
        <v>1</v>
      </c>
    </row>
    <row r="56" spans="2:13" x14ac:dyDescent="0.25">
      <c r="B56" t="e">
        <f>VLOOKUP(A56,Data!$A$2:$B$16,2,FALSE)</f>
        <v>#N/A</v>
      </c>
      <c r="C56" s="57"/>
      <c r="G56">
        <f t="shared" si="0"/>
        <v>0</v>
      </c>
      <c r="M56">
        <v>1</v>
      </c>
    </row>
    <row r="57" spans="2:13" x14ac:dyDescent="0.25">
      <c r="B57" t="e">
        <f>VLOOKUP(A57,Data!$A$2:$B$16,2,FALSE)</f>
        <v>#N/A</v>
      </c>
      <c r="C57" s="57"/>
      <c r="G57">
        <f t="shared" si="0"/>
        <v>0</v>
      </c>
      <c r="M57">
        <v>1</v>
      </c>
    </row>
    <row r="58" spans="2:13" x14ac:dyDescent="0.25">
      <c r="B58" t="e">
        <f>VLOOKUP(A58,Data!$A$2:$B$16,2,FALSE)</f>
        <v>#N/A</v>
      </c>
      <c r="C58" s="57"/>
      <c r="G58">
        <f t="shared" si="0"/>
        <v>0</v>
      </c>
      <c r="M58">
        <v>1</v>
      </c>
    </row>
    <row r="59" spans="2:13" x14ac:dyDescent="0.25">
      <c r="B59" t="e">
        <f>VLOOKUP(A59,Data!$A$2:$B$16,2,FALSE)</f>
        <v>#N/A</v>
      </c>
      <c r="C59" s="57"/>
      <c r="G59">
        <f t="shared" si="0"/>
        <v>0</v>
      </c>
      <c r="M59">
        <v>1</v>
      </c>
    </row>
    <row r="60" spans="2:13" x14ac:dyDescent="0.25">
      <c r="B60" t="e">
        <f>VLOOKUP(A60,Data!$A$2:$B$16,2,FALSE)</f>
        <v>#N/A</v>
      </c>
      <c r="C60" s="57"/>
      <c r="G60">
        <f t="shared" si="0"/>
        <v>0</v>
      </c>
      <c r="M60">
        <v>1</v>
      </c>
    </row>
    <row r="61" spans="2:13" x14ac:dyDescent="0.25">
      <c r="B61" t="e">
        <f>VLOOKUP(A61,Data!$A$2:$B$16,2,FALSE)</f>
        <v>#N/A</v>
      </c>
      <c r="C61" s="57"/>
      <c r="G61">
        <f t="shared" si="0"/>
        <v>0</v>
      </c>
      <c r="M61">
        <v>1</v>
      </c>
    </row>
    <row r="62" spans="2:13" x14ac:dyDescent="0.25">
      <c r="B62" t="e">
        <f>VLOOKUP(A62,Data!$A$2:$B$16,2,FALSE)</f>
        <v>#N/A</v>
      </c>
      <c r="C62" s="57"/>
      <c r="G62">
        <f t="shared" si="0"/>
        <v>0</v>
      </c>
      <c r="M62">
        <v>1</v>
      </c>
    </row>
    <row r="63" spans="2:13" x14ac:dyDescent="0.25">
      <c r="B63" t="e">
        <f>VLOOKUP(A63,Data!$A$2:$B$16,2,FALSE)</f>
        <v>#N/A</v>
      </c>
      <c r="C63" s="57"/>
      <c r="G63">
        <f t="shared" si="0"/>
        <v>0</v>
      </c>
      <c r="M63">
        <v>1</v>
      </c>
    </row>
    <row r="64" spans="2:13" x14ac:dyDescent="0.25">
      <c r="B64" t="e">
        <f>VLOOKUP(A64,Data!$A$2:$B$16,2,FALSE)</f>
        <v>#N/A</v>
      </c>
      <c r="C64" s="57"/>
      <c r="G64">
        <f t="shared" si="0"/>
        <v>0</v>
      </c>
      <c r="M64">
        <v>1</v>
      </c>
    </row>
    <row r="65" spans="2:13" x14ac:dyDescent="0.25">
      <c r="B65" t="e">
        <f>VLOOKUP(A65,Data!$A$2:$B$16,2,FALSE)</f>
        <v>#N/A</v>
      </c>
      <c r="C65" s="57"/>
      <c r="G65">
        <f t="shared" si="0"/>
        <v>0</v>
      </c>
      <c r="M65">
        <v>1</v>
      </c>
    </row>
    <row r="66" spans="2:13" x14ac:dyDescent="0.25">
      <c r="B66" t="e">
        <f>VLOOKUP(A66,Data!$A$2:$B$16,2,FALSE)</f>
        <v>#N/A</v>
      </c>
      <c r="C66" s="57"/>
      <c r="G66">
        <f t="shared" si="0"/>
        <v>0</v>
      </c>
      <c r="M66">
        <v>1</v>
      </c>
    </row>
    <row r="67" spans="2:13" x14ac:dyDescent="0.25">
      <c r="B67" t="e">
        <f>VLOOKUP(A67,Data!$A$2:$B$16,2,FALSE)</f>
        <v>#N/A</v>
      </c>
      <c r="C67" s="57"/>
      <c r="G67">
        <f t="shared" ref="G67:G130" si="1">ROUNDUP(F67/60,2)</f>
        <v>0</v>
      </c>
      <c r="M67">
        <v>1</v>
      </c>
    </row>
    <row r="68" spans="2:13" x14ac:dyDescent="0.25">
      <c r="B68" t="e">
        <f>VLOOKUP(A68,Data!$A$2:$B$16,2,FALSE)</f>
        <v>#N/A</v>
      </c>
      <c r="C68" s="57"/>
      <c r="G68">
        <f t="shared" si="1"/>
        <v>0</v>
      </c>
      <c r="M68">
        <v>1</v>
      </c>
    </row>
    <row r="69" spans="2:13" x14ac:dyDescent="0.25">
      <c r="B69" t="e">
        <f>VLOOKUP(A69,Data!$A$2:$B$16,2,FALSE)</f>
        <v>#N/A</v>
      </c>
      <c r="C69" s="57"/>
      <c r="G69">
        <f t="shared" si="1"/>
        <v>0</v>
      </c>
      <c r="M69">
        <v>1</v>
      </c>
    </row>
    <row r="70" spans="2:13" x14ac:dyDescent="0.25">
      <c r="B70" t="e">
        <f>VLOOKUP(A70,Data!$A$2:$B$16,2,FALSE)</f>
        <v>#N/A</v>
      </c>
      <c r="C70" s="57"/>
      <c r="G70">
        <f t="shared" si="1"/>
        <v>0</v>
      </c>
      <c r="M70">
        <v>1</v>
      </c>
    </row>
    <row r="71" spans="2:13" x14ac:dyDescent="0.25">
      <c r="B71" t="e">
        <f>VLOOKUP(A71,Data!$A$2:$B$16,2,FALSE)</f>
        <v>#N/A</v>
      </c>
      <c r="C71" s="57"/>
      <c r="G71">
        <f t="shared" si="1"/>
        <v>0</v>
      </c>
      <c r="M71">
        <v>1</v>
      </c>
    </row>
    <row r="72" spans="2:13" x14ac:dyDescent="0.25">
      <c r="B72" t="e">
        <f>VLOOKUP(A72,Data!$A$2:$B$16,2,FALSE)</f>
        <v>#N/A</v>
      </c>
      <c r="C72" s="57"/>
      <c r="G72">
        <f t="shared" si="1"/>
        <v>0</v>
      </c>
      <c r="M72">
        <v>1</v>
      </c>
    </row>
    <row r="73" spans="2:13" x14ac:dyDescent="0.25">
      <c r="B73" t="e">
        <f>VLOOKUP(A73,Data!$A$2:$B$16,2,FALSE)</f>
        <v>#N/A</v>
      </c>
      <c r="C73" s="57"/>
      <c r="G73">
        <f t="shared" si="1"/>
        <v>0</v>
      </c>
      <c r="M73">
        <v>1</v>
      </c>
    </row>
    <row r="74" spans="2:13" x14ac:dyDescent="0.25">
      <c r="B74" t="e">
        <f>VLOOKUP(A74,Data!$A$2:$B$16,2,FALSE)</f>
        <v>#N/A</v>
      </c>
      <c r="C74" s="57"/>
      <c r="G74">
        <f t="shared" si="1"/>
        <v>0</v>
      </c>
      <c r="M74">
        <v>1</v>
      </c>
    </row>
    <row r="75" spans="2:13" x14ac:dyDescent="0.25">
      <c r="B75" t="e">
        <f>VLOOKUP(A75,Data!$A$2:$B$16,2,FALSE)</f>
        <v>#N/A</v>
      </c>
      <c r="C75" s="57"/>
      <c r="G75">
        <f t="shared" si="1"/>
        <v>0</v>
      </c>
      <c r="M75">
        <v>1</v>
      </c>
    </row>
    <row r="76" spans="2:13" x14ac:dyDescent="0.25">
      <c r="B76" t="e">
        <f>VLOOKUP(A76,Data!$A$2:$B$16,2,FALSE)</f>
        <v>#N/A</v>
      </c>
      <c r="C76" s="57"/>
      <c r="G76">
        <f t="shared" si="1"/>
        <v>0</v>
      </c>
      <c r="M76">
        <v>1</v>
      </c>
    </row>
    <row r="77" spans="2:13" x14ac:dyDescent="0.25">
      <c r="B77" t="e">
        <f>VLOOKUP(A77,Data!$A$2:$B$16,2,FALSE)</f>
        <v>#N/A</v>
      </c>
      <c r="C77" s="57"/>
      <c r="G77">
        <f t="shared" si="1"/>
        <v>0</v>
      </c>
      <c r="M77">
        <v>1</v>
      </c>
    </row>
    <row r="78" spans="2:13" x14ac:dyDescent="0.25">
      <c r="B78" t="e">
        <f>VLOOKUP(A78,Data!$A$2:$B$16,2,FALSE)</f>
        <v>#N/A</v>
      </c>
      <c r="C78" s="57"/>
      <c r="G78">
        <f t="shared" si="1"/>
        <v>0</v>
      </c>
      <c r="M78">
        <v>1</v>
      </c>
    </row>
    <row r="79" spans="2:13" x14ac:dyDescent="0.25">
      <c r="B79" t="e">
        <f>VLOOKUP(A79,Data!$A$2:$B$16,2,FALSE)</f>
        <v>#N/A</v>
      </c>
      <c r="C79" s="57"/>
      <c r="G79">
        <f t="shared" si="1"/>
        <v>0</v>
      </c>
      <c r="M79">
        <v>1</v>
      </c>
    </row>
    <row r="80" spans="2:13" x14ac:dyDescent="0.25">
      <c r="B80" t="e">
        <f>VLOOKUP(A80,Data!$A$2:$B$16,2,FALSE)</f>
        <v>#N/A</v>
      </c>
      <c r="C80" s="57"/>
      <c r="G80">
        <f t="shared" si="1"/>
        <v>0</v>
      </c>
      <c r="M80">
        <v>1</v>
      </c>
    </row>
    <row r="81" spans="2:13" x14ac:dyDescent="0.25">
      <c r="B81" t="e">
        <f>VLOOKUP(A81,Data!$A$2:$B$16,2,FALSE)</f>
        <v>#N/A</v>
      </c>
      <c r="C81" s="57"/>
      <c r="G81">
        <f t="shared" si="1"/>
        <v>0</v>
      </c>
      <c r="M81">
        <v>1</v>
      </c>
    </row>
    <row r="82" spans="2:13" x14ac:dyDescent="0.25">
      <c r="B82" t="e">
        <f>VLOOKUP(A82,Data!$A$2:$B$16,2,FALSE)</f>
        <v>#N/A</v>
      </c>
      <c r="C82" s="57"/>
      <c r="G82">
        <f t="shared" si="1"/>
        <v>0</v>
      </c>
      <c r="M82">
        <v>1</v>
      </c>
    </row>
    <row r="83" spans="2:13" x14ac:dyDescent="0.25">
      <c r="B83" t="e">
        <f>VLOOKUP(A83,Data!$A$2:$B$16,2,FALSE)</f>
        <v>#N/A</v>
      </c>
      <c r="C83" s="57"/>
      <c r="G83">
        <f t="shared" si="1"/>
        <v>0</v>
      </c>
      <c r="M83">
        <v>1</v>
      </c>
    </row>
    <row r="84" spans="2:13" x14ac:dyDescent="0.25">
      <c r="B84" t="e">
        <f>VLOOKUP(A84,Data!$A$2:$B$16,2,FALSE)</f>
        <v>#N/A</v>
      </c>
      <c r="C84" s="57"/>
      <c r="G84">
        <f t="shared" si="1"/>
        <v>0</v>
      </c>
      <c r="M84">
        <v>1</v>
      </c>
    </row>
    <row r="85" spans="2:13" x14ac:dyDescent="0.25">
      <c r="B85" t="e">
        <f>VLOOKUP(A85,Data!$A$2:$B$16,2,FALSE)</f>
        <v>#N/A</v>
      </c>
      <c r="C85" s="57"/>
      <c r="G85">
        <f t="shared" si="1"/>
        <v>0</v>
      </c>
      <c r="M85">
        <v>1</v>
      </c>
    </row>
    <row r="86" spans="2:13" x14ac:dyDescent="0.25">
      <c r="B86" t="e">
        <f>VLOOKUP(A86,Data!$A$2:$B$16,2,FALSE)</f>
        <v>#N/A</v>
      </c>
      <c r="C86" s="57"/>
      <c r="G86">
        <f t="shared" si="1"/>
        <v>0</v>
      </c>
      <c r="M86">
        <v>1</v>
      </c>
    </row>
    <row r="87" spans="2:13" x14ac:dyDescent="0.25">
      <c r="B87" t="e">
        <f>VLOOKUP(A87,Data!$A$2:$B$16,2,FALSE)</f>
        <v>#N/A</v>
      </c>
      <c r="C87" s="57"/>
      <c r="G87">
        <f t="shared" si="1"/>
        <v>0</v>
      </c>
      <c r="M87">
        <v>1</v>
      </c>
    </row>
    <row r="88" spans="2:13" x14ac:dyDescent="0.25">
      <c r="B88" t="e">
        <f>VLOOKUP(A88,Data!$A$2:$B$16,2,FALSE)</f>
        <v>#N/A</v>
      </c>
      <c r="C88" s="57"/>
      <c r="G88">
        <f t="shared" si="1"/>
        <v>0</v>
      </c>
      <c r="M88">
        <v>1</v>
      </c>
    </row>
    <row r="89" spans="2:13" x14ac:dyDescent="0.25">
      <c r="B89" t="e">
        <f>VLOOKUP(A89,Data!$A$2:$B$16,2,FALSE)</f>
        <v>#N/A</v>
      </c>
      <c r="C89" s="57"/>
      <c r="G89">
        <f t="shared" si="1"/>
        <v>0</v>
      </c>
      <c r="M89">
        <v>1</v>
      </c>
    </row>
    <row r="90" spans="2:13" x14ac:dyDescent="0.25">
      <c r="B90" t="e">
        <f>VLOOKUP(A90,Data!$A$2:$B$16,2,FALSE)</f>
        <v>#N/A</v>
      </c>
      <c r="C90" s="57"/>
      <c r="G90">
        <f t="shared" si="1"/>
        <v>0</v>
      </c>
      <c r="M90">
        <v>1</v>
      </c>
    </row>
    <row r="91" spans="2:13" x14ac:dyDescent="0.25">
      <c r="B91" t="e">
        <f>VLOOKUP(A91,Data!$A$2:$B$16,2,FALSE)</f>
        <v>#N/A</v>
      </c>
      <c r="C91" s="57"/>
      <c r="G91">
        <f t="shared" si="1"/>
        <v>0</v>
      </c>
      <c r="M91">
        <v>1</v>
      </c>
    </row>
    <row r="92" spans="2:13" x14ac:dyDescent="0.25">
      <c r="B92" t="e">
        <f>VLOOKUP(A92,Data!$A$2:$B$16,2,FALSE)</f>
        <v>#N/A</v>
      </c>
      <c r="C92" s="57"/>
      <c r="G92">
        <f t="shared" si="1"/>
        <v>0</v>
      </c>
      <c r="M92">
        <v>1</v>
      </c>
    </row>
    <row r="93" spans="2:13" x14ac:dyDescent="0.25">
      <c r="B93" t="e">
        <f>VLOOKUP(A93,Data!$A$2:$B$16,2,FALSE)</f>
        <v>#N/A</v>
      </c>
      <c r="C93" s="57"/>
      <c r="G93">
        <f t="shared" si="1"/>
        <v>0</v>
      </c>
      <c r="M93">
        <v>1</v>
      </c>
    </row>
    <row r="94" spans="2:13" x14ac:dyDescent="0.25">
      <c r="B94" t="e">
        <f>VLOOKUP(A94,Data!$A$2:$B$16,2,FALSE)</f>
        <v>#N/A</v>
      </c>
      <c r="C94" s="57"/>
      <c r="G94">
        <f t="shared" si="1"/>
        <v>0</v>
      </c>
      <c r="M94">
        <v>1</v>
      </c>
    </row>
    <row r="95" spans="2:13" x14ac:dyDescent="0.25">
      <c r="B95" t="e">
        <f>VLOOKUP(A95,Data!$A$2:$B$16,2,FALSE)</f>
        <v>#N/A</v>
      </c>
      <c r="C95" s="57"/>
      <c r="G95">
        <f t="shared" si="1"/>
        <v>0</v>
      </c>
      <c r="M95">
        <v>1</v>
      </c>
    </row>
    <row r="96" spans="2:13" x14ac:dyDescent="0.25">
      <c r="B96" t="e">
        <f>VLOOKUP(A96,Data!$A$2:$B$16,2,FALSE)</f>
        <v>#N/A</v>
      </c>
      <c r="C96" s="57"/>
      <c r="G96">
        <f t="shared" si="1"/>
        <v>0</v>
      </c>
      <c r="M96">
        <v>1</v>
      </c>
    </row>
    <row r="97" spans="2:13" x14ac:dyDescent="0.25">
      <c r="B97" t="e">
        <f>VLOOKUP(A97,Data!$A$2:$B$16,2,FALSE)</f>
        <v>#N/A</v>
      </c>
      <c r="C97" s="57"/>
      <c r="G97">
        <f t="shared" si="1"/>
        <v>0</v>
      </c>
      <c r="M97">
        <v>1</v>
      </c>
    </row>
    <row r="98" spans="2:13" x14ac:dyDescent="0.25">
      <c r="B98" t="e">
        <f>VLOOKUP(A98,Data!$A$2:$B$16,2,FALSE)</f>
        <v>#N/A</v>
      </c>
      <c r="C98" s="57"/>
      <c r="G98">
        <f t="shared" si="1"/>
        <v>0</v>
      </c>
      <c r="M98">
        <v>1</v>
      </c>
    </row>
    <row r="99" spans="2:13" x14ac:dyDescent="0.25">
      <c r="B99" t="e">
        <f>VLOOKUP(A99,Data!$A$2:$B$16,2,FALSE)</f>
        <v>#N/A</v>
      </c>
      <c r="C99" s="57"/>
      <c r="G99">
        <f t="shared" si="1"/>
        <v>0</v>
      </c>
      <c r="M99">
        <v>1</v>
      </c>
    </row>
    <row r="100" spans="2:13" x14ac:dyDescent="0.25">
      <c r="B100" t="e">
        <f>VLOOKUP(A100,Data!$A$2:$B$16,2,FALSE)</f>
        <v>#N/A</v>
      </c>
      <c r="C100" s="57"/>
      <c r="G100">
        <f t="shared" si="1"/>
        <v>0</v>
      </c>
      <c r="M100">
        <v>1</v>
      </c>
    </row>
    <row r="101" spans="2:13" x14ac:dyDescent="0.25">
      <c r="B101" t="e">
        <f>VLOOKUP(A101,Data!$A$2:$B$16,2,FALSE)</f>
        <v>#N/A</v>
      </c>
      <c r="C101" s="57"/>
      <c r="G101">
        <f t="shared" si="1"/>
        <v>0</v>
      </c>
      <c r="M101">
        <v>1</v>
      </c>
    </row>
    <row r="102" spans="2:13" x14ac:dyDescent="0.25">
      <c r="B102" t="e">
        <f>VLOOKUP(A102,Data!$A$2:$B$16,2,FALSE)</f>
        <v>#N/A</v>
      </c>
      <c r="C102" s="57"/>
      <c r="G102">
        <f t="shared" si="1"/>
        <v>0</v>
      </c>
      <c r="M102">
        <v>1</v>
      </c>
    </row>
    <row r="103" spans="2:13" x14ac:dyDescent="0.25">
      <c r="B103" t="e">
        <f>VLOOKUP(A103,Data!$A$2:$B$16,2,FALSE)</f>
        <v>#N/A</v>
      </c>
      <c r="C103" s="57"/>
      <c r="G103">
        <f t="shared" si="1"/>
        <v>0</v>
      </c>
      <c r="M103">
        <v>1</v>
      </c>
    </row>
    <row r="104" spans="2:13" x14ac:dyDescent="0.25">
      <c r="B104" t="e">
        <f>VLOOKUP(A104,Data!$A$2:$B$16,2,FALSE)</f>
        <v>#N/A</v>
      </c>
      <c r="C104" s="57"/>
      <c r="G104">
        <f t="shared" si="1"/>
        <v>0</v>
      </c>
      <c r="M104">
        <v>1</v>
      </c>
    </row>
    <row r="105" spans="2:13" x14ac:dyDescent="0.25">
      <c r="B105" t="e">
        <f>VLOOKUP(A105,Data!$A$2:$B$16,2,FALSE)</f>
        <v>#N/A</v>
      </c>
      <c r="C105" s="57"/>
      <c r="G105">
        <f t="shared" si="1"/>
        <v>0</v>
      </c>
      <c r="M105">
        <v>1</v>
      </c>
    </row>
    <row r="106" spans="2:13" x14ac:dyDescent="0.25">
      <c r="B106" t="e">
        <f>VLOOKUP(A106,Data!$A$2:$B$16,2,FALSE)</f>
        <v>#N/A</v>
      </c>
      <c r="C106" s="57"/>
      <c r="G106">
        <f t="shared" si="1"/>
        <v>0</v>
      </c>
      <c r="M106">
        <v>1</v>
      </c>
    </row>
    <row r="107" spans="2:13" x14ac:dyDescent="0.25">
      <c r="B107" t="e">
        <f>VLOOKUP(A107,Data!$A$2:$B$16,2,FALSE)</f>
        <v>#N/A</v>
      </c>
      <c r="C107" s="57"/>
      <c r="G107">
        <f t="shared" si="1"/>
        <v>0</v>
      </c>
      <c r="M107">
        <v>1</v>
      </c>
    </row>
    <row r="108" spans="2:13" x14ac:dyDescent="0.25">
      <c r="B108" t="e">
        <f>VLOOKUP(A108,Data!$A$2:$B$16,2,FALSE)</f>
        <v>#N/A</v>
      </c>
      <c r="C108" s="57"/>
      <c r="G108">
        <f t="shared" si="1"/>
        <v>0</v>
      </c>
      <c r="M108">
        <v>1</v>
      </c>
    </row>
    <row r="109" spans="2:13" x14ac:dyDescent="0.25">
      <c r="B109" t="e">
        <f>VLOOKUP(A109,Data!$A$2:$B$16,2,FALSE)</f>
        <v>#N/A</v>
      </c>
      <c r="C109" s="57"/>
      <c r="G109">
        <f t="shared" si="1"/>
        <v>0</v>
      </c>
      <c r="M109">
        <v>1</v>
      </c>
    </row>
    <row r="110" spans="2:13" x14ac:dyDescent="0.25">
      <c r="B110" t="e">
        <f>VLOOKUP(A110,Data!$A$2:$B$16,2,FALSE)</f>
        <v>#N/A</v>
      </c>
      <c r="C110" s="57"/>
      <c r="G110">
        <f t="shared" si="1"/>
        <v>0</v>
      </c>
      <c r="M110">
        <v>1</v>
      </c>
    </row>
    <row r="111" spans="2:13" x14ac:dyDescent="0.25">
      <c r="B111" t="e">
        <f>VLOOKUP(A111,Data!$A$2:$B$16,2,FALSE)</f>
        <v>#N/A</v>
      </c>
      <c r="C111" s="57"/>
      <c r="G111">
        <f t="shared" si="1"/>
        <v>0</v>
      </c>
      <c r="M111">
        <v>1</v>
      </c>
    </row>
    <row r="112" spans="2:13" x14ac:dyDescent="0.25">
      <c r="B112" t="e">
        <f>VLOOKUP(A112,Data!$A$2:$B$16,2,FALSE)</f>
        <v>#N/A</v>
      </c>
      <c r="C112" s="57"/>
      <c r="G112">
        <f t="shared" si="1"/>
        <v>0</v>
      </c>
      <c r="M112">
        <v>1</v>
      </c>
    </row>
    <row r="113" spans="2:13" x14ac:dyDescent="0.25">
      <c r="B113" t="e">
        <f>VLOOKUP(A113,Data!$A$2:$B$16,2,FALSE)</f>
        <v>#N/A</v>
      </c>
      <c r="C113" s="57"/>
      <c r="G113">
        <f t="shared" si="1"/>
        <v>0</v>
      </c>
      <c r="M113">
        <v>1</v>
      </c>
    </row>
    <row r="114" spans="2:13" x14ac:dyDescent="0.25">
      <c r="B114" t="e">
        <f>VLOOKUP(A114,Data!$A$2:$B$16,2,FALSE)</f>
        <v>#N/A</v>
      </c>
      <c r="C114" s="57"/>
      <c r="G114">
        <f t="shared" si="1"/>
        <v>0</v>
      </c>
      <c r="M114">
        <v>1</v>
      </c>
    </row>
    <row r="115" spans="2:13" x14ac:dyDescent="0.25">
      <c r="B115" t="e">
        <f>VLOOKUP(A115,Data!$A$2:$B$16,2,FALSE)</f>
        <v>#N/A</v>
      </c>
      <c r="C115" s="57"/>
      <c r="G115">
        <f t="shared" si="1"/>
        <v>0</v>
      </c>
      <c r="M115">
        <v>1</v>
      </c>
    </row>
    <row r="116" spans="2:13" x14ac:dyDescent="0.25">
      <c r="B116" t="e">
        <f>VLOOKUP(A116,Data!$A$2:$B$16,2,FALSE)</f>
        <v>#N/A</v>
      </c>
      <c r="C116" s="57"/>
      <c r="G116">
        <f t="shared" si="1"/>
        <v>0</v>
      </c>
      <c r="M116">
        <v>1</v>
      </c>
    </row>
    <row r="117" spans="2:13" x14ac:dyDescent="0.25">
      <c r="B117" t="e">
        <f>VLOOKUP(A117,Data!$A$2:$B$16,2,FALSE)</f>
        <v>#N/A</v>
      </c>
      <c r="C117" s="57"/>
      <c r="G117">
        <f t="shared" si="1"/>
        <v>0</v>
      </c>
      <c r="M117">
        <v>1</v>
      </c>
    </row>
    <row r="118" spans="2:13" x14ac:dyDescent="0.25">
      <c r="B118" t="e">
        <f>VLOOKUP(A118,Data!$A$2:$B$16,2,FALSE)</f>
        <v>#N/A</v>
      </c>
      <c r="C118" s="57"/>
      <c r="G118">
        <f t="shared" si="1"/>
        <v>0</v>
      </c>
      <c r="M118">
        <v>1</v>
      </c>
    </row>
    <row r="119" spans="2:13" x14ac:dyDescent="0.25">
      <c r="B119" t="e">
        <f>VLOOKUP(A119,Data!$A$2:$B$16,2,FALSE)</f>
        <v>#N/A</v>
      </c>
      <c r="C119" s="57"/>
      <c r="G119">
        <f t="shared" si="1"/>
        <v>0</v>
      </c>
      <c r="M119">
        <v>1</v>
      </c>
    </row>
    <row r="120" spans="2:13" x14ac:dyDescent="0.25">
      <c r="B120" t="e">
        <f>VLOOKUP(A120,Data!$A$2:$B$16,2,FALSE)</f>
        <v>#N/A</v>
      </c>
      <c r="C120" s="57"/>
      <c r="G120">
        <f t="shared" si="1"/>
        <v>0</v>
      </c>
      <c r="M120">
        <v>1</v>
      </c>
    </row>
    <row r="121" spans="2:13" x14ac:dyDescent="0.25">
      <c r="B121" t="e">
        <f>VLOOKUP(A121,Data!$A$2:$B$16,2,FALSE)</f>
        <v>#N/A</v>
      </c>
      <c r="C121" s="57"/>
      <c r="G121">
        <f t="shared" si="1"/>
        <v>0</v>
      </c>
      <c r="M121">
        <v>1</v>
      </c>
    </row>
    <row r="122" spans="2:13" x14ac:dyDescent="0.25">
      <c r="B122" t="e">
        <f>VLOOKUP(A122,Data!$A$2:$B$16,2,FALSE)</f>
        <v>#N/A</v>
      </c>
      <c r="C122" s="57"/>
      <c r="G122">
        <f t="shared" si="1"/>
        <v>0</v>
      </c>
      <c r="M122">
        <v>1</v>
      </c>
    </row>
    <row r="123" spans="2:13" x14ac:dyDescent="0.25">
      <c r="B123" t="e">
        <f>VLOOKUP(A123,Data!$A$2:$B$16,2,FALSE)</f>
        <v>#N/A</v>
      </c>
      <c r="C123" s="57"/>
      <c r="G123">
        <f t="shared" si="1"/>
        <v>0</v>
      </c>
      <c r="M123">
        <v>1</v>
      </c>
    </row>
    <row r="124" spans="2:13" x14ac:dyDescent="0.25">
      <c r="B124" t="e">
        <f>VLOOKUP(A124,Data!$A$2:$B$16,2,FALSE)</f>
        <v>#N/A</v>
      </c>
      <c r="C124" s="57"/>
      <c r="G124">
        <f t="shared" si="1"/>
        <v>0</v>
      </c>
      <c r="M124">
        <v>1</v>
      </c>
    </row>
    <row r="125" spans="2:13" x14ac:dyDescent="0.25">
      <c r="B125" t="e">
        <f>VLOOKUP(A125,Data!$A$2:$B$16,2,FALSE)</f>
        <v>#N/A</v>
      </c>
      <c r="C125" s="57"/>
      <c r="G125">
        <f t="shared" si="1"/>
        <v>0</v>
      </c>
      <c r="M125">
        <v>1</v>
      </c>
    </row>
    <row r="126" spans="2:13" x14ac:dyDescent="0.25">
      <c r="B126" t="e">
        <f>VLOOKUP(A126,Data!$A$2:$B$16,2,FALSE)</f>
        <v>#N/A</v>
      </c>
      <c r="C126" s="57"/>
      <c r="G126">
        <f t="shared" si="1"/>
        <v>0</v>
      </c>
      <c r="M126">
        <v>1</v>
      </c>
    </row>
    <row r="127" spans="2:13" x14ac:dyDescent="0.25">
      <c r="B127" t="e">
        <f>VLOOKUP(A127,Data!$A$2:$B$16,2,FALSE)</f>
        <v>#N/A</v>
      </c>
      <c r="C127" s="57"/>
      <c r="G127">
        <f t="shared" si="1"/>
        <v>0</v>
      </c>
      <c r="M127">
        <v>1</v>
      </c>
    </row>
    <row r="128" spans="2:13" x14ac:dyDescent="0.25">
      <c r="B128" t="e">
        <f>VLOOKUP(A128,Data!$A$2:$B$16,2,FALSE)</f>
        <v>#N/A</v>
      </c>
      <c r="C128" s="57"/>
      <c r="G128">
        <f t="shared" si="1"/>
        <v>0</v>
      </c>
      <c r="M128">
        <v>1</v>
      </c>
    </row>
    <row r="129" spans="2:13" x14ac:dyDescent="0.25">
      <c r="B129" t="e">
        <f>VLOOKUP(A129,Data!$A$2:$B$16,2,FALSE)</f>
        <v>#N/A</v>
      </c>
      <c r="C129" s="57"/>
      <c r="G129">
        <f t="shared" si="1"/>
        <v>0</v>
      </c>
      <c r="M129">
        <v>1</v>
      </c>
    </row>
    <row r="130" spans="2:13" x14ac:dyDescent="0.25">
      <c r="B130" t="e">
        <f>VLOOKUP(A130,Data!$A$2:$B$16,2,FALSE)</f>
        <v>#N/A</v>
      </c>
      <c r="C130" s="57"/>
      <c r="G130">
        <f t="shared" si="1"/>
        <v>0</v>
      </c>
      <c r="M130">
        <v>1</v>
      </c>
    </row>
    <row r="131" spans="2:13" x14ac:dyDescent="0.25">
      <c r="B131" t="e">
        <f>VLOOKUP(A131,Data!$A$2:$B$16,2,FALSE)</f>
        <v>#N/A</v>
      </c>
      <c r="C131" s="57"/>
      <c r="G131">
        <f t="shared" ref="G131:G194" si="2">ROUNDUP(F131/60,2)</f>
        <v>0</v>
      </c>
      <c r="M131">
        <v>1</v>
      </c>
    </row>
    <row r="132" spans="2:13" x14ac:dyDescent="0.25">
      <c r="B132" t="e">
        <f>VLOOKUP(A132,Data!$A$2:$B$16,2,FALSE)</f>
        <v>#N/A</v>
      </c>
      <c r="C132" s="57"/>
      <c r="G132">
        <f t="shared" si="2"/>
        <v>0</v>
      </c>
      <c r="M132">
        <v>1</v>
      </c>
    </row>
    <row r="133" spans="2:13" x14ac:dyDescent="0.25">
      <c r="B133" t="e">
        <f>VLOOKUP(A133,Data!$A$2:$B$16,2,FALSE)</f>
        <v>#N/A</v>
      </c>
      <c r="C133" s="57"/>
      <c r="G133">
        <f t="shared" si="2"/>
        <v>0</v>
      </c>
      <c r="M133">
        <v>1</v>
      </c>
    </row>
    <row r="134" spans="2:13" x14ac:dyDescent="0.25">
      <c r="B134" t="e">
        <f>VLOOKUP(A134,Data!$A$2:$B$16,2,FALSE)</f>
        <v>#N/A</v>
      </c>
      <c r="C134" s="57"/>
      <c r="G134">
        <f t="shared" si="2"/>
        <v>0</v>
      </c>
      <c r="M134">
        <v>1</v>
      </c>
    </row>
    <row r="135" spans="2:13" x14ac:dyDescent="0.25">
      <c r="B135" t="e">
        <f>VLOOKUP(A135,Data!$A$2:$B$16,2,FALSE)</f>
        <v>#N/A</v>
      </c>
      <c r="C135" s="57"/>
      <c r="G135">
        <f t="shared" si="2"/>
        <v>0</v>
      </c>
      <c r="M135">
        <v>1</v>
      </c>
    </row>
    <row r="136" spans="2:13" x14ac:dyDescent="0.25">
      <c r="B136" t="e">
        <f>VLOOKUP(A136,Data!$A$2:$B$16,2,FALSE)</f>
        <v>#N/A</v>
      </c>
      <c r="C136" s="57"/>
      <c r="G136">
        <f t="shared" si="2"/>
        <v>0</v>
      </c>
      <c r="M136">
        <v>1</v>
      </c>
    </row>
    <row r="137" spans="2:13" x14ac:dyDescent="0.25">
      <c r="B137" t="e">
        <f>VLOOKUP(A137,Data!$A$2:$B$16,2,FALSE)</f>
        <v>#N/A</v>
      </c>
      <c r="C137" s="57"/>
      <c r="G137">
        <f t="shared" si="2"/>
        <v>0</v>
      </c>
      <c r="M137">
        <v>1</v>
      </c>
    </row>
    <row r="138" spans="2:13" x14ac:dyDescent="0.25">
      <c r="B138" t="e">
        <f>VLOOKUP(A138,Data!$A$2:$B$16,2,FALSE)</f>
        <v>#N/A</v>
      </c>
      <c r="C138" s="57"/>
      <c r="G138">
        <f t="shared" si="2"/>
        <v>0</v>
      </c>
      <c r="M138">
        <v>1</v>
      </c>
    </row>
    <row r="139" spans="2:13" x14ac:dyDescent="0.25">
      <c r="B139" t="e">
        <f>VLOOKUP(A139,Data!$A$2:$B$16,2,FALSE)</f>
        <v>#N/A</v>
      </c>
      <c r="C139" s="57"/>
      <c r="G139">
        <f t="shared" si="2"/>
        <v>0</v>
      </c>
      <c r="M139">
        <v>1</v>
      </c>
    </row>
    <row r="140" spans="2:13" x14ac:dyDescent="0.25">
      <c r="B140" t="e">
        <f>VLOOKUP(A140,Data!$A$2:$B$16,2,FALSE)</f>
        <v>#N/A</v>
      </c>
      <c r="C140" s="57"/>
      <c r="G140">
        <f t="shared" si="2"/>
        <v>0</v>
      </c>
      <c r="M140">
        <v>1</v>
      </c>
    </row>
    <row r="141" spans="2:13" x14ac:dyDescent="0.25">
      <c r="B141" t="e">
        <f>VLOOKUP(A141,Data!$A$2:$B$16,2,FALSE)</f>
        <v>#N/A</v>
      </c>
      <c r="C141" s="57"/>
      <c r="G141">
        <f t="shared" si="2"/>
        <v>0</v>
      </c>
      <c r="M141">
        <v>1</v>
      </c>
    </row>
    <row r="142" spans="2:13" x14ac:dyDescent="0.25">
      <c r="B142" t="e">
        <f>VLOOKUP(A142,Data!$A$2:$B$16,2,FALSE)</f>
        <v>#N/A</v>
      </c>
      <c r="C142" s="57"/>
      <c r="G142">
        <f t="shared" si="2"/>
        <v>0</v>
      </c>
      <c r="M142">
        <v>1</v>
      </c>
    </row>
    <row r="143" spans="2:13" x14ac:dyDescent="0.25">
      <c r="B143" t="e">
        <f>VLOOKUP(A143,Data!$A$2:$B$16,2,FALSE)</f>
        <v>#N/A</v>
      </c>
      <c r="C143" s="57"/>
      <c r="G143">
        <f t="shared" si="2"/>
        <v>0</v>
      </c>
      <c r="M143">
        <v>1</v>
      </c>
    </row>
    <row r="144" spans="2:13" x14ac:dyDescent="0.25">
      <c r="B144" t="e">
        <f>VLOOKUP(A144,Data!$A$2:$B$16,2,FALSE)</f>
        <v>#N/A</v>
      </c>
      <c r="C144" s="57"/>
      <c r="G144">
        <f t="shared" si="2"/>
        <v>0</v>
      </c>
      <c r="M144">
        <v>1</v>
      </c>
    </row>
    <row r="145" spans="2:13" x14ac:dyDescent="0.25">
      <c r="B145" t="e">
        <f>VLOOKUP(A145,Data!$A$2:$B$16,2,FALSE)</f>
        <v>#N/A</v>
      </c>
      <c r="C145" s="57"/>
      <c r="G145">
        <f t="shared" si="2"/>
        <v>0</v>
      </c>
      <c r="M145">
        <v>1</v>
      </c>
    </row>
    <row r="146" spans="2:13" x14ac:dyDescent="0.25">
      <c r="B146" t="e">
        <f>VLOOKUP(A146,Data!$A$2:$B$16,2,FALSE)</f>
        <v>#N/A</v>
      </c>
      <c r="C146" s="57"/>
      <c r="G146">
        <f t="shared" si="2"/>
        <v>0</v>
      </c>
      <c r="M146">
        <v>1</v>
      </c>
    </row>
    <row r="147" spans="2:13" x14ac:dyDescent="0.25">
      <c r="B147" t="e">
        <f>VLOOKUP(A147,Data!$A$2:$B$16,2,FALSE)</f>
        <v>#N/A</v>
      </c>
      <c r="C147" s="57"/>
      <c r="G147">
        <f t="shared" si="2"/>
        <v>0</v>
      </c>
      <c r="M147">
        <v>1</v>
      </c>
    </row>
    <row r="148" spans="2:13" x14ac:dyDescent="0.25">
      <c r="B148" t="e">
        <f>VLOOKUP(A148,Data!$A$2:$B$16,2,FALSE)</f>
        <v>#N/A</v>
      </c>
      <c r="C148" s="57"/>
      <c r="G148">
        <f t="shared" si="2"/>
        <v>0</v>
      </c>
      <c r="M148">
        <v>1</v>
      </c>
    </row>
    <row r="149" spans="2:13" x14ac:dyDescent="0.25">
      <c r="B149" t="e">
        <f>VLOOKUP(A149,Data!$A$2:$B$16,2,FALSE)</f>
        <v>#N/A</v>
      </c>
      <c r="C149" s="57"/>
      <c r="G149">
        <f t="shared" si="2"/>
        <v>0</v>
      </c>
      <c r="M149">
        <v>1</v>
      </c>
    </row>
    <row r="150" spans="2:13" x14ac:dyDescent="0.25">
      <c r="B150" t="e">
        <f>VLOOKUP(A150,Data!$A$2:$B$16,2,FALSE)</f>
        <v>#N/A</v>
      </c>
      <c r="C150" s="57"/>
      <c r="G150">
        <f t="shared" si="2"/>
        <v>0</v>
      </c>
      <c r="M150">
        <v>1</v>
      </c>
    </row>
    <row r="151" spans="2:13" x14ac:dyDescent="0.25">
      <c r="B151" t="e">
        <f>VLOOKUP(A151,Data!$A$2:$B$16,2,FALSE)</f>
        <v>#N/A</v>
      </c>
      <c r="C151" s="57"/>
      <c r="G151">
        <f t="shared" si="2"/>
        <v>0</v>
      </c>
      <c r="M151">
        <v>1</v>
      </c>
    </row>
    <row r="152" spans="2:13" x14ac:dyDescent="0.25">
      <c r="B152" t="e">
        <f>VLOOKUP(A152,Data!$A$2:$B$16,2,FALSE)</f>
        <v>#N/A</v>
      </c>
      <c r="C152" s="57"/>
      <c r="G152">
        <f t="shared" si="2"/>
        <v>0</v>
      </c>
      <c r="M152">
        <v>1</v>
      </c>
    </row>
    <row r="153" spans="2:13" x14ac:dyDescent="0.25">
      <c r="B153" t="e">
        <f>VLOOKUP(A153,Data!$A$2:$B$16,2,FALSE)</f>
        <v>#N/A</v>
      </c>
      <c r="C153" s="57"/>
      <c r="G153">
        <f t="shared" si="2"/>
        <v>0</v>
      </c>
      <c r="M153">
        <v>1</v>
      </c>
    </row>
    <row r="154" spans="2:13" x14ac:dyDescent="0.25">
      <c r="B154" t="e">
        <f>VLOOKUP(A154,Data!$A$2:$B$16,2,FALSE)</f>
        <v>#N/A</v>
      </c>
      <c r="C154" s="57"/>
      <c r="G154">
        <f t="shared" si="2"/>
        <v>0</v>
      </c>
      <c r="M154">
        <v>1</v>
      </c>
    </row>
    <row r="155" spans="2:13" x14ac:dyDescent="0.25">
      <c r="B155" t="e">
        <f>VLOOKUP(A155,Data!$A$2:$B$16,2,FALSE)</f>
        <v>#N/A</v>
      </c>
      <c r="C155" s="57"/>
      <c r="G155">
        <f t="shared" si="2"/>
        <v>0</v>
      </c>
      <c r="M155">
        <v>1</v>
      </c>
    </row>
    <row r="156" spans="2:13" x14ac:dyDescent="0.25">
      <c r="B156" t="e">
        <f>VLOOKUP(A156,Data!$A$2:$B$16,2,FALSE)</f>
        <v>#N/A</v>
      </c>
      <c r="C156" s="57"/>
      <c r="G156">
        <f t="shared" si="2"/>
        <v>0</v>
      </c>
      <c r="M156">
        <v>1</v>
      </c>
    </row>
    <row r="157" spans="2:13" x14ac:dyDescent="0.25">
      <c r="B157" t="e">
        <f>VLOOKUP(A157,Data!$A$2:$B$16,2,FALSE)</f>
        <v>#N/A</v>
      </c>
      <c r="C157" s="57"/>
      <c r="G157">
        <f t="shared" si="2"/>
        <v>0</v>
      </c>
      <c r="M157">
        <v>1</v>
      </c>
    </row>
    <row r="158" spans="2:13" x14ac:dyDescent="0.25">
      <c r="B158" t="e">
        <f>VLOOKUP(A158,Data!$A$2:$B$16,2,FALSE)</f>
        <v>#N/A</v>
      </c>
      <c r="C158" s="57"/>
      <c r="G158">
        <f t="shared" si="2"/>
        <v>0</v>
      </c>
      <c r="M158">
        <v>1</v>
      </c>
    </row>
    <row r="159" spans="2:13" x14ac:dyDescent="0.25">
      <c r="B159" t="e">
        <f>VLOOKUP(A159,Data!$A$2:$B$16,2,FALSE)</f>
        <v>#N/A</v>
      </c>
      <c r="C159" s="57"/>
      <c r="G159">
        <f t="shared" si="2"/>
        <v>0</v>
      </c>
      <c r="M159">
        <v>1</v>
      </c>
    </row>
    <row r="160" spans="2:13" x14ac:dyDescent="0.25">
      <c r="B160" t="e">
        <f>VLOOKUP(A160,Data!$A$2:$B$16,2,FALSE)</f>
        <v>#N/A</v>
      </c>
      <c r="C160" s="57"/>
      <c r="G160">
        <f t="shared" si="2"/>
        <v>0</v>
      </c>
      <c r="M160">
        <v>1</v>
      </c>
    </row>
    <row r="161" spans="2:13" x14ac:dyDescent="0.25">
      <c r="B161" t="e">
        <f>VLOOKUP(A161,Data!$A$2:$B$16,2,FALSE)</f>
        <v>#N/A</v>
      </c>
      <c r="C161" s="57"/>
      <c r="G161">
        <f t="shared" si="2"/>
        <v>0</v>
      </c>
      <c r="M161">
        <v>1</v>
      </c>
    </row>
    <row r="162" spans="2:13" x14ac:dyDescent="0.25">
      <c r="B162" t="e">
        <f>VLOOKUP(A162,Data!$A$2:$B$16,2,FALSE)</f>
        <v>#N/A</v>
      </c>
      <c r="C162" s="57"/>
      <c r="G162">
        <f t="shared" si="2"/>
        <v>0</v>
      </c>
      <c r="M162">
        <v>1</v>
      </c>
    </row>
    <row r="163" spans="2:13" x14ac:dyDescent="0.25">
      <c r="B163" t="e">
        <f>VLOOKUP(A163,Data!$A$2:$B$16,2,FALSE)</f>
        <v>#N/A</v>
      </c>
      <c r="C163" s="57"/>
      <c r="G163">
        <f t="shared" si="2"/>
        <v>0</v>
      </c>
      <c r="M163">
        <v>1</v>
      </c>
    </row>
    <row r="164" spans="2:13" x14ac:dyDescent="0.25">
      <c r="B164" t="e">
        <f>VLOOKUP(A164,Data!$A$2:$B$16,2,FALSE)</f>
        <v>#N/A</v>
      </c>
      <c r="C164" s="57"/>
      <c r="G164">
        <f t="shared" si="2"/>
        <v>0</v>
      </c>
      <c r="M164">
        <v>1</v>
      </c>
    </row>
    <row r="165" spans="2:13" x14ac:dyDescent="0.25">
      <c r="B165" t="e">
        <f>VLOOKUP(A165,Data!$A$2:$B$16,2,FALSE)</f>
        <v>#N/A</v>
      </c>
      <c r="C165" s="57"/>
      <c r="G165">
        <f t="shared" si="2"/>
        <v>0</v>
      </c>
      <c r="M165">
        <v>1</v>
      </c>
    </row>
    <row r="166" spans="2:13" x14ac:dyDescent="0.25">
      <c r="B166" t="e">
        <f>VLOOKUP(A166,Data!$A$2:$B$16,2,FALSE)</f>
        <v>#N/A</v>
      </c>
      <c r="C166" s="57"/>
      <c r="G166">
        <f t="shared" si="2"/>
        <v>0</v>
      </c>
      <c r="M166">
        <v>1</v>
      </c>
    </row>
    <row r="167" spans="2:13" x14ac:dyDescent="0.25">
      <c r="B167" t="e">
        <f>VLOOKUP(A167,Data!$A$2:$B$16,2,FALSE)</f>
        <v>#N/A</v>
      </c>
      <c r="C167" s="57"/>
      <c r="G167">
        <f t="shared" si="2"/>
        <v>0</v>
      </c>
      <c r="M167">
        <v>1</v>
      </c>
    </row>
    <row r="168" spans="2:13" x14ac:dyDescent="0.25">
      <c r="B168" t="e">
        <f>VLOOKUP(A168,Data!$A$2:$B$16,2,FALSE)</f>
        <v>#N/A</v>
      </c>
      <c r="C168" s="57"/>
      <c r="G168">
        <f t="shared" si="2"/>
        <v>0</v>
      </c>
      <c r="M168">
        <v>1</v>
      </c>
    </row>
    <row r="169" spans="2:13" x14ac:dyDescent="0.25">
      <c r="B169" t="e">
        <f>VLOOKUP(A169,Data!$A$2:$B$16,2,FALSE)</f>
        <v>#N/A</v>
      </c>
      <c r="C169" s="57"/>
      <c r="G169">
        <f t="shared" si="2"/>
        <v>0</v>
      </c>
      <c r="M169">
        <v>1</v>
      </c>
    </row>
    <row r="170" spans="2:13" x14ac:dyDescent="0.25">
      <c r="B170" t="e">
        <f>VLOOKUP(A170,Data!$A$2:$B$16,2,FALSE)</f>
        <v>#N/A</v>
      </c>
      <c r="C170" s="57"/>
      <c r="G170">
        <f t="shared" si="2"/>
        <v>0</v>
      </c>
      <c r="M170">
        <v>1</v>
      </c>
    </row>
    <row r="171" spans="2:13" x14ac:dyDescent="0.25">
      <c r="B171" t="e">
        <f>VLOOKUP(A171,Data!$A$2:$B$16,2,FALSE)</f>
        <v>#N/A</v>
      </c>
      <c r="C171" s="57"/>
      <c r="G171">
        <f t="shared" si="2"/>
        <v>0</v>
      </c>
      <c r="M171">
        <v>1</v>
      </c>
    </row>
    <row r="172" spans="2:13" x14ac:dyDescent="0.25">
      <c r="B172" t="e">
        <f>VLOOKUP(A172,Data!$A$2:$B$16,2,FALSE)</f>
        <v>#N/A</v>
      </c>
      <c r="C172" s="57"/>
      <c r="G172">
        <f t="shared" si="2"/>
        <v>0</v>
      </c>
      <c r="M172">
        <v>1</v>
      </c>
    </row>
    <row r="173" spans="2:13" x14ac:dyDescent="0.25">
      <c r="B173" t="e">
        <f>VLOOKUP(A173,Data!$A$2:$B$16,2,FALSE)</f>
        <v>#N/A</v>
      </c>
      <c r="C173" s="57"/>
      <c r="G173">
        <f t="shared" si="2"/>
        <v>0</v>
      </c>
      <c r="M173">
        <v>1</v>
      </c>
    </row>
    <row r="174" spans="2:13" x14ac:dyDescent="0.25">
      <c r="B174" t="e">
        <f>VLOOKUP(A174,Data!$A$2:$B$16,2,FALSE)</f>
        <v>#N/A</v>
      </c>
      <c r="C174" s="57"/>
      <c r="G174">
        <f t="shared" si="2"/>
        <v>0</v>
      </c>
      <c r="M174">
        <v>1</v>
      </c>
    </row>
    <row r="175" spans="2:13" x14ac:dyDescent="0.25">
      <c r="B175" t="e">
        <f>VLOOKUP(A175,Data!$A$2:$B$16,2,FALSE)</f>
        <v>#N/A</v>
      </c>
      <c r="C175" s="57"/>
      <c r="G175">
        <f t="shared" si="2"/>
        <v>0</v>
      </c>
      <c r="M175">
        <v>1</v>
      </c>
    </row>
    <row r="176" spans="2:13" x14ac:dyDescent="0.25">
      <c r="B176" t="e">
        <f>VLOOKUP(A176,Data!$A$2:$B$16,2,FALSE)</f>
        <v>#N/A</v>
      </c>
      <c r="C176" s="57"/>
      <c r="G176">
        <f t="shared" si="2"/>
        <v>0</v>
      </c>
      <c r="M176">
        <v>1</v>
      </c>
    </row>
    <row r="177" spans="2:13" x14ac:dyDescent="0.25">
      <c r="B177" t="e">
        <f>VLOOKUP(A177,Data!$A$2:$B$16,2,FALSE)</f>
        <v>#N/A</v>
      </c>
      <c r="C177" s="57"/>
      <c r="G177">
        <f t="shared" si="2"/>
        <v>0</v>
      </c>
      <c r="M177">
        <v>1</v>
      </c>
    </row>
    <row r="178" spans="2:13" x14ac:dyDescent="0.25">
      <c r="B178" t="e">
        <f>VLOOKUP(A178,Data!$A$2:$B$16,2,FALSE)</f>
        <v>#N/A</v>
      </c>
      <c r="C178" s="57"/>
      <c r="G178">
        <f t="shared" si="2"/>
        <v>0</v>
      </c>
      <c r="M178">
        <v>1</v>
      </c>
    </row>
    <row r="179" spans="2:13" x14ac:dyDescent="0.25">
      <c r="B179" t="e">
        <f>VLOOKUP(A179,Data!$A$2:$B$16,2,FALSE)</f>
        <v>#N/A</v>
      </c>
      <c r="C179" s="57"/>
      <c r="G179">
        <f t="shared" si="2"/>
        <v>0</v>
      </c>
      <c r="M179">
        <v>1</v>
      </c>
    </row>
    <row r="180" spans="2:13" x14ac:dyDescent="0.25">
      <c r="B180" t="e">
        <f>VLOOKUP(A180,Data!$A$2:$B$16,2,FALSE)</f>
        <v>#N/A</v>
      </c>
      <c r="C180" s="57"/>
      <c r="G180">
        <f t="shared" si="2"/>
        <v>0</v>
      </c>
      <c r="M180">
        <v>1</v>
      </c>
    </row>
    <row r="181" spans="2:13" x14ac:dyDescent="0.25">
      <c r="B181" t="e">
        <f>VLOOKUP(A181,Data!$A$2:$B$16,2,FALSE)</f>
        <v>#N/A</v>
      </c>
      <c r="C181" s="57"/>
      <c r="G181">
        <f t="shared" si="2"/>
        <v>0</v>
      </c>
      <c r="M181">
        <v>1</v>
      </c>
    </row>
    <row r="182" spans="2:13" x14ac:dyDescent="0.25">
      <c r="B182" t="e">
        <f>VLOOKUP(A182,Data!$A$2:$B$16,2,FALSE)</f>
        <v>#N/A</v>
      </c>
      <c r="C182" s="57"/>
      <c r="G182">
        <f t="shared" si="2"/>
        <v>0</v>
      </c>
      <c r="M182">
        <v>1</v>
      </c>
    </row>
    <row r="183" spans="2:13" x14ac:dyDescent="0.25">
      <c r="B183" t="e">
        <f>VLOOKUP(A183,Data!$A$2:$B$16,2,FALSE)</f>
        <v>#N/A</v>
      </c>
      <c r="C183" s="57"/>
      <c r="G183">
        <f t="shared" si="2"/>
        <v>0</v>
      </c>
      <c r="M183">
        <v>1</v>
      </c>
    </row>
    <row r="184" spans="2:13" x14ac:dyDescent="0.25">
      <c r="B184" t="e">
        <f>VLOOKUP(A184,Data!$A$2:$B$16,2,FALSE)</f>
        <v>#N/A</v>
      </c>
      <c r="C184" s="57"/>
      <c r="G184">
        <f t="shared" si="2"/>
        <v>0</v>
      </c>
      <c r="M184">
        <v>1</v>
      </c>
    </row>
    <row r="185" spans="2:13" x14ac:dyDescent="0.25">
      <c r="B185" t="e">
        <f>VLOOKUP(A185,Data!$A$2:$B$16,2,FALSE)</f>
        <v>#N/A</v>
      </c>
      <c r="C185" s="57"/>
      <c r="G185">
        <f t="shared" si="2"/>
        <v>0</v>
      </c>
      <c r="M185">
        <v>1</v>
      </c>
    </row>
    <row r="186" spans="2:13" x14ac:dyDescent="0.25">
      <c r="B186" t="e">
        <f>VLOOKUP(A186,Data!$A$2:$B$16,2,FALSE)</f>
        <v>#N/A</v>
      </c>
      <c r="C186" s="57"/>
      <c r="G186">
        <f t="shared" si="2"/>
        <v>0</v>
      </c>
      <c r="M186">
        <v>1</v>
      </c>
    </row>
    <row r="187" spans="2:13" x14ac:dyDescent="0.25">
      <c r="B187" t="e">
        <f>VLOOKUP(A187,Data!$A$2:$B$16,2,FALSE)</f>
        <v>#N/A</v>
      </c>
      <c r="C187" s="57"/>
      <c r="G187">
        <f t="shared" si="2"/>
        <v>0</v>
      </c>
      <c r="M187">
        <v>1</v>
      </c>
    </row>
    <row r="188" spans="2:13" x14ac:dyDescent="0.25">
      <c r="B188" t="e">
        <f>VLOOKUP(A188,Data!$A$2:$B$16,2,FALSE)</f>
        <v>#N/A</v>
      </c>
      <c r="C188" s="57"/>
      <c r="G188">
        <f t="shared" si="2"/>
        <v>0</v>
      </c>
      <c r="M188">
        <v>1</v>
      </c>
    </row>
    <row r="189" spans="2:13" x14ac:dyDescent="0.25">
      <c r="B189" t="e">
        <f>VLOOKUP(A189,Data!$A$2:$B$16,2,FALSE)</f>
        <v>#N/A</v>
      </c>
      <c r="C189" s="57"/>
      <c r="G189">
        <f t="shared" si="2"/>
        <v>0</v>
      </c>
      <c r="M189">
        <v>1</v>
      </c>
    </row>
    <row r="190" spans="2:13" x14ac:dyDescent="0.25">
      <c r="B190" t="e">
        <f>VLOOKUP(A190,Data!$A$2:$B$16,2,FALSE)</f>
        <v>#N/A</v>
      </c>
      <c r="C190" s="57"/>
      <c r="G190">
        <f t="shared" si="2"/>
        <v>0</v>
      </c>
      <c r="M190">
        <v>1</v>
      </c>
    </row>
    <row r="191" spans="2:13" x14ac:dyDescent="0.25">
      <c r="B191" t="e">
        <f>VLOOKUP(A191,Data!$A$2:$B$16,2,FALSE)</f>
        <v>#N/A</v>
      </c>
      <c r="C191" s="57"/>
      <c r="G191">
        <f t="shared" si="2"/>
        <v>0</v>
      </c>
      <c r="M191">
        <v>1</v>
      </c>
    </row>
    <row r="192" spans="2:13" x14ac:dyDescent="0.25">
      <c r="B192" t="e">
        <f>VLOOKUP(A192,Data!$A$2:$B$16,2,FALSE)</f>
        <v>#N/A</v>
      </c>
      <c r="C192" s="57"/>
      <c r="G192">
        <f t="shared" si="2"/>
        <v>0</v>
      </c>
      <c r="M192">
        <v>1</v>
      </c>
    </row>
    <row r="193" spans="2:13" x14ac:dyDescent="0.25">
      <c r="B193" t="e">
        <f>VLOOKUP(A193,Data!$A$2:$B$16,2,FALSE)</f>
        <v>#N/A</v>
      </c>
      <c r="C193" s="57"/>
      <c r="G193">
        <f t="shared" si="2"/>
        <v>0</v>
      </c>
      <c r="M193">
        <v>1</v>
      </c>
    </row>
    <row r="194" spans="2:13" x14ac:dyDescent="0.25">
      <c r="B194" t="e">
        <f>VLOOKUP(A194,Data!$A$2:$B$16,2,FALSE)</f>
        <v>#N/A</v>
      </c>
      <c r="C194" s="57"/>
      <c r="G194">
        <f t="shared" si="2"/>
        <v>0</v>
      </c>
      <c r="M194">
        <v>1</v>
      </c>
    </row>
    <row r="195" spans="2:13" x14ac:dyDescent="0.25">
      <c r="B195" t="e">
        <f>VLOOKUP(A195,Data!$A$2:$B$16,2,FALSE)</f>
        <v>#N/A</v>
      </c>
      <c r="C195" s="57"/>
      <c r="G195">
        <f t="shared" ref="G195:G258" si="3">ROUNDUP(F195/60,2)</f>
        <v>0</v>
      </c>
      <c r="M195">
        <v>1</v>
      </c>
    </row>
    <row r="196" spans="2:13" x14ac:dyDescent="0.25">
      <c r="B196" t="e">
        <f>VLOOKUP(A196,Data!$A$2:$B$16,2,FALSE)</f>
        <v>#N/A</v>
      </c>
      <c r="C196" s="57"/>
      <c r="G196">
        <f t="shared" si="3"/>
        <v>0</v>
      </c>
      <c r="M196">
        <v>1</v>
      </c>
    </row>
    <row r="197" spans="2:13" x14ac:dyDescent="0.25">
      <c r="B197" t="e">
        <f>VLOOKUP(A197,Data!$A$2:$B$16,2,FALSE)</f>
        <v>#N/A</v>
      </c>
      <c r="C197" s="57"/>
      <c r="G197">
        <f t="shared" si="3"/>
        <v>0</v>
      </c>
      <c r="M197">
        <v>1</v>
      </c>
    </row>
    <row r="198" spans="2:13" x14ac:dyDescent="0.25">
      <c r="B198" t="e">
        <f>VLOOKUP(A198,Data!$A$2:$B$16,2,FALSE)</f>
        <v>#N/A</v>
      </c>
      <c r="C198" s="57"/>
      <c r="G198">
        <f t="shared" si="3"/>
        <v>0</v>
      </c>
      <c r="M198">
        <v>1</v>
      </c>
    </row>
    <row r="199" spans="2:13" x14ac:dyDescent="0.25">
      <c r="B199" t="e">
        <f>VLOOKUP(A199,Data!$A$2:$B$16,2,FALSE)</f>
        <v>#N/A</v>
      </c>
      <c r="C199" s="57"/>
      <c r="G199">
        <f t="shared" si="3"/>
        <v>0</v>
      </c>
      <c r="M199">
        <v>1</v>
      </c>
    </row>
    <row r="200" spans="2:13" x14ac:dyDescent="0.25">
      <c r="B200" t="e">
        <f>VLOOKUP(A200,Data!$A$2:$B$16,2,FALSE)</f>
        <v>#N/A</v>
      </c>
      <c r="C200" s="57"/>
      <c r="G200">
        <f t="shared" si="3"/>
        <v>0</v>
      </c>
      <c r="M200">
        <v>1</v>
      </c>
    </row>
    <row r="201" spans="2:13" x14ac:dyDescent="0.25">
      <c r="B201" t="e">
        <f>VLOOKUP(A201,Data!$A$2:$B$16,2,FALSE)</f>
        <v>#N/A</v>
      </c>
      <c r="C201" s="57"/>
      <c r="G201">
        <f t="shared" si="3"/>
        <v>0</v>
      </c>
      <c r="M201">
        <v>1</v>
      </c>
    </row>
    <row r="202" spans="2:13" x14ac:dyDescent="0.25">
      <c r="B202" t="e">
        <f>VLOOKUP(A202,Data!$A$2:$B$16,2,FALSE)</f>
        <v>#N/A</v>
      </c>
      <c r="C202" s="57"/>
      <c r="G202">
        <f t="shared" si="3"/>
        <v>0</v>
      </c>
      <c r="M202">
        <v>1</v>
      </c>
    </row>
    <row r="203" spans="2:13" x14ac:dyDescent="0.25">
      <c r="B203" t="e">
        <f>VLOOKUP(A203,Data!$A$2:$B$16,2,FALSE)</f>
        <v>#N/A</v>
      </c>
      <c r="C203" s="57"/>
      <c r="G203">
        <f t="shared" si="3"/>
        <v>0</v>
      </c>
      <c r="M203">
        <v>1</v>
      </c>
    </row>
    <row r="204" spans="2:13" x14ac:dyDescent="0.25">
      <c r="B204" t="e">
        <f>VLOOKUP(A204,Data!$A$2:$B$16,2,FALSE)</f>
        <v>#N/A</v>
      </c>
      <c r="C204" s="57"/>
      <c r="G204">
        <f t="shared" si="3"/>
        <v>0</v>
      </c>
      <c r="M204">
        <v>1</v>
      </c>
    </row>
    <row r="205" spans="2:13" x14ac:dyDescent="0.25">
      <c r="B205" t="e">
        <f>VLOOKUP(A205,Data!$A$2:$B$16,2,FALSE)</f>
        <v>#N/A</v>
      </c>
      <c r="C205" s="57"/>
      <c r="G205">
        <f t="shared" si="3"/>
        <v>0</v>
      </c>
      <c r="M205">
        <v>1</v>
      </c>
    </row>
    <row r="206" spans="2:13" x14ac:dyDescent="0.25">
      <c r="B206" t="e">
        <f>VLOOKUP(A206,Data!$A$2:$B$16,2,FALSE)</f>
        <v>#N/A</v>
      </c>
      <c r="C206" s="57"/>
      <c r="G206">
        <f t="shared" si="3"/>
        <v>0</v>
      </c>
      <c r="M206">
        <v>1</v>
      </c>
    </row>
    <row r="207" spans="2:13" x14ac:dyDescent="0.25">
      <c r="B207" t="e">
        <f>VLOOKUP(A207,Data!$A$2:$B$16,2,FALSE)</f>
        <v>#N/A</v>
      </c>
      <c r="C207" s="57"/>
      <c r="G207">
        <f t="shared" si="3"/>
        <v>0</v>
      </c>
      <c r="M207">
        <v>1</v>
      </c>
    </row>
    <row r="208" spans="2:13" x14ac:dyDescent="0.25">
      <c r="B208" t="e">
        <f>VLOOKUP(A208,Data!$A$2:$B$16,2,FALSE)</f>
        <v>#N/A</v>
      </c>
      <c r="C208" s="57"/>
      <c r="G208">
        <f t="shared" si="3"/>
        <v>0</v>
      </c>
      <c r="M208">
        <v>1</v>
      </c>
    </row>
    <row r="209" spans="2:13" x14ac:dyDescent="0.25">
      <c r="B209" t="e">
        <f>VLOOKUP(A209,Data!$A$2:$B$16,2,FALSE)</f>
        <v>#N/A</v>
      </c>
      <c r="C209" s="57"/>
      <c r="G209">
        <f t="shared" si="3"/>
        <v>0</v>
      </c>
      <c r="M209">
        <v>1</v>
      </c>
    </row>
    <row r="210" spans="2:13" x14ac:dyDescent="0.25">
      <c r="B210" t="e">
        <f>VLOOKUP(A210,Data!$A$2:$B$16,2,FALSE)</f>
        <v>#N/A</v>
      </c>
      <c r="C210" s="57"/>
      <c r="G210">
        <f t="shared" si="3"/>
        <v>0</v>
      </c>
      <c r="M210">
        <v>1</v>
      </c>
    </row>
    <row r="211" spans="2:13" x14ac:dyDescent="0.25">
      <c r="B211" t="e">
        <f>VLOOKUP(A211,Data!$A$2:$B$16,2,FALSE)</f>
        <v>#N/A</v>
      </c>
      <c r="C211" s="57"/>
      <c r="G211">
        <f t="shared" si="3"/>
        <v>0</v>
      </c>
      <c r="M211">
        <v>1</v>
      </c>
    </row>
    <row r="212" spans="2:13" x14ac:dyDescent="0.25">
      <c r="B212" t="e">
        <f>VLOOKUP(A212,Data!$A$2:$B$16,2,FALSE)</f>
        <v>#N/A</v>
      </c>
      <c r="C212" s="57"/>
      <c r="G212">
        <f t="shared" si="3"/>
        <v>0</v>
      </c>
      <c r="M212">
        <v>1</v>
      </c>
    </row>
    <row r="213" spans="2:13" x14ac:dyDescent="0.25">
      <c r="B213" t="e">
        <f>VLOOKUP(A213,Data!$A$2:$B$16,2,FALSE)</f>
        <v>#N/A</v>
      </c>
      <c r="C213" s="57"/>
      <c r="G213">
        <f t="shared" si="3"/>
        <v>0</v>
      </c>
      <c r="M213">
        <v>1</v>
      </c>
    </row>
    <row r="214" spans="2:13" x14ac:dyDescent="0.25">
      <c r="B214" t="e">
        <f>VLOOKUP(A214,Data!$A$2:$B$16,2,FALSE)</f>
        <v>#N/A</v>
      </c>
      <c r="C214" s="57"/>
      <c r="G214">
        <f t="shared" si="3"/>
        <v>0</v>
      </c>
      <c r="M214">
        <v>1</v>
      </c>
    </row>
    <row r="215" spans="2:13" x14ac:dyDescent="0.25">
      <c r="B215" t="e">
        <f>VLOOKUP(A215,Data!$A$2:$B$16,2,FALSE)</f>
        <v>#N/A</v>
      </c>
      <c r="C215" s="57"/>
      <c r="G215">
        <f t="shared" si="3"/>
        <v>0</v>
      </c>
      <c r="M215">
        <v>1</v>
      </c>
    </row>
    <row r="216" spans="2:13" x14ac:dyDescent="0.25">
      <c r="B216" t="e">
        <f>VLOOKUP(A216,Data!$A$2:$B$16,2,FALSE)</f>
        <v>#N/A</v>
      </c>
      <c r="C216" s="57"/>
      <c r="G216">
        <f t="shared" si="3"/>
        <v>0</v>
      </c>
      <c r="M216">
        <v>1</v>
      </c>
    </row>
    <row r="217" spans="2:13" x14ac:dyDescent="0.25">
      <c r="B217" t="e">
        <f>VLOOKUP(A217,Data!$A$2:$B$16,2,FALSE)</f>
        <v>#N/A</v>
      </c>
      <c r="C217" s="57"/>
      <c r="G217">
        <f t="shared" si="3"/>
        <v>0</v>
      </c>
      <c r="M217">
        <v>1</v>
      </c>
    </row>
    <row r="218" spans="2:13" x14ac:dyDescent="0.25">
      <c r="B218" t="e">
        <f>VLOOKUP(A218,Data!$A$2:$B$16,2,FALSE)</f>
        <v>#N/A</v>
      </c>
      <c r="C218" s="57"/>
      <c r="G218">
        <f t="shared" si="3"/>
        <v>0</v>
      </c>
      <c r="M218">
        <v>1</v>
      </c>
    </row>
    <row r="219" spans="2:13" x14ac:dyDescent="0.25">
      <c r="B219" t="e">
        <f>VLOOKUP(A219,Data!$A$2:$B$16,2,FALSE)</f>
        <v>#N/A</v>
      </c>
      <c r="C219" s="57"/>
      <c r="G219">
        <f t="shared" si="3"/>
        <v>0</v>
      </c>
      <c r="M219">
        <v>1</v>
      </c>
    </row>
    <row r="220" spans="2:13" x14ac:dyDescent="0.25">
      <c r="B220" t="e">
        <f>VLOOKUP(A220,Data!$A$2:$B$16,2,FALSE)</f>
        <v>#N/A</v>
      </c>
      <c r="C220" s="57"/>
      <c r="G220">
        <f t="shared" si="3"/>
        <v>0</v>
      </c>
      <c r="M220">
        <v>1</v>
      </c>
    </row>
    <row r="221" spans="2:13" x14ac:dyDescent="0.25">
      <c r="B221" t="e">
        <f>VLOOKUP(A221,Data!$A$2:$B$16,2,FALSE)</f>
        <v>#N/A</v>
      </c>
      <c r="C221" s="57"/>
      <c r="G221">
        <f t="shared" si="3"/>
        <v>0</v>
      </c>
      <c r="M221">
        <v>1</v>
      </c>
    </row>
    <row r="222" spans="2:13" x14ac:dyDescent="0.25">
      <c r="B222" t="e">
        <f>VLOOKUP(A222,Data!$A$2:$B$16,2,FALSE)</f>
        <v>#N/A</v>
      </c>
      <c r="C222" s="57"/>
      <c r="G222">
        <f t="shared" si="3"/>
        <v>0</v>
      </c>
      <c r="M222">
        <v>1</v>
      </c>
    </row>
    <row r="223" spans="2:13" x14ac:dyDescent="0.25">
      <c r="B223" t="e">
        <f>VLOOKUP(A223,Data!$A$2:$B$16,2,FALSE)</f>
        <v>#N/A</v>
      </c>
      <c r="C223" s="57"/>
      <c r="G223">
        <f t="shared" si="3"/>
        <v>0</v>
      </c>
      <c r="M223">
        <v>1</v>
      </c>
    </row>
    <row r="224" spans="2:13" x14ac:dyDescent="0.25">
      <c r="B224" t="e">
        <f>VLOOKUP(A224,Data!$A$2:$B$16,2,FALSE)</f>
        <v>#N/A</v>
      </c>
      <c r="C224" s="57"/>
      <c r="G224">
        <f t="shared" si="3"/>
        <v>0</v>
      </c>
      <c r="M224">
        <v>1</v>
      </c>
    </row>
    <row r="225" spans="2:13" x14ac:dyDescent="0.25">
      <c r="B225" t="e">
        <f>VLOOKUP(A225,Data!$A$2:$B$16,2,FALSE)</f>
        <v>#N/A</v>
      </c>
      <c r="C225" s="57"/>
      <c r="G225">
        <f t="shared" si="3"/>
        <v>0</v>
      </c>
      <c r="M225">
        <v>1</v>
      </c>
    </row>
    <row r="226" spans="2:13" x14ac:dyDescent="0.25">
      <c r="B226" t="e">
        <f>VLOOKUP(A226,Data!$A$2:$B$16,2,FALSE)</f>
        <v>#N/A</v>
      </c>
      <c r="C226" s="57"/>
      <c r="G226">
        <f t="shared" si="3"/>
        <v>0</v>
      </c>
      <c r="M226">
        <v>1</v>
      </c>
    </row>
    <row r="227" spans="2:13" x14ac:dyDescent="0.25">
      <c r="B227" t="e">
        <f>VLOOKUP(A227,Data!$A$2:$B$16,2,FALSE)</f>
        <v>#N/A</v>
      </c>
      <c r="C227" s="57"/>
      <c r="G227">
        <f t="shared" si="3"/>
        <v>0</v>
      </c>
      <c r="M227">
        <v>1</v>
      </c>
    </row>
    <row r="228" spans="2:13" x14ac:dyDescent="0.25">
      <c r="B228" t="e">
        <f>VLOOKUP(A228,Data!$A$2:$B$16,2,FALSE)</f>
        <v>#N/A</v>
      </c>
      <c r="C228" s="57"/>
      <c r="G228">
        <f t="shared" si="3"/>
        <v>0</v>
      </c>
      <c r="M228">
        <v>1</v>
      </c>
    </row>
    <row r="229" spans="2:13" x14ac:dyDescent="0.25">
      <c r="B229" t="e">
        <f>VLOOKUP(A229,Data!$A$2:$B$16,2,FALSE)</f>
        <v>#N/A</v>
      </c>
      <c r="C229" s="57"/>
      <c r="G229">
        <f t="shared" si="3"/>
        <v>0</v>
      </c>
      <c r="M229">
        <v>1</v>
      </c>
    </row>
    <row r="230" spans="2:13" x14ac:dyDescent="0.25">
      <c r="B230" t="e">
        <f>VLOOKUP(A230,Data!$A$2:$B$16,2,FALSE)</f>
        <v>#N/A</v>
      </c>
      <c r="C230" s="57"/>
      <c r="G230">
        <f t="shared" si="3"/>
        <v>0</v>
      </c>
      <c r="M230">
        <v>1</v>
      </c>
    </row>
    <row r="231" spans="2:13" x14ac:dyDescent="0.25">
      <c r="B231" t="e">
        <f>VLOOKUP(A231,Data!$A$2:$B$16,2,FALSE)</f>
        <v>#N/A</v>
      </c>
      <c r="C231" s="57"/>
      <c r="G231">
        <f t="shared" si="3"/>
        <v>0</v>
      </c>
      <c r="M231">
        <v>1</v>
      </c>
    </row>
    <row r="232" spans="2:13" x14ac:dyDescent="0.25">
      <c r="B232" t="e">
        <f>VLOOKUP(A232,Data!$A$2:$B$16,2,FALSE)</f>
        <v>#N/A</v>
      </c>
      <c r="C232" s="57"/>
      <c r="G232">
        <f t="shared" si="3"/>
        <v>0</v>
      </c>
      <c r="M232">
        <v>1</v>
      </c>
    </row>
    <row r="233" spans="2:13" x14ac:dyDescent="0.25">
      <c r="B233" t="e">
        <f>VLOOKUP(A233,Data!$A$2:$B$16,2,FALSE)</f>
        <v>#N/A</v>
      </c>
      <c r="C233" s="57"/>
      <c r="G233">
        <f t="shared" si="3"/>
        <v>0</v>
      </c>
      <c r="M233">
        <v>1</v>
      </c>
    </row>
    <row r="234" spans="2:13" x14ac:dyDescent="0.25">
      <c r="B234" t="e">
        <f>VLOOKUP(A234,Data!$A$2:$B$16,2,FALSE)</f>
        <v>#N/A</v>
      </c>
      <c r="C234" s="57"/>
      <c r="G234">
        <f t="shared" si="3"/>
        <v>0</v>
      </c>
      <c r="M234">
        <v>1</v>
      </c>
    </row>
    <row r="235" spans="2:13" x14ac:dyDescent="0.25">
      <c r="B235" t="e">
        <f>VLOOKUP(A235,Data!$A$2:$B$16,2,FALSE)</f>
        <v>#N/A</v>
      </c>
      <c r="C235" s="57"/>
      <c r="G235">
        <f t="shared" si="3"/>
        <v>0</v>
      </c>
      <c r="M235">
        <v>1</v>
      </c>
    </row>
    <row r="236" spans="2:13" x14ac:dyDescent="0.25">
      <c r="B236" t="e">
        <f>VLOOKUP(A236,Data!$A$2:$B$16,2,FALSE)</f>
        <v>#N/A</v>
      </c>
      <c r="C236" s="57"/>
      <c r="G236">
        <f t="shared" si="3"/>
        <v>0</v>
      </c>
      <c r="M236">
        <v>1</v>
      </c>
    </row>
    <row r="237" spans="2:13" x14ac:dyDescent="0.25">
      <c r="B237" t="e">
        <f>VLOOKUP(A237,Data!$A$2:$B$16,2,FALSE)</f>
        <v>#N/A</v>
      </c>
      <c r="C237" s="57"/>
      <c r="G237">
        <f t="shared" si="3"/>
        <v>0</v>
      </c>
      <c r="M237">
        <v>1</v>
      </c>
    </row>
    <row r="238" spans="2:13" x14ac:dyDescent="0.25">
      <c r="B238" t="e">
        <f>VLOOKUP(A238,Data!$A$2:$B$16,2,FALSE)</f>
        <v>#N/A</v>
      </c>
      <c r="C238" s="57"/>
      <c r="G238">
        <f t="shared" si="3"/>
        <v>0</v>
      </c>
      <c r="M238">
        <v>1</v>
      </c>
    </row>
    <row r="239" spans="2:13" x14ac:dyDescent="0.25">
      <c r="B239" t="e">
        <f>VLOOKUP(A239,Data!$A$2:$B$16,2,FALSE)</f>
        <v>#N/A</v>
      </c>
      <c r="C239" s="57"/>
      <c r="G239">
        <f t="shared" si="3"/>
        <v>0</v>
      </c>
      <c r="M239">
        <v>1</v>
      </c>
    </row>
    <row r="240" spans="2:13" x14ac:dyDescent="0.25">
      <c r="B240" t="e">
        <f>VLOOKUP(A240,Data!$A$2:$B$16,2,FALSE)</f>
        <v>#N/A</v>
      </c>
      <c r="C240" s="57"/>
      <c r="G240">
        <f t="shared" si="3"/>
        <v>0</v>
      </c>
      <c r="M240">
        <v>1</v>
      </c>
    </row>
    <row r="241" spans="2:13" x14ac:dyDescent="0.25">
      <c r="B241" t="e">
        <f>VLOOKUP(A241,Data!$A$2:$B$16,2,FALSE)</f>
        <v>#N/A</v>
      </c>
      <c r="C241" s="57"/>
      <c r="G241">
        <f t="shared" si="3"/>
        <v>0</v>
      </c>
      <c r="M241">
        <v>1</v>
      </c>
    </row>
    <row r="242" spans="2:13" x14ac:dyDescent="0.25">
      <c r="B242" t="e">
        <f>VLOOKUP(A242,Data!$A$2:$B$16,2,FALSE)</f>
        <v>#N/A</v>
      </c>
      <c r="C242" s="57"/>
      <c r="G242">
        <f t="shared" si="3"/>
        <v>0</v>
      </c>
      <c r="M242">
        <v>1</v>
      </c>
    </row>
    <row r="243" spans="2:13" x14ac:dyDescent="0.25">
      <c r="B243" t="e">
        <f>VLOOKUP(A243,Data!$A$2:$B$16,2,FALSE)</f>
        <v>#N/A</v>
      </c>
      <c r="C243" s="57"/>
      <c r="G243">
        <f t="shared" si="3"/>
        <v>0</v>
      </c>
      <c r="M243">
        <v>1</v>
      </c>
    </row>
    <row r="244" spans="2:13" x14ac:dyDescent="0.25">
      <c r="B244" t="e">
        <f>VLOOKUP(A244,Data!$A$2:$B$16,2,FALSE)</f>
        <v>#N/A</v>
      </c>
      <c r="C244" s="57"/>
      <c r="G244">
        <f t="shared" si="3"/>
        <v>0</v>
      </c>
      <c r="M244">
        <v>1</v>
      </c>
    </row>
    <row r="245" spans="2:13" x14ac:dyDescent="0.25">
      <c r="B245" t="e">
        <f>VLOOKUP(A245,Data!$A$2:$B$16,2,FALSE)</f>
        <v>#N/A</v>
      </c>
      <c r="C245" s="57"/>
      <c r="G245">
        <f t="shared" si="3"/>
        <v>0</v>
      </c>
      <c r="M245">
        <v>1</v>
      </c>
    </row>
    <row r="246" spans="2:13" x14ac:dyDescent="0.25">
      <c r="B246" t="e">
        <f>VLOOKUP(A246,Data!$A$2:$B$16,2,FALSE)</f>
        <v>#N/A</v>
      </c>
      <c r="C246" s="57"/>
      <c r="G246">
        <f t="shared" si="3"/>
        <v>0</v>
      </c>
      <c r="M246">
        <v>1</v>
      </c>
    </row>
    <row r="247" spans="2:13" x14ac:dyDescent="0.25">
      <c r="B247" t="e">
        <f>VLOOKUP(A247,Data!$A$2:$B$16,2,FALSE)</f>
        <v>#N/A</v>
      </c>
      <c r="C247" s="57"/>
      <c r="G247">
        <f t="shared" si="3"/>
        <v>0</v>
      </c>
      <c r="M247">
        <v>1</v>
      </c>
    </row>
    <row r="248" spans="2:13" x14ac:dyDescent="0.25">
      <c r="B248" t="e">
        <f>VLOOKUP(A248,Data!$A$2:$B$16,2,FALSE)</f>
        <v>#N/A</v>
      </c>
      <c r="C248" s="57"/>
      <c r="G248">
        <f t="shared" si="3"/>
        <v>0</v>
      </c>
      <c r="M248">
        <v>1</v>
      </c>
    </row>
    <row r="249" spans="2:13" x14ac:dyDescent="0.25">
      <c r="B249" t="e">
        <f>VLOOKUP(A249,Data!$A$2:$B$16,2,FALSE)</f>
        <v>#N/A</v>
      </c>
      <c r="C249" s="57"/>
      <c r="G249">
        <f t="shared" si="3"/>
        <v>0</v>
      </c>
      <c r="M249">
        <v>1</v>
      </c>
    </row>
    <row r="250" spans="2:13" x14ac:dyDescent="0.25">
      <c r="B250" t="e">
        <f>VLOOKUP(A250,Data!$A$2:$B$16,2,FALSE)</f>
        <v>#N/A</v>
      </c>
      <c r="C250" s="57"/>
      <c r="G250">
        <f t="shared" si="3"/>
        <v>0</v>
      </c>
      <c r="M250">
        <v>1</v>
      </c>
    </row>
    <row r="251" spans="2:13" x14ac:dyDescent="0.25">
      <c r="B251" t="e">
        <f>VLOOKUP(A251,Data!$A$2:$B$16,2,FALSE)</f>
        <v>#N/A</v>
      </c>
      <c r="C251" s="57"/>
      <c r="G251">
        <f t="shared" si="3"/>
        <v>0</v>
      </c>
      <c r="M251">
        <v>1</v>
      </c>
    </row>
    <row r="252" spans="2:13" x14ac:dyDescent="0.25">
      <c r="B252" t="e">
        <f>VLOOKUP(A252,Data!$A$2:$B$16,2,FALSE)</f>
        <v>#N/A</v>
      </c>
      <c r="C252" s="57"/>
      <c r="G252">
        <f t="shared" si="3"/>
        <v>0</v>
      </c>
      <c r="M252">
        <v>1</v>
      </c>
    </row>
    <row r="253" spans="2:13" x14ac:dyDescent="0.25">
      <c r="B253" t="e">
        <f>VLOOKUP(A253,Data!$A$2:$B$16,2,FALSE)</f>
        <v>#N/A</v>
      </c>
      <c r="C253" s="57"/>
      <c r="G253">
        <f t="shared" si="3"/>
        <v>0</v>
      </c>
      <c r="M253">
        <v>1</v>
      </c>
    </row>
    <row r="254" spans="2:13" x14ac:dyDescent="0.25">
      <c r="B254" t="e">
        <f>VLOOKUP(A254,Data!$A$2:$B$16,2,FALSE)</f>
        <v>#N/A</v>
      </c>
      <c r="C254" s="57"/>
      <c r="G254">
        <f t="shared" si="3"/>
        <v>0</v>
      </c>
      <c r="M254">
        <v>1</v>
      </c>
    </row>
    <row r="255" spans="2:13" x14ac:dyDescent="0.25">
      <c r="B255" t="e">
        <f>VLOOKUP(A255,Data!$A$2:$B$16,2,FALSE)</f>
        <v>#N/A</v>
      </c>
      <c r="C255" s="57"/>
      <c r="G255">
        <f t="shared" si="3"/>
        <v>0</v>
      </c>
      <c r="M255">
        <v>1</v>
      </c>
    </row>
    <row r="256" spans="2:13" x14ac:dyDescent="0.25">
      <c r="B256" t="e">
        <f>VLOOKUP(A256,Data!$A$2:$B$16,2,FALSE)</f>
        <v>#N/A</v>
      </c>
      <c r="C256" s="57"/>
      <c r="G256">
        <f t="shared" si="3"/>
        <v>0</v>
      </c>
      <c r="M256">
        <v>1</v>
      </c>
    </row>
    <row r="257" spans="2:13" x14ac:dyDescent="0.25">
      <c r="B257" t="e">
        <f>VLOOKUP(A257,Data!$A$2:$B$16,2,FALSE)</f>
        <v>#N/A</v>
      </c>
      <c r="C257" s="57"/>
      <c r="G257">
        <f t="shared" si="3"/>
        <v>0</v>
      </c>
      <c r="M257">
        <v>1</v>
      </c>
    </row>
    <row r="258" spans="2:13" x14ac:dyDescent="0.25">
      <c r="B258" t="e">
        <f>VLOOKUP(A258,Data!$A$2:$B$16,2,FALSE)</f>
        <v>#N/A</v>
      </c>
      <c r="C258" s="57"/>
      <c r="G258">
        <f t="shared" si="3"/>
        <v>0</v>
      </c>
      <c r="M258">
        <v>1</v>
      </c>
    </row>
    <row r="259" spans="2:13" x14ac:dyDescent="0.25">
      <c r="B259" t="e">
        <f>VLOOKUP(A259,Data!$A$2:$B$16,2,FALSE)</f>
        <v>#N/A</v>
      </c>
      <c r="C259" s="57"/>
      <c r="G259">
        <f t="shared" ref="G259:G322" si="4">ROUNDUP(F259/60,2)</f>
        <v>0</v>
      </c>
      <c r="M259">
        <v>1</v>
      </c>
    </row>
    <row r="260" spans="2:13" x14ac:dyDescent="0.25">
      <c r="B260" t="e">
        <f>VLOOKUP(A260,Data!$A$2:$B$16,2,FALSE)</f>
        <v>#N/A</v>
      </c>
      <c r="C260" s="57"/>
      <c r="G260">
        <f t="shared" si="4"/>
        <v>0</v>
      </c>
      <c r="M260">
        <v>1</v>
      </c>
    </row>
    <row r="261" spans="2:13" x14ac:dyDescent="0.25">
      <c r="B261" t="e">
        <f>VLOOKUP(A261,Data!$A$2:$B$16,2,FALSE)</f>
        <v>#N/A</v>
      </c>
      <c r="C261" s="57"/>
      <c r="G261">
        <f t="shared" si="4"/>
        <v>0</v>
      </c>
      <c r="M261">
        <v>1</v>
      </c>
    </row>
    <row r="262" spans="2:13" x14ac:dyDescent="0.25">
      <c r="B262" t="e">
        <f>VLOOKUP(A262,Data!$A$2:$B$16,2,FALSE)</f>
        <v>#N/A</v>
      </c>
      <c r="C262" s="57"/>
      <c r="G262">
        <f t="shared" si="4"/>
        <v>0</v>
      </c>
      <c r="M262">
        <v>1</v>
      </c>
    </row>
    <row r="263" spans="2:13" x14ac:dyDescent="0.25">
      <c r="B263" t="e">
        <f>VLOOKUP(A263,Data!$A$2:$B$16,2,FALSE)</f>
        <v>#N/A</v>
      </c>
      <c r="C263" s="57"/>
      <c r="G263">
        <f t="shared" si="4"/>
        <v>0</v>
      </c>
      <c r="M263">
        <v>1</v>
      </c>
    </row>
    <row r="264" spans="2:13" x14ac:dyDescent="0.25">
      <c r="B264" t="e">
        <f>VLOOKUP(A264,Data!$A$2:$B$16,2,FALSE)</f>
        <v>#N/A</v>
      </c>
      <c r="C264" s="57"/>
      <c r="G264">
        <f t="shared" si="4"/>
        <v>0</v>
      </c>
      <c r="M264">
        <v>1</v>
      </c>
    </row>
    <row r="265" spans="2:13" x14ac:dyDescent="0.25">
      <c r="B265" t="e">
        <f>VLOOKUP(A265,Data!$A$2:$B$16,2,FALSE)</f>
        <v>#N/A</v>
      </c>
      <c r="C265" s="57"/>
      <c r="G265">
        <f t="shared" si="4"/>
        <v>0</v>
      </c>
      <c r="M265">
        <v>1</v>
      </c>
    </row>
    <row r="266" spans="2:13" x14ac:dyDescent="0.25">
      <c r="B266" t="e">
        <f>VLOOKUP(A266,Data!$A$2:$B$16,2,FALSE)</f>
        <v>#N/A</v>
      </c>
      <c r="C266" s="57"/>
      <c r="G266">
        <f t="shared" si="4"/>
        <v>0</v>
      </c>
      <c r="M266">
        <v>1</v>
      </c>
    </row>
    <row r="267" spans="2:13" x14ac:dyDescent="0.25">
      <c r="B267" t="e">
        <f>VLOOKUP(A267,Data!$A$2:$B$16,2,FALSE)</f>
        <v>#N/A</v>
      </c>
      <c r="C267" s="57"/>
      <c r="G267">
        <f t="shared" si="4"/>
        <v>0</v>
      </c>
      <c r="M267">
        <v>1</v>
      </c>
    </row>
    <row r="268" spans="2:13" x14ac:dyDescent="0.25">
      <c r="B268" t="e">
        <f>VLOOKUP(A268,Data!$A$2:$B$16,2,FALSE)</f>
        <v>#N/A</v>
      </c>
      <c r="C268" s="57"/>
      <c r="G268">
        <f t="shared" si="4"/>
        <v>0</v>
      </c>
      <c r="M268">
        <v>1</v>
      </c>
    </row>
    <row r="269" spans="2:13" x14ac:dyDescent="0.25">
      <c r="B269" t="e">
        <f>VLOOKUP(A269,Data!$A$2:$B$16,2,FALSE)</f>
        <v>#N/A</v>
      </c>
      <c r="C269" s="57"/>
      <c r="G269">
        <f t="shared" si="4"/>
        <v>0</v>
      </c>
      <c r="M269">
        <v>1</v>
      </c>
    </row>
    <row r="270" spans="2:13" x14ac:dyDescent="0.25">
      <c r="B270" t="e">
        <f>VLOOKUP(A270,Data!$A$2:$B$16,2,FALSE)</f>
        <v>#N/A</v>
      </c>
      <c r="C270" s="57"/>
      <c r="G270">
        <f t="shared" si="4"/>
        <v>0</v>
      </c>
      <c r="M270">
        <v>1</v>
      </c>
    </row>
    <row r="271" spans="2:13" x14ac:dyDescent="0.25">
      <c r="B271" t="e">
        <f>VLOOKUP(A271,Data!$A$2:$B$16,2,FALSE)</f>
        <v>#N/A</v>
      </c>
      <c r="C271" s="57"/>
      <c r="G271">
        <f t="shared" si="4"/>
        <v>0</v>
      </c>
      <c r="M271">
        <v>1</v>
      </c>
    </row>
    <row r="272" spans="2:13" x14ac:dyDescent="0.25">
      <c r="B272" t="e">
        <f>VLOOKUP(A272,Data!$A$2:$B$16,2,FALSE)</f>
        <v>#N/A</v>
      </c>
      <c r="C272" s="57"/>
      <c r="G272">
        <f t="shared" si="4"/>
        <v>0</v>
      </c>
      <c r="M272">
        <v>1</v>
      </c>
    </row>
    <row r="273" spans="2:13" x14ac:dyDescent="0.25">
      <c r="B273" t="e">
        <f>VLOOKUP(A273,Data!$A$2:$B$16,2,FALSE)</f>
        <v>#N/A</v>
      </c>
      <c r="C273" s="57"/>
      <c r="G273">
        <f t="shared" si="4"/>
        <v>0</v>
      </c>
      <c r="M273">
        <v>1</v>
      </c>
    </row>
    <row r="274" spans="2:13" x14ac:dyDescent="0.25">
      <c r="B274" t="e">
        <f>VLOOKUP(A274,Data!$A$2:$B$16,2,FALSE)</f>
        <v>#N/A</v>
      </c>
      <c r="C274" s="57"/>
      <c r="G274">
        <f t="shared" si="4"/>
        <v>0</v>
      </c>
      <c r="M274">
        <v>1</v>
      </c>
    </row>
    <row r="275" spans="2:13" x14ac:dyDescent="0.25">
      <c r="B275" t="e">
        <f>VLOOKUP(A275,Data!$A$2:$B$16,2,FALSE)</f>
        <v>#N/A</v>
      </c>
      <c r="C275" s="57"/>
      <c r="G275">
        <f t="shared" si="4"/>
        <v>0</v>
      </c>
      <c r="M275">
        <v>1</v>
      </c>
    </row>
    <row r="276" spans="2:13" x14ac:dyDescent="0.25">
      <c r="B276" t="e">
        <f>VLOOKUP(A276,Data!$A$2:$B$16,2,FALSE)</f>
        <v>#N/A</v>
      </c>
      <c r="C276" s="57"/>
      <c r="G276">
        <f t="shared" si="4"/>
        <v>0</v>
      </c>
      <c r="M276">
        <v>1</v>
      </c>
    </row>
    <row r="277" spans="2:13" x14ac:dyDescent="0.25">
      <c r="B277" t="e">
        <f>VLOOKUP(A277,Data!$A$2:$B$16,2,FALSE)</f>
        <v>#N/A</v>
      </c>
      <c r="C277" s="57"/>
      <c r="G277">
        <f t="shared" si="4"/>
        <v>0</v>
      </c>
      <c r="M277">
        <v>1</v>
      </c>
    </row>
    <row r="278" spans="2:13" x14ac:dyDescent="0.25">
      <c r="B278" t="e">
        <f>VLOOKUP(A278,Data!$A$2:$B$16,2,FALSE)</f>
        <v>#N/A</v>
      </c>
      <c r="C278" s="57"/>
      <c r="G278">
        <f t="shared" si="4"/>
        <v>0</v>
      </c>
      <c r="M278">
        <v>1</v>
      </c>
    </row>
    <row r="279" spans="2:13" x14ac:dyDescent="0.25">
      <c r="B279" t="e">
        <f>VLOOKUP(A279,Data!$A$2:$B$16,2,FALSE)</f>
        <v>#N/A</v>
      </c>
      <c r="C279" s="57"/>
      <c r="G279">
        <f t="shared" si="4"/>
        <v>0</v>
      </c>
      <c r="M279">
        <v>1</v>
      </c>
    </row>
    <row r="280" spans="2:13" x14ac:dyDescent="0.25">
      <c r="B280" t="e">
        <f>VLOOKUP(A280,Data!$A$2:$B$16,2,FALSE)</f>
        <v>#N/A</v>
      </c>
      <c r="C280" s="57"/>
      <c r="G280">
        <f t="shared" si="4"/>
        <v>0</v>
      </c>
      <c r="M280">
        <v>1</v>
      </c>
    </row>
    <row r="281" spans="2:13" x14ac:dyDescent="0.25">
      <c r="B281" t="e">
        <f>VLOOKUP(A281,Data!$A$2:$B$16,2,FALSE)</f>
        <v>#N/A</v>
      </c>
      <c r="C281" s="57"/>
      <c r="G281">
        <f t="shared" si="4"/>
        <v>0</v>
      </c>
      <c r="M281">
        <v>1</v>
      </c>
    </row>
    <row r="282" spans="2:13" x14ac:dyDescent="0.25">
      <c r="B282" t="e">
        <f>VLOOKUP(A282,Data!$A$2:$B$16,2,FALSE)</f>
        <v>#N/A</v>
      </c>
      <c r="C282" s="57"/>
      <c r="G282">
        <f t="shared" si="4"/>
        <v>0</v>
      </c>
      <c r="M282">
        <v>1</v>
      </c>
    </row>
    <row r="283" spans="2:13" x14ac:dyDescent="0.25">
      <c r="B283" t="e">
        <f>VLOOKUP(A283,Data!$A$2:$B$16,2,FALSE)</f>
        <v>#N/A</v>
      </c>
      <c r="C283" s="57"/>
      <c r="G283">
        <f t="shared" si="4"/>
        <v>0</v>
      </c>
      <c r="M283">
        <v>1</v>
      </c>
    </row>
    <row r="284" spans="2:13" x14ac:dyDescent="0.25">
      <c r="B284" t="e">
        <f>VLOOKUP(A284,Data!$A$2:$B$16,2,FALSE)</f>
        <v>#N/A</v>
      </c>
      <c r="C284" s="57"/>
      <c r="G284">
        <f t="shared" si="4"/>
        <v>0</v>
      </c>
      <c r="M284">
        <v>1</v>
      </c>
    </row>
    <row r="285" spans="2:13" x14ac:dyDescent="0.25">
      <c r="B285" t="e">
        <f>VLOOKUP(A285,Data!$A$2:$B$16,2,FALSE)</f>
        <v>#N/A</v>
      </c>
      <c r="C285" s="57"/>
      <c r="G285">
        <f t="shared" si="4"/>
        <v>0</v>
      </c>
      <c r="M285">
        <v>1</v>
      </c>
    </row>
    <row r="286" spans="2:13" x14ac:dyDescent="0.25">
      <c r="B286" t="e">
        <f>VLOOKUP(A286,Data!$A$2:$B$16,2,FALSE)</f>
        <v>#N/A</v>
      </c>
      <c r="C286" s="57"/>
      <c r="G286">
        <f t="shared" si="4"/>
        <v>0</v>
      </c>
      <c r="M286">
        <v>1</v>
      </c>
    </row>
    <row r="287" spans="2:13" x14ac:dyDescent="0.25">
      <c r="B287" t="e">
        <f>VLOOKUP(A287,Data!$A$2:$B$16,2,FALSE)</f>
        <v>#N/A</v>
      </c>
      <c r="C287" s="57"/>
      <c r="G287">
        <f t="shared" si="4"/>
        <v>0</v>
      </c>
      <c r="M287">
        <v>1</v>
      </c>
    </row>
    <row r="288" spans="2:13" x14ac:dyDescent="0.25">
      <c r="B288" t="e">
        <f>VLOOKUP(A288,Data!$A$2:$B$16,2,FALSE)</f>
        <v>#N/A</v>
      </c>
      <c r="C288" s="57"/>
      <c r="G288">
        <f t="shared" si="4"/>
        <v>0</v>
      </c>
      <c r="M288">
        <v>1</v>
      </c>
    </row>
    <row r="289" spans="2:13" x14ac:dyDescent="0.25">
      <c r="B289" t="e">
        <f>VLOOKUP(A289,Data!$A$2:$B$16,2,FALSE)</f>
        <v>#N/A</v>
      </c>
      <c r="C289" s="57"/>
      <c r="G289">
        <f t="shared" si="4"/>
        <v>0</v>
      </c>
      <c r="M289">
        <v>1</v>
      </c>
    </row>
    <row r="290" spans="2:13" x14ac:dyDescent="0.25">
      <c r="B290" t="e">
        <f>VLOOKUP(A290,Data!$A$2:$B$16,2,FALSE)</f>
        <v>#N/A</v>
      </c>
      <c r="C290" s="57"/>
      <c r="G290">
        <f t="shared" si="4"/>
        <v>0</v>
      </c>
      <c r="M290">
        <v>1</v>
      </c>
    </row>
    <row r="291" spans="2:13" x14ac:dyDescent="0.25">
      <c r="B291" t="e">
        <f>VLOOKUP(A291,Data!$A$2:$B$16,2,FALSE)</f>
        <v>#N/A</v>
      </c>
      <c r="C291" s="57"/>
      <c r="G291">
        <f t="shared" si="4"/>
        <v>0</v>
      </c>
      <c r="M291">
        <v>1</v>
      </c>
    </row>
    <row r="292" spans="2:13" x14ac:dyDescent="0.25">
      <c r="B292" t="e">
        <f>VLOOKUP(A292,Data!$A$2:$B$16,2,FALSE)</f>
        <v>#N/A</v>
      </c>
      <c r="C292" s="57"/>
      <c r="G292">
        <f t="shared" si="4"/>
        <v>0</v>
      </c>
      <c r="M292">
        <v>1</v>
      </c>
    </row>
    <row r="293" spans="2:13" x14ac:dyDescent="0.25">
      <c r="B293" t="e">
        <f>VLOOKUP(A293,Data!$A$2:$B$16,2,FALSE)</f>
        <v>#N/A</v>
      </c>
      <c r="C293" s="57"/>
      <c r="G293">
        <f t="shared" si="4"/>
        <v>0</v>
      </c>
      <c r="M293">
        <v>1</v>
      </c>
    </row>
    <row r="294" spans="2:13" x14ac:dyDescent="0.25">
      <c r="B294" t="e">
        <f>VLOOKUP(A294,Data!$A$2:$B$16,2,FALSE)</f>
        <v>#N/A</v>
      </c>
      <c r="C294" s="57"/>
      <c r="G294">
        <f t="shared" si="4"/>
        <v>0</v>
      </c>
      <c r="M294">
        <v>1</v>
      </c>
    </row>
    <row r="295" spans="2:13" x14ac:dyDescent="0.25">
      <c r="B295" t="e">
        <f>VLOOKUP(A295,Data!$A$2:$B$16,2,FALSE)</f>
        <v>#N/A</v>
      </c>
      <c r="C295" s="57"/>
      <c r="G295">
        <f t="shared" si="4"/>
        <v>0</v>
      </c>
      <c r="M295">
        <v>1</v>
      </c>
    </row>
    <row r="296" spans="2:13" x14ac:dyDescent="0.25">
      <c r="B296" t="e">
        <f>VLOOKUP(A296,Data!$A$2:$B$16,2,FALSE)</f>
        <v>#N/A</v>
      </c>
      <c r="C296" s="57"/>
      <c r="G296">
        <f t="shared" si="4"/>
        <v>0</v>
      </c>
      <c r="M296">
        <v>1</v>
      </c>
    </row>
    <row r="297" spans="2:13" x14ac:dyDescent="0.25">
      <c r="B297" t="e">
        <f>VLOOKUP(A297,Data!$A$2:$B$16,2,FALSE)</f>
        <v>#N/A</v>
      </c>
      <c r="C297" s="57"/>
      <c r="G297">
        <f t="shared" si="4"/>
        <v>0</v>
      </c>
      <c r="M297">
        <v>1</v>
      </c>
    </row>
    <row r="298" spans="2:13" x14ac:dyDescent="0.25">
      <c r="B298" t="e">
        <f>VLOOKUP(A298,Data!$A$2:$B$16,2,FALSE)</f>
        <v>#N/A</v>
      </c>
      <c r="C298" s="57"/>
      <c r="G298">
        <f t="shared" si="4"/>
        <v>0</v>
      </c>
      <c r="M298">
        <v>1</v>
      </c>
    </row>
    <row r="299" spans="2:13" x14ac:dyDescent="0.25">
      <c r="B299" t="e">
        <f>VLOOKUP(A299,Data!$A$2:$B$16,2,FALSE)</f>
        <v>#N/A</v>
      </c>
      <c r="C299" s="57"/>
      <c r="G299">
        <f t="shared" si="4"/>
        <v>0</v>
      </c>
      <c r="M299">
        <v>1</v>
      </c>
    </row>
    <row r="300" spans="2:13" x14ac:dyDescent="0.25">
      <c r="B300" t="e">
        <f>VLOOKUP(A300,Data!$A$2:$B$16,2,FALSE)</f>
        <v>#N/A</v>
      </c>
      <c r="C300" s="57"/>
      <c r="G300">
        <f t="shared" si="4"/>
        <v>0</v>
      </c>
      <c r="M300">
        <v>1</v>
      </c>
    </row>
    <row r="301" spans="2:13" x14ac:dyDescent="0.25">
      <c r="B301" t="e">
        <f>VLOOKUP(A301,Data!$A$2:$B$16,2,FALSE)</f>
        <v>#N/A</v>
      </c>
      <c r="C301" s="57"/>
      <c r="G301">
        <f t="shared" si="4"/>
        <v>0</v>
      </c>
      <c r="M301">
        <v>1</v>
      </c>
    </row>
    <row r="302" spans="2:13" x14ac:dyDescent="0.25">
      <c r="B302" t="e">
        <f>VLOOKUP(A302,Data!$A$2:$B$16,2,FALSE)</f>
        <v>#N/A</v>
      </c>
      <c r="C302" s="57"/>
      <c r="G302">
        <f t="shared" si="4"/>
        <v>0</v>
      </c>
      <c r="M302">
        <v>1</v>
      </c>
    </row>
    <row r="303" spans="2:13" x14ac:dyDescent="0.25">
      <c r="B303" t="e">
        <f>VLOOKUP(A303,Data!$A$2:$B$16,2,FALSE)</f>
        <v>#N/A</v>
      </c>
      <c r="C303" s="57"/>
      <c r="G303">
        <f t="shared" si="4"/>
        <v>0</v>
      </c>
      <c r="M303">
        <v>1</v>
      </c>
    </row>
    <row r="304" spans="2:13" x14ac:dyDescent="0.25">
      <c r="B304" t="e">
        <f>VLOOKUP(A304,Data!$A$2:$B$16,2,FALSE)</f>
        <v>#N/A</v>
      </c>
      <c r="C304" s="57"/>
      <c r="G304">
        <f t="shared" si="4"/>
        <v>0</v>
      </c>
      <c r="M304">
        <v>1</v>
      </c>
    </row>
    <row r="305" spans="2:13" x14ac:dyDescent="0.25">
      <c r="B305" t="e">
        <f>VLOOKUP(A305,Data!$A$2:$B$16,2,FALSE)</f>
        <v>#N/A</v>
      </c>
      <c r="C305" s="57"/>
      <c r="G305">
        <f t="shared" si="4"/>
        <v>0</v>
      </c>
      <c r="M305">
        <v>1</v>
      </c>
    </row>
    <row r="306" spans="2:13" x14ac:dyDescent="0.25">
      <c r="B306" t="e">
        <f>VLOOKUP(A306,Data!$A$2:$B$16,2,FALSE)</f>
        <v>#N/A</v>
      </c>
      <c r="C306" s="57"/>
      <c r="G306">
        <f t="shared" si="4"/>
        <v>0</v>
      </c>
      <c r="M306">
        <v>1</v>
      </c>
    </row>
    <row r="307" spans="2:13" x14ac:dyDescent="0.25">
      <c r="B307" t="e">
        <f>VLOOKUP(A307,Data!$A$2:$B$16,2,FALSE)</f>
        <v>#N/A</v>
      </c>
      <c r="C307" s="57"/>
      <c r="G307">
        <f t="shared" si="4"/>
        <v>0</v>
      </c>
      <c r="M307">
        <v>1</v>
      </c>
    </row>
    <row r="308" spans="2:13" x14ac:dyDescent="0.25">
      <c r="B308" t="e">
        <f>VLOOKUP(A308,Data!$A$2:$B$16,2,FALSE)</f>
        <v>#N/A</v>
      </c>
      <c r="C308" s="57"/>
      <c r="G308">
        <f t="shared" si="4"/>
        <v>0</v>
      </c>
      <c r="M308">
        <v>1</v>
      </c>
    </row>
    <row r="309" spans="2:13" x14ac:dyDescent="0.25">
      <c r="B309" t="e">
        <f>VLOOKUP(A309,Data!$A$2:$B$16,2,FALSE)</f>
        <v>#N/A</v>
      </c>
      <c r="C309" s="57"/>
      <c r="G309">
        <f t="shared" si="4"/>
        <v>0</v>
      </c>
      <c r="M309">
        <v>1</v>
      </c>
    </row>
    <row r="310" spans="2:13" x14ac:dyDescent="0.25">
      <c r="B310" t="e">
        <f>VLOOKUP(A310,Data!$A$2:$B$16,2,FALSE)</f>
        <v>#N/A</v>
      </c>
      <c r="C310" s="57"/>
      <c r="G310">
        <f t="shared" si="4"/>
        <v>0</v>
      </c>
      <c r="M310">
        <v>1</v>
      </c>
    </row>
    <row r="311" spans="2:13" x14ac:dyDescent="0.25">
      <c r="B311" t="e">
        <f>VLOOKUP(A311,Data!$A$2:$B$16,2,FALSE)</f>
        <v>#N/A</v>
      </c>
      <c r="C311" s="57"/>
      <c r="G311">
        <f t="shared" si="4"/>
        <v>0</v>
      </c>
      <c r="M311">
        <v>1</v>
      </c>
    </row>
    <row r="312" spans="2:13" x14ac:dyDescent="0.25">
      <c r="B312" t="e">
        <f>VLOOKUP(A312,Data!$A$2:$B$16,2,FALSE)</f>
        <v>#N/A</v>
      </c>
      <c r="C312" s="57"/>
      <c r="G312">
        <f t="shared" si="4"/>
        <v>0</v>
      </c>
      <c r="M312">
        <v>1</v>
      </c>
    </row>
    <row r="313" spans="2:13" x14ac:dyDescent="0.25">
      <c r="B313" t="e">
        <f>VLOOKUP(A313,Data!$A$2:$B$16,2,FALSE)</f>
        <v>#N/A</v>
      </c>
      <c r="C313" s="57"/>
      <c r="G313">
        <f t="shared" si="4"/>
        <v>0</v>
      </c>
      <c r="M313">
        <v>1</v>
      </c>
    </row>
    <row r="314" spans="2:13" x14ac:dyDescent="0.25">
      <c r="B314" t="e">
        <f>VLOOKUP(A314,Data!$A$2:$B$16,2,FALSE)</f>
        <v>#N/A</v>
      </c>
      <c r="C314" s="57"/>
      <c r="G314">
        <f t="shared" si="4"/>
        <v>0</v>
      </c>
      <c r="M314">
        <v>1</v>
      </c>
    </row>
    <row r="315" spans="2:13" x14ac:dyDescent="0.25">
      <c r="B315" t="e">
        <f>VLOOKUP(A315,Data!$A$2:$B$16,2,FALSE)</f>
        <v>#N/A</v>
      </c>
      <c r="C315" s="57"/>
      <c r="G315">
        <f t="shared" si="4"/>
        <v>0</v>
      </c>
      <c r="M315">
        <v>1</v>
      </c>
    </row>
    <row r="316" spans="2:13" x14ac:dyDescent="0.25">
      <c r="B316" t="e">
        <f>VLOOKUP(A316,Data!$A$2:$B$16,2,FALSE)</f>
        <v>#N/A</v>
      </c>
      <c r="C316" s="57"/>
      <c r="G316">
        <f t="shared" si="4"/>
        <v>0</v>
      </c>
      <c r="M316">
        <v>1</v>
      </c>
    </row>
    <row r="317" spans="2:13" x14ac:dyDescent="0.25">
      <c r="B317" t="e">
        <f>VLOOKUP(A317,Data!$A$2:$B$16,2,FALSE)</f>
        <v>#N/A</v>
      </c>
      <c r="C317" s="57"/>
      <c r="G317">
        <f t="shared" si="4"/>
        <v>0</v>
      </c>
      <c r="M317">
        <v>1</v>
      </c>
    </row>
    <row r="318" spans="2:13" x14ac:dyDescent="0.25">
      <c r="B318" t="e">
        <f>VLOOKUP(A318,Data!$A$2:$B$16,2,FALSE)</f>
        <v>#N/A</v>
      </c>
      <c r="C318" s="57"/>
      <c r="G318">
        <f t="shared" si="4"/>
        <v>0</v>
      </c>
      <c r="M318">
        <v>1</v>
      </c>
    </row>
    <row r="319" spans="2:13" x14ac:dyDescent="0.25">
      <c r="B319" t="e">
        <f>VLOOKUP(A319,Data!$A$2:$B$16,2,FALSE)</f>
        <v>#N/A</v>
      </c>
      <c r="C319" s="57"/>
      <c r="G319">
        <f t="shared" si="4"/>
        <v>0</v>
      </c>
      <c r="M319">
        <v>1</v>
      </c>
    </row>
    <row r="320" spans="2:13" x14ac:dyDescent="0.25">
      <c r="B320" t="e">
        <f>VLOOKUP(A320,Data!$A$2:$B$16,2,FALSE)</f>
        <v>#N/A</v>
      </c>
      <c r="C320" s="57"/>
      <c r="G320">
        <f t="shared" si="4"/>
        <v>0</v>
      </c>
      <c r="M320">
        <v>1</v>
      </c>
    </row>
    <row r="321" spans="2:13" x14ac:dyDescent="0.25">
      <c r="B321" t="e">
        <f>VLOOKUP(A321,Data!$A$2:$B$16,2,FALSE)</f>
        <v>#N/A</v>
      </c>
      <c r="C321" s="57"/>
      <c r="G321">
        <f t="shared" si="4"/>
        <v>0</v>
      </c>
      <c r="M321">
        <v>1</v>
      </c>
    </row>
    <row r="322" spans="2:13" x14ac:dyDescent="0.25">
      <c r="B322" t="e">
        <f>VLOOKUP(A322,Data!$A$2:$B$16,2,FALSE)</f>
        <v>#N/A</v>
      </c>
      <c r="C322" s="57"/>
      <c r="G322">
        <f t="shared" si="4"/>
        <v>0</v>
      </c>
      <c r="M322">
        <v>1</v>
      </c>
    </row>
    <row r="323" spans="2:13" x14ac:dyDescent="0.25">
      <c r="B323" t="e">
        <f>VLOOKUP(A323,Data!$A$2:$B$16,2,FALSE)</f>
        <v>#N/A</v>
      </c>
      <c r="C323" s="57"/>
      <c r="G323">
        <f t="shared" ref="G323:G386" si="5">ROUNDUP(F323/60,2)</f>
        <v>0</v>
      </c>
      <c r="M323">
        <v>1</v>
      </c>
    </row>
    <row r="324" spans="2:13" x14ac:dyDescent="0.25">
      <c r="B324" t="e">
        <f>VLOOKUP(A324,Data!$A$2:$B$16,2,FALSE)</f>
        <v>#N/A</v>
      </c>
      <c r="C324" s="57"/>
      <c r="G324">
        <f t="shared" si="5"/>
        <v>0</v>
      </c>
      <c r="M324">
        <v>1</v>
      </c>
    </row>
    <row r="325" spans="2:13" x14ac:dyDescent="0.25">
      <c r="B325" t="e">
        <f>VLOOKUP(A325,Data!$A$2:$B$16,2,FALSE)</f>
        <v>#N/A</v>
      </c>
      <c r="C325" s="57"/>
      <c r="G325">
        <f t="shared" si="5"/>
        <v>0</v>
      </c>
      <c r="M325">
        <v>1</v>
      </c>
    </row>
    <row r="326" spans="2:13" x14ac:dyDescent="0.25">
      <c r="B326" t="e">
        <f>VLOOKUP(A326,Data!$A$2:$B$16,2,FALSE)</f>
        <v>#N/A</v>
      </c>
      <c r="C326" s="57"/>
      <c r="G326">
        <f t="shared" si="5"/>
        <v>0</v>
      </c>
      <c r="M326">
        <v>1</v>
      </c>
    </row>
    <row r="327" spans="2:13" x14ac:dyDescent="0.25">
      <c r="B327" t="e">
        <f>VLOOKUP(A327,Data!$A$2:$B$16,2,FALSE)</f>
        <v>#N/A</v>
      </c>
      <c r="C327" s="57"/>
      <c r="G327">
        <f t="shared" si="5"/>
        <v>0</v>
      </c>
      <c r="M327">
        <v>1</v>
      </c>
    </row>
    <row r="328" spans="2:13" x14ac:dyDescent="0.25">
      <c r="B328" t="e">
        <f>VLOOKUP(A328,Data!$A$2:$B$16,2,FALSE)</f>
        <v>#N/A</v>
      </c>
      <c r="C328" s="57"/>
      <c r="G328">
        <f t="shared" si="5"/>
        <v>0</v>
      </c>
      <c r="M328">
        <v>1</v>
      </c>
    </row>
    <row r="329" spans="2:13" x14ac:dyDescent="0.25">
      <c r="B329" t="e">
        <f>VLOOKUP(A329,Data!$A$2:$B$16,2,FALSE)</f>
        <v>#N/A</v>
      </c>
      <c r="C329" s="57"/>
      <c r="G329">
        <f t="shared" si="5"/>
        <v>0</v>
      </c>
      <c r="M329">
        <v>1</v>
      </c>
    </row>
    <row r="330" spans="2:13" x14ac:dyDescent="0.25">
      <c r="B330" t="e">
        <f>VLOOKUP(A330,Data!$A$2:$B$16,2,FALSE)</f>
        <v>#N/A</v>
      </c>
      <c r="C330" s="57"/>
      <c r="G330">
        <f t="shared" si="5"/>
        <v>0</v>
      </c>
      <c r="M330">
        <v>1</v>
      </c>
    </row>
    <row r="331" spans="2:13" x14ac:dyDescent="0.25">
      <c r="B331" t="e">
        <f>VLOOKUP(A331,Data!$A$2:$B$16,2,FALSE)</f>
        <v>#N/A</v>
      </c>
      <c r="C331" s="57"/>
      <c r="G331">
        <f t="shared" si="5"/>
        <v>0</v>
      </c>
      <c r="M331">
        <v>1</v>
      </c>
    </row>
    <row r="332" spans="2:13" x14ac:dyDescent="0.25">
      <c r="B332" t="e">
        <f>VLOOKUP(A332,Data!$A$2:$B$16,2,FALSE)</f>
        <v>#N/A</v>
      </c>
      <c r="C332" s="57"/>
      <c r="G332">
        <f t="shared" si="5"/>
        <v>0</v>
      </c>
      <c r="M332">
        <v>1</v>
      </c>
    </row>
    <row r="333" spans="2:13" x14ac:dyDescent="0.25">
      <c r="B333" t="e">
        <f>VLOOKUP(A333,Data!$A$2:$B$16,2,FALSE)</f>
        <v>#N/A</v>
      </c>
      <c r="C333" s="57"/>
      <c r="G333">
        <f t="shared" si="5"/>
        <v>0</v>
      </c>
      <c r="M333">
        <v>1</v>
      </c>
    </row>
    <row r="334" spans="2:13" x14ac:dyDescent="0.25">
      <c r="B334" t="e">
        <f>VLOOKUP(A334,Data!$A$2:$B$16,2,FALSE)</f>
        <v>#N/A</v>
      </c>
      <c r="C334" s="57"/>
      <c r="G334">
        <f t="shared" si="5"/>
        <v>0</v>
      </c>
      <c r="M334">
        <v>1</v>
      </c>
    </row>
    <row r="335" spans="2:13" x14ac:dyDescent="0.25">
      <c r="B335" t="e">
        <f>VLOOKUP(A335,Data!$A$2:$B$16,2,FALSE)</f>
        <v>#N/A</v>
      </c>
      <c r="C335" s="57"/>
      <c r="G335">
        <f t="shared" si="5"/>
        <v>0</v>
      </c>
      <c r="M335">
        <v>1</v>
      </c>
    </row>
    <row r="336" spans="2:13" x14ac:dyDescent="0.25">
      <c r="B336" t="e">
        <f>VLOOKUP(A336,Data!$A$2:$B$16,2,FALSE)</f>
        <v>#N/A</v>
      </c>
      <c r="C336" s="57"/>
      <c r="G336">
        <f t="shared" si="5"/>
        <v>0</v>
      </c>
      <c r="M336">
        <v>1</v>
      </c>
    </row>
    <row r="337" spans="2:13" x14ac:dyDescent="0.25">
      <c r="B337" t="e">
        <f>VLOOKUP(A337,Data!$A$2:$B$16,2,FALSE)</f>
        <v>#N/A</v>
      </c>
      <c r="C337" s="57"/>
      <c r="G337">
        <f t="shared" si="5"/>
        <v>0</v>
      </c>
      <c r="M337">
        <v>1</v>
      </c>
    </row>
    <row r="338" spans="2:13" x14ac:dyDescent="0.25">
      <c r="B338" t="e">
        <f>VLOOKUP(A338,Data!$A$2:$B$16,2,FALSE)</f>
        <v>#N/A</v>
      </c>
      <c r="C338" s="57"/>
      <c r="G338">
        <f t="shared" si="5"/>
        <v>0</v>
      </c>
      <c r="M338">
        <v>1</v>
      </c>
    </row>
    <row r="339" spans="2:13" x14ac:dyDescent="0.25">
      <c r="B339" t="e">
        <f>VLOOKUP(A339,Data!$A$2:$B$16,2,FALSE)</f>
        <v>#N/A</v>
      </c>
      <c r="C339" s="57"/>
      <c r="G339">
        <f t="shared" si="5"/>
        <v>0</v>
      </c>
      <c r="M339">
        <v>1</v>
      </c>
    </row>
    <row r="340" spans="2:13" x14ac:dyDescent="0.25">
      <c r="B340" t="e">
        <f>VLOOKUP(A340,Data!$A$2:$B$16,2,FALSE)</f>
        <v>#N/A</v>
      </c>
      <c r="C340" s="57"/>
      <c r="G340">
        <f t="shared" si="5"/>
        <v>0</v>
      </c>
      <c r="M340">
        <v>1</v>
      </c>
    </row>
    <row r="341" spans="2:13" x14ac:dyDescent="0.25">
      <c r="B341" t="e">
        <f>VLOOKUP(A341,Data!$A$2:$B$16,2,FALSE)</f>
        <v>#N/A</v>
      </c>
      <c r="C341" s="57"/>
      <c r="G341">
        <f t="shared" si="5"/>
        <v>0</v>
      </c>
      <c r="M341">
        <v>1</v>
      </c>
    </row>
    <row r="342" spans="2:13" x14ac:dyDescent="0.25">
      <c r="B342" t="e">
        <f>VLOOKUP(A342,Data!$A$2:$B$16,2,FALSE)</f>
        <v>#N/A</v>
      </c>
      <c r="C342" s="57"/>
      <c r="G342">
        <f t="shared" si="5"/>
        <v>0</v>
      </c>
      <c r="M342">
        <v>1</v>
      </c>
    </row>
    <row r="343" spans="2:13" x14ac:dyDescent="0.25">
      <c r="B343" t="e">
        <f>VLOOKUP(A343,Data!$A$2:$B$16,2,FALSE)</f>
        <v>#N/A</v>
      </c>
      <c r="C343" s="57"/>
      <c r="G343">
        <f t="shared" si="5"/>
        <v>0</v>
      </c>
      <c r="M343">
        <v>1</v>
      </c>
    </row>
    <row r="344" spans="2:13" x14ac:dyDescent="0.25">
      <c r="B344" t="e">
        <f>VLOOKUP(A344,Data!$A$2:$B$16,2,FALSE)</f>
        <v>#N/A</v>
      </c>
      <c r="C344" s="57"/>
      <c r="G344">
        <f t="shared" si="5"/>
        <v>0</v>
      </c>
      <c r="M344">
        <v>1</v>
      </c>
    </row>
    <row r="345" spans="2:13" x14ac:dyDescent="0.25">
      <c r="B345" t="e">
        <f>VLOOKUP(A345,Data!$A$2:$B$16,2,FALSE)</f>
        <v>#N/A</v>
      </c>
      <c r="C345" s="57"/>
      <c r="G345">
        <f t="shared" si="5"/>
        <v>0</v>
      </c>
      <c r="M345">
        <v>1</v>
      </c>
    </row>
    <row r="346" spans="2:13" x14ac:dyDescent="0.25">
      <c r="B346" t="e">
        <f>VLOOKUP(A346,Data!$A$2:$B$16,2,FALSE)</f>
        <v>#N/A</v>
      </c>
      <c r="C346" s="57"/>
      <c r="G346">
        <f t="shared" si="5"/>
        <v>0</v>
      </c>
      <c r="M346">
        <v>1</v>
      </c>
    </row>
    <row r="347" spans="2:13" x14ac:dyDescent="0.25">
      <c r="B347" t="e">
        <f>VLOOKUP(A347,Data!$A$2:$B$16,2,FALSE)</f>
        <v>#N/A</v>
      </c>
      <c r="C347" s="57"/>
      <c r="G347">
        <f t="shared" si="5"/>
        <v>0</v>
      </c>
      <c r="M347">
        <v>1</v>
      </c>
    </row>
    <row r="348" spans="2:13" x14ac:dyDescent="0.25">
      <c r="B348" t="e">
        <f>VLOOKUP(A348,Data!$A$2:$B$16,2,FALSE)</f>
        <v>#N/A</v>
      </c>
      <c r="C348" s="57"/>
      <c r="G348">
        <f t="shared" si="5"/>
        <v>0</v>
      </c>
      <c r="M348">
        <v>1</v>
      </c>
    </row>
    <row r="349" spans="2:13" x14ac:dyDescent="0.25">
      <c r="B349" t="e">
        <f>VLOOKUP(A349,Data!$A$2:$B$16,2,FALSE)</f>
        <v>#N/A</v>
      </c>
      <c r="C349" s="57"/>
      <c r="G349">
        <f t="shared" si="5"/>
        <v>0</v>
      </c>
      <c r="M349">
        <v>1</v>
      </c>
    </row>
    <row r="350" spans="2:13" x14ac:dyDescent="0.25">
      <c r="B350" t="e">
        <f>VLOOKUP(A350,Data!$A$2:$B$16,2,FALSE)</f>
        <v>#N/A</v>
      </c>
      <c r="C350" s="57"/>
      <c r="G350">
        <f t="shared" si="5"/>
        <v>0</v>
      </c>
      <c r="M350">
        <v>1</v>
      </c>
    </row>
    <row r="351" spans="2:13" x14ac:dyDescent="0.25">
      <c r="B351" t="e">
        <f>VLOOKUP(A351,Data!$A$2:$B$16,2,FALSE)</f>
        <v>#N/A</v>
      </c>
      <c r="C351" s="57"/>
      <c r="G351">
        <f t="shared" si="5"/>
        <v>0</v>
      </c>
      <c r="M351">
        <v>1</v>
      </c>
    </row>
    <row r="352" spans="2:13" x14ac:dyDescent="0.25">
      <c r="B352" t="e">
        <f>VLOOKUP(A352,Data!$A$2:$B$16,2,FALSE)</f>
        <v>#N/A</v>
      </c>
      <c r="C352" s="57"/>
      <c r="G352">
        <f t="shared" si="5"/>
        <v>0</v>
      </c>
      <c r="M352">
        <v>1</v>
      </c>
    </row>
    <row r="353" spans="2:13" x14ac:dyDescent="0.25">
      <c r="B353" t="e">
        <f>VLOOKUP(A353,Data!$A$2:$B$16,2,FALSE)</f>
        <v>#N/A</v>
      </c>
      <c r="C353" s="57"/>
      <c r="G353">
        <f t="shared" si="5"/>
        <v>0</v>
      </c>
      <c r="M353">
        <v>1</v>
      </c>
    </row>
    <row r="354" spans="2:13" x14ac:dyDescent="0.25">
      <c r="B354" t="e">
        <f>VLOOKUP(A354,Data!$A$2:$B$16,2,FALSE)</f>
        <v>#N/A</v>
      </c>
      <c r="C354" s="57"/>
      <c r="G354">
        <f t="shared" si="5"/>
        <v>0</v>
      </c>
      <c r="M354">
        <v>1</v>
      </c>
    </row>
    <row r="355" spans="2:13" x14ac:dyDescent="0.25">
      <c r="B355" t="e">
        <f>VLOOKUP(A355,Data!$A$2:$B$16,2,FALSE)</f>
        <v>#N/A</v>
      </c>
      <c r="C355" s="57"/>
      <c r="G355">
        <f t="shared" si="5"/>
        <v>0</v>
      </c>
      <c r="M355">
        <v>1</v>
      </c>
    </row>
    <row r="356" spans="2:13" x14ac:dyDescent="0.25">
      <c r="B356" t="e">
        <f>VLOOKUP(A356,Data!$A$2:$B$16,2,FALSE)</f>
        <v>#N/A</v>
      </c>
      <c r="C356" s="57"/>
      <c r="G356">
        <f t="shared" si="5"/>
        <v>0</v>
      </c>
      <c r="M356">
        <v>1</v>
      </c>
    </row>
    <row r="357" spans="2:13" x14ac:dyDescent="0.25">
      <c r="B357" t="e">
        <f>VLOOKUP(A357,Data!$A$2:$B$16,2,FALSE)</f>
        <v>#N/A</v>
      </c>
      <c r="C357" s="57"/>
      <c r="G357">
        <f t="shared" si="5"/>
        <v>0</v>
      </c>
      <c r="M357">
        <v>1</v>
      </c>
    </row>
    <row r="358" spans="2:13" x14ac:dyDescent="0.25">
      <c r="B358" t="e">
        <f>VLOOKUP(A358,Data!$A$2:$B$16,2,FALSE)</f>
        <v>#N/A</v>
      </c>
      <c r="C358" s="57"/>
      <c r="G358">
        <f t="shared" si="5"/>
        <v>0</v>
      </c>
      <c r="M358">
        <v>1</v>
      </c>
    </row>
    <row r="359" spans="2:13" x14ac:dyDescent="0.25">
      <c r="B359" t="e">
        <f>VLOOKUP(A359,Data!$A$2:$B$16,2,FALSE)</f>
        <v>#N/A</v>
      </c>
      <c r="C359" s="57"/>
      <c r="G359">
        <f t="shared" si="5"/>
        <v>0</v>
      </c>
      <c r="M359">
        <v>1</v>
      </c>
    </row>
    <row r="360" spans="2:13" x14ac:dyDescent="0.25">
      <c r="B360" t="e">
        <f>VLOOKUP(A360,Data!$A$2:$B$16,2,FALSE)</f>
        <v>#N/A</v>
      </c>
      <c r="C360" s="57"/>
      <c r="G360">
        <f t="shared" si="5"/>
        <v>0</v>
      </c>
      <c r="M360">
        <v>1</v>
      </c>
    </row>
    <row r="361" spans="2:13" x14ac:dyDescent="0.25">
      <c r="B361" t="e">
        <f>VLOOKUP(A361,Data!$A$2:$B$16,2,FALSE)</f>
        <v>#N/A</v>
      </c>
      <c r="C361" s="57"/>
      <c r="G361">
        <f t="shared" si="5"/>
        <v>0</v>
      </c>
      <c r="M361">
        <v>1</v>
      </c>
    </row>
    <row r="362" spans="2:13" x14ac:dyDescent="0.25">
      <c r="B362" t="e">
        <f>VLOOKUP(A362,Data!$A$2:$B$16,2,FALSE)</f>
        <v>#N/A</v>
      </c>
      <c r="C362" s="57"/>
      <c r="G362">
        <f t="shared" si="5"/>
        <v>0</v>
      </c>
      <c r="M362">
        <v>1</v>
      </c>
    </row>
    <row r="363" spans="2:13" x14ac:dyDescent="0.25">
      <c r="B363" t="e">
        <f>VLOOKUP(A363,Data!$A$2:$B$16,2,FALSE)</f>
        <v>#N/A</v>
      </c>
      <c r="C363" s="57"/>
      <c r="G363">
        <f t="shared" si="5"/>
        <v>0</v>
      </c>
      <c r="M363">
        <v>1</v>
      </c>
    </row>
    <row r="364" spans="2:13" x14ac:dyDescent="0.25">
      <c r="B364" t="e">
        <f>VLOOKUP(A364,Data!$A$2:$B$16,2,FALSE)</f>
        <v>#N/A</v>
      </c>
      <c r="C364" s="57"/>
      <c r="G364">
        <f t="shared" si="5"/>
        <v>0</v>
      </c>
      <c r="M364">
        <v>1</v>
      </c>
    </row>
    <row r="365" spans="2:13" x14ac:dyDescent="0.25">
      <c r="B365" t="e">
        <f>VLOOKUP(A365,Data!$A$2:$B$16,2,FALSE)</f>
        <v>#N/A</v>
      </c>
      <c r="C365" s="57"/>
      <c r="G365">
        <f t="shared" si="5"/>
        <v>0</v>
      </c>
      <c r="M365">
        <v>1</v>
      </c>
    </row>
    <row r="366" spans="2:13" x14ac:dyDescent="0.25">
      <c r="B366" t="e">
        <f>VLOOKUP(A366,Data!$A$2:$B$16,2,FALSE)</f>
        <v>#N/A</v>
      </c>
      <c r="C366" s="57"/>
      <c r="G366">
        <f t="shared" si="5"/>
        <v>0</v>
      </c>
      <c r="M366">
        <v>1</v>
      </c>
    </row>
    <row r="367" spans="2:13" x14ac:dyDescent="0.25">
      <c r="B367" t="e">
        <f>VLOOKUP(A367,Data!$A$2:$B$16,2,FALSE)</f>
        <v>#N/A</v>
      </c>
      <c r="C367" s="57"/>
      <c r="G367">
        <f t="shared" si="5"/>
        <v>0</v>
      </c>
      <c r="M367">
        <v>1</v>
      </c>
    </row>
    <row r="368" spans="2:13" x14ac:dyDescent="0.25">
      <c r="B368" t="e">
        <f>VLOOKUP(A368,Data!$A$2:$B$16,2,FALSE)</f>
        <v>#N/A</v>
      </c>
      <c r="C368" s="57"/>
      <c r="G368">
        <f t="shared" si="5"/>
        <v>0</v>
      </c>
      <c r="M368">
        <v>1</v>
      </c>
    </row>
    <row r="369" spans="2:13" x14ac:dyDescent="0.25">
      <c r="B369" t="e">
        <f>VLOOKUP(A369,Data!$A$2:$B$16,2,FALSE)</f>
        <v>#N/A</v>
      </c>
      <c r="C369" s="57"/>
      <c r="G369">
        <f t="shared" si="5"/>
        <v>0</v>
      </c>
      <c r="M369">
        <v>1</v>
      </c>
    </row>
    <row r="370" spans="2:13" x14ac:dyDescent="0.25">
      <c r="B370" t="e">
        <f>VLOOKUP(A370,Data!$A$2:$B$16,2,FALSE)</f>
        <v>#N/A</v>
      </c>
      <c r="C370" s="57"/>
      <c r="G370">
        <f t="shared" si="5"/>
        <v>0</v>
      </c>
      <c r="M370">
        <v>1</v>
      </c>
    </row>
    <row r="371" spans="2:13" x14ac:dyDescent="0.25">
      <c r="B371" t="e">
        <f>VLOOKUP(A371,Data!$A$2:$B$16,2,FALSE)</f>
        <v>#N/A</v>
      </c>
      <c r="C371" s="57"/>
      <c r="G371">
        <f t="shared" si="5"/>
        <v>0</v>
      </c>
      <c r="M371">
        <v>1</v>
      </c>
    </row>
    <row r="372" spans="2:13" x14ac:dyDescent="0.25">
      <c r="B372" t="e">
        <f>VLOOKUP(A372,Data!$A$2:$B$16,2,FALSE)</f>
        <v>#N/A</v>
      </c>
      <c r="C372" s="57"/>
      <c r="G372">
        <f t="shared" si="5"/>
        <v>0</v>
      </c>
      <c r="M372">
        <v>1</v>
      </c>
    </row>
    <row r="373" spans="2:13" x14ac:dyDescent="0.25">
      <c r="B373" t="e">
        <f>VLOOKUP(A373,Data!$A$2:$B$16,2,FALSE)</f>
        <v>#N/A</v>
      </c>
      <c r="C373" s="57"/>
      <c r="G373">
        <f t="shared" si="5"/>
        <v>0</v>
      </c>
      <c r="M373">
        <v>1</v>
      </c>
    </row>
    <row r="374" spans="2:13" x14ac:dyDescent="0.25">
      <c r="B374" t="e">
        <f>VLOOKUP(A374,Data!$A$2:$B$16,2,FALSE)</f>
        <v>#N/A</v>
      </c>
      <c r="C374" s="57"/>
      <c r="G374">
        <f t="shared" si="5"/>
        <v>0</v>
      </c>
      <c r="M374">
        <v>1</v>
      </c>
    </row>
    <row r="375" spans="2:13" x14ac:dyDescent="0.25">
      <c r="B375" t="e">
        <f>VLOOKUP(A375,Data!$A$2:$B$16,2,FALSE)</f>
        <v>#N/A</v>
      </c>
      <c r="C375" s="57"/>
      <c r="G375">
        <f t="shared" si="5"/>
        <v>0</v>
      </c>
      <c r="M375">
        <v>1</v>
      </c>
    </row>
    <row r="376" spans="2:13" x14ac:dyDescent="0.25">
      <c r="B376" t="e">
        <f>VLOOKUP(A376,Data!$A$2:$B$16,2,FALSE)</f>
        <v>#N/A</v>
      </c>
      <c r="C376" s="57"/>
      <c r="G376">
        <f t="shared" si="5"/>
        <v>0</v>
      </c>
      <c r="M376">
        <v>1</v>
      </c>
    </row>
    <row r="377" spans="2:13" x14ac:dyDescent="0.25">
      <c r="B377" t="e">
        <f>VLOOKUP(A377,Data!$A$2:$B$16,2,FALSE)</f>
        <v>#N/A</v>
      </c>
      <c r="C377" s="57"/>
      <c r="G377">
        <f t="shared" si="5"/>
        <v>0</v>
      </c>
      <c r="M377">
        <v>1</v>
      </c>
    </row>
    <row r="378" spans="2:13" x14ac:dyDescent="0.25">
      <c r="B378" t="e">
        <f>VLOOKUP(A378,Data!$A$2:$B$16,2,FALSE)</f>
        <v>#N/A</v>
      </c>
      <c r="C378" s="57"/>
      <c r="G378">
        <f t="shared" si="5"/>
        <v>0</v>
      </c>
      <c r="M378">
        <v>1</v>
      </c>
    </row>
    <row r="379" spans="2:13" x14ac:dyDescent="0.25">
      <c r="B379" t="e">
        <f>VLOOKUP(A379,Data!$A$2:$B$16,2,FALSE)</f>
        <v>#N/A</v>
      </c>
      <c r="C379" s="57"/>
      <c r="G379">
        <f t="shared" si="5"/>
        <v>0</v>
      </c>
      <c r="M379">
        <v>1</v>
      </c>
    </row>
    <row r="380" spans="2:13" x14ac:dyDescent="0.25">
      <c r="B380" t="e">
        <f>VLOOKUP(A380,Data!$A$2:$B$16,2,FALSE)</f>
        <v>#N/A</v>
      </c>
      <c r="C380" s="57"/>
      <c r="G380">
        <f t="shared" si="5"/>
        <v>0</v>
      </c>
      <c r="M380">
        <v>1</v>
      </c>
    </row>
    <row r="381" spans="2:13" x14ac:dyDescent="0.25">
      <c r="B381" t="e">
        <f>VLOOKUP(A381,Data!$A$2:$B$16,2,FALSE)</f>
        <v>#N/A</v>
      </c>
      <c r="C381" s="57"/>
      <c r="G381">
        <f t="shared" si="5"/>
        <v>0</v>
      </c>
      <c r="M381">
        <v>1</v>
      </c>
    </row>
    <row r="382" spans="2:13" x14ac:dyDescent="0.25">
      <c r="B382" t="e">
        <f>VLOOKUP(A382,Data!$A$2:$B$16,2,FALSE)</f>
        <v>#N/A</v>
      </c>
      <c r="C382" s="57"/>
      <c r="G382">
        <f t="shared" si="5"/>
        <v>0</v>
      </c>
      <c r="M382">
        <v>1</v>
      </c>
    </row>
    <row r="383" spans="2:13" x14ac:dyDescent="0.25">
      <c r="B383" t="e">
        <f>VLOOKUP(A383,Data!$A$2:$B$16,2,FALSE)</f>
        <v>#N/A</v>
      </c>
      <c r="C383" s="57"/>
      <c r="G383">
        <f t="shared" si="5"/>
        <v>0</v>
      </c>
      <c r="M383">
        <v>1</v>
      </c>
    </row>
    <row r="384" spans="2:13" x14ac:dyDescent="0.25">
      <c r="B384" t="e">
        <f>VLOOKUP(A384,Data!$A$2:$B$16,2,FALSE)</f>
        <v>#N/A</v>
      </c>
      <c r="C384" s="57"/>
      <c r="G384">
        <f t="shared" si="5"/>
        <v>0</v>
      </c>
      <c r="M384">
        <v>1</v>
      </c>
    </row>
    <row r="385" spans="2:13" x14ac:dyDescent="0.25">
      <c r="B385" t="e">
        <f>VLOOKUP(A385,Data!$A$2:$B$16,2,FALSE)</f>
        <v>#N/A</v>
      </c>
      <c r="C385" s="57"/>
      <c r="G385">
        <f t="shared" si="5"/>
        <v>0</v>
      </c>
      <c r="M385">
        <v>1</v>
      </c>
    </row>
    <row r="386" spans="2:13" x14ac:dyDescent="0.25">
      <c r="B386" t="e">
        <f>VLOOKUP(A386,Data!$A$2:$B$16,2,FALSE)</f>
        <v>#N/A</v>
      </c>
      <c r="C386" s="57"/>
      <c r="G386">
        <f t="shared" si="5"/>
        <v>0</v>
      </c>
      <c r="M386">
        <v>1</v>
      </c>
    </row>
    <row r="387" spans="2:13" x14ac:dyDescent="0.25">
      <c r="B387" t="e">
        <f>VLOOKUP(A387,Data!$A$2:$B$16,2,FALSE)</f>
        <v>#N/A</v>
      </c>
      <c r="C387" s="57"/>
      <c r="G387">
        <f t="shared" ref="G387:G450" si="6">ROUNDUP(F387/60,2)</f>
        <v>0</v>
      </c>
      <c r="M387">
        <v>1</v>
      </c>
    </row>
    <row r="388" spans="2:13" x14ac:dyDescent="0.25">
      <c r="B388" t="e">
        <f>VLOOKUP(A388,Data!$A$2:$B$16,2,FALSE)</f>
        <v>#N/A</v>
      </c>
      <c r="C388" s="57"/>
      <c r="G388">
        <f t="shared" si="6"/>
        <v>0</v>
      </c>
      <c r="M388">
        <v>1</v>
      </c>
    </row>
    <row r="389" spans="2:13" x14ac:dyDescent="0.25">
      <c r="B389" t="e">
        <f>VLOOKUP(A389,Data!$A$2:$B$16,2,FALSE)</f>
        <v>#N/A</v>
      </c>
      <c r="C389" s="57"/>
      <c r="G389">
        <f t="shared" si="6"/>
        <v>0</v>
      </c>
      <c r="M389">
        <v>1</v>
      </c>
    </row>
    <row r="390" spans="2:13" x14ac:dyDescent="0.25">
      <c r="B390" t="e">
        <f>VLOOKUP(A390,Data!$A$2:$B$16,2,FALSE)</f>
        <v>#N/A</v>
      </c>
      <c r="C390" s="57"/>
      <c r="G390">
        <f t="shared" si="6"/>
        <v>0</v>
      </c>
      <c r="M390">
        <v>1</v>
      </c>
    </row>
    <row r="391" spans="2:13" x14ac:dyDescent="0.25">
      <c r="B391" t="e">
        <f>VLOOKUP(A391,Data!$A$2:$B$16,2,FALSE)</f>
        <v>#N/A</v>
      </c>
      <c r="C391" s="57"/>
      <c r="G391">
        <f t="shared" si="6"/>
        <v>0</v>
      </c>
      <c r="M391">
        <v>1</v>
      </c>
    </row>
    <row r="392" spans="2:13" x14ac:dyDescent="0.25">
      <c r="B392" t="e">
        <f>VLOOKUP(A392,Data!$A$2:$B$16,2,FALSE)</f>
        <v>#N/A</v>
      </c>
      <c r="C392" s="57"/>
      <c r="G392">
        <f t="shared" si="6"/>
        <v>0</v>
      </c>
      <c r="M392">
        <v>1</v>
      </c>
    </row>
    <row r="393" spans="2:13" x14ac:dyDescent="0.25">
      <c r="B393" t="e">
        <f>VLOOKUP(A393,Data!$A$2:$B$16,2,FALSE)</f>
        <v>#N/A</v>
      </c>
      <c r="C393" s="57"/>
      <c r="G393">
        <f t="shared" si="6"/>
        <v>0</v>
      </c>
      <c r="M393">
        <v>1</v>
      </c>
    </row>
    <row r="394" spans="2:13" x14ac:dyDescent="0.25">
      <c r="B394" t="e">
        <f>VLOOKUP(A394,Data!$A$2:$B$16,2,FALSE)</f>
        <v>#N/A</v>
      </c>
      <c r="C394" s="57"/>
      <c r="G394">
        <f t="shared" si="6"/>
        <v>0</v>
      </c>
      <c r="M394">
        <v>1</v>
      </c>
    </row>
    <row r="395" spans="2:13" x14ac:dyDescent="0.25">
      <c r="B395" t="e">
        <f>VLOOKUP(A395,Data!$A$2:$B$16,2,FALSE)</f>
        <v>#N/A</v>
      </c>
      <c r="C395" s="57"/>
      <c r="G395">
        <f t="shared" si="6"/>
        <v>0</v>
      </c>
      <c r="M395">
        <v>1</v>
      </c>
    </row>
    <row r="396" spans="2:13" x14ac:dyDescent="0.25">
      <c r="B396" t="e">
        <f>VLOOKUP(A396,Data!$A$2:$B$16,2,FALSE)</f>
        <v>#N/A</v>
      </c>
      <c r="C396" s="57"/>
      <c r="G396">
        <f t="shared" si="6"/>
        <v>0</v>
      </c>
      <c r="M396">
        <v>1</v>
      </c>
    </row>
    <row r="397" spans="2:13" x14ac:dyDescent="0.25">
      <c r="B397" t="e">
        <f>VLOOKUP(A397,Data!$A$2:$B$16,2,FALSE)</f>
        <v>#N/A</v>
      </c>
      <c r="C397" s="57"/>
      <c r="G397">
        <f t="shared" si="6"/>
        <v>0</v>
      </c>
      <c r="M397">
        <v>1</v>
      </c>
    </row>
    <row r="398" spans="2:13" x14ac:dyDescent="0.25">
      <c r="B398" t="e">
        <f>VLOOKUP(A398,Data!$A$2:$B$16,2,FALSE)</f>
        <v>#N/A</v>
      </c>
      <c r="C398" s="57"/>
      <c r="G398">
        <f t="shared" si="6"/>
        <v>0</v>
      </c>
      <c r="M398">
        <v>1</v>
      </c>
    </row>
    <row r="399" spans="2:13" x14ac:dyDescent="0.25">
      <c r="B399" t="e">
        <f>VLOOKUP(A399,Data!$A$2:$B$16,2,FALSE)</f>
        <v>#N/A</v>
      </c>
      <c r="C399" s="57"/>
      <c r="G399">
        <f t="shared" si="6"/>
        <v>0</v>
      </c>
      <c r="M399">
        <v>1</v>
      </c>
    </row>
    <row r="400" spans="2:13" x14ac:dyDescent="0.25">
      <c r="B400" t="e">
        <f>VLOOKUP(A400,Data!$A$2:$B$16,2,FALSE)</f>
        <v>#N/A</v>
      </c>
      <c r="C400" s="57"/>
      <c r="G400">
        <f t="shared" si="6"/>
        <v>0</v>
      </c>
      <c r="M400">
        <v>1</v>
      </c>
    </row>
    <row r="401" spans="2:13" x14ac:dyDescent="0.25">
      <c r="B401" t="e">
        <f>VLOOKUP(A401,Data!$A$2:$B$16,2,FALSE)</f>
        <v>#N/A</v>
      </c>
      <c r="C401" s="57"/>
      <c r="G401">
        <f t="shared" si="6"/>
        <v>0</v>
      </c>
      <c r="M401">
        <v>1</v>
      </c>
    </row>
    <row r="402" spans="2:13" x14ac:dyDescent="0.25">
      <c r="B402" t="e">
        <f>VLOOKUP(A402,Data!$A$2:$B$16,2,FALSE)</f>
        <v>#N/A</v>
      </c>
      <c r="C402" s="57"/>
      <c r="G402">
        <f t="shared" si="6"/>
        <v>0</v>
      </c>
      <c r="M402">
        <v>1</v>
      </c>
    </row>
    <row r="403" spans="2:13" x14ac:dyDescent="0.25">
      <c r="B403" t="e">
        <f>VLOOKUP(A403,Data!$A$2:$B$16,2,FALSE)</f>
        <v>#N/A</v>
      </c>
      <c r="C403" s="57"/>
      <c r="G403">
        <f t="shared" si="6"/>
        <v>0</v>
      </c>
      <c r="M403">
        <v>1</v>
      </c>
    </row>
    <row r="404" spans="2:13" x14ac:dyDescent="0.25">
      <c r="B404" t="e">
        <f>VLOOKUP(A404,Data!$A$2:$B$16,2,FALSE)</f>
        <v>#N/A</v>
      </c>
      <c r="C404" s="57"/>
      <c r="G404">
        <f t="shared" si="6"/>
        <v>0</v>
      </c>
      <c r="M404">
        <v>1</v>
      </c>
    </row>
    <row r="405" spans="2:13" x14ac:dyDescent="0.25">
      <c r="B405" t="e">
        <f>VLOOKUP(A405,Data!$A$2:$B$16,2,FALSE)</f>
        <v>#N/A</v>
      </c>
      <c r="C405" s="57"/>
      <c r="G405">
        <f t="shared" si="6"/>
        <v>0</v>
      </c>
      <c r="M405">
        <v>1</v>
      </c>
    </row>
    <row r="406" spans="2:13" x14ac:dyDescent="0.25">
      <c r="B406" t="e">
        <f>VLOOKUP(A406,Data!$A$2:$B$16,2,FALSE)</f>
        <v>#N/A</v>
      </c>
      <c r="C406" s="57"/>
      <c r="G406">
        <f t="shared" si="6"/>
        <v>0</v>
      </c>
      <c r="M406">
        <v>1</v>
      </c>
    </row>
    <row r="407" spans="2:13" x14ac:dyDescent="0.25">
      <c r="B407" t="e">
        <f>VLOOKUP(A407,Data!$A$2:$B$16,2,FALSE)</f>
        <v>#N/A</v>
      </c>
      <c r="C407" s="57"/>
      <c r="G407">
        <f t="shared" si="6"/>
        <v>0</v>
      </c>
      <c r="M407">
        <v>1</v>
      </c>
    </row>
    <row r="408" spans="2:13" x14ac:dyDescent="0.25">
      <c r="B408" t="e">
        <f>VLOOKUP(A408,Data!$A$2:$B$16,2,FALSE)</f>
        <v>#N/A</v>
      </c>
      <c r="C408" s="57"/>
      <c r="G408">
        <f t="shared" si="6"/>
        <v>0</v>
      </c>
      <c r="M408">
        <v>1</v>
      </c>
    </row>
    <row r="409" spans="2:13" x14ac:dyDescent="0.25">
      <c r="B409" t="e">
        <f>VLOOKUP(A409,Data!$A$2:$B$16,2,FALSE)</f>
        <v>#N/A</v>
      </c>
      <c r="C409" s="57"/>
      <c r="G409">
        <f t="shared" si="6"/>
        <v>0</v>
      </c>
      <c r="M409">
        <v>1</v>
      </c>
    </row>
    <row r="410" spans="2:13" x14ac:dyDescent="0.25">
      <c r="B410" t="e">
        <f>VLOOKUP(A410,Data!$A$2:$B$16,2,FALSE)</f>
        <v>#N/A</v>
      </c>
      <c r="C410" s="57"/>
      <c r="G410">
        <f t="shared" si="6"/>
        <v>0</v>
      </c>
      <c r="M410">
        <v>1</v>
      </c>
    </row>
    <row r="411" spans="2:13" x14ac:dyDescent="0.25">
      <c r="B411" t="e">
        <f>VLOOKUP(A411,Data!$A$2:$B$16,2,FALSE)</f>
        <v>#N/A</v>
      </c>
      <c r="C411" s="57"/>
      <c r="G411">
        <f t="shared" si="6"/>
        <v>0</v>
      </c>
      <c r="M411">
        <v>1</v>
      </c>
    </row>
    <row r="412" spans="2:13" x14ac:dyDescent="0.25">
      <c r="B412" t="e">
        <f>VLOOKUP(A412,Data!$A$2:$B$16,2,FALSE)</f>
        <v>#N/A</v>
      </c>
      <c r="C412" s="57"/>
      <c r="G412">
        <f t="shared" si="6"/>
        <v>0</v>
      </c>
      <c r="M412">
        <v>1</v>
      </c>
    </row>
    <row r="413" spans="2:13" x14ac:dyDescent="0.25">
      <c r="B413" t="e">
        <f>VLOOKUP(A413,Data!$A$2:$B$16,2,FALSE)</f>
        <v>#N/A</v>
      </c>
      <c r="C413" s="57"/>
      <c r="G413">
        <f t="shared" si="6"/>
        <v>0</v>
      </c>
      <c r="M413">
        <v>1</v>
      </c>
    </row>
    <row r="414" spans="2:13" x14ac:dyDescent="0.25">
      <c r="B414" t="e">
        <f>VLOOKUP(A414,Data!$A$2:$B$16,2,FALSE)</f>
        <v>#N/A</v>
      </c>
      <c r="C414" s="57"/>
      <c r="G414">
        <f t="shared" si="6"/>
        <v>0</v>
      </c>
      <c r="M414">
        <v>1</v>
      </c>
    </row>
    <row r="415" spans="2:13" x14ac:dyDescent="0.25">
      <c r="B415" t="e">
        <f>VLOOKUP(A415,Data!$A$2:$B$16,2,FALSE)</f>
        <v>#N/A</v>
      </c>
      <c r="C415" s="57"/>
      <c r="G415">
        <f t="shared" si="6"/>
        <v>0</v>
      </c>
      <c r="M415">
        <v>1</v>
      </c>
    </row>
    <row r="416" spans="2:13" x14ac:dyDescent="0.25">
      <c r="B416" t="e">
        <f>VLOOKUP(A416,Data!$A$2:$B$16,2,FALSE)</f>
        <v>#N/A</v>
      </c>
      <c r="C416" s="57"/>
      <c r="G416">
        <f t="shared" si="6"/>
        <v>0</v>
      </c>
      <c r="M416">
        <v>1</v>
      </c>
    </row>
    <row r="417" spans="2:13" x14ac:dyDescent="0.25">
      <c r="B417" t="e">
        <f>VLOOKUP(A417,Data!$A$2:$B$16,2,FALSE)</f>
        <v>#N/A</v>
      </c>
      <c r="C417" s="57"/>
      <c r="G417">
        <f t="shared" si="6"/>
        <v>0</v>
      </c>
      <c r="M417">
        <v>1</v>
      </c>
    </row>
    <row r="418" spans="2:13" x14ac:dyDescent="0.25">
      <c r="B418" t="e">
        <f>VLOOKUP(A418,Data!$A$2:$B$16,2,FALSE)</f>
        <v>#N/A</v>
      </c>
      <c r="C418" s="57"/>
      <c r="G418">
        <f t="shared" si="6"/>
        <v>0</v>
      </c>
      <c r="M418">
        <v>1</v>
      </c>
    </row>
    <row r="419" spans="2:13" x14ac:dyDescent="0.25">
      <c r="B419" t="e">
        <f>VLOOKUP(A419,Data!$A$2:$B$16,2,FALSE)</f>
        <v>#N/A</v>
      </c>
      <c r="C419" s="57"/>
      <c r="G419">
        <f t="shared" si="6"/>
        <v>0</v>
      </c>
      <c r="M419">
        <v>1</v>
      </c>
    </row>
    <row r="420" spans="2:13" x14ac:dyDescent="0.25">
      <c r="B420" t="e">
        <f>VLOOKUP(A420,Data!$A$2:$B$16,2,FALSE)</f>
        <v>#N/A</v>
      </c>
      <c r="C420" s="57"/>
      <c r="G420">
        <f t="shared" si="6"/>
        <v>0</v>
      </c>
      <c r="M420">
        <v>1</v>
      </c>
    </row>
    <row r="421" spans="2:13" x14ac:dyDescent="0.25">
      <c r="B421" t="e">
        <f>VLOOKUP(A421,Data!$A$2:$B$16,2,FALSE)</f>
        <v>#N/A</v>
      </c>
      <c r="C421" s="57"/>
      <c r="G421">
        <f t="shared" si="6"/>
        <v>0</v>
      </c>
      <c r="M421">
        <v>1</v>
      </c>
    </row>
    <row r="422" spans="2:13" x14ac:dyDescent="0.25">
      <c r="B422" t="e">
        <f>VLOOKUP(A422,Data!$A$2:$B$16,2,FALSE)</f>
        <v>#N/A</v>
      </c>
      <c r="C422" s="57"/>
      <c r="G422">
        <f t="shared" si="6"/>
        <v>0</v>
      </c>
      <c r="M422">
        <v>1</v>
      </c>
    </row>
    <row r="423" spans="2:13" x14ac:dyDescent="0.25">
      <c r="B423" t="e">
        <f>VLOOKUP(A423,Data!$A$2:$B$16,2,FALSE)</f>
        <v>#N/A</v>
      </c>
      <c r="C423" s="57"/>
      <c r="G423">
        <f t="shared" si="6"/>
        <v>0</v>
      </c>
      <c r="M423">
        <v>1</v>
      </c>
    </row>
    <row r="424" spans="2:13" x14ac:dyDescent="0.25">
      <c r="B424" t="e">
        <f>VLOOKUP(A424,Data!$A$2:$B$16,2,FALSE)</f>
        <v>#N/A</v>
      </c>
      <c r="C424" s="57"/>
      <c r="G424">
        <f t="shared" si="6"/>
        <v>0</v>
      </c>
      <c r="M424">
        <v>1</v>
      </c>
    </row>
    <row r="425" spans="2:13" x14ac:dyDescent="0.25">
      <c r="B425" t="e">
        <f>VLOOKUP(A425,Data!$A$2:$B$16,2,FALSE)</f>
        <v>#N/A</v>
      </c>
      <c r="C425" s="57"/>
      <c r="G425">
        <f t="shared" si="6"/>
        <v>0</v>
      </c>
      <c r="M425">
        <v>1</v>
      </c>
    </row>
    <row r="426" spans="2:13" x14ac:dyDescent="0.25">
      <c r="B426" t="e">
        <f>VLOOKUP(A426,Data!$A$2:$B$16,2,FALSE)</f>
        <v>#N/A</v>
      </c>
      <c r="C426" s="57"/>
      <c r="G426">
        <f t="shared" si="6"/>
        <v>0</v>
      </c>
      <c r="M426">
        <v>1</v>
      </c>
    </row>
    <row r="427" spans="2:13" x14ac:dyDescent="0.25">
      <c r="B427" t="e">
        <f>VLOOKUP(A427,Data!$A$2:$B$16,2,FALSE)</f>
        <v>#N/A</v>
      </c>
      <c r="C427" s="57"/>
      <c r="G427">
        <f t="shared" si="6"/>
        <v>0</v>
      </c>
      <c r="M427">
        <v>1</v>
      </c>
    </row>
    <row r="428" spans="2:13" x14ac:dyDescent="0.25">
      <c r="B428" t="e">
        <f>VLOOKUP(A428,Data!$A$2:$B$16,2,FALSE)</f>
        <v>#N/A</v>
      </c>
      <c r="C428" s="57"/>
      <c r="G428">
        <f t="shared" si="6"/>
        <v>0</v>
      </c>
      <c r="M428">
        <v>1</v>
      </c>
    </row>
    <row r="429" spans="2:13" x14ac:dyDescent="0.25">
      <c r="B429" t="e">
        <f>VLOOKUP(A429,Data!$A$2:$B$16,2,FALSE)</f>
        <v>#N/A</v>
      </c>
      <c r="C429" s="57"/>
      <c r="G429">
        <f t="shared" si="6"/>
        <v>0</v>
      </c>
      <c r="M429">
        <v>1</v>
      </c>
    </row>
    <row r="430" spans="2:13" x14ac:dyDescent="0.25">
      <c r="B430" t="e">
        <f>VLOOKUP(A430,Data!$A$2:$B$16,2,FALSE)</f>
        <v>#N/A</v>
      </c>
      <c r="C430" s="57"/>
      <c r="G430">
        <f t="shared" si="6"/>
        <v>0</v>
      </c>
      <c r="M430">
        <v>1</v>
      </c>
    </row>
    <row r="431" spans="2:13" x14ac:dyDescent="0.25">
      <c r="B431" t="e">
        <f>VLOOKUP(A431,Data!$A$2:$B$16,2,FALSE)</f>
        <v>#N/A</v>
      </c>
      <c r="C431" s="57"/>
      <c r="G431">
        <f t="shared" si="6"/>
        <v>0</v>
      </c>
      <c r="M431">
        <v>1</v>
      </c>
    </row>
    <row r="432" spans="2:13" x14ac:dyDescent="0.25">
      <c r="B432" t="e">
        <f>VLOOKUP(A432,Data!$A$2:$B$16,2,FALSE)</f>
        <v>#N/A</v>
      </c>
      <c r="C432" s="57"/>
      <c r="G432">
        <f t="shared" si="6"/>
        <v>0</v>
      </c>
      <c r="M432">
        <v>1</v>
      </c>
    </row>
    <row r="433" spans="2:13" x14ac:dyDescent="0.25">
      <c r="B433" t="e">
        <f>VLOOKUP(A433,Data!$A$2:$B$16,2,FALSE)</f>
        <v>#N/A</v>
      </c>
      <c r="C433" s="57"/>
      <c r="G433">
        <f t="shared" si="6"/>
        <v>0</v>
      </c>
      <c r="M433">
        <v>1</v>
      </c>
    </row>
    <row r="434" spans="2:13" x14ac:dyDescent="0.25">
      <c r="B434" t="e">
        <f>VLOOKUP(A434,Data!$A$2:$B$16,2,FALSE)</f>
        <v>#N/A</v>
      </c>
      <c r="C434" s="57"/>
      <c r="G434">
        <f t="shared" si="6"/>
        <v>0</v>
      </c>
      <c r="M434">
        <v>1</v>
      </c>
    </row>
    <row r="435" spans="2:13" x14ac:dyDescent="0.25">
      <c r="B435" t="e">
        <f>VLOOKUP(A435,Data!$A$2:$B$16,2,FALSE)</f>
        <v>#N/A</v>
      </c>
      <c r="C435" s="57"/>
      <c r="G435">
        <f t="shared" si="6"/>
        <v>0</v>
      </c>
      <c r="M435">
        <v>1</v>
      </c>
    </row>
    <row r="436" spans="2:13" x14ac:dyDescent="0.25">
      <c r="B436" t="e">
        <f>VLOOKUP(A436,Data!$A$2:$B$16,2,FALSE)</f>
        <v>#N/A</v>
      </c>
      <c r="C436" s="57"/>
      <c r="G436">
        <f t="shared" si="6"/>
        <v>0</v>
      </c>
      <c r="M436">
        <v>1</v>
      </c>
    </row>
    <row r="437" spans="2:13" x14ac:dyDescent="0.25">
      <c r="B437" t="e">
        <f>VLOOKUP(A437,Data!$A$2:$B$16,2,FALSE)</f>
        <v>#N/A</v>
      </c>
      <c r="C437" s="57"/>
      <c r="G437">
        <f t="shared" si="6"/>
        <v>0</v>
      </c>
      <c r="M437">
        <v>1</v>
      </c>
    </row>
    <row r="438" spans="2:13" x14ac:dyDescent="0.25">
      <c r="B438" t="e">
        <f>VLOOKUP(A438,Data!$A$2:$B$16,2,FALSE)</f>
        <v>#N/A</v>
      </c>
      <c r="C438" s="57"/>
      <c r="G438">
        <f t="shared" si="6"/>
        <v>0</v>
      </c>
      <c r="M438">
        <v>1</v>
      </c>
    </row>
    <row r="439" spans="2:13" x14ac:dyDescent="0.25">
      <c r="B439" t="e">
        <f>VLOOKUP(A439,Data!$A$2:$B$16,2,FALSE)</f>
        <v>#N/A</v>
      </c>
      <c r="C439" s="57"/>
      <c r="G439">
        <f t="shared" si="6"/>
        <v>0</v>
      </c>
      <c r="M439">
        <v>1</v>
      </c>
    </row>
    <row r="440" spans="2:13" x14ac:dyDescent="0.25">
      <c r="B440" t="e">
        <f>VLOOKUP(A440,Data!$A$2:$B$16,2,FALSE)</f>
        <v>#N/A</v>
      </c>
      <c r="C440" s="57"/>
      <c r="G440">
        <f t="shared" si="6"/>
        <v>0</v>
      </c>
      <c r="M440">
        <v>1</v>
      </c>
    </row>
    <row r="441" spans="2:13" x14ac:dyDescent="0.25">
      <c r="B441" t="e">
        <f>VLOOKUP(A441,Data!$A$2:$B$16,2,FALSE)</f>
        <v>#N/A</v>
      </c>
      <c r="C441" s="57"/>
      <c r="G441">
        <f t="shared" si="6"/>
        <v>0</v>
      </c>
      <c r="M441">
        <v>1</v>
      </c>
    </row>
    <row r="442" spans="2:13" x14ac:dyDescent="0.25">
      <c r="B442" t="e">
        <f>VLOOKUP(A442,Data!$A$2:$B$16,2,FALSE)</f>
        <v>#N/A</v>
      </c>
      <c r="C442" s="57"/>
      <c r="G442">
        <f t="shared" si="6"/>
        <v>0</v>
      </c>
      <c r="M442">
        <v>1</v>
      </c>
    </row>
    <row r="443" spans="2:13" x14ac:dyDescent="0.25">
      <c r="B443" t="e">
        <f>VLOOKUP(A443,Data!$A$2:$B$16,2,FALSE)</f>
        <v>#N/A</v>
      </c>
      <c r="C443" s="57"/>
      <c r="G443">
        <f t="shared" si="6"/>
        <v>0</v>
      </c>
      <c r="M443">
        <v>1</v>
      </c>
    </row>
    <row r="444" spans="2:13" x14ac:dyDescent="0.25">
      <c r="B444" t="e">
        <f>VLOOKUP(A444,Data!$A$2:$B$16,2,FALSE)</f>
        <v>#N/A</v>
      </c>
      <c r="C444" s="57"/>
      <c r="G444">
        <f t="shared" si="6"/>
        <v>0</v>
      </c>
      <c r="M444">
        <v>1</v>
      </c>
    </row>
    <row r="445" spans="2:13" x14ac:dyDescent="0.25">
      <c r="B445" t="e">
        <f>VLOOKUP(A445,Data!$A$2:$B$16,2,FALSE)</f>
        <v>#N/A</v>
      </c>
      <c r="C445" s="57"/>
      <c r="G445">
        <f t="shared" si="6"/>
        <v>0</v>
      </c>
      <c r="M445">
        <v>1</v>
      </c>
    </row>
    <row r="446" spans="2:13" x14ac:dyDescent="0.25">
      <c r="B446" t="e">
        <f>VLOOKUP(A446,Data!$A$2:$B$16,2,FALSE)</f>
        <v>#N/A</v>
      </c>
      <c r="C446" s="57"/>
      <c r="G446">
        <f t="shared" si="6"/>
        <v>0</v>
      </c>
      <c r="M446">
        <v>1</v>
      </c>
    </row>
    <row r="447" spans="2:13" x14ac:dyDescent="0.25">
      <c r="B447" t="e">
        <f>VLOOKUP(A447,Data!$A$2:$B$16,2,FALSE)</f>
        <v>#N/A</v>
      </c>
      <c r="C447" s="57"/>
      <c r="G447">
        <f t="shared" si="6"/>
        <v>0</v>
      </c>
      <c r="M447">
        <v>1</v>
      </c>
    </row>
    <row r="448" spans="2:13" x14ac:dyDescent="0.25">
      <c r="B448" t="e">
        <f>VLOOKUP(A448,Data!$A$2:$B$16,2,FALSE)</f>
        <v>#N/A</v>
      </c>
      <c r="C448" s="57"/>
      <c r="G448">
        <f t="shared" si="6"/>
        <v>0</v>
      </c>
      <c r="M448">
        <v>1</v>
      </c>
    </row>
    <row r="449" spans="2:13" x14ac:dyDescent="0.25">
      <c r="B449" t="e">
        <f>VLOOKUP(A449,Data!$A$2:$B$16,2,FALSE)</f>
        <v>#N/A</v>
      </c>
      <c r="C449" s="57"/>
      <c r="G449">
        <f t="shared" si="6"/>
        <v>0</v>
      </c>
      <c r="M449">
        <v>1</v>
      </c>
    </row>
    <row r="450" spans="2:13" x14ac:dyDescent="0.25">
      <c r="B450" t="e">
        <f>VLOOKUP(A450,Data!$A$2:$B$16,2,FALSE)</f>
        <v>#N/A</v>
      </c>
      <c r="C450" s="57"/>
      <c r="G450">
        <f t="shared" si="6"/>
        <v>0</v>
      </c>
      <c r="M450">
        <v>1</v>
      </c>
    </row>
    <row r="451" spans="2:13" x14ac:dyDescent="0.25">
      <c r="B451" t="e">
        <f>VLOOKUP(A451,Data!$A$2:$B$16,2,FALSE)</f>
        <v>#N/A</v>
      </c>
      <c r="C451" s="57"/>
      <c r="G451">
        <f t="shared" ref="G451:G514" si="7">ROUNDUP(F451/60,2)</f>
        <v>0</v>
      </c>
      <c r="M451">
        <v>1</v>
      </c>
    </row>
    <row r="452" spans="2:13" x14ac:dyDescent="0.25">
      <c r="B452" t="e">
        <f>VLOOKUP(A452,Data!$A$2:$B$16,2,FALSE)</f>
        <v>#N/A</v>
      </c>
      <c r="C452" s="57"/>
      <c r="G452">
        <f t="shared" si="7"/>
        <v>0</v>
      </c>
      <c r="M452">
        <v>1</v>
      </c>
    </row>
    <row r="453" spans="2:13" x14ac:dyDescent="0.25">
      <c r="B453" t="e">
        <f>VLOOKUP(A453,Data!$A$2:$B$16,2,FALSE)</f>
        <v>#N/A</v>
      </c>
      <c r="C453" s="57"/>
      <c r="G453">
        <f t="shared" si="7"/>
        <v>0</v>
      </c>
      <c r="M453">
        <v>1</v>
      </c>
    </row>
    <row r="454" spans="2:13" x14ac:dyDescent="0.25">
      <c r="B454" t="e">
        <f>VLOOKUP(A454,Data!$A$2:$B$16,2,FALSE)</f>
        <v>#N/A</v>
      </c>
      <c r="C454" s="57"/>
      <c r="G454">
        <f t="shared" si="7"/>
        <v>0</v>
      </c>
      <c r="M454">
        <v>1</v>
      </c>
    </row>
    <row r="455" spans="2:13" x14ac:dyDescent="0.25">
      <c r="B455" t="e">
        <f>VLOOKUP(A455,Data!$A$2:$B$16,2,FALSE)</f>
        <v>#N/A</v>
      </c>
      <c r="C455" s="57"/>
      <c r="G455">
        <f t="shared" si="7"/>
        <v>0</v>
      </c>
      <c r="M455">
        <v>1</v>
      </c>
    </row>
    <row r="456" spans="2:13" x14ac:dyDescent="0.25">
      <c r="B456" t="e">
        <f>VLOOKUP(A456,Data!$A$2:$B$16,2,FALSE)</f>
        <v>#N/A</v>
      </c>
      <c r="C456" s="57"/>
      <c r="G456">
        <f t="shared" si="7"/>
        <v>0</v>
      </c>
      <c r="M456">
        <v>1</v>
      </c>
    </row>
    <row r="457" spans="2:13" x14ac:dyDescent="0.25">
      <c r="B457" t="e">
        <f>VLOOKUP(A457,Data!$A$2:$B$16,2,FALSE)</f>
        <v>#N/A</v>
      </c>
      <c r="C457" s="57"/>
      <c r="G457">
        <f t="shared" si="7"/>
        <v>0</v>
      </c>
      <c r="M457">
        <v>1</v>
      </c>
    </row>
    <row r="458" spans="2:13" x14ac:dyDescent="0.25">
      <c r="B458" t="e">
        <f>VLOOKUP(A458,Data!$A$2:$B$16,2,FALSE)</f>
        <v>#N/A</v>
      </c>
      <c r="C458" s="57"/>
      <c r="G458">
        <f t="shared" si="7"/>
        <v>0</v>
      </c>
      <c r="M458">
        <v>1</v>
      </c>
    </row>
    <row r="459" spans="2:13" x14ac:dyDescent="0.25">
      <c r="B459" t="e">
        <f>VLOOKUP(A459,Data!$A$2:$B$16,2,FALSE)</f>
        <v>#N/A</v>
      </c>
      <c r="C459" s="57"/>
      <c r="G459">
        <f t="shared" si="7"/>
        <v>0</v>
      </c>
      <c r="M459">
        <v>1</v>
      </c>
    </row>
    <row r="460" spans="2:13" x14ac:dyDescent="0.25">
      <c r="B460" t="e">
        <f>VLOOKUP(A460,Data!$A$2:$B$16,2,FALSE)</f>
        <v>#N/A</v>
      </c>
      <c r="C460" s="57"/>
      <c r="G460">
        <f t="shared" si="7"/>
        <v>0</v>
      </c>
      <c r="M460">
        <v>1</v>
      </c>
    </row>
    <row r="461" spans="2:13" x14ac:dyDescent="0.25">
      <c r="B461" t="e">
        <f>VLOOKUP(A461,Data!$A$2:$B$16,2,FALSE)</f>
        <v>#N/A</v>
      </c>
      <c r="C461" s="57"/>
      <c r="G461">
        <f t="shared" si="7"/>
        <v>0</v>
      </c>
      <c r="M461">
        <v>1</v>
      </c>
    </row>
    <row r="462" spans="2:13" x14ac:dyDescent="0.25">
      <c r="B462" t="e">
        <f>VLOOKUP(A462,Data!$A$2:$B$16,2,FALSE)</f>
        <v>#N/A</v>
      </c>
      <c r="C462" s="57"/>
      <c r="G462">
        <f t="shared" si="7"/>
        <v>0</v>
      </c>
      <c r="M462">
        <v>1</v>
      </c>
    </row>
    <row r="463" spans="2:13" x14ac:dyDescent="0.25">
      <c r="B463" t="e">
        <f>VLOOKUP(A463,Data!$A$2:$B$16,2,FALSE)</f>
        <v>#N/A</v>
      </c>
      <c r="C463" s="57"/>
      <c r="G463">
        <f t="shared" si="7"/>
        <v>0</v>
      </c>
      <c r="M463">
        <v>1</v>
      </c>
    </row>
    <row r="464" spans="2:13" x14ac:dyDescent="0.25">
      <c r="B464" t="e">
        <f>VLOOKUP(A464,Data!$A$2:$B$16,2,FALSE)</f>
        <v>#N/A</v>
      </c>
      <c r="C464" s="57"/>
      <c r="G464">
        <f t="shared" si="7"/>
        <v>0</v>
      </c>
      <c r="M464">
        <v>1</v>
      </c>
    </row>
    <row r="465" spans="2:13" x14ac:dyDescent="0.25">
      <c r="B465" t="e">
        <f>VLOOKUP(A465,Data!$A$2:$B$16,2,FALSE)</f>
        <v>#N/A</v>
      </c>
      <c r="C465" s="57"/>
      <c r="G465">
        <f t="shared" si="7"/>
        <v>0</v>
      </c>
      <c r="M465">
        <v>1</v>
      </c>
    </row>
    <row r="466" spans="2:13" x14ac:dyDescent="0.25">
      <c r="B466" t="e">
        <f>VLOOKUP(A466,Data!$A$2:$B$16,2,FALSE)</f>
        <v>#N/A</v>
      </c>
      <c r="C466" s="57"/>
      <c r="G466">
        <f t="shared" si="7"/>
        <v>0</v>
      </c>
      <c r="M466">
        <v>1</v>
      </c>
    </row>
    <row r="467" spans="2:13" x14ac:dyDescent="0.25">
      <c r="B467" t="e">
        <f>VLOOKUP(A467,Data!$A$2:$B$16,2,FALSE)</f>
        <v>#N/A</v>
      </c>
      <c r="C467" s="57"/>
      <c r="G467">
        <f t="shared" si="7"/>
        <v>0</v>
      </c>
      <c r="M467">
        <v>1</v>
      </c>
    </row>
    <row r="468" spans="2:13" x14ac:dyDescent="0.25">
      <c r="B468" t="e">
        <f>VLOOKUP(A468,Data!$A$2:$B$16,2,FALSE)</f>
        <v>#N/A</v>
      </c>
      <c r="C468" s="57"/>
      <c r="G468">
        <f t="shared" si="7"/>
        <v>0</v>
      </c>
      <c r="M468">
        <v>1</v>
      </c>
    </row>
    <row r="469" spans="2:13" x14ac:dyDescent="0.25">
      <c r="B469" t="e">
        <f>VLOOKUP(A469,Data!$A$2:$B$16,2,FALSE)</f>
        <v>#N/A</v>
      </c>
      <c r="C469" s="57"/>
      <c r="G469">
        <f t="shared" si="7"/>
        <v>0</v>
      </c>
      <c r="M469">
        <v>1</v>
      </c>
    </row>
    <row r="470" spans="2:13" x14ac:dyDescent="0.25">
      <c r="B470" t="e">
        <f>VLOOKUP(A470,Data!$A$2:$B$16,2,FALSE)</f>
        <v>#N/A</v>
      </c>
      <c r="C470" s="57"/>
      <c r="G470">
        <f t="shared" si="7"/>
        <v>0</v>
      </c>
      <c r="M470">
        <v>1</v>
      </c>
    </row>
    <row r="471" spans="2:13" x14ac:dyDescent="0.25">
      <c r="B471" t="e">
        <f>VLOOKUP(A471,Data!$A$2:$B$16,2,FALSE)</f>
        <v>#N/A</v>
      </c>
      <c r="C471" s="57"/>
      <c r="G471">
        <f t="shared" si="7"/>
        <v>0</v>
      </c>
      <c r="M471">
        <v>1</v>
      </c>
    </row>
    <row r="472" spans="2:13" x14ac:dyDescent="0.25">
      <c r="B472" t="e">
        <f>VLOOKUP(A472,Data!$A$2:$B$16,2,FALSE)</f>
        <v>#N/A</v>
      </c>
      <c r="C472" s="57"/>
      <c r="G472">
        <f t="shared" si="7"/>
        <v>0</v>
      </c>
      <c r="M472">
        <v>1</v>
      </c>
    </row>
    <row r="473" spans="2:13" x14ac:dyDescent="0.25">
      <c r="B473" t="e">
        <f>VLOOKUP(A473,Data!$A$2:$B$16,2,FALSE)</f>
        <v>#N/A</v>
      </c>
      <c r="C473" s="57"/>
      <c r="G473">
        <f t="shared" si="7"/>
        <v>0</v>
      </c>
      <c r="M473">
        <v>1</v>
      </c>
    </row>
    <row r="474" spans="2:13" x14ac:dyDescent="0.25">
      <c r="B474" t="e">
        <f>VLOOKUP(A474,Data!$A$2:$B$16,2,FALSE)</f>
        <v>#N/A</v>
      </c>
      <c r="C474" s="57"/>
      <c r="G474">
        <f t="shared" si="7"/>
        <v>0</v>
      </c>
      <c r="M474">
        <v>1</v>
      </c>
    </row>
    <row r="475" spans="2:13" x14ac:dyDescent="0.25">
      <c r="B475" t="e">
        <f>VLOOKUP(A475,Data!$A$2:$B$16,2,FALSE)</f>
        <v>#N/A</v>
      </c>
      <c r="C475" s="57"/>
      <c r="G475">
        <f t="shared" si="7"/>
        <v>0</v>
      </c>
      <c r="M475">
        <v>1</v>
      </c>
    </row>
    <row r="476" spans="2:13" x14ac:dyDescent="0.25">
      <c r="B476" t="e">
        <f>VLOOKUP(A476,Data!$A$2:$B$16,2,FALSE)</f>
        <v>#N/A</v>
      </c>
      <c r="C476" s="57"/>
      <c r="G476">
        <f t="shared" si="7"/>
        <v>0</v>
      </c>
      <c r="M476">
        <v>1</v>
      </c>
    </row>
    <row r="477" spans="2:13" x14ac:dyDescent="0.25">
      <c r="B477" t="e">
        <f>VLOOKUP(A477,Data!$A$2:$B$16,2,FALSE)</f>
        <v>#N/A</v>
      </c>
      <c r="C477" s="57"/>
      <c r="G477">
        <f t="shared" si="7"/>
        <v>0</v>
      </c>
      <c r="M477">
        <v>1</v>
      </c>
    </row>
    <row r="478" spans="2:13" x14ac:dyDescent="0.25">
      <c r="B478" t="e">
        <f>VLOOKUP(A478,Data!$A$2:$B$16,2,FALSE)</f>
        <v>#N/A</v>
      </c>
      <c r="C478" s="57"/>
      <c r="G478">
        <f t="shared" si="7"/>
        <v>0</v>
      </c>
      <c r="M478">
        <v>1</v>
      </c>
    </row>
    <row r="479" spans="2:13" x14ac:dyDescent="0.25">
      <c r="B479" t="e">
        <f>VLOOKUP(A479,Data!$A$2:$B$16,2,FALSE)</f>
        <v>#N/A</v>
      </c>
      <c r="C479" s="57"/>
      <c r="G479">
        <f t="shared" si="7"/>
        <v>0</v>
      </c>
      <c r="M479">
        <v>1</v>
      </c>
    </row>
    <row r="480" spans="2:13" x14ac:dyDescent="0.25">
      <c r="B480" t="e">
        <f>VLOOKUP(A480,Data!$A$2:$B$16,2,FALSE)</f>
        <v>#N/A</v>
      </c>
      <c r="C480" s="57"/>
      <c r="G480">
        <f t="shared" si="7"/>
        <v>0</v>
      </c>
      <c r="M480">
        <v>1</v>
      </c>
    </row>
    <row r="481" spans="2:13" x14ac:dyDescent="0.25">
      <c r="B481" t="e">
        <f>VLOOKUP(A481,Data!$A$2:$B$16,2,FALSE)</f>
        <v>#N/A</v>
      </c>
      <c r="C481" s="57"/>
      <c r="G481">
        <f t="shared" si="7"/>
        <v>0</v>
      </c>
      <c r="M481">
        <v>1</v>
      </c>
    </row>
    <row r="482" spans="2:13" x14ac:dyDescent="0.25">
      <c r="B482" t="e">
        <f>VLOOKUP(A482,Data!$A$2:$B$16,2,FALSE)</f>
        <v>#N/A</v>
      </c>
      <c r="C482" s="57"/>
      <c r="G482">
        <f t="shared" si="7"/>
        <v>0</v>
      </c>
      <c r="M482">
        <v>1</v>
      </c>
    </row>
    <row r="483" spans="2:13" x14ac:dyDescent="0.25">
      <c r="B483" t="e">
        <f>VLOOKUP(A483,Data!$A$2:$B$16,2,FALSE)</f>
        <v>#N/A</v>
      </c>
      <c r="C483" s="57"/>
      <c r="G483">
        <f t="shared" si="7"/>
        <v>0</v>
      </c>
      <c r="M483">
        <v>1</v>
      </c>
    </row>
    <row r="484" spans="2:13" x14ac:dyDescent="0.25">
      <c r="B484" t="e">
        <f>VLOOKUP(A484,Data!$A$2:$B$16,2,FALSE)</f>
        <v>#N/A</v>
      </c>
      <c r="C484" s="57"/>
      <c r="G484">
        <f t="shared" si="7"/>
        <v>0</v>
      </c>
      <c r="M484">
        <v>1</v>
      </c>
    </row>
    <row r="485" spans="2:13" x14ac:dyDescent="0.25">
      <c r="B485" t="e">
        <f>VLOOKUP(A485,Data!$A$2:$B$16,2,FALSE)</f>
        <v>#N/A</v>
      </c>
      <c r="C485" s="57"/>
      <c r="G485">
        <f t="shared" si="7"/>
        <v>0</v>
      </c>
      <c r="M485">
        <v>1</v>
      </c>
    </row>
    <row r="486" spans="2:13" x14ac:dyDescent="0.25">
      <c r="B486" t="e">
        <f>VLOOKUP(A486,Data!$A$2:$B$16,2,FALSE)</f>
        <v>#N/A</v>
      </c>
      <c r="C486" s="57"/>
      <c r="G486">
        <f t="shared" si="7"/>
        <v>0</v>
      </c>
      <c r="M486">
        <v>1</v>
      </c>
    </row>
    <row r="487" spans="2:13" x14ac:dyDescent="0.25">
      <c r="B487" t="e">
        <f>VLOOKUP(A487,Data!$A$2:$B$16,2,FALSE)</f>
        <v>#N/A</v>
      </c>
      <c r="C487" s="57"/>
      <c r="G487">
        <f t="shared" si="7"/>
        <v>0</v>
      </c>
      <c r="M487">
        <v>1</v>
      </c>
    </row>
    <row r="488" spans="2:13" x14ac:dyDescent="0.25">
      <c r="B488" t="e">
        <f>VLOOKUP(A488,Data!$A$2:$B$16,2,FALSE)</f>
        <v>#N/A</v>
      </c>
      <c r="C488" s="57"/>
      <c r="G488">
        <f t="shared" si="7"/>
        <v>0</v>
      </c>
      <c r="M488">
        <v>1</v>
      </c>
    </row>
    <row r="489" spans="2:13" x14ac:dyDescent="0.25">
      <c r="B489" t="e">
        <f>VLOOKUP(A489,Data!$A$2:$B$16,2,FALSE)</f>
        <v>#N/A</v>
      </c>
      <c r="C489" s="57"/>
      <c r="G489">
        <f t="shared" si="7"/>
        <v>0</v>
      </c>
      <c r="M489">
        <v>1</v>
      </c>
    </row>
    <row r="490" spans="2:13" x14ac:dyDescent="0.25">
      <c r="B490" t="e">
        <f>VLOOKUP(A490,Data!$A$2:$B$16,2,FALSE)</f>
        <v>#N/A</v>
      </c>
      <c r="C490" s="57"/>
      <c r="G490">
        <f t="shared" si="7"/>
        <v>0</v>
      </c>
      <c r="M490">
        <v>1</v>
      </c>
    </row>
    <row r="491" spans="2:13" x14ac:dyDescent="0.25">
      <c r="B491" t="e">
        <f>VLOOKUP(A491,Data!$A$2:$B$16,2,FALSE)</f>
        <v>#N/A</v>
      </c>
      <c r="C491" s="57"/>
      <c r="G491">
        <f t="shared" si="7"/>
        <v>0</v>
      </c>
      <c r="M491">
        <v>1</v>
      </c>
    </row>
    <row r="492" spans="2:13" x14ac:dyDescent="0.25">
      <c r="B492" t="e">
        <f>VLOOKUP(A492,Data!$A$2:$B$16,2,FALSE)</f>
        <v>#N/A</v>
      </c>
      <c r="C492" s="57"/>
      <c r="G492">
        <f t="shared" si="7"/>
        <v>0</v>
      </c>
      <c r="M492">
        <v>1</v>
      </c>
    </row>
    <row r="493" spans="2:13" x14ac:dyDescent="0.25">
      <c r="B493" t="e">
        <f>VLOOKUP(A493,Data!$A$2:$B$16,2,FALSE)</f>
        <v>#N/A</v>
      </c>
      <c r="C493" s="57"/>
      <c r="G493">
        <f t="shared" si="7"/>
        <v>0</v>
      </c>
      <c r="M493">
        <v>1</v>
      </c>
    </row>
    <row r="494" spans="2:13" x14ac:dyDescent="0.25">
      <c r="B494" t="e">
        <f>VLOOKUP(A494,Data!$A$2:$B$16,2,FALSE)</f>
        <v>#N/A</v>
      </c>
      <c r="C494" s="57"/>
      <c r="G494">
        <f t="shared" si="7"/>
        <v>0</v>
      </c>
      <c r="M494">
        <v>1</v>
      </c>
    </row>
    <row r="495" spans="2:13" x14ac:dyDescent="0.25">
      <c r="B495" t="e">
        <f>VLOOKUP(A495,Data!$A$2:$B$16,2,FALSE)</f>
        <v>#N/A</v>
      </c>
      <c r="C495" s="57"/>
      <c r="G495">
        <f t="shared" si="7"/>
        <v>0</v>
      </c>
      <c r="M495">
        <v>1</v>
      </c>
    </row>
    <row r="496" spans="2:13" x14ac:dyDescent="0.25">
      <c r="B496" t="e">
        <f>VLOOKUP(A496,Data!$A$2:$B$16,2,FALSE)</f>
        <v>#N/A</v>
      </c>
      <c r="C496" s="57"/>
      <c r="G496">
        <f t="shared" si="7"/>
        <v>0</v>
      </c>
      <c r="M496">
        <v>1</v>
      </c>
    </row>
    <row r="497" spans="2:13" x14ac:dyDescent="0.25">
      <c r="B497" t="e">
        <f>VLOOKUP(A497,Data!$A$2:$B$16,2,FALSE)</f>
        <v>#N/A</v>
      </c>
      <c r="C497" s="57"/>
      <c r="G497">
        <f t="shared" si="7"/>
        <v>0</v>
      </c>
      <c r="M497">
        <v>1</v>
      </c>
    </row>
    <row r="498" spans="2:13" x14ac:dyDescent="0.25">
      <c r="B498" t="e">
        <f>VLOOKUP(A498,Data!$A$2:$B$16,2,FALSE)</f>
        <v>#N/A</v>
      </c>
      <c r="C498" s="57"/>
      <c r="G498">
        <f t="shared" si="7"/>
        <v>0</v>
      </c>
      <c r="M498">
        <v>1</v>
      </c>
    </row>
    <row r="499" spans="2:13" x14ac:dyDescent="0.25">
      <c r="B499" t="e">
        <f>VLOOKUP(A499,Data!$A$2:$B$16,2,FALSE)</f>
        <v>#N/A</v>
      </c>
      <c r="C499" s="57"/>
      <c r="G499">
        <f t="shared" si="7"/>
        <v>0</v>
      </c>
      <c r="M499">
        <v>1</v>
      </c>
    </row>
    <row r="500" spans="2:13" x14ac:dyDescent="0.25">
      <c r="B500" t="e">
        <f>VLOOKUP(A500,Data!$A$2:$B$16,2,FALSE)</f>
        <v>#N/A</v>
      </c>
      <c r="C500" s="57"/>
      <c r="G500">
        <f t="shared" si="7"/>
        <v>0</v>
      </c>
      <c r="M500">
        <v>1</v>
      </c>
    </row>
    <row r="501" spans="2:13" x14ac:dyDescent="0.25">
      <c r="B501" t="e">
        <f>VLOOKUP(A501,Data!$A$2:$B$16,2,FALSE)</f>
        <v>#N/A</v>
      </c>
      <c r="C501" s="57"/>
      <c r="G501">
        <f t="shared" si="7"/>
        <v>0</v>
      </c>
      <c r="M501">
        <v>1</v>
      </c>
    </row>
    <row r="502" spans="2:13" x14ac:dyDescent="0.25">
      <c r="B502" t="e">
        <f>VLOOKUP(A502,Data!$A$2:$B$16,2,FALSE)</f>
        <v>#N/A</v>
      </c>
      <c r="C502" s="57"/>
      <c r="G502">
        <f t="shared" si="7"/>
        <v>0</v>
      </c>
      <c r="M502">
        <v>1</v>
      </c>
    </row>
    <row r="503" spans="2:13" x14ac:dyDescent="0.25">
      <c r="B503" t="e">
        <f>VLOOKUP(A503,Data!$A$2:$B$16,2,FALSE)</f>
        <v>#N/A</v>
      </c>
      <c r="C503" s="57"/>
      <c r="G503">
        <f t="shared" si="7"/>
        <v>0</v>
      </c>
      <c r="M503">
        <v>1</v>
      </c>
    </row>
    <row r="504" spans="2:13" x14ac:dyDescent="0.25">
      <c r="B504" t="e">
        <f>VLOOKUP(A504,Data!$A$2:$B$16,2,FALSE)</f>
        <v>#N/A</v>
      </c>
      <c r="C504" s="57"/>
      <c r="G504">
        <f t="shared" si="7"/>
        <v>0</v>
      </c>
      <c r="M504">
        <v>1</v>
      </c>
    </row>
    <row r="505" spans="2:13" x14ac:dyDescent="0.25">
      <c r="B505" t="e">
        <f>VLOOKUP(A505,Data!$A$2:$B$16,2,FALSE)</f>
        <v>#N/A</v>
      </c>
      <c r="C505" s="57"/>
      <c r="G505">
        <f t="shared" si="7"/>
        <v>0</v>
      </c>
      <c r="M505">
        <v>1</v>
      </c>
    </row>
    <row r="506" spans="2:13" x14ac:dyDescent="0.25">
      <c r="B506" t="e">
        <f>VLOOKUP(A506,Data!$A$2:$B$16,2,FALSE)</f>
        <v>#N/A</v>
      </c>
      <c r="C506" s="57"/>
      <c r="G506">
        <f t="shared" si="7"/>
        <v>0</v>
      </c>
      <c r="M506">
        <v>1</v>
      </c>
    </row>
    <row r="507" spans="2:13" x14ac:dyDescent="0.25">
      <c r="B507" t="e">
        <f>VLOOKUP(A507,Data!$A$2:$B$16,2,FALSE)</f>
        <v>#N/A</v>
      </c>
      <c r="C507" s="57"/>
      <c r="G507">
        <f t="shared" si="7"/>
        <v>0</v>
      </c>
      <c r="M507">
        <v>1</v>
      </c>
    </row>
    <row r="508" spans="2:13" x14ac:dyDescent="0.25">
      <c r="B508" t="e">
        <f>VLOOKUP(A508,Data!$A$2:$B$16,2,FALSE)</f>
        <v>#N/A</v>
      </c>
      <c r="C508" s="57"/>
      <c r="G508">
        <f t="shared" si="7"/>
        <v>0</v>
      </c>
      <c r="M508">
        <v>1</v>
      </c>
    </row>
    <row r="509" spans="2:13" x14ac:dyDescent="0.25">
      <c r="B509" t="e">
        <f>VLOOKUP(A509,Data!$A$2:$B$16,2,FALSE)</f>
        <v>#N/A</v>
      </c>
      <c r="C509" s="57"/>
      <c r="G509">
        <f t="shared" si="7"/>
        <v>0</v>
      </c>
      <c r="M509">
        <v>1</v>
      </c>
    </row>
    <row r="510" spans="2:13" x14ac:dyDescent="0.25">
      <c r="B510" t="e">
        <f>VLOOKUP(A510,Data!$A$2:$B$16,2,FALSE)</f>
        <v>#N/A</v>
      </c>
      <c r="C510" s="57"/>
      <c r="G510">
        <f t="shared" si="7"/>
        <v>0</v>
      </c>
      <c r="M510">
        <v>1</v>
      </c>
    </row>
    <row r="511" spans="2:13" x14ac:dyDescent="0.25">
      <c r="B511" t="e">
        <f>VLOOKUP(A511,Data!$A$2:$B$16,2,FALSE)</f>
        <v>#N/A</v>
      </c>
      <c r="C511" s="57"/>
      <c r="G511">
        <f t="shared" si="7"/>
        <v>0</v>
      </c>
      <c r="M511">
        <v>1</v>
      </c>
    </row>
    <row r="512" spans="2:13" x14ac:dyDescent="0.25">
      <c r="B512" t="e">
        <f>VLOOKUP(A512,Data!$A$2:$B$16,2,FALSE)</f>
        <v>#N/A</v>
      </c>
      <c r="C512" s="57"/>
      <c r="G512">
        <f t="shared" si="7"/>
        <v>0</v>
      </c>
      <c r="M512">
        <v>1</v>
      </c>
    </row>
    <row r="513" spans="2:13" x14ac:dyDescent="0.25">
      <c r="B513" t="e">
        <f>VLOOKUP(A513,Data!$A$2:$B$16,2,FALSE)</f>
        <v>#N/A</v>
      </c>
      <c r="C513" s="57"/>
      <c r="G513">
        <f t="shared" si="7"/>
        <v>0</v>
      </c>
      <c r="M513">
        <v>1</v>
      </c>
    </row>
    <row r="514" spans="2:13" x14ac:dyDescent="0.25">
      <c r="B514" t="e">
        <f>VLOOKUP(A514,Data!$A$2:$B$16,2,FALSE)</f>
        <v>#N/A</v>
      </c>
      <c r="C514" s="57"/>
      <c r="G514">
        <f t="shared" si="7"/>
        <v>0</v>
      </c>
      <c r="M514">
        <v>1</v>
      </c>
    </row>
    <row r="515" spans="2:13" x14ac:dyDescent="0.25">
      <c r="B515" t="e">
        <f>VLOOKUP(A515,Data!$A$2:$B$16,2,FALSE)</f>
        <v>#N/A</v>
      </c>
      <c r="C515" s="57"/>
      <c r="G515">
        <f t="shared" ref="G515:G578" si="8">ROUNDUP(F515/60,2)</f>
        <v>0</v>
      </c>
      <c r="M515">
        <v>1</v>
      </c>
    </row>
    <row r="516" spans="2:13" x14ac:dyDescent="0.25">
      <c r="B516" t="e">
        <f>VLOOKUP(A516,Data!$A$2:$B$16,2,FALSE)</f>
        <v>#N/A</v>
      </c>
      <c r="C516" s="57"/>
      <c r="G516">
        <f t="shared" si="8"/>
        <v>0</v>
      </c>
      <c r="M516">
        <v>1</v>
      </c>
    </row>
    <row r="517" spans="2:13" x14ac:dyDescent="0.25">
      <c r="B517" t="e">
        <f>VLOOKUP(A517,Data!$A$2:$B$16,2,FALSE)</f>
        <v>#N/A</v>
      </c>
      <c r="C517" s="57"/>
      <c r="G517">
        <f t="shared" si="8"/>
        <v>0</v>
      </c>
      <c r="M517">
        <v>1</v>
      </c>
    </row>
    <row r="518" spans="2:13" x14ac:dyDescent="0.25">
      <c r="B518" t="e">
        <f>VLOOKUP(A518,Data!$A$2:$B$16,2,FALSE)</f>
        <v>#N/A</v>
      </c>
      <c r="C518" s="57"/>
      <c r="G518">
        <f t="shared" si="8"/>
        <v>0</v>
      </c>
      <c r="M518">
        <v>1</v>
      </c>
    </row>
    <row r="519" spans="2:13" x14ac:dyDescent="0.25">
      <c r="B519" t="e">
        <f>VLOOKUP(A519,Data!$A$2:$B$16,2,FALSE)</f>
        <v>#N/A</v>
      </c>
      <c r="C519" s="57"/>
      <c r="G519">
        <f t="shared" si="8"/>
        <v>0</v>
      </c>
      <c r="M519">
        <v>1</v>
      </c>
    </row>
    <row r="520" spans="2:13" x14ac:dyDescent="0.25">
      <c r="B520" t="e">
        <f>VLOOKUP(A520,Data!$A$2:$B$16,2,FALSE)</f>
        <v>#N/A</v>
      </c>
      <c r="C520" s="57"/>
      <c r="G520">
        <f t="shared" si="8"/>
        <v>0</v>
      </c>
      <c r="M520">
        <v>1</v>
      </c>
    </row>
    <row r="521" spans="2:13" x14ac:dyDescent="0.25">
      <c r="B521" t="e">
        <f>VLOOKUP(A521,Data!$A$2:$B$16,2,FALSE)</f>
        <v>#N/A</v>
      </c>
      <c r="C521" s="57"/>
      <c r="G521">
        <f t="shared" si="8"/>
        <v>0</v>
      </c>
      <c r="M521">
        <v>1</v>
      </c>
    </row>
    <row r="522" spans="2:13" x14ac:dyDescent="0.25">
      <c r="B522" t="e">
        <f>VLOOKUP(A522,Data!$A$2:$B$16,2,FALSE)</f>
        <v>#N/A</v>
      </c>
      <c r="C522" s="57"/>
      <c r="G522">
        <f t="shared" si="8"/>
        <v>0</v>
      </c>
      <c r="M522">
        <v>1</v>
      </c>
    </row>
    <row r="523" spans="2:13" x14ac:dyDescent="0.25">
      <c r="B523" t="e">
        <f>VLOOKUP(A523,Data!$A$2:$B$16,2,FALSE)</f>
        <v>#N/A</v>
      </c>
      <c r="C523" s="57"/>
      <c r="G523">
        <f t="shared" si="8"/>
        <v>0</v>
      </c>
      <c r="M523">
        <v>1</v>
      </c>
    </row>
    <row r="524" spans="2:13" x14ac:dyDescent="0.25">
      <c r="B524" t="e">
        <f>VLOOKUP(A524,Data!$A$2:$B$16,2,FALSE)</f>
        <v>#N/A</v>
      </c>
      <c r="C524" s="57"/>
      <c r="G524">
        <f t="shared" si="8"/>
        <v>0</v>
      </c>
      <c r="M524">
        <v>1</v>
      </c>
    </row>
    <row r="525" spans="2:13" x14ac:dyDescent="0.25">
      <c r="B525" t="e">
        <f>VLOOKUP(A525,Data!$A$2:$B$16,2,FALSE)</f>
        <v>#N/A</v>
      </c>
      <c r="C525" s="57"/>
      <c r="G525">
        <f t="shared" si="8"/>
        <v>0</v>
      </c>
      <c r="M525">
        <v>1</v>
      </c>
    </row>
    <row r="526" spans="2:13" x14ac:dyDescent="0.25">
      <c r="B526" t="e">
        <f>VLOOKUP(A526,Data!$A$2:$B$16,2,FALSE)</f>
        <v>#N/A</v>
      </c>
      <c r="C526" s="57"/>
      <c r="G526">
        <f t="shared" si="8"/>
        <v>0</v>
      </c>
      <c r="M526">
        <v>1</v>
      </c>
    </row>
    <row r="527" spans="2:13" x14ac:dyDescent="0.25">
      <c r="B527" t="e">
        <f>VLOOKUP(A527,Data!$A$2:$B$16,2,FALSE)</f>
        <v>#N/A</v>
      </c>
      <c r="C527" s="57"/>
      <c r="G527">
        <f t="shared" si="8"/>
        <v>0</v>
      </c>
      <c r="M527">
        <v>1</v>
      </c>
    </row>
    <row r="528" spans="2:13" x14ac:dyDescent="0.25">
      <c r="B528" t="e">
        <f>VLOOKUP(A528,Data!$A$2:$B$16,2,FALSE)</f>
        <v>#N/A</v>
      </c>
      <c r="C528" s="57"/>
      <c r="G528">
        <f t="shared" si="8"/>
        <v>0</v>
      </c>
      <c r="M528">
        <v>1</v>
      </c>
    </row>
    <row r="529" spans="2:13" x14ac:dyDescent="0.25">
      <c r="B529" t="e">
        <f>VLOOKUP(A529,Data!$A$2:$B$16,2,FALSE)</f>
        <v>#N/A</v>
      </c>
      <c r="C529" s="57"/>
      <c r="G529">
        <f t="shared" si="8"/>
        <v>0</v>
      </c>
      <c r="M529">
        <v>1</v>
      </c>
    </row>
    <row r="530" spans="2:13" x14ac:dyDescent="0.25">
      <c r="B530" t="e">
        <f>VLOOKUP(A530,Data!$A$2:$B$16,2,FALSE)</f>
        <v>#N/A</v>
      </c>
      <c r="C530" s="57"/>
      <c r="G530">
        <f t="shared" si="8"/>
        <v>0</v>
      </c>
      <c r="M530">
        <v>1</v>
      </c>
    </row>
    <row r="531" spans="2:13" x14ac:dyDescent="0.25">
      <c r="B531" t="e">
        <f>VLOOKUP(A531,Data!$A$2:$B$16,2,FALSE)</f>
        <v>#N/A</v>
      </c>
      <c r="C531" s="57"/>
      <c r="G531">
        <f t="shared" si="8"/>
        <v>0</v>
      </c>
      <c r="M531">
        <v>1</v>
      </c>
    </row>
    <row r="532" spans="2:13" x14ac:dyDescent="0.25">
      <c r="B532" t="e">
        <f>VLOOKUP(A532,Data!$A$2:$B$16,2,FALSE)</f>
        <v>#N/A</v>
      </c>
      <c r="C532" s="57"/>
      <c r="G532">
        <f t="shared" si="8"/>
        <v>0</v>
      </c>
      <c r="M532">
        <v>1</v>
      </c>
    </row>
    <row r="533" spans="2:13" x14ac:dyDescent="0.25">
      <c r="B533" t="e">
        <f>VLOOKUP(A533,Data!$A$2:$B$16,2,FALSE)</f>
        <v>#N/A</v>
      </c>
      <c r="C533" s="57"/>
      <c r="G533">
        <f t="shared" si="8"/>
        <v>0</v>
      </c>
      <c r="M533">
        <v>1</v>
      </c>
    </row>
    <row r="534" spans="2:13" x14ac:dyDescent="0.25">
      <c r="B534" t="e">
        <f>VLOOKUP(A534,Data!$A$2:$B$16,2,FALSE)</f>
        <v>#N/A</v>
      </c>
      <c r="C534" s="57"/>
      <c r="G534">
        <f t="shared" si="8"/>
        <v>0</v>
      </c>
      <c r="M534">
        <v>1</v>
      </c>
    </row>
    <row r="535" spans="2:13" x14ac:dyDescent="0.25">
      <c r="B535" t="e">
        <f>VLOOKUP(A535,Data!$A$2:$B$16,2,FALSE)</f>
        <v>#N/A</v>
      </c>
      <c r="C535" s="57"/>
      <c r="G535">
        <f t="shared" si="8"/>
        <v>0</v>
      </c>
      <c r="M535">
        <v>1</v>
      </c>
    </row>
    <row r="536" spans="2:13" x14ac:dyDescent="0.25">
      <c r="B536" t="e">
        <f>VLOOKUP(A536,Data!$A$2:$B$16,2,FALSE)</f>
        <v>#N/A</v>
      </c>
      <c r="C536" s="57"/>
      <c r="G536">
        <f t="shared" si="8"/>
        <v>0</v>
      </c>
      <c r="M536">
        <v>1</v>
      </c>
    </row>
    <row r="537" spans="2:13" x14ac:dyDescent="0.25">
      <c r="B537" t="e">
        <f>VLOOKUP(A537,Data!$A$2:$B$16,2,FALSE)</f>
        <v>#N/A</v>
      </c>
      <c r="C537" s="57"/>
      <c r="G537">
        <f t="shared" si="8"/>
        <v>0</v>
      </c>
      <c r="M537">
        <v>1</v>
      </c>
    </row>
    <row r="538" spans="2:13" x14ac:dyDescent="0.25">
      <c r="B538" t="e">
        <f>VLOOKUP(A538,Data!$A$2:$B$16,2,FALSE)</f>
        <v>#N/A</v>
      </c>
      <c r="C538" s="57"/>
      <c r="G538">
        <f t="shared" si="8"/>
        <v>0</v>
      </c>
      <c r="M538">
        <v>1</v>
      </c>
    </row>
    <row r="539" spans="2:13" x14ac:dyDescent="0.25">
      <c r="B539" t="e">
        <f>VLOOKUP(A539,Data!$A$2:$B$16,2,FALSE)</f>
        <v>#N/A</v>
      </c>
      <c r="C539" s="57"/>
      <c r="G539">
        <f t="shared" si="8"/>
        <v>0</v>
      </c>
      <c r="M539">
        <v>1</v>
      </c>
    </row>
    <row r="540" spans="2:13" x14ac:dyDescent="0.25">
      <c r="B540" t="e">
        <f>VLOOKUP(A540,Data!$A$2:$B$16,2,FALSE)</f>
        <v>#N/A</v>
      </c>
      <c r="C540" s="57"/>
      <c r="G540">
        <f t="shared" si="8"/>
        <v>0</v>
      </c>
      <c r="M540">
        <v>1</v>
      </c>
    </row>
    <row r="541" spans="2:13" x14ac:dyDescent="0.25">
      <c r="B541" t="e">
        <f>VLOOKUP(A541,Data!$A$2:$B$16,2,FALSE)</f>
        <v>#N/A</v>
      </c>
      <c r="C541" s="57"/>
      <c r="G541">
        <f t="shared" si="8"/>
        <v>0</v>
      </c>
      <c r="M541">
        <v>1</v>
      </c>
    </row>
    <row r="542" spans="2:13" x14ac:dyDescent="0.25">
      <c r="B542" t="e">
        <f>VLOOKUP(A542,Data!$A$2:$B$16,2,FALSE)</f>
        <v>#N/A</v>
      </c>
      <c r="C542" s="57"/>
      <c r="G542">
        <f t="shared" si="8"/>
        <v>0</v>
      </c>
      <c r="M542">
        <v>1</v>
      </c>
    </row>
    <row r="543" spans="2:13" x14ac:dyDescent="0.25">
      <c r="B543" t="e">
        <f>VLOOKUP(A543,Data!$A$2:$B$16,2,FALSE)</f>
        <v>#N/A</v>
      </c>
      <c r="C543" s="57"/>
      <c r="G543">
        <f t="shared" si="8"/>
        <v>0</v>
      </c>
      <c r="M543">
        <v>1</v>
      </c>
    </row>
    <row r="544" spans="2:13" x14ac:dyDescent="0.25">
      <c r="B544" t="e">
        <f>VLOOKUP(A544,Data!$A$2:$B$16,2,FALSE)</f>
        <v>#N/A</v>
      </c>
      <c r="C544" s="57"/>
      <c r="G544">
        <f t="shared" si="8"/>
        <v>0</v>
      </c>
      <c r="M544">
        <v>1</v>
      </c>
    </row>
    <row r="545" spans="2:13" x14ac:dyDescent="0.25">
      <c r="B545" t="e">
        <f>VLOOKUP(A545,Data!$A$2:$B$16,2,FALSE)</f>
        <v>#N/A</v>
      </c>
      <c r="C545" s="57"/>
      <c r="G545">
        <f t="shared" si="8"/>
        <v>0</v>
      </c>
      <c r="M545">
        <v>1</v>
      </c>
    </row>
    <row r="546" spans="2:13" x14ac:dyDescent="0.25">
      <c r="B546" t="e">
        <f>VLOOKUP(A546,Data!$A$2:$B$16,2,FALSE)</f>
        <v>#N/A</v>
      </c>
      <c r="C546" s="57"/>
      <c r="G546">
        <f t="shared" si="8"/>
        <v>0</v>
      </c>
      <c r="M546">
        <v>1</v>
      </c>
    </row>
    <row r="547" spans="2:13" x14ac:dyDescent="0.25">
      <c r="B547" t="e">
        <f>VLOOKUP(A547,Data!$A$2:$B$16,2,FALSE)</f>
        <v>#N/A</v>
      </c>
      <c r="C547" s="57"/>
      <c r="G547">
        <f t="shared" si="8"/>
        <v>0</v>
      </c>
      <c r="M547">
        <v>1</v>
      </c>
    </row>
    <row r="548" spans="2:13" x14ac:dyDescent="0.25">
      <c r="B548" t="e">
        <f>VLOOKUP(A548,Data!$A$2:$B$16,2,FALSE)</f>
        <v>#N/A</v>
      </c>
      <c r="C548" s="57"/>
      <c r="G548">
        <f t="shared" si="8"/>
        <v>0</v>
      </c>
      <c r="M548">
        <v>1</v>
      </c>
    </row>
    <row r="549" spans="2:13" x14ac:dyDescent="0.25">
      <c r="B549" t="e">
        <f>VLOOKUP(A549,Data!$A$2:$B$16,2,FALSE)</f>
        <v>#N/A</v>
      </c>
      <c r="C549" s="57"/>
      <c r="G549">
        <f t="shared" si="8"/>
        <v>0</v>
      </c>
      <c r="M549">
        <v>1</v>
      </c>
    </row>
    <row r="550" spans="2:13" x14ac:dyDescent="0.25">
      <c r="B550" t="e">
        <f>VLOOKUP(A550,Data!$A$2:$B$16,2,FALSE)</f>
        <v>#N/A</v>
      </c>
      <c r="C550" s="57"/>
      <c r="G550">
        <f t="shared" si="8"/>
        <v>0</v>
      </c>
      <c r="M550">
        <v>1</v>
      </c>
    </row>
    <row r="551" spans="2:13" x14ac:dyDescent="0.25">
      <c r="B551" t="e">
        <f>VLOOKUP(A551,Data!$A$2:$B$16,2,FALSE)</f>
        <v>#N/A</v>
      </c>
      <c r="C551" s="57"/>
      <c r="G551">
        <f t="shared" si="8"/>
        <v>0</v>
      </c>
      <c r="M551">
        <v>1</v>
      </c>
    </row>
    <row r="552" spans="2:13" x14ac:dyDescent="0.25">
      <c r="B552" t="e">
        <f>VLOOKUP(A552,Data!$A$2:$B$16,2,FALSE)</f>
        <v>#N/A</v>
      </c>
      <c r="C552" s="57"/>
      <c r="G552">
        <f t="shared" si="8"/>
        <v>0</v>
      </c>
      <c r="M552">
        <v>1</v>
      </c>
    </row>
    <row r="553" spans="2:13" x14ac:dyDescent="0.25">
      <c r="B553" t="e">
        <f>VLOOKUP(A553,Data!$A$2:$B$16,2,FALSE)</f>
        <v>#N/A</v>
      </c>
      <c r="C553" s="57"/>
      <c r="G553">
        <f t="shared" si="8"/>
        <v>0</v>
      </c>
      <c r="M553">
        <v>1</v>
      </c>
    </row>
    <row r="554" spans="2:13" x14ac:dyDescent="0.25">
      <c r="B554" t="e">
        <f>VLOOKUP(A554,Data!$A$2:$B$16,2,FALSE)</f>
        <v>#N/A</v>
      </c>
      <c r="C554" s="57"/>
      <c r="G554">
        <f t="shared" si="8"/>
        <v>0</v>
      </c>
      <c r="M554">
        <v>1</v>
      </c>
    </row>
    <row r="555" spans="2:13" x14ac:dyDescent="0.25">
      <c r="B555" t="e">
        <f>VLOOKUP(A555,Data!$A$2:$B$16,2,FALSE)</f>
        <v>#N/A</v>
      </c>
      <c r="C555" s="57"/>
      <c r="G555">
        <f t="shared" si="8"/>
        <v>0</v>
      </c>
      <c r="M555">
        <v>1</v>
      </c>
    </row>
    <row r="556" spans="2:13" x14ac:dyDescent="0.25">
      <c r="B556" t="e">
        <f>VLOOKUP(A556,Data!$A$2:$B$16,2,FALSE)</f>
        <v>#N/A</v>
      </c>
      <c r="C556" s="57"/>
      <c r="G556">
        <f t="shared" si="8"/>
        <v>0</v>
      </c>
      <c r="M556">
        <v>1</v>
      </c>
    </row>
    <row r="557" spans="2:13" x14ac:dyDescent="0.25">
      <c r="B557" t="e">
        <f>VLOOKUP(A557,Data!$A$2:$B$16,2,FALSE)</f>
        <v>#N/A</v>
      </c>
      <c r="C557" s="57"/>
      <c r="G557">
        <f t="shared" si="8"/>
        <v>0</v>
      </c>
      <c r="M557">
        <v>1</v>
      </c>
    </row>
    <row r="558" spans="2:13" x14ac:dyDescent="0.25">
      <c r="B558" t="e">
        <f>VLOOKUP(A558,Data!$A$2:$B$16,2,FALSE)</f>
        <v>#N/A</v>
      </c>
      <c r="C558" s="57"/>
      <c r="G558">
        <f t="shared" si="8"/>
        <v>0</v>
      </c>
      <c r="M558">
        <v>1</v>
      </c>
    </row>
    <row r="559" spans="2:13" x14ac:dyDescent="0.25">
      <c r="B559" t="e">
        <f>VLOOKUP(A559,Data!$A$2:$B$16,2,FALSE)</f>
        <v>#N/A</v>
      </c>
      <c r="C559" s="57"/>
      <c r="G559">
        <f t="shared" si="8"/>
        <v>0</v>
      </c>
      <c r="M559">
        <v>1</v>
      </c>
    </row>
    <row r="560" spans="2:13" x14ac:dyDescent="0.25">
      <c r="B560" t="e">
        <f>VLOOKUP(A560,Data!$A$2:$B$16,2,FALSE)</f>
        <v>#N/A</v>
      </c>
      <c r="C560" s="57"/>
      <c r="G560">
        <f t="shared" si="8"/>
        <v>0</v>
      </c>
      <c r="M560">
        <v>1</v>
      </c>
    </row>
    <row r="561" spans="2:13" x14ac:dyDescent="0.25">
      <c r="B561" t="e">
        <f>VLOOKUP(A561,Data!$A$2:$B$16,2,FALSE)</f>
        <v>#N/A</v>
      </c>
      <c r="C561" s="57"/>
      <c r="G561">
        <f t="shared" si="8"/>
        <v>0</v>
      </c>
      <c r="M561">
        <v>1</v>
      </c>
    </row>
    <row r="562" spans="2:13" x14ac:dyDescent="0.25">
      <c r="B562" t="e">
        <f>VLOOKUP(A562,Data!$A$2:$B$16,2,FALSE)</f>
        <v>#N/A</v>
      </c>
      <c r="C562" s="57"/>
      <c r="G562">
        <f t="shared" si="8"/>
        <v>0</v>
      </c>
      <c r="M562">
        <v>1</v>
      </c>
    </row>
    <row r="563" spans="2:13" x14ac:dyDescent="0.25">
      <c r="B563" t="e">
        <f>VLOOKUP(A563,Data!$A$2:$B$16,2,FALSE)</f>
        <v>#N/A</v>
      </c>
      <c r="C563" s="57"/>
      <c r="G563">
        <f t="shared" si="8"/>
        <v>0</v>
      </c>
      <c r="M563">
        <v>1</v>
      </c>
    </row>
    <row r="564" spans="2:13" x14ac:dyDescent="0.25">
      <c r="B564" t="e">
        <f>VLOOKUP(A564,Data!$A$2:$B$16,2,FALSE)</f>
        <v>#N/A</v>
      </c>
      <c r="C564" s="57"/>
      <c r="G564">
        <f t="shared" si="8"/>
        <v>0</v>
      </c>
      <c r="M564">
        <v>1</v>
      </c>
    </row>
    <row r="565" spans="2:13" x14ac:dyDescent="0.25">
      <c r="B565" t="e">
        <f>VLOOKUP(A565,Data!$A$2:$B$16,2,FALSE)</f>
        <v>#N/A</v>
      </c>
      <c r="C565" s="57"/>
      <c r="G565">
        <f t="shared" si="8"/>
        <v>0</v>
      </c>
      <c r="M565">
        <v>1</v>
      </c>
    </row>
    <row r="566" spans="2:13" x14ac:dyDescent="0.25">
      <c r="B566" t="e">
        <f>VLOOKUP(A566,Data!$A$2:$B$16,2,FALSE)</f>
        <v>#N/A</v>
      </c>
      <c r="C566" s="57"/>
      <c r="G566">
        <f t="shared" si="8"/>
        <v>0</v>
      </c>
      <c r="M566">
        <v>1</v>
      </c>
    </row>
    <row r="567" spans="2:13" x14ac:dyDescent="0.25">
      <c r="B567" t="e">
        <f>VLOOKUP(A567,Data!$A$2:$B$16,2,FALSE)</f>
        <v>#N/A</v>
      </c>
      <c r="C567" s="57"/>
      <c r="G567">
        <f t="shared" si="8"/>
        <v>0</v>
      </c>
      <c r="M567">
        <v>1</v>
      </c>
    </row>
    <row r="568" spans="2:13" x14ac:dyDescent="0.25">
      <c r="B568" t="e">
        <f>VLOOKUP(A568,Data!$A$2:$B$16,2,FALSE)</f>
        <v>#N/A</v>
      </c>
      <c r="C568" s="57"/>
      <c r="G568">
        <f t="shared" si="8"/>
        <v>0</v>
      </c>
      <c r="M568">
        <v>1</v>
      </c>
    </row>
    <row r="569" spans="2:13" x14ac:dyDescent="0.25">
      <c r="B569" t="e">
        <f>VLOOKUP(A569,Data!$A$2:$B$16,2,FALSE)</f>
        <v>#N/A</v>
      </c>
      <c r="C569" s="57"/>
      <c r="G569">
        <f t="shared" si="8"/>
        <v>0</v>
      </c>
      <c r="M569">
        <v>1</v>
      </c>
    </row>
    <row r="570" spans="2:13" x14ac:dyDescent="0.25">
      <c r="B570" t="e">
        <f>VLOOKUP(A570,Data!$A$2:$B$16,2,FALSE)</f>
        <v>#N/A</v>
      </c>
      <c r="C570" s="57"/>
      <c r="G570">
        <f t="shared" si="8"/>
        <v>0</v>
      </c>
      <c r="M570">
        <v>1</v>
      </c>
    </row>
    <row r="571" spans="2:13" x14ac:dyDescent="0.25">
      <c r="B571" t="e">
        <f>VLOOKUP(A571,Data!$A$2:$B$16,2,FALSE)</f>
        <v>#N/A</v>
      </c>
      <c r="C571" s="57"/>
      <c r="G571">
        <f t="shared" si="8"/>
        <v>0</v>
      </c>
      <c r="M571">
        <v>1</v>
      </c>
    </row>
    <row r="572" spans="2:13" x14ac:dyDescent="0.25">
      <c r="B572" t="e">
        <f>VLOOKUP(A572,Data!$A$2:$B$16,2,FALSE)</f>
        <v>#N/A</v>
      </c>
      <c r="C572" s="57"/>
      <c r="G572">
        <f t="shared" si="8"/>
        <v>0</v>
      </c>
      <c r="M572">
        <v>1</v>
      </c>
    </row>
    <row r="573" spans="2:13" x14ac:dyDescent="0.25">
      <c r="B573" t="e">
        <f>VLOOKUP(A573,Data!$A$2:$B$16,2,FALSE)</f>
        <v>#N/A</v>
      </c>
      <c r="C573" s="57"/>
      <c r="G573">
        <f t="shared" si="8"/>
        <v>0</v>
      </c>
      <c r="M573">
        <v>1</v>
      </c>
    </row>
    <row r="574" spans="2:13" x14ac:dyDescent="0.25">
      <c r="B574" t="e">
        <f>VLOOKUP(A574,Data!$A$2:$B$16,2,FALSE)</f>
        <v>#N/A</v>
      </c>
      <c r="C574" s="57"/>
      <c r="G574">
        <f t="shared" si="8"/>
        <v>0</v>
      </c>
      <c r="M574">
        <v>1</v>
      </c>
    </row>
    <row r="575" spans="2:13" x14ac:dyDescent="0.25">
      <c r="B575" t="e">
        <f>VLOOKUP(A575,Data!$A$2:$B$16,2,FALSE)</f>
        <v>#N/A</v>
      </c>
      <c r="C575" s="57"/>
      <c r="G575">
        <f t="shared" si="8"/>
        <v>0</v>
      </c>
      <c r="M575">
        <v>1</v>
      </c>
    </row>
    <row r="576" spans="2:13" x14ac:dyDescent="0.25">
      <c r="B576" t="e">
        <f>VLOOKUP(A576,Data!$A$2:$B$16,2,FALSE)</f>
        <v>#N/A</v>
      </c>
      <c r="C576" s="57"/>
      <c r="G576">
        <f t="shared" si="8"/>
        <v>0</v>
      </c>
      <c r="M576">
        <v>1</v>
      </c>
    </row>
    <row r="577" spans="2:13" x14ac:dyDescent="0.25">
      <c r="B577" t="e">
        <f>VLOOKUP(A577,Data!$A$2:$B$16,2,FALSE)</f>
        <v>#N/A</v>
      </c>
      <c r="C577" s="57"/>
      <c r="G577">
        <f t="shared" si="8"/>
        <v>0</v>
      </c>
      <c r="M577">
        <v>1</v>
      </c>
    </row>
    <row r="578" spans="2:13" x14ac:dyDescent="0.25">
      <c r="B578" t="e">
        <f>VLOOKUP(A578,Data!$A$2:$B$16,2,FALSE)</f>
        <v>#N/A</v>
      </c>
      <c r="C578" s="57"/>
      <c r="G578">
        <f t="shared" si="8"/>
        <v>0</v>
      </c>
      <c r="M578">
        <v>1</v>
      </c>
    </row>
    <row r="579" spans="2:13" x14ac:dyDescent="0.25">
      <c r="B579" t="e">
        <f>VLOOKUP(A579,Data!$A$2:$B$16,2,FALSE)</f>
        <v>#N/A</v>
      </c>
      <c r="C579" s="57"/>
      <c r="G579">
        <f t="shared" ref="G579:G642" si="9">ROUNDUP(F579/60,2)</f>
        <v>0</v>
      </c>
      <c r="M579">
        <v>1</v>
      </c>
    </row>
    <row r="580" spans="2:13" x14ac:dyDescent="0.25">
      <c r="B580" t="e">
        <f>VLOOKUP(A580,Data!$A$2:$B$16,2,FALSE)</f>
        <v>#N/A</v>
      </c>
      <c r="C580" s="57"/>
      <c r="G580">
        <f t="shared" si="9"/>
        <v>0</v>
      </c>
      <c r="M580">
        <v>1</v>
      </c>
    </row>
    <row r="581" spans="2:13" x14ac:dyDescent="0.25">
      <c r="B581" t="e">
        <f>VLOOKUP(A581,Data!$A$2:$B$16,2,FALSE)</f>
        <v>#N/A</v>
      </c>
      <c r="C581" s="57"/>
      <c r="G581">
        <f t="shared" si="9"/>
        <v>0</v>
      </c>
      <c r="M581">
        <v>1</v>
      </c>
    </row>
    <row r="582" spans="2:13" x14ac:dyDescent="0.25">
      <c r="B582" t="e">
        <f>VLOOKUP(A582,Data!$A$2:$B$16,2,FALSE)</f>
        <v>#N/A</v>
      </c>
      <c r="C582" s="57"/>
      <c r="G582">
        <f t="shared" si="9"/>
        <v>0</v>
      </c>
      <c r="M582">
        <v>1</v>
      </c>
    </row>
    <row r="583" spans="2:13" x14ac:dyDescent="0.25">
      <c r="B583" t="e">
        <f>VLOOKUP(A583,Data!$A$2:$B$16,2,FALSE)</f>
        <v>#N/A</v>
      </c>
      <c r="C583" s="57"/>
      <c r="G583">
        <f t="shared" si="9"/>
        <v>0</v>
      </c>
      <c r="M583">
        <v>1</v>
      </c>
    </row>
    <row r="584" spans="2:13" x14ac:dyDescent="0.25">
      <c r="B584" t="e">
        <f>VLOOKUP(A584,Data!$A$2:$B$16,2,FALSE)</f>
        <v>#N/A</v>
      </c>
      <c r="C584" s="57"/>
      <c r="G584">
        <f t="shared" si="9"/>
        <v>0</v>
      </c>
      <c r="M584">
        <v>1</v>
      </c>
    </row>
    <row r="585" spans="2:13" x14ac:dyDescent="0.25">
      <c r="B585" t="e">
        <f>VLOOKUP(A585,Data!$A$2:$B$16,2,FALSE)</f>
        <v>#N/A</v>
      </c>
      <c r="C585" s="57"/>
      <c r="G585">
        <f t="shared" si="9"/>
        <v>0</v>
      </c>
      <c r="M585">
        <v>1</v>
      </c>
    </row>
    <row r="586" spans="2:13" x14ac:dyDescent="0.25">
      <c r="B586" t="e">
        <f>VLOOKUP(A586,Data!$A$2:$B$16,2,FALSE)</f>
        <v>#N/A</v>
      </c>
      <c r="C586" s="57"/>
      <c r="G586">
        <f t="shared" si="9"/>
        <v>0</v>
      </c>
      <c r="M586">
        <v>1</v>
      </c>
    </row>
    <row r="587" spans="2:13" x14ac:dyDescent="0.25">
      <c r="B587" t="e">
        <f>VLOOKUP(A587,Data!$A$2:$B$16,2,FALSE)</f>
        <v>#N/A</v>
      </c>
      <c r="C587" s="57"/>
      <c r="G587">
        <f t="shared" si="9"/>
        <v>0</v>
      </c>
      <c r="M587">
        <v>1</v>
      </c>
    </row>
    <row r="588" spans="2:13" x14ac:dyDescent="0.25">
      <c r="B588" t="e">
        <f>VLOOKUP(A588,Data!$A$2:$B$16,2,FALSE)</f>
        <v>#N/A</v>
      </c>
      <c r="C588" s="57"/>
      <c r="G588">
        <f t="shared" si="9"/>
        <v>0</v>
      </c>
      <c r="M588">
        <v>1</v>
      </c>
    </row>
    <row r="589" spans="2:13" x14ac:dyDescent="0.25">
      <c r="B589" t="e">
        <f>VLOOKUP(A589,Data!$A$2:$B$16,2,FALSE)</f>
        <v>#N/A</v>
      </c>
      <c r="C589" s="57"/>
      <c r="G589">
        <f t="shared" si="9"/>
        <v>0</v>
      </c>
      <c r="M589">
        <v>1</v>
      </c>
    </row>
    <row r="590" spans="2:13" x14ac:dyDescent="0.25">
      <c r="B590" t="e">
        <f>VLOOKUP(A590,Data!$A$2:$B$16,2,FALSE)</f>
        <v>#N/A</v>
      </c>
      <c r="C590" s="57"/>
      <c r="G590">
        <f t="shared" si="9"/>
        <v>0</v>
      </c>
      <c r="M590">
        <v>1</v>
      </c>
    </row>
    <row r="591" spans="2:13" x14ac:dyDescent="0.25">
      <c r="B591" t="e">
        <f>VLOOKUP(A591,Data!$A$2:$B$16,2,FALSE)</f>
        <v>#N/A</v>
      </c>
      <c r="C591" s="57"/>
      <c r="G591">
        <f t="shared" si="9"/>
        <v>0</v>
      </c>
      <c r="M591">
        <v>1</v>
      </c>
    </row>
    <row r="592" spans="2:13" x14ac:dyDescent="0.25">
      <c r="B592" t="e">
        <f>VLOOKUP(A592,Data!$A$2:$B$16,2,FALSE)</f>
        <v>#N/A</v>
      </c>
      <c r="C592" s="57"/>
      <c r="G592">
        <f t="shared" si="9"/>
        <v>0</v>
      </c>
      <c r="M592">
        <v>1</v>
      </c>
    </row>
    <row r="593" spans="2:13" x14ac:dyDescent="0.25">
      <c r="B593" t="e">
        <f>VLOOKUP(A593,Data!$A$2:$B$16,2,FALSE)</f>
        <v>#N/A</v>
      </c>
      <c r="C593" s="57"/>
      <c r="G593">
        <f t="shared" si="9"/>
        <v>0</v>
      </c>
      <c r="M593">
        <v>1</v>
      </c>
    </row>
    <row r="594" spans="2:13" x14ac:dyDescent="0.25">
      <c r="B594" t="e">
        <f>VLOOKUP(A594,Data!$A$2:$B$16,2,FALSE)</f>
        <v>#N/A</v>
      </c>
      <c r="C594" s="57"/>
      <c r="G594">
        <f t="shared" si="9"/>
        <v>0</v>
      </c>
      <c r="M594">
        <v>1</v>
      </c>
    </row>
    <row r="595" spans="2:13" x14ac:dyDescent="0.25">
      <c r="B595" t="e">
        <f>VLOOKUP(A595,Data!$A$2:$B$16,2,FALSE)</f>
        <v>#N/A</v>
      </c>
      <c r="C595" s="57"/>
      <c r="G595">
        <f t="shared" si="9"/>
        <v>0</v>
      </c>
      <c r="M595">
        <v>1</v>
      </c>
    </row>
    <row r="596" spans="2:13" x14ac:dyDescent="0.25">
      <c r="B596" t="e">
        <f>VLOOKUP(A596,Data!$A$2:$B$16,2,FALSE)</f>
        <v>#N/A</v>
      </c>
      <c r="C596" s="57"/>
      <c r="G596">
        <f t="shared" si="9"/>
        <v>0</v>
      </c>
      <c r="M596">
        <v>1</v>
      </c>
    </row>
    <row r="597" spans="2:13" x14ac:dyDescent="0.25">
      <c r="B597" t="e">
        <f>VLOOKUP(A597,Data!$A$2:$B$16,2,FALSE)</f>
        <v>#N/A</v>
      </c>
      <c r="C597" s="57"/>
      <c r="G597">
        <f t="shared" si="9"/>
        <v>0</v>
      </c>
      <c r="M597">
        <v>1</v>
      </c>
    </row>
    <row r="598" spans="2:13" x14ac:dyDescent="0.25">
      <c r="B598" t="e">
        <f>VLOOKUP(A598,Data!$A$2:$B$16,2,FALSE)</f>
        <v>#N/A</v>
      </c>
      <c r="C598" s="57"/>
      <c r="G598">
        <f t="shared" si="9"/>
        <v>0</v>
      </c>
      <c r="M598">
        <v>1</v>
      </c>
    </row>
    <row r="599" spans="2:13" x14ac:dyDescent="0.25">
      <c r="B599" t="e">
        <f>VLOOKUP(A599,Data!$A$2:$B$16,2,FALSE)</f>
        <v>#N/A</v>
      </c>
      <c r="C599" s="57"/>
      <c r="G599">
        <f t="shared" si="9"/>
        <v>0</v>
      </c>
      <c r="M599">
        <v>1</v>
      </c>
    </row>
    <row r="600" spans="2:13" x14ac:dyDescent="0.25">
      <c r="B600" t="e">
        <f>VLOOKUP(A600,Data!$A$2:$B$16,2,FALSE)</f>
        <v>#N/A</v>
      </c>
      <c r="C600" s="57"/>
      <c r="G600">
        <f t="shared" si="9"/>
        <v>0</v>
      </c>
      <c r="M600">
        <v>1</v>
      </c>
    </row>
    <row r="601" spans="2:13" x14ac:dyDescent="0.25">
      <c r="B601" t="e">
        <f>VLOOKUP(A601,Data!$A$2:$B$16,2,FALSE)</f>
        <v>#N/A</v>
      </c>
      <c r="C601" s="57"/>
      <c r="G601">
        <f t="shared" si="9"/>
        <v>0</v>
      </c>
      <c r="M601">
        <v>1</v>
      </c>
    </row>
    <row r="602" spans="2:13" x14ac:dyDescent="0.25">
      <c r="B602" t="e">
        <f>VLOOKUP(A602,Data!$A$2:$B$16,2,FALSE)</f>
        <v>#N/A</v>
      </c>
      <c r="C602" s="57"/>
      <c r="G602">
        <f t="shared" si="9"/>
        <v>0</v>
      </c>
      <c r="M602">
        <v>1</v>
      </c>
    </row>
    <row r="603" spans="2:13" x14ac:dyDescent="0.25">
      <c r="B603" t="e">
        <f>VLOOKUP(A603,Data!$A$2:$B$16,2,FALSE)</f>
        <v>#N/A</v>
      </c>
      <c r="C603" s="57"/>
      <c r="G603">
        <f t="shared" si="9"/>
        <v>0</v>
      </c>
      <c r="M603">
        <v>1</v>
      </c>
    </row>
    <row r="604" spans="2:13" x14ac:dyDescent="0.25">
      <c r="B604" t="e">
        <f>VLOOKUP(A604,Data!$A$2:$B$16,2,FALSE)</f>
        <v>#N/A</v>
      </c>
      <c r="C604" s="57"/>
      <c r="G604">
        <f t="shared" si="9"/>
        <v>0</v>
      </c>
      <c r="M604">
        <v>1</v>
      </c>
    </row>
    <row r="605" spans="2:13" x14ac:dyDescent="0.25">
      <c r="B605" t="e">
        <f>VLOOKUP(A605,Data!$A$2:$B$16,2,FALSE)</f>
        <v>#N/A</v>
      </c>
      <c r="C605" s="57"/>
      <c r="G605">
        <f t="shared" si="9"/>
        <v>0</v>
      </c>
      <c r="M605">
        <v>1</v>
      </c>
    </row>
    <row r="606" spans="2:13" x14ac:dyDescent="0.25">
      <c r="B606" t="e">
        <f>VLOOKUP(A606,Data!$A$2:$B$16,2,FALSE)</f>
        <v>#N/A</v>
      </c>
      <c r="C606" s="57"/>
      <c r="G606">
        <f t="shared" si="9"/>
        <v>0</v>
      </c>
      <c r="M606">
        <v>1</v>
      </c>
    </row>
    <row r="607" spans="2:13" x14ac:dyDescent="0.25">
      <c r="B607" t="e">
        <f>VLOOKUP(A607,Data!$A$2:$B$16,2,FALSE)</f>
        <v>#N/A</v>
      </c>
      <c r="C607" s="57"/>
      <c r="G607">
        <f t="shared" si="9"/>
        <v>0</v>
      </c>
      <c r="M607">
        <v>1</v>
      </c>
    </row>
    <row r="608" spans="2:13" x14ac:dyDescent="0.25">
      <c r="B608" t="e">
        <f>VLOOKUP(A608,Data!$A$2:$B$16,2,FALSE)</f>
        <v>#N/A</v>
      </c>
      <c r="C608" s="57"/>
      <c r="G608">
        <f t="shared" si="9"/>
        <v>0</v>
      </c>
      <c r="M608">
        <v>1</v>
      </c>
    </row>
    <row r="609" spans="2:13" x14ac:dyDescent="0.25">
      <c r="B609" t="e">
        <f>VLOOKUP(A609,Data!$A$2:$B$16,2,FALSE)</f>
        <v>#N/A</v>
      </c>
      <c r="C609" s="57"/>
      <c r="G609">
        <f t="shared" si="9"/>
        <v>0</v>
      </c>
      <c r="M609">
        <v>1</v>
      </c>
    </row>
    <row r="610" spans="2:13" x14ac:dyDescent="0.25">
      <c r="B610" t="e">
        <f>VLOOKUP(A610,Data!$A$2:$B$16,2,FALSE)</f>
        <v>#N/A</v>
      </c>
      <c r="C610" s="57"/>
      <c r="G610">
        <f t="shared" si="9"/>
        <v>0</v>
      </c>
      <c r="M610">
        <v>1</v>
      </c>
    </row>
    <row r="611" spans="2:13" x14ac:dyDescent="0.25">
      <c r="B611" t="e">
        <f>VLOOKUP(A611,Data!$A$2:$B$16,2,FALSE)</f>
        <v>#N/A</v>
      </c>
      <c r="C611" s="57"/>
      <c r="G611">
        <f t="shared" si="9"/>
        <v>0</v>
      </c>
      <c r="M611">
        <v>1</v>
      </c>
    </row>
    <row r="612" spans="2:13" x14ac:dyDescent="0.25">
      <c r="B612" t="e">
        <f>VLOOKUP(A612,Data!$A$2:$B$16,2,FALSE)</f>
        <v>#N/A</v>
      </c>
      <c r="C612" s="57"/>
      <c r="G612">
        <f t="shared" si="9"/>
        <v>0</v>
      </c>
      <c r="M612">
        <v>1</v>
      </c>
    </row>
    <row r="613" spans="2:13" x14ac:dyDescent="0.25">
      <c r="B613" t="e">
        <f>VLOOKUP(A613,Data!$A$2:$B$16,2,FALSE)</f>
        <v>#N/A</v>
      </c>
      <c r="C613" s="57"/>
      <c r="G613">
        <f t="shared" si="9"/>
        <v>0</v>
      </c>
      <c r="M613">
        <v>1</v>
      </c>
    </row>
    <row r="614" spans="2:13" x14ac:dyDescent="0.25">
      <c r="B614" t="e">
        <f>VLOOKUP(A614,Data!$A$2:$B$16,2,FALSE)</f>
        <v>#N/A</v>
      </c>
      <c r="C614" s="57"/>
      <c r="G614">
        <f t="shared" si="9"/>
        <v>0</v>
      </c>
      <c r="M614">
        <v>1</v>
      </c>
    </row>
    <row r="615" spans="2:13" x14ac:dyDescent="0.25">
      <c r="B615" t="e">
        <f>VLOOKUP(A615,Data!$A$2:$B$16,2,FALSE)</f>
        <v>#N/A</v>
      </c>
      <c r="C615" s="57"/>
      <c r="G615">
        <f t="shared" si="9"/>
        <v>0</v>
      </c>
      <c r="M615">
        <v>1</v>
      </c>
    </row>
    <row r="616" spans="2:13" x14ac:dyDescent="0.25">
      <c r="B616" t="e">
        <f>VLOOKUP(A616,Data!$A$2:$B$16,2,FALSE)</f>
        <v>#N/A</v>
      </c>
      <c r="C616" s="57"/>
      <c r="G616">
        <f t="shared" si="9"/>
        <v>0</v>
      </c>
      <c r="M616">
        <v>1</v>
      </c>
    </row>
    <row r="617" spans="2:13" x14ac:dyDescent="0.25">
      <c r="B617" t="e">
        <f>VLOOKUP(A617,Data!$A$2:$B$16,2,FALSE)</f>
        <v>#N/A</v>
      </c>
      <c r="C617" s="57"/>
      <c r="G617">
        <f t="shared" si="9"/>
        <v>0</v>
      </c>
      <c r="M617">
        <v>1</v>
      </c>
    </row>
    <row r="618" spans="2:13" x14ac:dyDescent="0.25">
      <c r="B618" t="e">
        <f>VLOOKUP(A618,Data!$A$2:$B$16,2,FALSE)</f>
        <v>#N/A</v>
      </c>
      <c r="C618" s="57"/>
      <c r="G618">
        <f t="shared" si="9"/>
        <v>0</v>
      </c>
      <c r="M618">
        <v>1</v>
      </c>
    </row>
    <row r="619" spans="2:13" x14ac:dyDescent="0.25">
      <c r="B619" t="e">
        <f>VLOOKUP(A619,Data!$A$2:$B$16,2,FALSE)</f>
        <v>#N/A</v>
      </c>
      <c r="C619" s="57"/>
      <c r="G619">
        <f t="shared" si="9"/>
        <v>0</v>
      </c>
      <c r="M619">
        <v>1</v>
      </c>
    </row>
    <row r="620" spans="2:13" x14ac:dyDescent="0.25">
      <c r="B620" t="e">
        <f>VLOOKUP(A620,Data!$A$2:$B$16,2,FALSE)</f>
        <v>#N/A</v>
      </c>
      <c r="C620" s="57"/>
      <c r="G620">
        <f t="shared" si="9"/>
        <v>0</v>
      </c>
      <c r="M620">
        <v>1</v>
      </c>
    </row>
    <row r="621" spans="2:13" x14ac:dyDescent="0.25">
      <c r="B621" t="e">
        <f>VLOOKUP(A621,Data!$A$2:$B$16,2,FALSE)</f>
        <v>#N/A</v>
      </c>
      <c r="C621" s="57"/>
      <c r="G621">
        <f t="shared" si="9"/>
        <v>0</v>
      </c>
      <c r="M621">
        <v>1</v>
      </c>
    </row>
    <row r="622" spans="2:13" x14ac:dyDescent="0.25">
      <c r="B622" t="e">
        <f>VLOOKUP(A622,Data!$A$2:$B$16,2,FALSE)</f>
        <v>#N/A</v>
      </c>
      <c r="C622" s="57"/>
      <c r="G622">
        <f t="shared" si="9"/>
        <v>0</v>
      </c>
      <c r="M622">
        <v>1</v>
      </c>
    </row>
    <row r="623" spans="2:13" x14ac:dyDescent="0.25">
      <c r="B623" t="e">
        <f>VLOOKUP(A623,Data!$A$2:$B$16,2,FALSE)</f>
        <v>#N/A</v>
      </c>
      <c r="C623" s="57"/>
      <c r="G623">
        <f t="shared" si="9"/>
        <v>0</v>
      </c>
      <c r="M623">
        <v>1</v>
      </c>
    </row>
    <row r="624" spans="2:13" x14ac:dyDescent="0.25">
      <c r="B624" t="e">
        <f>VLOOKUP(A624,Data!$A$2:$B$16,2,FALSE)</f>
        <v>#N/A</v>
      </c>
      <c r="C624" s="57"/>
      <c r="G624">
        <f t="shared" si="9"/>
        <v>0</v>
      </c>
      <c r="M624">
        <v>1</v>
      </c>
    </row>
    <row r="625" spans="2:13" x14ac:dyDescent="0.25">
      <c r="B625" t="e">
        <f>VLOOKUP(A625,Data!$A$2:$B$16,2,FALSE)</f>
        <v>#N/A</v>
      </c>
      <c r="C625" s="57"/>
      <c r="G625">
        <f t="shared" si="9"/>
        <v>0</v>
      </c>
      <c r="M625">
        <v>1</v>
      </c>
    </row>
    <row r="626" spans="2:13" x14ac:dyDescent="0.25">
      <c r="B626" t="e">
        <f>VLOOKUP(A626,Data!$A$2:$B$16,2,FALSE)</f>
        <v>#N/A</v>
      </c>
      <c r="C626" s="57"/>
      <c r="G626">
        <f t="shared" si="9"/>
        <v>0</v>
      </c>
      <c r="M626">
        <v>1</v>
      </c>
    </row>
    <row r="627" spans="2:13" x14ac:dyDescent="0.25">
      <c r="B627" t="e">
        <f>VLOOKUP(A627,Data!$A$2:$B$16,2,FALSE)</f>
        <v>#N/A</v>
      </c>
      <c r="C627" s="57"/>
      <c r="G627">
        <f t="shared" si="9"/>
        <v>0</v>
      </c>
      <c r="M627">
        <v>1</v>
      </c>
    </row>
    <row r="628" spans="2:13" x14ac:dyDescent="0.25">
      <c r="B628" t="e">
        <f>VLOOKUP(A628,Data!$A$2:$B$16,2,FALSE)</f>
        <v>#N/A</v>
      </c>
      <c r="C628" s="57"/>
      <c r="G628">
        <f t="shared" si="9"/>
        <v>0</v>
      </c>
      <c r="M628">
        <v>1</v>
      </c>
    </row>
    <row r="629" spans="2:13" x14ac:dyDescent="0.25">
      <c r="B629" t="e">
        <f>VLOOKUP(A629,Data!$A$2:$B$16,2,FALSE)</f>
        <v>#N/A</v>
      </c>
      <c r="C629" s="57"/>
      <c r="G629">
        <f t="shared" si="9"/>
        <v>0</v>
      </c>
      <c r="M629">
        <v>1</v>
      </c>
    </row>
    <row r="630" spans="2:13" x14ac:dyDescent="0.25">
      <c r="B630" t="e">
        <f>VLOOKUP(A630,Data!$A$2:$B$16,2,FALSE)</f>
        <v>#N/A</v>
      </c>
      <c r="C630" s="57"/>
      <c r="G630">
        <f t="shared" si="9"/>
        <v>0</v>
      </c>
      <c r="M630">
        <v>1</v>
      </c>
    </row>
    <row r="631" spans="2:13" x14ac:dyDescent="0.25">
      <c r="B631" t="e">
        <f>VLOOKUP(A631,Data!$A$2:$B$16,2,FALSE)</f>
        <v>#N/A</v>
      </c>
      <c r="C631" s="57"/>
      <c r="G631">
        <f t="shared" si="9"/>
        <v>0</v>
      </c>
      <c r="M631">
        <v>1</v>
      </c>
    </row>
    <row r="632" spans="2:13" x14ac:dyDescent="0.25">
      <c r="B632" t="e">
        <f>VLOOKUP(A632,Data!$A$2:$B$16,2,FALSE)</f>
        <v>#N/A</v>
      </c>
      <c r="C632" s="57"/>
      <c r="G632">
        <f t="shared" si="9"/>
        <v>0</v>
      </c>
      <c r="M632">
        <v>1</v>
      </c>
    </row>
    <row r="633" spans="2:13" x14ac:dyDescent="0.25">
      <c r="B633" t="e">
        <f>VLOOKUP(A633,Data!$A$2:$B$16,2,FALSE)</f>
        <v>#N/A</v>
      </c>
      <c r="C633" s="57"/>
      <c r="G633">
        <f t="shared" si="9"/>
        <v>0</v>
      </c>
      <c r="M633">
        <v>1</v>
      </c>
    </row>
    <row r="634" spans="2:13" x14ac:dyDescent="0.25">
      <c r="B634" t="e">
        <f>VLOOKUP(A634,Data!$A$2:$B$16,2,FALSE)</f>
        <v>#N/A</v>
      </c>
      <c r="C634" s="57"/>
      <c r="G634">
        <f t="shared" si="9"/>
        <v>0</v>
      </c>
      <c r="M634">
        <v>1</v>
      </c>
    </row>
    <row r="635" spans="2:13" x14ac:dyDescent="0.25">
      <c r="B635" t="e">
        <f>VLOOKUP(A635,Data!$A$2:$B$16,2,FALSE)</f>
        <v>#N/A</v>
      </c>
      <c r="C635" s="57"/>
      <c r="G635">
        <f t="shared" si="9"/>
        <v>0</v>
      </c>
      <c r="M635">
        <v>1</v>
      </c>
    </row>
    <row r="636" spans="2:13" x14ac:dyDescent="0.25">
      <c r="B636" t="e">
        <f>VLOOKUP(A636,Data!$A$2:$B$16,2,FALSE)</f>
        <v>#N/A</v>
      </c>
      <c r="C636" s="57"/>
      <c r="G636">
        <f t="shared" si="9"/>
        <v>0</v>
      </c>
      <c r="M636">
        <v>1</v>
      </c>
    </row>
    <row r="637" spans="2:13" x14ac:dyDescent="0.25">
      <c r="B637" t="e">
        <f>VLOOKUP(A637,Data!$A$2:$B$16,2,FALSE)</f>
        <v>#N/A</v>
      </c>
      <c r="C637" s="57"/>
      <c r="G637">
        <f t="shared" si="9"/>
        <v>0</v>
      </c>
      <c r="M637">
        <v>1</v>
      </c>
    </row>
    <row r="638" spans="2:13" x14ac:dyDescent="0.25">
      <c r="B638" t="e">
        <f>VLOOKUP(A638,Data!$A$2:$B$16,2,FALSE)</f>
        <v>#N/A</v>
      </c>
      <c r="C638" s="57"/>
      <c r="G638">
        <f t="shared" si="9"/>
        <v>0</v>
      </c>
      <c r="M638">
        <v>1</v>
      </c>
    </row>
    <row r="639" spans="2:13" x14ac:dyDescent="0.25">
      <c r="B639" t="e">
        <f>VLOOKUP(A639,Data!$A$2:$B$16,2,FALSE)</f>
        <v>#N/A</v>
      </c>
      <c r="C639" s="57"/>
      <c r="G639">
        <f t="shared" si="9"/>
        <v>0</v>
      </c>
      <c r="M639">
        <v>1</v>
      </c>
    </row>
    <row r="640" spans="2:13" x14ac:dyDescent="0.25">
      <c r="B640" t="e">
        <f>VLOOKUP(A640,Data!$A$2:$B$16,2,FALSE)</f>
        <v>#N/A</v>
      </c>
      <c r="C640" s="57"/>
      <c r="G640">
        <f t="shared" si="9"/>
        <v>0</v>
      </c>
      <c r="M640">
        <v>1</v>
      </c>
    </row>
    <row r="641" spans="2:13" x14ac:dyDescent="0.25">
      <c r="B641" t="e">
        <f>VLOOKUP(A641,Data!$A$2:$B$16,2,FALSE)</f>
        <v>#N/A</v>
      </c>
      <c r="C641" s="57"/>
      <c r="G641">
        <f t="shared" si="9"/>
        <v>0</v>
      </c>
      <c r="M641">
        <v>1</v>
      </c>
    </row>
    <row r="642" spans="2:13" x14ac:dyDescent="0.25">
      <c r="B642" t="e">
        <f>VLOOKUP(A642,Data!$A$2:$B$16,2,FALSE)</f>
        <v>#N/A</v>
      </c>
      <c r="C642" s="57"/>
      <c r="G642">
        <f t="shared" si="9"/>
        <v>0</v>
      </c>
      <c r="M642">
        <v>1</v>
      </c>
    </row>
    <row r="643" spans="2:13" x14ac:dyDescent="0.25">
      <c r="B643" t="e">
        <f>VLOOKUP(A643,Data!$A$2:$B$16,2,FALSE)</f>
        <v>#N/A</v>
      </c>
      <c r="C643" s="57"/>
      <c r="G643">
        <f t="shared" ref="G643:G706" si="10">ROUNDUP(F643/60,2)</f>
        <v>0</v>
      </c>
      <c r="M643">
        <v>1</v>
      </c>
    </row>
    <row r="644" spans="2:13" x14ac:dyDescent="0.25">
      <c r="B644" t="e">
        <f>VLOOKUP(A644,Data!$A$2:$B$16,2,FALSE)</f>
        <v>#N/A</v>
      </c>
      <c r="C644" s="57"/>
      <c r="G644">
        <f t="shared" si="10"/>
        <v>0</v>
      </c>
      <c r="M644">
        <v>1</v>
      </c>
    </row>
    <row r="645" spans="2:13" x14ac:dyDescent="0.25">
      <c r="B645" t="e">
        <f>VLOOKUP(A645,Data!$A$2:$B$16,2,FALSE)</f>
        <v>#N/A</v>
      </c>
      <c r="C645" s="57"/>
      <c r="G645">
        <f t="shared" si="10"/>
        <v>0</v>
      </c>
      <c r="M645">
        <v>1</v>
      </c>
    </row>
    <row r="646" spans="2:13" x14ac:dyDescent="0.25">
      <c r="B646" t="e">
        <f>VLOOKUP(A646,Data!$A$2:$B$16,2,FALSE)</f>
        <v>#N/A</v>
      </c>
      <c r="C646" s="57"/>
      <c r="G646">
        <f t="shared" si="10"/>
        <v>0</v>
      </c>
      <c r="M646">
        <v>1</v>
      </c>
    </row>
    <row r="647" spans="2:13" x14ac:dyDescent="0.25">
      <c r="B647" t="e">
        <f>VLOOKUP(A647,Data!$A$2:$B$16,2,FALSE)</f>
        <v>#N/A</v>
      </c>
      <c r="C647" s="57"/>
      <c r="G647">
        <f t="shared" si="10"/>
        <v>0</v>
      </c>
      <c r="M647">
        <v>1</v>
      </c>
    </row>
    <row r="648" spans="2:13" x14ac:dyDescent="0.25">
      <c r="B648" t="e">
        <f>VLOOKUP(A648,Data!$A$2:$B$16,2,FALSE)</f>
        <v>#N/A</v>
      </c>
      <c r="C648" s="57"/>
      <c r="G648">
        <f t="shared" si="10"/>
        <v>0</v>
      </c>
      <c r="M648">
        <v>1</v>
      </c>
    </row>
    <row r="649" spans="2:13" x14ac:dyDescent="0.25">
      <c r="B649" t="e">
        <f>VLOOKUP(A649,Data!$A$2:$B$16,2,FALSE)</f>
        <v>#N/A</v>
      </c>
      <c r="C649" s="57"/>
      <c r="G649">
        <f t="shared" si="10"/>
        <v>0</v>
      </c>
      <c r="M649">
        <v>1</v>
      </c>
    </row>
    <row r="650" spans="2:13" x14ac:dyDescent="0.25">
      <c r="B650" t="e">
        <f>VLOOKUP(A650,Data!$A$2:$B$16,2,FALSE)</f>
        <v>#N/A</v>
      </c>
      <c r="C650" s="57"/>
      <c r="G650">
        <f t="shared" si="10"/>
        <v>0</v>
      </c>
      <c r="M650">
        <v>1</v>
      </c>
    </row>
    <row r="651" spans="2:13" x14ac:dyDescent="0.25">
      <c r="B651" t="e">
        <f>VLOOKUP(A651,Data!$A$2:$B$16,2,FALSE)</f>
        <v>#N/A</v>
      </c>
      <c r="C651" s="57"/>
      <c r="G651">
        <f t="shared" si="10"/>
        <v>0</v>
      </c>
      <c r="M651">
        <v>1</v>
      </c>
    </row>
    <row r="652" spans="2:13" x14ac:dyDescent="0.25">
      <c r="B652" t="e">
        <f>VLOOKUP(A652,Data!$A$2:$B$16,2,FALSE)</f>
        <v>#N/A</v>
      </c>
      <c r="C652" s="57"/>
      <c r="G652">
        <f t="shared" si="10"/>
        <v>0</v>
      </c>
      <c r="M652">
        <v>1</v>
      </c>
    </row>
    <row r="653" spans="2:13" x14ac:dyDescent="0.25">
      <c r="B653" t="e">
        <f>VLOOKUP(A653,Data!$A$2:$B$16,2,FALSE)</f>
        <v>#N/A</v>
      </c>
      <c r="C653" s="57"/>
      <c r="G653">
        <f t="shared" si="10"/>
        <v>0</v>
      </c>
      <c r="M653">
        <v>1</v>
      </c>
    </row>
    <row r="654" spans="2:13" x14ac:dyDescent="0.25">
      <c r="B654" t="e">
        <f>VLOOKUP(A654,Data!$A$2:$B$16,2,FALSE)</f>
        <v>#N/A</v>
      </c>
      <c r="C654" s="57"/>
      <c r="G654">
        <f t="shared" si="10"/>
        <v>0</v>
      </c>
      <c r="M654">
        <v>1</v>
      </c>
    </row>
    <row r="655" spans="2:13" x14ac:dyDescent="0.25">
      <c r="B655" t="e">
        <f>VLOOKUP(A655,Data!$A$2:$B$16,2,FALSE)</f>
        <v>#N/A</v>
      </c>
      <c r="C655" s="57"/>
      <c r="G655">
        <f t="shared" si="10"/>
        <v>0</v>
      </c>
      <c r="M655">
        <v>1</v>
      </c>
    </row>
    <row r="656" spans="2:13" x14ac:dyDescent="0.25">
      <c r="B656" t="e">
        <f>VLOOKUP(A656,Data!$A$2:$B$16,2,FALSE)</f>
        <v>#N/A</v>
      </c>
      <c r="C656" s="57"/>
      <c r="G656">
        <f t="shared" si="10"/>
        <v>0</v>
      </c>
      <c r="M656">
        <v>1</v>
      </c>
    </row>
    <row r="657" spans="2:13" x14ac:dyDescent="0.25">
      <c r="B657" t="e">
        <f>VLOOKUP(A657,Data!$A$2:$B$16,2,FALSE)</f>
        <v>#N/A</v>
      </c>
      <c r="C657" s="57"/>
      <c r="G657">
        <f t="shared" si="10"/>
        <v>0</v>
      </c>
      <c r="M657">
        <v>1</v>
      </c>
    </row>
    <row r="658" spans="2:13" x14ac:dyDescent="0.25">
      <c r="B658" t="e">
        <f>VLOOKUP(A658,Data!$A$2:$B$16,2,FALSE)</f>
        <v>#N/A</v>
      </c>
      <c r="C658" s="57"/>
      <c r="G658">
        <f t="shared" si="10"/>
        <v>0</v>
      </c>
      <c r="M658">
        <v>1</v>
      </c>
    </row>
    <row r="659" spans="2:13" x14ac:dyDescent="0.25">
      <c r="B659" t="e">
        <f>VLOOKUP(A659,Data!$A$2:$B$16,2,FALSE)</f>
        <v>#N/A</v>
      </c>
      <c r="C659" s="57"/>
      <c r="G659">
        <f t="shared" si="10"/>
        <v>0</v>
      </c>
      <c r="M659">
        <v>1</v>
      </c>
    </row>
    <row r="660" spans="2:13" x14ac:dyDescent="0.25">
      <c r="B660" t="e">
        <f>VLOOKUP(A660,Data!$A$2:$B$16,2,FALSE)</f>
        <v>#N/A</v>
      </c>
      <c r="C660" s="57"/>
      <c r="G660">
        <f t="shared" si="10"/>
        <v>0</v>
      </c>
      <c r="M660">
        <v>1</v>
      </c>
    </row>
    <row r="661" spans="2:13" x14ac:dyDescent="0.25">
      <c r="B661" t="e">
        <f>VLOOKUP(A661,Data!$A$2:$B$16,2,FALSE)</f>
        <v>#N/A</v>
      </c>
      <c r="C661" s="57"/>
      <c r="G661">
        <f t="shared" si="10"/>
        <v>0</v>
      </c>
      <c r="M661">
        <v>1</v>
      </c>
    </row>
    <row r="662" spans="2:13" x14ac:dyDescent="0.25">
      <c r="B662" t="e">
        <f>VLOOKUP(A662,Data!$A$2:$B$16,2,FALSE)</f>
        <v>#N/A</v>
      </c>
      <c r="C662" s="57"/>
      <c r="G662">
        <f t="shared" si="10"/>
        <v>0</v>
      </c>
      <c r="M662">
        <v>1</v>
      </c>
    </row>
    <row r="663" spans="2:13" x14ac:dyDescent="0.25">
      <c r="B663" t="e">
        <f>VLOOKUP(A663,Data!$A$2:$B$16,2,FALSE)</f>
        <v>#N/A</v>
      </c>
      <c r="C663" s="57"/>
      <c r="G663">
        <f t="shared" si="10"/>
        <v>0</v>
      </c>
      <c r="M663">
        <v>1</v>
      </c>
    </row>
    <row r="664" spans="2:13" x14ac:dyDescent="0.25">
      <c r="B664" t="e">
        <f>VLOOKUP(A664,Data!$A$2:$B$16,2,FALSE)</f>
        <v>#N/A</v>
      </c>
      <c r="C664" s="57"/>
      <c r="G664">
        <f t="shared" si="10"/>
        <v>0</v>
      </c>
      <c r="M664">
        <v>1</v>
      </c>
    </row>
    <row r="665" spans="2:13" x14ac:dyDescent="0.25">
      <c r="B665" t="e">
        <f>VLOOKUP(A665,Data!$A$2:$B$16,2,FALSE)</f>
        <v>#N/A</v>
      </c>
      <c r="C665" s="57"/>
      <c r="G665">
        <f t="shared" si="10"/>
        <v>0</v>
      </c>
      <c r="M665">
        <v>1</v>
      </c>
    </row>
    <row r="666" spans="2:13" x14ac:dyDescent="0.25">
      <c r="B666" t="e">
        <f>VLOOKUP(A666,Data!$A$2:$B$16,2,FALSE)</f>
        <v>#N/A</v>
      </c>
      <c r="C666" s="57"/>
      <c r="G666">
        <f t="shared" si="10"/>
        <v>0</v>
      </c>
      <c r="M666">
        <v>1</v>
      </c>
    </row>
    <row r="667" spans="2:13" x14ac:dyDescent="0.25">
      <c r="B667" t="e">
        <f>VLOOKUP(A667,Data!$A$2:$B$16,2,FALSE)</f>
        <v>#N/A</v>
      </c>
      <c r="C667" s="57"/>
      <c r="G667">
        <f t="shared" si="10"/>
        <v>0</v>
      </c>
      <c r="M667">
        <v>1</v>
      </c>
    </row>
    <row r="668" spans="2:13" x14ac:dyDescent="0.25">
      <c r="B668" t="e">
        <f>VLOOKUP(A668,Data!$A$2:$B$16,2,FALSE)</f>
        <v>#N/A</v>
      </c>
      <c r="C668" s="57"/>
      <c r="G668">
        <f t="shared" si="10"/>
        <v>0</v>
      </c>
      <c r="M668">
        <v>1</v>
      </c>
    </row>
    <row r="669" spans="2:13" x14ac:dyDescent="0.25">
      <c r="B669" t="e">
        <f>VLOOKUP(A669,Data!$A$2:$B$16,2,FALSE)</f>
        <v>#N/A</v>
      </c>
      <c r="C669" s="57"/>
      <c r="G669">
        <f t="shared" si="10"/>
        <v>0</v>
      </c>
      <c r="M669">
        <v>1</v>
      </c>
    </row>
    <row r="670" spans="2:13" x14ac:dyDescent="0.25">
      <c r="B670" t="e">
        <f>VLOOKUP(A670,Data!$A$2:$B$16,2,FALSE)</f>
        <v>#N/A</v>
      </c>
      <c r="C670" s="57"/>
      <c r="G670">
        <f t="shared" si="10"/>
        <v>0</v>
      </c>
      <c r="M670">
        <v>1</v>
      </c>
    </row>
    <row r="671" spans="2:13" x14ac:dyDescent="0.25">
      <c r="B671" t="e">
        <f>VLOOKUP(A671,Data!$A$2:$B$16,2,FALSE)</f>
        <v>#N/A</v>
      </c>
      <c r="C671" s="57"/>
      <c r="G671">
        <f t="shared" si="10"/>
        <v>0</v>
      </c>
      <c r="M671">
        <v>1</v>
      </c>
    </row>
    <row r="672" spans="2:13" x14ac:dyDescent="0.25">
      <c r="B672" t="e">
        <f>VLOOKUP(A672,Data!$A$2:$B$16,2,FALSE)</f>
        <v>#N/A</v>
      </c>
      <c r="C672" s="57"/>
      <c r="G672">
        <f t="shared" si="10"/>
        <v>0</v>
      </c>
      <c r="M672">
        <v>1</v>
      </c>
    </row>
    <row r="673" spans="2:13" x14ac:dyDescent="0.25">
      <c r="B673" t="e">
        <f>VLOOKUP(A673,Data!$A$2:$B$16,2,FALSE)</f>
        <v>#N/A</v>
      </c>
      <c r="C673" s="57"/>
      <c r="G673">
        <f t="shared" si="10"/>
        <v>0</v>
      </c>
      <c r="M673">
        <v>1</v>
      </c>
    </row>
    <row r="674" spans="2:13" x14ac:dyDescent="0.25">
      <c r="B674" t="e">
        <f>VLOOKUP(A674,Data!$A$2:$B$16,2,FALSE)</f>
        <v>#N/A</v>
      </c>
      <c r="C674" s="57"/>
      <c r="G674">
        <f t="shared" si="10"/>
        <v>0</v>
      </c>
      <c r="M674">
        <v>1</v>
      </c>
    </row>
    <row r="675" spans="2:13" x14ac:dyDescent="0.25">
      <c r="B675" t="e">
        <f>VLOOKUP(A675,Data!$A$2:$B$16,2,FALSE)</f>
        <v>#N/A</v>
      </c>
      <c r="C675" s="57"/>
      <c r="G675">
        <f t="shared" si="10"/>
        <v>0</v>
      </c>
      <c r="M675">
        <v>1</v>
      </c>
    </row>
    <row r="676" spans="2:13" x14ac:dyDescent="0.25">
      <c r="B676" t="e">
        <f>VLOOKUP(A676,Data!$A$2:$B$16,2,FALSE)</f>
        <v>#N/A</v>
      </c>
      <c r="C676" s="57"/>
      <c r="G676">
        <f t="shared" si="10"/>
        <v>0</v>
      </c>
      <c r="M676">
        <v>1</v>
      </c>
    </row>
    <row r="677" spans="2:13" x14ac:dyDescent="0.25">
      <c r="B677" t="e">
        <f>VLOOKUP(A677,Data!$A$2:$B$16,2,FALSE)</f>
        <v>#N/A</v>
      </c>
      <c r="C677" s="57"/>
      <c r="G677">
        <f t="shared" si="10"/>
        <v>0</v>
      </c>
      <c r="M677">
        <v>1</v>
      </c>
    </row>
    <row r="678" spans="2:13" x14ac:dyDescent="0.25">
      <c r="B678" t="e">
        <f>VLOOKUP(A678,Data!$A$2:$B$16,2,FALSE)</f>
        <v>#N/A</v>
      </c>
      <c r="C678" s="57"/>
      <c r="G678">
        <f t="shared" si="10"/>
        <v>0</v>
      </c>
      <c r="M678">
        <v>1</v>
      </c>
    </row>
    <row r="679" spans="2:13" x14ac:dyDescent="0.25">
      <c r="B679" t="e">
        <f>VLOOKUP(A679,Data!$A$2:$B$16,2,FALSE)</f>
        <v>#N/A</v>
      </c>
      <c r="C679" s="57"/>
      <c r="G679">
        <f t="shared" si="10"/>
        <v>0</v>
      </c>
      <c r="M679">
        <v>1</v>
      </c>
    </row>
    <row r="680" spans="2:13" x14ac:dyDescent="0.25">
      <c r="B680" t="e">
        <f>VLOOKUP(A680,Data!$A$2:$B$16,2,FALSE)</f>
        <v>#N/A</v>
      </c>
      <c r="C680" s="57"/>
      <c r="G680">
        <f t="shared" si="10"/>
        <v>0</v>
      </c>
      <c r="M680">
        <v>1</v>
      </c>
    </row>
    <row r="681" spans="2:13" x14ac:dyDescent="0.25">
      <c r="B681" t="e">
        <f>VLOOKUP(A681,Data!$A$2:$B$16,2,FALSE)</f>
        <v>#N/A</v>
      </c>
      <c r="C681" s="57"/>
      <c r="G681">
        <f t="shared" si="10"/>
        <v>0</v>
      </c>
      <c r="M681">
        <v>1</v>
      </c>
    </row>
    <row r="682" spans="2:13" x14ac:dyDescent="0.25">
      <c r="B682" t="e">
        <f>VLOOKUP(A682,Data!$A$2:$B$16,2,FALSE)</f>
        <v>#N/A</v>
      </c>
      <c r="C682" s="57"/>
      <c r="G682">
        <f t="shared" si="10"/>
        <v>0</v>
      </c>
      <c r="M682">
        <v>1</v>
      </c>
    </row>
    <row r="683" spans="2:13" x14ac:dyDescent="0.25">
      <c r="B683" t="e">
        <f>VLOOKUP(A683,Data!$A$2:$B$16,2,FALSE)</f>
        <v>#N/A</v>
      </c>
      <c r="C683" s="57"/>
      <c r="G683">
        <f t="shared" si="10"/>
        <v>0</v>
      </c>
      <c r="M683">
        <v>1</v>
      </c>
    </row>
    <row r="684" spans="2:13" x14ac:dyDescent="0.25">
      <c r="B684" t="e">
        <f>VLOOKUP(A684,Data!$A$2:$B$16,2,FALSE)</f>
        <v>#N/A</v>
      </c>
      <c r="C684" s="57"/>
      <c r="G684">
        <f t="shared" si="10"/>
        <v>0</v>
      </c>
      <c r="M684">
        <v>1</v>
      </c>
    </row>
    <row r="685" spans="2:13" x14ac:dyDescent="0.25">
      <c r="B685" t="e">
        <f>VLOOKUP(A685,Data!$A$2:$B$16,2,FALSE)</f>
        <v>#N/A</v>
      </c>
      <c r="C685" s="57"/>
      <c r="G685">
        <f t="shared" si="10"/>
        <v>0</v>
      </c>
      <c r="M685">
        <v>1</v>
      </c>
    </row>
    <row r="686" spans="2:13" x14ac:dyDescent="0.25">
      <c r="B686" t="e">
        <f>VLOOKUP(A686,Data!$A$2:$B$16,2,FALSE)</f>
        <v>#N/A</v>
      </c>
      <c r="C686" s="57"/>
      <c r="G686">
        <f t="shared" si="10"/>
        <v>0</v>
      </c>
      <c r="M686">
        <v>1</v>
      </c>
    </row>
    <row r="687" spans="2:13" x14ac:dyDescent="0.25">
      <c r="B687" t="e">
        <f>VLOOKUP(A687,Data!$A$2:$B$16,2,FALSE)</f>
        <v>#N/A</v>
      </c>
      <c r="C687" s="57"/>
      <c r="G687">
        <f t="shared" si="10"/>
        <v>0</v>
      </c>
      <c r="M687">
        <v>1</v>
      </c>
    </row>
    <row r="688" spans="2:13" x14ac:dyDescent="0.25">
      <c r="B688" t="e">
        <f>VLOOKUP(A688,Data!$A$2:$B$16,2,FALSE)</f>
        <v>#N/A</v>
      </c>
      <c r="C688" s="57"/>
      <c r="G688">
        <f t="shared" si="10"/>
        <v>0</v>
      </c>
      <c r="M688">
        <v>1</v>
      </c>
    </row>
    <row r="689" spans="2:13" x14ac:dyDescent="0.25">
      <c r="B689" t="e">
        <f>VLOOKUP(A689,Data!$A$2:$B$16,2,FALSE)</f>
        <v>#N/A</v>
      </c>
      <c r="C689" s="57"/>
      <c r="G689">
        <f t="shared" si="10"/>
        <v>0</v>
      </c>
      <c r="M689">
        <v>1</v>
      </c>
    </row>
    <row r="690" spans="2:13" x14ac:dyDescent="0.25">
      <c r="B690" t="e">
        <f>VLOOKUP(A690,Data!$A$2:$B$16,2,FALSE)</f>
        <v>#N/A</v>
      </c>
      <c r="C690" s="57"/>
      <c r="G690">
        <f t="shared" si="10"/>
        <v>0</v>
      </c>
      <c r="M690">
        <v>1</v>
      </c>
    </row>
    <row r="691" spans="2:13" x14ac:dyDescent="0.25">
      <c r="B691" t="e">
        <f>VLOOKUP(A691,Data!$A$2:$B$16,2,FALSE)</f>
        <v>#N/A</v>
      </c>
      <c r="C691" s="57"/>
      <c r="G691">
        <f t="shared" si="10"/>
        <v>0</v>
      </c>
      <c r="M691">
        <v>1</v>
      </c>
    </row>
    <row r="692" spans="2:13" x14ac:dyDescent="0.25">
      <c r="B692" t="e">
        <f>VLOOKUP(A692,Data!$A$2:$B$16,2,FALSE)</f>
        <v>#N/A</v>
      </c>
      <c r="C692" s="57"/>
      <c r="G692">
        <f t="shared" si="10"/>
        <v>0</v>
      </c>
      <c r="M692">
        <v>1</v>
      </c>
    </row>
    <row r="693" spans="2:13" x14ac:dyDescent="0.25">
      <c r="B693" t="e">
        <f>VLOOKUP(A693,Data!$A$2:$B$16,2,FALSE)</f>
        <v>#N/A</v>
      </c>
      <c r="C693" s="57"/>
      <c r="G693">
        <f t="shared" si="10"/>
        <v>0</v>
      </c>
      <c r="M693">
        <v>1</v>
      </c>
    </row>
    <row r="694" spans="2:13" x14ac:dyDescent="0.25">
      <c r="B694" t="e">
        <f>VLOOKUP(A694,Data!$A$2:$B$16,2,FALSE)</f>
        <v>#N/A</v>
      </c>
      <c r="C694" s="57"/>
      <c r="G694">
        <f t="shared" si="10"/>
        <v>0</v>
      </c>
      <c r="M694">
        <v>1</v>
      </c>
    </row>
    <row r="695" spans="2:13" x14ac:dyDescent="0.25">
      <c r="B695" t="e">
        <f>VLOOKUP(A695,Data!$A$2:$B$16,2,FALSE)</f>
        <v>#N/A</v>
      </c>
      <c r="C695" s="57"/>
      <c r="G695">
        <f t="shared" si="10"/>
        <v>0</v>
      </c>
      <c r="M695">
        <v>1</v>
      </c>
    </row>
    <row r="696" spans="2:13" x14ac:dyDescent="0.25">
      <c r="B696" t="e">
        <f>VLOOKUP(A696,Data!$A$2:$B$16,2,FALSE)</f>
        <v>#N/A</v>
      </c>
      <c r="C696" s="57"/>
      <c r="G696">
        <f t="shared" si="10"/>
        <v>0</v>
      </c>
      <c r="M696">
        <v>1</v>
      </c>
    </row>
    <row r="697" spans="2:13" x14ac:dyDescent="0.25">
      <c r="B697" t="e">
        <f>VLOOKUP(A697,Data!$A$2:$B$16,2,FALSE)</f>
        <v>#N/A</v>
      </c>
      <c r="C697" s="57"/>
      <c r="G697">
        <f t="shared" si="10"/>
        <v>0</v>
      </c>
      <c r="M697">
        <v>1</v>
      </c>
    </row>
    <row r="698" spans="2:13" x14ac:dyDescent="0.25">
      <c r="B698" t="e">
        <f>VLOOKUP(A698,Data!$A$2:$B$16,2,FALSE)</f>
        <v>#N/A</v>
      </c>
      <c r="C698" s="57"/>
      <c r="G698">
        <f t="shared" si="10"/>
        <v>0</v>
      </c>
      <c r="M698">
        <v>1</v>
      </c>
    </row>
    <row r="699" spans="2:13" x14ac:dyDescent="0.25">
      <c r="B699" t="e">
        <f>VLOOKUP(A699,Data!$A$2:$B$16,2,FALSE)</f>
        <v>#N/A</v>
      </c>
      <c r="C699" s="57"/>
      <c r="G699">
        <f t="shared" si="10"/>
        <v>0</v>
      </c>
      <c r="M699">
        <v>1</v>
      </c>
    </row>
    <row r="700" spans="2:13" x14ac:dyDescent="0.25">
      <c r="B700" t="e">
        <f>VLOOKUP(A700,Data!$A$2:$B$16,2,FALSE)</f>
        <v>#N/A</v>
      </c>
      <c r="C700" s="57"/>
      <c r="G700">
        <f t="shared" si="10"/>
        <v>0</v>
      </c>
      <c r="M700">
        <v>1</v>
      </c>
    </row>
    <row r="701" spans="2:13" x14ac:dyDescent="0.25">
      <c r="B701" t="e">
        <f>VLOOKUP(A701,Data!$A$2:$B$16,2,FALSE)</f>
        <v>#N/A</v>
      </c>
      <c r="C701" s="57"/>
      <c r="G701">
        <f t="shared" si="10"/>
        <v>0</v>
      </c>
      <c r="M701">
        <v>1</v>
      </c>
    </row>
    <row r="702" spans="2:13" x14ac:dyDescent="0.25">
      <c r="B702" t="e">
        <f>VLOOKUP(A702,Data!$A$2:$B$16,2,FALSE)</f>
        <v>#N/A</v>
      </c>
      <c r="C702" s="57"/>
      <c r="G702">
        <f t="shared" si="10"/>
        <v>0</v>
      </c>
      <c r="M702">
        <v>1</v>
      </c>
    </row>
    <row r="703" spans="2:13" x14ac:dyDescent="0.25">
      <c r="B703" t="e">
        <f>VLOOKUP(A703,Data!$A$2:$B$16,2,FALSE)</f>
        <v>#N/A</v>
      </c>
      <c r="C703" s="57"/>
      <c r="G703">
        <f t="shared" si="10"/>
        <v>0</v>
      </c>
      <c r="M703">
        <v>1</v>
      </c>
    </row>
    <row r="704" spans="2:13" x14ac:dyDescent="0.25">
      <c r="B704" t="e">
        <f>VLOOKUP(A704,Data!$A$2:$B$16,2,FALSE)</f>
        <v>#N/A</v>
      </c>
      <c r="C704" s="57"/>
      <c r="G704">
        <f t="shared" si="10"/>
        <v>0</v>
      </c>
      <c r="M704">
        <v>1</v>
      </c>
    </row>
    <row r="705" spans="2:13" x14ac:dyDescent="0.25">
      <c r="B705" t="e">
        <f>VLOOKUP(A705,Data!$A$2:$B$16,2,FALSE)</f>
        <v>#N/A</v>
      </c>
      <c r="C705" s="57"/>
      <c r="G705">
        <f t="shared" si="10"/>
        <v>0</v>
      </c>
      <c r="M705">
        <v>1</v>
      </c>
    </row>
    <row r="706" spans="2:13" x14ac:dyDescent="0.25">
      <c r="B706" t="e">
        <f>VLOOKUP(A706,Data!$A$2:$B$16,2,FALSE)</f>
        <v>#N/A</v>
      </c>
      <c r="C706" s="57"/>
      <c r="G706">
        <f t="shared" si="10"/>
        <v>0</v>
      </c>
      <c r="M706">
        <v>1</v>
      </c>
    </row>
    <row r="707" spans="2:13" x14ac:dyDescent="0.25">
      <c r="B707" t="e">
        <f>VLOOKUP(A707,Data!$A$2:$B$16,2,FALSE)</f>
        <v>#N/A</v>
      </c>
      <c r="C707" s="57"/>
      <c r="G707">
        <f t="shared" ref="G707:G770" si="11">ROUNDUP(F707/60,2)</f>
        <v>0</v>
      </c>
      <c r="M707">
        <v>1</v>
      </c>
    </row>
    <row r="708" spans="2:13" x14ac:dyDescent="0.25">
      <c r="B708" t="e">
        <f>VLOOKUP(A708,Data!$A$2:$B$16,2,FALSE)</f>
        <v>#N/A</v>
      </c>
      <c r="C708" s="57"/>
      <c r="G708">
        <f t="shared" si="11"/>
        <v>0</v>
      </c>
      <c r="M708">
        <v>1</v>
      </c>
    </row>
    <row r="709" spans="2:13" x14ac:dyDescent="0.25">
      <c r="B709" t="e">
        <f>VLOOKUP(A709,Data!$A$2:$B$16,2,FALSE)</f>
        <v>#N/A</v>
      </c>
      <c r="C709" s="57"/>
      <c r="G709">
        <f t="shared" si="11"/>
        <v>0</v>
      </c>
      <c r="M709">
        <v>1</v>
      </c>
    </row>
    <row r="710" spans="2:13" x14ac:dyDescent="0.25">
      <c r="B710" t="e">
        <f>VLOOKUP(A710,Data!$A$2:$B$16,2,FALSE)</f>
        <v>#N/A</v>
      </c>
      <c r="C710" s="57"/>
      <c r="G710">
        <f t="shared" si="11"/>
        <v>0</v>
      </c>
      <c r="M710">
        <v>1</v>
      </c>
    </row>
    <row r="711" spans="2:13" x14ac:dyDescent="0.25">
      <c r="B711" t="e">
        <f>VLOOKUP(A711,Data!$A$2:$B$16,2,FALSE)</f>
        <v>#N/A</v>
      </c>
      <c r="C711" s="57"/>
      <c r="G711">
        <f t="shared" si="11"/>
        <v>0</v>
      </c>
      <c r="M711">
        <v>1</v>
      </c>
    </row>
    <row r="712" spans="2:13" x14ac:dyDescent="0.25">
      <c r="B712" t="e">
        <f>VLOOKUP(A712,Data!$A$2:$B$16,2,FALSE)</f>
        <v>#N/A</v>
      </c>
      <c r="C712" s="57"/>
      <c r="G712">
        <f t="shared" si="11"/>
        <v>0</v>
      </c>
      <c r="M712">
        <v>1</v>
      </c>
    </row>
    <row r="713" spans="2:13" x14ac:dyDescent="0.25">
      <c r="B713" t="e">
        <f>VLOOKUP(A713,Data!$A$2:$B$16,2,FALSE)</f>
        <v>#N/A</v>
      </c>
      <c r="C713" s="57"/>
      <c r="G713">
        <f t="shared" si="11"/>
        <v>0</v>
      </c>
      <c r="M713">
        <v>1</v>
      </c>
    </row>
    <row r="714" spans="2:13" x14ac:dyDescent="0.25">
      <c r="B714" t="e">
        <f>VLOOKUP(A714,Data!$A$2:$B$16,2,FALSE)</f>
        <v>#N/A</v>
      </c>
      <c r="C714" s="57"/>
      <c r="G714">
        <f t="shared" si="11"/>
        <v>0</v>
      </c>
      <c r="M714">
        <v>1</v>
      </c>
    </row>
    <row r="715" spans="2:13" x14ac:dyDescent="0.25">
      <c r="B715" t="e">
        <f>VLOOKUP(A715,Data!$A$2:$B$16,2,FALSE)</f>
        <v>#N/A</v>
      </c>
      <c r="C715" s="57"/>
      <c r="G715">
        <f t="shared" si="11"/>
        <v>0</v>
      </c>
      <c r="M715">
        <v>1</v>
      </c>
    </row>
    <row r="716" spans="2:13" x14ac:dyDescent="0.25">
      <c r="B716" t="e">
        <f>VLOOKUP(A716,Data!$A$2:$B$16,2,FALSE)</f>
        <v>#N/A</v>
      </c>
      <c r="C716" s="57"/>
      <c r="G716">
        <f t="shared" si="11"/>
        <v>0</v>
      </c>
      <c r="M716">
        <v>1</v>
      </c>
    </row>
    <row r="717" spans="2:13" x14ac:dyDescent="0.25">
      <c r="B717" t="e">
        <f>VLOOKUP(A717,Data!$A$2:$B$16,2,FALSE)</f>
        <v>#N/A</v>
      </c>
      <c r="C717" s="57"/>
      <c r="G717">
        <f t="shared" si="11"/>
        <v>0</v>
      </c>
      <c r="M717">
        <v>1</v>
      </c>
    </row>
    <row r="718" spans="2:13" x14ac:dyDescent="0.25">
      <c r="B718" t="e">
        <f>VLOOKUP(A718,Data!$A$2:$B$16,2,FALSE)</f>
        <v>#N/A</v>
      </c>
      <c r="C718" s="57"/>
      <c r="G718">
        <f t="shared" si="11"/>
        <v>0</v>
      </c>
      <c r="M718">
        <v>1</v>
      </c>
    </row>
    <row r="719" spans="2:13" x14ac:dyDescent="0.25">
      <c r="B719" t="e">
        <f>VLOOKUP(A719,Data!$A$2:$B$16,2,FALSE)</f>
        <v>#N/A</v>
      </c>
      <c r="C719" s="57"/>
      <c r="G719">
        <f t="shared" si="11"/>
        <v>0</v>
      </c>
      <c r="M719">
        <v>1</v>
      </c>
    </row>
    <row r="720" spans="2:13" x14ac:dyDescent="0.25">
      <c r="B720" t="e">
        <f>VLOOKUP(A720,Data!$A$2:$B$16,2,FALSE)</f>
        <v>#N/A</v>
      </c>
      <c r="C720" s="57"/>
      <c r="G720">
        <f t="shared" si="11"/>
        <v>0</v>
      </c>
      <c r="M720">
        <v>1</v>
      </c>
    </row>
    <row r="721" spans="2:13" x14ac:dyDescent="0.25">
      <c r="B721" t="e">
        <f>VLOOKUP(A721,Data!$A$2:$B$16,2,FALSE)</f>
        <v>#N/A</v>
      </c>
      <c r="C721" s="57"/>
      <c r="G721">
        <f t="shared" si="11"/>
        <v>0</v>
      </c>
      <c r="M721">
        <v>1</v>
      </c>
    </row>
    <row r="722" spans="2:13" x14ac:dyDescent="0.25">
      <c r="B722" t="e">
        <f>VLOOKUP(A722,Data!$A$2:$B$16,2,FALSE)</f>
        <v>#N/A</v>
      </c>
      <c r="C722" s="57"/>
      <c r="G722">
        <f t="shared" si="11"/>
        <v>0</v>
      </c>
      <c r="M722">
        <v>1</v>
      </c>
    </row>
    <row r="723" spans="2:13" x14ac:dyDescent="0.25">
      <c r="B723" t="e">
        <f>VLOOKUP(A723,Data!$A$2:$B$16,2,FALSE)</f>
        <v>#N/A</v>
      </c>
      <c r="C723" s="57"/>
      <c r="G723">
        <f t="shared" si="11"/>
        <v>0</v>
      </c>
      <c r="M723">
        <v>1</v>
      </c>
    </row>
    <row r="724" spans="2:13" x14ac:dyDescent="0.25">
      <c r="B724" t="e">
        <f>VLOOKUP(A724,Data!$A$2:$B$16,2,FALSE)</f>
        <v>#N/A</v>
      </c>
      <c r="C724" s="57"/>
      <c r="G724">
        <f t="shared" si="11"/>
        <v>0</v>
      </c>
      <c r="M724">
        <v>1</v>
      </c>
    </row>
    <row r="725" spans="2:13" x14ac:dyDescent="0.25">
      <c r="B725" t="e">
        <f>VLOOKUP(A725,Data!$A$2:$B$16,2,FALSE)</f>
        <v>#N/A</v>
      </c>
      <c r="C725" s="57"/>
      <c r="G725">
        <f t="shared" si="11"/>
        <v>0</v>
      </c>
      <c r="M725">
        <v>1</v>
      </c>
    </row>
    <row r="726" spans="2:13" x14ac:dyDescent="0.25">
      <c r="B726" t="e">
        <f>VLOOKUP(A726,Data!$A$2:$B$16,2,FALSE)</f>
        <v>#N/A</v>
      </c>
      <c r="C726" s="57"/>
      <c r="G726">
        <f t="shared" si="11"/>
        <v>0</v>
      </c>
      <c r="M726">
        <v>1</v>
      </c>
    </row>
    <row r="727" spans="2:13" x14ac:dyDescent="0.25">
      <c r="B727" t="e">
        <f>VLOOKUP(A727,Data!$A$2:$B$16,2,FALSE)</f>
        <v>#N/A</v>
      </c>
      <c r="C727" s="57"/>
      <c r="G727">
        <f t="shared" si="11"/>
        <v>0</v>
      </c>
      <c r="M727">
        <v>1</v>
      </c>
    </row>
    <row r="728" spans="2:13" x14ac:dyDescent="0.25">
      <c r="B728" t="e">
        <f>VLOOKUP(A728,Data!$A$2:$B$16,2,FALSE)</f>
        <v>#N/A</v>
      </c>
      <c r="C728" s="57"/>
      <c r="G728">
        <f t="shared" si="11"/>
        <v>0</v>
      </c>
      <c r="M728">
        <v>1</v>
      </c>
    </row>
    <row r="729" spans="2:13" x14ac:dyDescent="0.25">
      <c r="B729" t="e">
        <f>VLOOKUP(A729,Data!$A$2:$B$16,2,FALSE)</f>
        <v>#N/A</v>
      </c>
      <c r="C729" s="57"/>
      <c r="G729">
        <f t="shared" si="11"/>
        <v>0</v>
      </c>
      <c r="M729">
        <v>1</v>
      </c>
    </row>
    <row r="730" spans="2:13" x14ac:dyDescent="0.25">
      <c r="B730" t="e">
        <f>VLOOKUP(A730,Data!$A$2:$B$16,2,FALSE)</f>
        <v>#N/A</v>
      </c>
      <c r="C730" s="57"/>
      <c r="G730">
        <f t="shared" si="11"/>
        <v>0</v>
      </c>
      <c r="M730">
        <v>1</v>
      </c>
    </row>
    <row r="731" spans="2:13" x14ac:dyDescent="0.25">
      <c r="B731" t="e">
        <f>VLOOKUP(A731,Data!$A$2:$B$16,2,FALSE)</f>
        <v>#N/A</v>
      </c>
      <c r="C731" s="57"/>
      <c r="G731">
        <f t="shared" si="11"/>
        <v>0</v>
      </c>
      <c r="M731">
        <v>1</v>
      </c>
    </row>
    <row r="732" spans="2:13" x14ac:dyDescent="0.25">
      <c r="B732" t="e">
        <f>VLOOKUP(A732,Data!$A$2:$B$16,2,FALSE)</f>
        <v>#N/A</v>
      </c>
      <c r="C732" s="57"/>
      <c r="G732">
        <f t="shared" si="11"/>
        <v>0</v>
      </c>
      <c r="M732">
        <v>1</v>
      </c>
    </row>
    <row r="733" spans="2:13" x14ac:dyDescent="0.25">
      <c r="B733" t="e">
        <f>VLOOKUP(A733,Data!$A$2:$B$16,2,FALSE)</f>
        <v>#N/A</v>
      </c>
      <c r="C733" s="57"/>
      <c r="G733">
        <f t="shared" si="11"/>
        <v>0</v>
      </c>
      <c r="M733">
        <v>1</v>
      </c>
    </row>
    <row r="734" spans="2:13" x14ac:dyDescent="0.25">
      <c r="B734" t="e">
        <f>VLOOKUP(A734,Data!$A$2:$B$16,2,FALSE)</f>
        <v>#N/A</v>
      </c>
      <c r="C734" s="57"/>
      <c r="G734">
        <f t="shared" si="11"/>
        <v>0</v>
      </c>
      <c r="M734">
        <v>1</v>
      </c>
    </row>
    <row r="735" spans="2:13" x14ac:dyDescent="0.25">
      <c r="B735" t="e">
        <f>VLOOKUP(A735,Data!$A$2:$B$16,2,FALSE)</f>
        <v>#N/A</v>
      </c>
      <c r="C735" s="57"/>
      <c r="G735">
        <f t="shared" si="11"/>
        <v>0</v>
      </c>
      <c r="M735">
        <v>1</v>
      </c>
    </row>
    <row r="736" spans="2:13" x14ac:dyDescent="0.25">
      <c r="B736" t="e">
        <f>VLOOKUP(A736,Data!$A$2:$B$16,2,FALSE)</f>
        <v>#N/A</v>
      </c>
      <c r="C736" s="57"/>
      <c r="G736">
        <f t="shared" si="11"/>
        <v>0</v>
      </c>
      <c r="M736">
        <v>1</v>
      </c>
    </row>
    <row r="737" spans="2:13" x14ac:dyDescent="0.25">
      <c r="B737" t="e">
        <f>VLOOKUP(A737,Data!$A$2:$B$16,2,FALSE)</f>
        <v>#N/A</v>
      </c>
      <c r="C737" s="57"/>
      <c r="G737">
        <f t="shared" si="11"/>
        <v>0</v>
      </c>
      <c r="M737">
        <v>1</v>
      </c>
    </row>
    <row r="738" spans="2:13" x14ac:dyDescent="0.25">
      <c r="B738" t="e">
        <f>VLOOKUP(A738,Data!$A$2:$B$16,2,FALSE)</f>
        <v>#N/A</v>
      </c>
      <c r="C738" s="57"/>
      <c r="G738">
        <f t="shared" si="11"/>
        <v>0</v>
      </c>
      <c r="M738">
        <v>1</v>
      </c>
    </row>
    <row r="739" spans="2:13" x14ac:dyDescent="0.25">
      <c r="B739" t="e">
        <f>VLOOKUP(A739,Data!$A$2:$B$16,2,FALSE)</f>
        <v>#N/A</v>
      </c>
      <c r="C739" s="57"/>
      <c r="G739">
        <f t="shared" si="11"/>
        <v>0</v>
      </c>
      <c r="M739">
        <v>1</v>
      </c>
    </row>
    <row r="740" spans="2:13" x14ac:dyDescent="0.25">
      <c r="B740" t="e">
        <f>VLOOKUP(A740,Data!$A$2:$B$16,2,FALSE)</f>
        <v>#N/A</v>
      </c>
      <c r="C740" s="57"/>
      <c r="G740">
        <f t="shared" si="11"/>
        <v>0</v>
      </c>
      <c r="M740">
        <v>1</v>
      </c>
    </row>
    <row r="741" spans="2:13" x14ac:dyDescent="0.25">
      <c r="B741" t="e">
        <f>VLOOKUP(A741,Data!$A$2:$B$16,2,FALSE)</f>
        <v>#N/A</v>
      </c>
      <c r="C741" s="57"/>
      <c r="G741">
        <f t="shared" si="11"/>
        <v>0</v>
      </c>
      <c r="M741">
        <v>1</v>
      </c>
    </row>
    <row r="742" spans="2:13" x14ac:dyDescent="0.25">
      <c r="B742" t="e">
        <f>VLOOKUP(A742,Data!$A$2:$B$16,2,FALSE)</f>
        <v>#N/A</v>
      </c>
      <c r="C742" s="57"/>
      <c r="G742">
        <f t="shared" si="11"/>
        <v>0</v>
      </c>
      <c r="M742">
        <v>1</v>
      </c>
    </row>
    <row r="743" spans="2:13" x14ac:dyDescent="0.25">
      <c r="B743" t="e">
        <f>VLOOKUP(A743,Data!$A$2:$B$16,2,FALSE)</f>
        <v>#N/A</v>
      </c>
      <c r="C743" s="57"/>
      <c r="G743">
        <f t="shared" si="11"/>
        <v>0</v>
      </c>
      <c r="M743">
        <v>1</v>
      </c>
    </row>
    <row r="744" spans="2:13" x14ac:dyDescent="0.25">
      <c r="B744" t="e">
        <f>VLOOKUP(A744,Data!$A$2:$B$16,2,FALSE)</f>
        <v>#N/A</v>
      </c>
      <c r="C744" s="57"/>
      <c r="G744">
        <f t="shared" si="11"/>
        <v>0</v>
      </c>
      <c r="M744">
        <v>1</v>
      </c>
    </row>
    <row r="745" spans="2:13" x14ac:dyDescent="0.25">
      <c r="B745" t="e">
        <f>VLOOKUP(A745,Data!$A$2:$B$16,2,FALSE)</f>
        <v>#N/A</v>
      </c>
      <c r="C745" s="57"/>
      <c r="G745">
        <f t="shared" si="11"/>
        <v>0</v>
      </c>
      <c r="M745">
        <v>1</v>
      </c>
    </row>
    <row r="746" spans="2:13" x14ac:dyDescent="0.25">
      <c r="B746" t="e">
        <f>VLOOKUP(A746,Data!$A$2:$B$16,2,FALSE)</f>
        <v>#N/A</v>
      </c>
      <c r="C746" s="57"/>
      <c r="G746">
        <f t="shared" si="11"/>
        <v>0</v>
      </c>
      <c r="M746">
        <v>1</v>
      </c>
    </row>
    <row r="747" spans="2:13" x14ac:dyDescent="0.25">
      <c r="B747" t="e">
        <f>VLOOKUP(A747,Data!$A$2:$B$16,2,FALSE)</f>
        <v>#N/A</v>
      </c>
      <c r="C747" s="57"/>
      <c r="G747">
        <f t="shared" si="11"/>
        <v>0</v>
      </c>
      <c r="M747">
        <v>1</v>
      </c>
    </row>
    <row r="748" spans="2:13" x14ac:dyDescent="0.25">
      <c r="B748" t="e">
        <f>VLOOKUP(A748,Data!$A$2:$B$16,2,FALSE)</f>
        <v>#N/A</v>
      </c>
      <c r="C748" s="57"/>
      <c r="G748">
        <f t="shared" si="11"/>
        <v>0</v>
      </c>
      <c r="M748">
        <v>1</v>
      </c>
    </row>
    <row r="749" spans="2:13" x14ac:dyDescent="0.25">
      <c r="B749" t="e">
        <f>VLOOKUP(A749,Data!$A$2:$B$16,2,FALSE)</f>
        <v>#N/A</v>
      </c>
      <c r="C749" s="57"/>
      <c r="G749">
        <f t="shared" si="11"/>
        <v>0</v>
      </c>
      <c r="M749">
        <v>1</v>
      </c>
    </row>
    <row r="750" spans="2:13" x14ac:dyDescent="0.25">
      <c r="B750" t="e">
        <f>VLOOKUP(A750,Data!$A$2:$B$16,2,FALSE)</f>
        <v>#N/A</v>
      </c>
      <c r="C750" s="57"/>
      <c r="G750">
        <f t="shared" si="11"/>
        <v>0</v>
      </c>
      <c r="M750">
        <v>1</v>
      </c>
    </row>
    <row r="751" spans="2:13" x14ac:dyDescent="0.25">
      <c r="B751" t="e">
        <f>VLOOKUP(A751,Data!$A$2:$B$16,2,FALSE)</f>
        <v>#N/A</v>
      </c>
      <c r="C751" s="57"/>
      <c r="G751">
        <f t="shared" si="11"/>
        <v>0</v>
      </c>
      <c r="M751">
        <v>1</v>
      </c>
    </row>
    <row r="752" spans="2:13" x14ac:dyDescent="0.25">
      <c r="B752" t="e">
        <f>VLOOKUP(A752,Data!$A$2:$B$16,2,FALSE)</f>
        <v>#N/A</v>
      </c>
      <c r="C752" s="57"/>
      <c r="G752">
        <f t="shared" si="11"/>
        <v>0</v>
      </c>
      <c r="M752">
        <v>1</v>
      </c>
    </row>
    <row r="753" spans="2:13" x14ac:dyDescent="0.25">
      <c r="B753" t="e">
        <f>VLOOKUP(A753,Data!$A$2:$B$16,2,FALSE)</f>
        <v>#N/A</v>
      </c>
      <c r="C753" s="57"/>
      <c r="G753">
        <f t="shared" si="11"/>
        <v>0</v>
      </c>
      <c r="M753">
        <v>1</v>
      </c>
    </row>
    <row r="754" spans="2:13" x14ac:dyDescent="0.25">
      <c r="B754" t="e">
        <f>VLOOKUP(A754,Data!$A$2:$B$16,2,FALSE)</f>
        <v>#N/A</v>
      </c>
      <c r="C754" s="57"/>
      <c r="G754">
        <f t="shared" si="11"/>
        <v>0</v>
      </c>
      <c r="M754">
        <v>1</v>
      </c>
    </row>
    <row r="755" spans="2:13" x14ac:dyDescent="0.25">
      <c r="B755" t="e">
        <f>VLOOKUP(A755,Data!$A$2:$B$16,2,FALSE)</f>
        <v>#N/A</v>
      </c>
      <c r="C755" s="57"/>
      <c r="G755">
        <f t="shared" si="11"/>
        <v>0</v>
      </c>
      <c r="M755">
        <v>1</v>
      </c>
    </row>
    <row r="756" spans="2:13" x14ac:dyDescent="0.25">
      <c r="B756" t="e">
        <f>VLOOKUP(A756,Data!$A$2:$B$16,2,FALSE)</f>
        <v>#N/A</v>
      </c>
      <c r="C756" s="57"/>
      <c r="G756">
        <f t="shared" si="11"/>
        <v>0</v>
      </c>
      <c r="M756">
        <v>1</v>
      </c>
    </row>
    <row r="757" spans="2:13" x14ac:dyDescent="0.25">
      <c r="B757" t="e">
        <f>VLOOKUP(A757,Data!$A$2:$B$16,2,FALSE)</f>
        <v>#N/A</v>
      </c>
      <c r="C757" s="57"/>
      <c r="G757">
        <f t="shared" si="11"/>
        <v>0</v>
      </c>
      <c r="M757">
        <v>1</v>
      </c>
    </row>
    <row r="758" spans="2:13" x14ac:dyDescent="0.25">
      <c r="B758" t="e">
        <f>VLOOKUP(A758,Data!$A$2:$B$16,2,FALSE)</f>
        <v>#N/A</v>
      </c>
      <c r="C758" s="57"/>
      <c r="G758">
        <f t="shared" si="11"/>
        <v>0</v>
      </c>
      <c r="M758">
        <v>1</v>
      </c>
    </row>
    <row r="759" spans="2:13" x14ac:dyDescent="0.25">
      <c r="B759" t="e">
        <f>VLOOKUP(A759,Data!$A$2:$B$16,2,FALSE)</f>
        <v>#N/A</v>
      </c>
      <c r="C759" s="57"/>
      <c r="G759">
        <f t="shared" si="11"/>
        <v>0</v>
      </c>
      <c r="M759">
        <v>1</v>
      </c>
    </row>
    <row r="760" spans="2:13" x14ac:dyDescent="0.25">
      <c r="B760" t="e">
        <f>VLOOKUP(A760,Data!$A$2:$B$16,2,FALSE)</f>
        <v>#N/A</v>
      </c>
      <c r="C760" s="57"/>
      <c r="G760">
        <f t="shared" si="11"/>
        <v>0</v>
      </c>
      <c r="M760">
        <v>1</v>
      </c>
    </row>
    <row r="761" spans="2:13" x14ac:dyDescent="0.25">
      <c r="B761" t="e">
        <f>VLOOKUP(A761,Data!$A$2:$B$16,2,FALSE)</f>
        <v>#N/A</v>
      </c>
      <c r="C761" s="57"/>
      <c r="G761">
        <f t="shared" si="11"/>
        <v>0</v>
      </c>
      <c r="M761">
        <v>1</v>
      </c>
    </row>
    <row r="762" spans="2:13" x14ac:dyDescent="0.25">
      <c r="B762" t="e">
        <f>VLOOKUP(A762,Data!$A$2:$B$16,2,FALSE)</f>
        <v>#N/A</v>
      </c>
      <c r="C762" s="57"/>
      <c r="G762">
        <f t="shared" si="11"/>
        <v>0</v>
      </c>
      <c r="M762">
        <v>1</v>
      </c>
    </row>
    <row r="763" spans="2:13" x14ac:dyDescent="0.25">
      <c r="B763" t="e">
        <f>VLOOKUP(A763,Data!$A$2:$B$16,2,FALSE)</f>
        <v>#N/A</v>
      </c>
      <c r="C763" s="57"/>
      <c r="G763">
        <f t="shared" si="11"/>
        <v>0</v>
      </c>
      <c r="M763">
        <v>1</v>
      </c>
    </row>
    <row r="764" spans="2:13" x14ac:dyDescent="0.25">
      <c r="B764" t="e">
        <f>VLOOKUP(A764,Data!$A$2:$B$16,2,FALSE)</f>
        <v>#N/A</v>
      </c>
      <c r="C764" s="57"/>
      <c r="G764">
        <f t="shared" si="11"/>
        <v>0</v>
      </c>
      <c r="M764">
        <v>1</v>
      </c>
    </row>
    <row r="765" spans="2:13" x14ac:dyDescent="0.25">
      <c r="B765" t="e">
        <f>VLOOKUP(A765,Data!$A$2:$B$16,2,FALSE)</f>
        <v>#N/A</v>
      </c>
      <c r="C765" s="57"/>
      <c r="G765">
        <f t="shared" si="11"/>
        <v>0</v>
      </c>
      <c r="M765">
        <v>1</v>
      </c>
    </row>
    <row r="766" spans="2:13" x14ac:dyDescent="0.25">
      <c r="B766" t="e">
        <f>VLOOKUP(A766,Data!$A$2:$B$16,2,FALSE)</f>
        <v>#N/A</v>
      </c>
      <c r="C766" s="57"/>
      <c r="G766">
        <f t="shared" si="11"/>
        <v>0</v>
      </c>
      <c r="M766">
        <v>1</v>
      </c>
    </row>
    <row r="767" spans="2:13" x14ac:dyDescent="0.25">
      <c r="B767" t="e">
        <f>VLOOKUP(A767,Data!$A$2:$B$16,2,FALSE)</f>
        <v>#N/A</v>
      </c>
      <c r="C767" s="57"/>
      <c r="G767">
        <f t="shared" si="11"/>
        <v>0</v>
      </c>
      <c r="M767">
        <v>1</v>
      </c>
    </row>
    <row r="768" spans="2:13" x14ac:dyDescent="0.25">
      <c r="B768" t="e">
        <f>VLOOKUP(A768,Data!$A$2:$B$16,2,FALSE)</f>
        <v>#N/A</v>
      </c>
      <c r="C768" s="57"/>
      <c r="G768">
        <f t="shared" si="11"/>
        <v>0</v>
      </c>
      <c r="M768">
        <v>1</v>
      </c>
    </row>
    <row r="769" spans="2:13" x14ac:dyDescent="0.25">
      <c r="B769" t="e">
        <f>VLOOKUP(A769,Data!$A$2:$B$16,2,FALSE)</f>
        <v>#N/A</v>
      </c>
      <c r="C769" s="57"/>
      <c r="G769">
        <f t="shared" si="11"/>
        <v>0</v>
      </c>
      <c r="M769">
        <v>1</v>
      </c>
    </row>
    <row r="770" spans="2:13" x14ac:dyDescent="0.25">
      <c r="B770" t="e">
        <f>VLOOKUP(A770,Data!$A$2:$B$16,2,FALSE)</f>
        <v>#N/A</v>
      </c>
      <c r="C770" s="57"/>
      <c r="G770">
        <f t="shared" si="11"/>
        <v>0</v>
      </c>
      <c r="M770">
        <v>1</v>
      </c>
    </row>
    <row r="771" spans="2:13" x14ac:dyDescent="0.25">
      <c r="B771" t="e">
        <f>VLOOKUP(A771,Data!$A$2:$B$16,2,FALSE)</f>
        <v>#N/A</v>
      </c>
      <c r="C771" s="57"/>
      <c r="G771">
        <f t="shared" ref="G771:G834" si="12">ROUNDUP(F771/60,2)</f>
        <v>0</v>
      </c>
      <c r="M771">
        <v>1</v>
      </c>
    </row>
    <row r="772" spans="2:13" x14ac:dyDescent="0.25">
      <c r="B772" t="e">
        <f>VLOOKUP(A772,Data!$A$2:$B$16,2,FALSE)</f>
        <v>#N/A</v>
      </c>
      <c r="C772" s="57"/>
      <c r="G772">
        <f t="shared" si="12"/>
        <v>0</v>
      </c>
      <c r="M772">
        <v>1</v>
      </c>
    </row>
    <row r="773" spans="2:13" x14ac:dyDescent="0.25">
      <c r="B773" t="e">
        <f>VLOOKUP(A773,Data!$A$2:$B$16,2,FALSE)</f>
        <v>#N/A</v>
      </c>
      <c r="C773" s="57"/>
      <c r="G773">
        <f t="shared" si="12"/>
        <v>0</v>
      </c>
      <c r="M773">
        <v>1</v>
      </c>
    </row>
    <row r="774" spans="2:13" x14ac:dyDescent="0.25">
      <c r="B774" t="e">
        <f>VLOOKUP(A774,Data!$A$2:$B$16,2,FALSE)</f>
        <v>#N/A</v>
      </c>
      <c r="C774" s="57"/>
      <c r="G774">
        <f t="shared" si="12"/>
        <v>0</v>
      </c>
      <c r="M774">
        <v>1</v>
      </c>
    </row>
    <row r="775" spans="2:13" x14ac:dyDescent="0.25">
      <c r="B775" t="e">
        <f>VLOOKUP(A775,Data!$A$2:$B$16,2,FALSE)</f>
        <v>#N/A</v>
      </c>
      <c r="C775" s="57"/>
      <c r="G775">
        <f t="shared" si="12"/>
        <v>0</v>
      </c>
      <c r="M775">
        <v>1</v>
      </c>
    </row>
    <row r="776" spans="2:13" x14ac:dyDescent="0.25">
      <c r="B776" t="e">
        <f>VLOOKUP(A776,Data!$A$2:$B$16,2,FALSE)</f>
        <v>#N/A</v>
      </c>
      <c r="C776" s="57"/>
      <c r="G776">
        <f t="shared" si="12"/>
        <v>0</v>
      </c>
      <c r="M776">
        <v>1</v>
      </c>
    </row>
    <row r="777" spans="2:13" x14ac:dyDescent="0.25">
      <c r="B777" t="e">
        <f>VLOOKUP(A777,Data!$A$2:$B$16,2,FALSE)</f>
        <v>#N/A</v>
      </c>
      <c r="C777" s="57"/>
      <c r="G777">
        <f t="shared" si="12"/>
        <v>0</v>
      </c>
      <c r="M777">
        <v>1</v>
      </c>
    </row>
    <row r="778" spans="2:13" x14ac:dyDescent="0.25">
      <c r="B778" t="e">
        <f>VLOOKUP(A778,Data!$A$2:$B$16,2,FALSE)</f>
        <v>#N/A</v>
      </c>
      <c r="C778" s="57"/>
      <c r="G778">
        <f t="shared" si="12"/>
        <v>0</v>
      </c>
      <c r="M778">
        <v>1</v>
      </c>
    </row>
    <row r="779" spans="2:13" x14ac:dyDescent="0.25">
      <c r="B779" t="e">
        <f>VLOOKUP(A779,Data!$A$2:$B$16,2,FALSE)</f>
        <v>#N/A</v>
      </c>
      <c r="C779" s="57"/>
      <c r="G779">
        <f t="shared" si="12"/>
        <v>0</v>
      </c>
      <c r="M779">
        <v>1</v>
      </c>
    </row>
    <row r="780" spans="2:13" x14ac:dyDescent="0.25">
      <c r="B780" t="e">
        <f>VLOOKUP(A780,Data!$A$2:$B$16,2,FALSE)</f>
        <v>#N/A</v>
      </c>
      <c r="C780" s="57"/>
      <c r="G780">
        <f t="shared" si="12"/>
        <v>0</v>
      </c>
      <c r="M780">
        <v>1</v>
      </c>
    </row>
    <row r="781" spans="2:13" x14ac:dyDescent="0.25">
      <c r="B781" t="e">
        <f>VLOOKUP(A781,Data!$A$2:$B$16,2,FALSE)</f>
        <v>#N/A</v>
      </c>
      <c r="C781" s="57"/>
      <c r="G781">
        <f t="shared" si="12"/>
        <v>0</v>
      </c>
      <c r="M781">
        <v>1</v>
      </c>
    </row>
    <row r="782" spans="2:13" x14ac:dyDescent="0.25">
      <c r="B782" t="e">
        <f>VLOOKUP(A782,Data!$A$2:$B$16,2,FALSE)</f>
        <v>#N/A</v>
      </c>
      <c r="C782" s="57"/>
      <c r="G782">
        <f t="shared" si="12"/>
        <v>0</v>
      </c>
      <c r="M782">
        <v>1</v>
      </c>
    </row>
    <row r="783" spans="2:13" x14ac:dyDescent="0.25">
      <c r="B783" t="e">
        <f>VLOOKUP(A783,Data!$A$2:$B$16,2,FALSE)</f>
        <v>#N/A</v>
      </c>
      <c r="C783" s="57"/>
      <c r="G783">
        <f t="shared" si="12"/>
        <v>0</v>
      </c>
      <c r="M783">
        <v>1</v>
      </c>
    </row>
    <row r="784" spans="2:13" x14ac:dyDescent="0.25">
      <c r="B784" t="e">
        <f>VLOOKUP(A784,Data!$A$2:$B$16,2,FALSE)</f>
        <v>#N/A</v>
      </c>
      <c r="C784" s="57"/>
      <c r="G784">
        <f t="shared" si="12"/>
        <v>0</v>
      </c>
      <c r="M784">
        <v>1</v>
      </c>
    </row>
    <row r="785" spans="2:13" x14ac:dyDescent="0.25">
      <c r="B785" t="e">
        <f>VLOOKUP(A785,Data!$A$2:$B$16,2,FALSE)</f>
        <v>#N/A</v>
      </c>
      <c r="C785" s="57"/>
      <c r="G785">
        <f t="shared" si="12"/>
        <v>0</v>
      </c>
      <c r="M785">
        <v>1</v>
      </c>
    </row>
    <row r="786" spans="2:13" x14ac:dyDescent="0.25">
      <c r="B786" t="e">
        <f>VLOOKUP(A786,Data!$A$2:$B$16,2,FALSE)</f>
        <v>#N/A</v>
      </c>
      <c r="C786" s="57"/>
      <c r="G786">
        <f t="shared" si="12"/>
        <v>0</v>
      </c>
      <c r="M786">
        <v>1</v>
      </c>
    </row>
    <row r="787" spans="2:13" x14ac:dyDescent="0.25">
      <c r="B787" t="e">
        <f>VLOOKUP(A787,Data!$A$2:$B$16,2,FALSE)</f>
        <v>#N/A</v>
      </c>
      <c r="C787" s="57"/>
      <c r="G787">
        <f t="shared" si="12"/>
        <v>0</v>
      </c>
      <c r="M787">
        <v>1</v>
      </c>
    </row>
    <row r="788" spans="2:13" x14ac:dyDescent="0.25">
      <c r="B788" t="e">
        <f>VLOOKUP(A788,Data!$A$2:$B$16,2,FALSE)</f>
        <v>#N/A</v>
      </c>
      <c r="C788" s="57"/>
      <c r="G788">
        <f t="shared" si="12"/>
        <v>0</v>
      </c>
      <c r="M788">
        <v>1</v>
      </c>
    </row>
    <row r="789" spans="2:13" x14ac:dyDescent="0.25">
      <c r="B789" t="e">
        <f>VLOOKUP(A789,Data!$A$2:$B$16,2,FALSE)</f>
        <v>#N/A</v>
      </c>
      <c r="C789" s="57"/>
      <c r="G789">
        <f t="shared" si="12"/>
        <v>0</v>
      </c>
      <c r="M789">
        <v>1</v>
      </c>
    </row>
    <row r="790" spans="2:13" x14ac:dyDescent="0.25">
      <c r="B790" t="e">
        <f>VLOOKUP(A790,Data!$A$2:$B$16,2,FALSE)</f>
        <v>#N/A</v>
      </c>
      <c r="C790" s="57"/>
      <c r="G790">
        <f t="shared" si="12"/>
        <v>0</v>
      </c>
      <c r="M790">
        <v>1</v>
      </c>
    </row>
    <row r="791" spans="2:13" x14ac:dyDescent="0.25">
      <c r="B791" t="e">
        <f>VLOOKUP(A791,Data!$A$2:$B$16,2,FALSE)</f>
        <v>#N/A</v>
      </c>
      <c r="C791" s="57"/>
      <c r="G791">
        <f t="shared" si="12"/>
        <v>0</v>
      </c>
      <c r="M791">
        <v>1</v>
      </c>
    </row>
    <row r="792" spans="2:13" x14ac:dyDescent="0.25">
      <c r="B792" t="e">
        <f>VLOOKUP(A792,Data!$A$2:$B$16,2,FALSE)</f>
        <v>#N/A</v>
      </c>
      <c r="C792" s="57"/>
      <c r="G792">
        <f t="shared" si="12"/>
        <v>0</v>
      </c>
      <c r="M792">
        <v>1</v>
      </c>
    </row>
    <row r="793" spans="2:13" x14ac:dyDescent="0.25">
      <c r="B793" t="e">
        <f>VLOOKUP(A793,Data!$A$2:$B$16,2,FALSE)</f>
        <v>#N/A</v>
      </c>
      <c r="C793" s="57"/>
      <c r="G793">
        <f t="shared" si="12"/>
        <v>0</v>
      </c>
      <c r="M793">
        <v>1</v>
      </c>
    </row>
    <row r="794" spans="2:13" x14ac:dyDescent="0.25">
      <c r="B794" t="e">
        <f>VLOOKUP(A794,Data!$A$2:$B$16,2,FALSE)</f>
        <v>#N/A</v>
      </c>
      <c r="C794" s="57"/>
      <c r="G794">
        <f t="shared" si="12"/>
        <v>0</v>
      </c>
      <c r="M794">
        <v>1</v>
      </c>
    </row>
    <row r="795" spans="2:13" x14ac:dyDescent="0.25">
      <c r="B795" t="e">
        <f>VLOOKUP(A795,Data!$A$2:$B$16,2,FALSE)</f>
        <v>#N/A</v>
      </c>
      <c r="C795" s="57"/>
      <c r="G795">
        <f t="shared" si="12"/>
        <v>0</v>
      </c>
      <c r="M795">
        <v>1</v>
      </c>
    </row>
    <row r="796" spans="2:13" x14ac:dyDescent="0.25">
      <c r="B796" t="e">
        <f>VLOOKUP(A796,Data!$A$2:$B$16,2,FALSE)</f>
        <v>#N/A</v>
      </c>
      <c r="C796" s="57"/>
      <c r="G796">
        <f t="shared" si="12"/>
        <v>0</v>
      </c>
      <c r="M796">
        <v>1</v>
      </c>
    </row>
    <row r="797" spans="2:13" x14ac:dyDescent="0.25">
      <c r="B797" t="e">
        <f>VLOOKUP(A797,Data!$A$2:$B$16,2,FALSE)</f>
        <v>#N/A</v>
      </c>
      <c r="C797" s="57"/>
      <c r="G797">
        <f t="shared" si="12"/>
        <v>0</v>
      </c>
      <c r="M797">
        <v>1</v>
      </c>
    </row>
    <row r="798" spans="2:13" x14ac:dyDescent="0.25">
      <c r="B798" t="e">
        <f>VLOOKUP(A798,Data!$A$2:$B$16,2,FALSE)</f>
        <v>#N/A</v>
      </c>
      <c r="C798" s="57"/>
      <c r="G798">
        <f t="shared" si="12"/>
        <v>0</v>
      </c>
      <c r="M798">
        <v>1</v>
      </c>
    </row>
    <row r="799" spans="2:13" x14ac:dyDescent="0.25">
      <c r="B799" t="e">
        <f>VLOOKUP(A799,Data!$A$2:$B$16,2,FALSE)</f>
        <v>#N/A</v>
      </c>
      <c r="C799" s="57"/>
      <c r="G799">
        <f t="shared" si="12"/>
        <v>0</v>
      </c>
      <c r="M799">
        <v>1</v>
      </c>
    </row>
    <row r="800" spans="2:13" x14ac:dyDescent="0.25">
      <c r="B800" t="e">
        <f>VLOOKUP(A800,Data!$A$2:$B$16,2,FALSE)</f>
        <v>#N/A</v>
      </c>
      <c r="C800" s="57"/>
      <c r="G800">
        <f t="shared" si="12"/>
        <v>0</v>
      </c>
      <c r="M800">
        <v>1</v>
      </c>
    </row>
    <row r="801" spans="2:13" x14ac:dyDescent="0.25">
      <c r="B801" t="e">
        <f>VLOOKUP(A801,Data!$A$2:$B$16,2,FALSE)</f>
        <v>#N/A</v>
      </c>
      <c r="C801" s="57"/>
      <c r="G801">
        <f t="shared" si="12"/>
        <v>0</v>
      </c>
      <c r="M801">
        <v>1</v>
      </c>
    </row>
    <row r="802" spans="2:13" x14ac:dyDescent="0.25">
      <c r="B802" t="e">
        <f>VLOOKUP(A802,Data!$A$2:$B$16,2,FALSE)</f>
        <v>#N/A</v>
      </c>
      <c r="C802" s="57"/>
      <c r="G802">
        <f t="shared" si="12"/>
        <v>0</v>
      </c>
      <c r="M802">
        <v>1</v>
      </c>
    </row>
    <row r="803" spans="2:13" x14ac:dyDescent="0.25">
      <c r="B803" t="e">
        <f>VLOOKUP(A803,Data!$A$2:$B$16,2,FALSE)</f>
        <v>#N/A</v>
      </c>
      <c r="C803" s="57"/>
      <c r="G803">
        <f t="shared" si="12"/>
        <v>0</v>
      </c>
      <c r="M803">
        <v>1</v>
      </c>
    </row>
    <row r="804" spans="2:13" x14ac:dyDescent="0.25">
      <c r="B804" t="e">
        <f>VLOOKUP(A804,Data!$A$2:$B$16,2,FALSE)</f>
        <v>#N/A</v>
      </c>
      <c r="C804" s="57"/>
      <c r="G804">
        <f t="shared" si="12"/>
        <v>0</v>
      </c>
      <c r="M804">
        <v>1</v>
      </c>
    </row>
    <row r="805" spans="2:13" x14ac:dyDescent="0.25">
      <c r="B805" t="e">
        <f>VLOOKUP(A805,Data!$A$2:$B$16,2,FALSE)</f>
        <v>#N/A</v>
      </c>
      <c r="C805" s="57"/>
      <c r="G805">
        <f t="shared" si="12"/>
        <v>0</v>
      </c>
      <c r="M805">
        <v>1</v>
      </c>
    </row>
    <row r="806" spans="2:13" x14ac:dyDescent="0.25">
      <c r="B806" t="e">
        <f>VLOOKUP(A806,Data!$A$2:$B$16,2,FALSE)</f>
        <v>#N/A</v>
      </c>
      <c r="C806" s="57"/>
      <c r="G806">
        <f t="shared" si="12"/>
        <v>0</v>
      </c>
      <c r="M806">
        <v>1</v>
      </c>
    </row>
    <row r="807" spans="2:13" x14ac:dyDescent="0.25">
      <c r="B807" t="e">
        <f>VLOOKUP(A807,Data!$A$2:$B$16,2,FALSE)</f>
        <v>#N/A</v>
      </c>
      <c r="C807" s="57"/>
      <c r="G807">
        <f t="shared" si="12"/>
        <v>0</v>
      </c>
      <c r="M807">
        <v>1</v>
      </c>
    </row>
    <row r="808" spans="2:13" x14ac:dyDescent="0.25">
      <c r="B808" t="e">
        <f>VLOOKUP(A808,Data!$A$2:$B$16,2,FALSE)</f>
        <v>#N/A</v>
      </c>
      <c r="C808" s="57"/>
      <c r="G808">
        <f t="shared" si="12"/>
        <v>0</v>
      </c>
      <c r="M808">
        <v>1</v>
      </c>
    </row>
    <row r="809" spans="2:13" x14ac:dyDescent="0.25">
      <c r="B809" t="e">
        <f>VLOOKUP(A809,Data!$A$2:$B$16,2,FALSE)</f>
        <v>#N/A</v>
      </c>
      <c r="C809" s="57"/>
      <c r="G809">
        <f t="shared" si="12"/>
        <v>0</v>
      </c>
      <c r="M809">
        <v>1</v>
      </c>
    </row>
    <row r="810" spans="2:13" x14ac:dyDescent="0.25">
      <c r="B810" t="e">
        <f>VLOOKUP(A810,Data!$A$2:$B$16,2,FALSE)</f>
        <v>#N/A</v>
      </c>
      <c r="C810" s="57"/>
      <c r="G810">
        <f t="shared" si="12"/>
        <v>0</v>
      </c>
      <c r="M810">
        <v>1</v>
      </c>
    </row>
    <row r="811" spans="2:13" x14ac:dyDescent="0.25">
      <c r="B811" t="e">
        <f>VLOOKUP(A811,Data!$A$2:$B$16,2,FALSE)</f>
        <v>#N/A</v>
      </c>
      <c r="C811" s="57"/>
      <c r="G811">
        <f t="shared" si="12"/>
        <v>0</v>
      </c>
      <c r="M811">
        <v>1</v>
      </c>
    </row>
    <row r="812" spans="2:13" x14ac:dyDescent="0.25">
      <c r="B812" t="e">
        <f>VLOOKUP(A812,Data!$A$2:$B$16,2,FALSE)</f>
        <v>#N/A</v>
      </c>
      <c r="C812" s="57"/>
      <c r="G812">
        <f t="shared" si="12"/>
        <v>0</v>
      </c>
      <c r="M812">
        <v>1</v>
      </c>
    </row>
    <row r="813" spans="2:13" x14ac:dyDescent="0.25">
      <c r="B813" t="e">
        <f>VLOOKUP(A813,Data!$A$2:$B$16,2,FALSE)</f>
        <v>#N/A</v>
      </c>
      <c r="C813" s="57"/>
      <c r="G813">
        <f t="shared" si="12"/>
        <v>0</v>
      </c>
      <c r="M813">
        <v>1</v>
      </c>
    </row>
    <row r="814" spans="2:13" x14ac:dyDescent="0.25">
      <c r="B814" t="e">
        <f>VLOOKUP(A814,Data!$A$2:$B$16,2,FALSE)</f>
        <v>#N/A</v>
      </c>
      <c r="C814" s="57"/>
      <c r="G814">
        <f t="shared" si="12"/>
        <v>0</v>
      </c>
      <c r="M814">
        <v>1</v>
      </c>
    </row>
    <row r="815" spans="2:13" x14ac:dyDescent="0.25">
      <c r="B815" t="e">
        <f>VLOOKUP(A815,Data!$A$2:$B$16,2,FALSE)</f>
        <v>#N/A</v>
      </c>
      <c r="C815" s="57"/>
      <c r="G815">
        <f t="shared" si="12"/>
        <v>0</v>
      </c>
      <c r="M815">
        <v>1</v>
      </c>
    </row>
    <row r="816" spans="2:13" x14ac:dyDescent="0.25">
      <c r="B816" t="e">
        <f>VLOOKUP(A816,Data!$A$2:$B$16,2,FALSE)</f>
        <v>#N/A</v>
      </c>
      <c r="C816" s="57"/>
      <c r="G816">
        <f t="shared" si="12"/>
        <v>0</v>
      </c>
      <c r="M816">
        <v>1</v>
      </c>
    </row>
    <row r="817" spans="2:13" x14ac:dyDescent="0.25">
      <c r="B817" t="e">
        <f>VLOOKUP(A817,Data!$A$2:$B$16,2,FALSE)</f>
        <v>#N/A</v>
      </c>
      <c r="C817" s="57"/>
      <c r="G817">
        <f t="shared" si="12"/>
        <v>0</v>
      </c>
      <c r="M817">
        <v>1</v>
      </c>
    </row>
    <row r="818" spans="2:13" x14ac:dyDescent="0.25">
      <c r="B818" t="e">
        <f>VLOOKUP(A818,Data!$A$2:$B$16,2,FALSE)</f>
        <v>#N/A</v>
      </c>
      <c r="C818" s="57"/>
      <c r="G818">
        <f t="shared" si="12"/>
        <v>0</v>
      </c>
      <c r="M818">
        <v>1</v>
      </c>
    </row>
    <row r="819" spans="2:13" x14ac:dyDescent="0.25">
      <c r="B819" t="e">
        <f>VLOOKUP(A819,Data!$A$2:$B$16,2,FALSE)</f>
        <v>#N/A</v>
      </c>
      <c r="C819" s="57"/>
      <c r="G819">
        <f t="shared" si="12"/>
        <v>0</v>
      </c>
      <c r="M819">
        <v>1</v>
      </c>
    </row>
    <row r="820" spans="2:13" x14ac:dyDescent="0.25">
      <c r="B820" t="e">
        <f>VLOOKUP(A820,Data!$A$2:$B$16,2,FALSE)</f>
        <v>#N/A</v>
      </c>
      <c r="C820" s="57"/>
      <c r="G820">
        <f t="shared" si="12"/>
        <v>0</v>
      </c>
      <c r="M820">
        <v>1</v>
      </c>
    </row>
    <row r="821" spans="2:13" x14ac:dyDescent="0.25">
      <c r="B821" t="e">
        <f>VLOOKUP(A821,Data!$A$2:$B$16,2,FALSE)</f>
        <v>#N/A</v>
      </c>
      <c r="C821" s="57"/>
      <c r="G821">
        <f t="shared" si="12"/>
        <v>0</v>
      </c>
      <c r="M821">
        <v>1</v>
      </c>
    </row>
    <row r="822" spans="2:13" x14ac:dyDescent="0.25">
      <c r="B822" t="e">
        <f>VLOOKUP(A822,Data!$A$2:$B$16,2,FALSE)</f>
        <v>#N/A</v>
      </c>
      <c r="C822" s="57"/>
      <c r="G822">
        <f t="shared" si="12"/>
        <v>0</v>
      </c>
      <c r="M822">
        <v>1</v>
      </c>
    </row>
    <row r="823" spans="2:13" x14ac:dyDescent="0.25">
      <c r="B823" t="e">
        <f>VLOOKUP(A823,Data!$A$2:$B$16,2,FALSE)</f>
        <v>#N/A</v>
      </c>
      <c r="C823" s="57"/>
      <c r="G823">
        <f t="shared" si="12"/>
        <v>0</v>
      </c>
      <c r="M823">
        <v>1</v>
      </c>
    </row>
    <row r="824" spans="2:13" x14ac:dyDescent="0.25">
      <c r="B824" t="e">
        <f>VLOOKUP(A824,Data!$A$2:$B$16,2,FALSE)</f>
        <v>#N/A</v>
      </c>
      <c r="C824" s="57"/>
      <c r="G824">
        <f t="shared" si="12"/>
        <v>0</v>
      </c>
      <c r="M824">
        <v>1</v>
      </c>
    </row>
    <row r="825" spans="2:13" x14ac:dyDescent="0.25">
      <c r="B825" t="e">
        <f>VLOOKUP(A825,Data!$A$2:$B$16,2,FALSE)</f>
        <v>#N/A</v>
      </c>
      <c r="C825" s="57"/>
      <c r="G825">
        <f t="shared" si="12"/>
        <v>0</v>
      </c>
      <c r="M825">
        <v>1</v>
      </c>
    </row>
    <row r="826" spans="2:13" x14ac:dyDescent="0.25">
      <c r="B826" t="e">
        <f>VLOOKUP(A826,Data!$A$2:$B$16,2,FALSE)</f>
        <v>#N/A</v>
      </c>
      <c r="C826" s="57"/>
      <c r="G826">
        <f t="shared" si="12"/>
        <v>0</v>
      </c>
      <c r="M826">
        <v>1</v>
      </c>
    </row>
    <row r="827" spans="2:13" x14ac:dyDescent="0.25">
      <c r="B827" t="e">
        <f>VLOOKUP(A827,Data!$A$2:$B$16,2,FALSE)</f>
        <v>#N/A</v>
      </c>
      <c r="C827" s="57"/>
      <c r="G827">
        <f t="shared" si="12"/>
        <v>0</v>
      </c>
      <c r="M827">
        <v>1</v>
      </c>
    </row>
    <row r="828" spans="2:13" x14ac:dyDescent="0.25">
      <c r="B828" t="e">
        <f>VLOOKUP(A828,Data!$A$2:$B$16,2,FALSE)</f>
        <v>#N/A</v>
      </c>
      <c r="C828" s="57"/>
      <c r="G828">
        <f t="shared" si="12"/>
        <v>0</v>
      </c>
      <c r="M828">
        <v>1</v>
      </c>
    </row>
    <row r="829" spans="2:13" x14ac:dyDescent="0.25">
      <c r="B829" t="e">
        <f>VLOOKUP(A829,Data!$A$2:$B$16,2,FALSE)</f>
        <v>#N/A</v>
      </c>
      <c r="C829" s="57"/>
      <c r="G829">
        <f t="shared" si="12"/>
        <v>0</v>
      </c>
      <c r="M829">
        <v>1</v>
      </c>
    </row>
    <row r="830" spans="2:13" x14ac:dyDescent="0.25">
      <c r="B830" t="e">
        <f>VLOOKUP(A830,Data!$A$2:$B$16,2,FALSE)</f>
        <v>#N/A</v>
      </c>
      <c r="C830" s="57"/>
      <c r="G830">
        <f t="shared" si="12"/>
        <v>0</v>
      </c>
      <c r="M830">
        <v>1</v>
      </c>
    </row>
    <row r="831" spans="2:13" x14ac:dyDescent="0.25">
      <c r="B831" t="e">
        <f>VLOOKUP(A831,Data!$A$2:$B$16,2,FALSE)</f>
        <v>#N/A</v>
      </c>
      <c r="C831" s="57"/>
      <c r="G831">
        <f t="shared" si="12"/>
        <v>0</v>
      </c>
      <c r="M831">
        <v>1</v>
      </c>
    </row>
    <row r="832" spans="2:13" x14ac:dyDescent="0.25">
      <c r="B832" t="e">
        <f>VLOOKUP(A832,Data!$A$2:$B$16,2,FALSE)</f>
        <v>#N/A</v>
      </c>
      <c r="C832" s="57"/>
      <c r="G832">
        <f t="shared" si="12"/>
        <v>0</v>
      </c>
      <c r="M832">
        <v>1</v>
      </c>
    </row>
    <row r="833" spans="2:13" x14ac:dyDescent="0.25">
      <c r="B833" t="e">
        <f>VLOOKUP(A833,Data!$A$2:$B$16,2,FALSE)</f>
        <v>#N/A</v>
      </c>
      <c r="C833" s="57"/>
      <c r="G833">
        <f t="shared" si="12"/>
        <v>0</v>
      </c>
      <c r="M833">
        <v>1</v>
      </c>
    </row>
    <row r="834" spans="2:13" x14ac:dyDescent="0.25">
      <c r="B834" t="e">
        <f>VLOOKUP(A834,Data!$A$2:$B$16,2,FALSE)</f>
        <v>#N/A</v>
      </c>
      <c r="C834" s="57"/>
      <c r="G834">
        <f t="shared" si="12"/>
        <v>0</v>
      </c>
      <c r="M834">
        <v>1</v>
      </c>
    </row>
    <row r="835" spans="2:13" x14ac:dyDescent="0.25">
      <c r="B835" t="e">
        <f>VLOOKUP(A835,Data!$A$2:$B$16,2,FALSE)</f>
        <v>#N/A</v>
      </c>
      <c r="C835" s="57"/>
      <c r="G835">
        <f t="shared" ref="G835:G898" si="13">ROUNDUP(F835/60,2)</f>
        <v>0</v>
      </c>
      <c r="M835">
        <v>1</v>
      </c>
    </row>
    <row r="836" spans="2:13" x14ac:dyDescent="0.25">
      <c r="B836" t="e">
        <f>VLOOKUP(A836,Data!$A$2:$B$16,2,FALSE)</f>
        <v>#N/A</v>
      </c>
      <c r="C836" s="57"/>
      <c r="G836">
        <f t="shared" si="13"/>
        <v>0</v>
      </c>
      <c r="M836">
        <v>1</v>
      </c>
    </row>
    <row r="837" spans="2:13" x14ac:dyDescent="0.25">
      <c r="B837" t="e">
        <f>VLOOKUP(A837,Data!$A$2:$B$16,2,FALSE)</f>
        <v>#N/A</v>
      </c>
      <c r="C837" s="57"/>
      <c r="G837">
        <f t="shared" si="13"/>
        <v>0</v>
      </c>
      <c r="M837">
        <v>1</v>
      </c>
    </row>
    <row r="838" spans="2:13" x14ac:dyDescent="0.25">
      <c r="B838" t="e">
        <f>VLOOKUP(A838,Data!$A$2:$B$16,2,FALSE)</f>
        <v>#N/A</v>
      </c>
      <c r="C838" s="57"/>
      <c r="G838">
        <f t="shared" si="13"/>
        <v>0</v>
      </c>
      <c r="M838">
        <v>1</v>
      </c>
    </row>
    <row r="839" spans="2:13" x14ac:dyDescent="0.25">
      <c r="B839" t="e">
        <f>VLOOKUP(A839,Data!$A$2:$B$16,2,FALSE)</f>
        <v>#N/A</v>
      </c>
      <c r="C839" s="57"/>
      <c r="G839">
        <f t="shared" si="13"/>
        <v>0</v>
      </c>
      <c r="M839">
        <v>1</v>
      </c>
    </row>
    <row r="840" spans="2:13" x14ac:dyDescent="0.25">
      <c r="B840" t="e">
        <f>VLOOKUP(A840,Data!$A$2:$B$16,2,FALSE)</f>
        <v>#N/A</v>
      </c>
      <c r="C840" s="57"/>
      <c r="G840">
        <f t="shared" si="13"/>
        <v>0</v>
      </c>
      <c r="M840">
        <v>1</v>
      </c>
    </row>
    <row r="841" spans="2:13" x14ac:dyDescent="0.25">
      <c r="B841" t="e">
        <f>VLOOKUP(A841,Data!$A$2:$B$16,2,FALSE)</f>
        <v>#N/A</v>
      </c>
      <c r="C841" s="57"/>
      <c r="G841">
        <f t="shared" si="13"/>
        <v>0</v>
      </c>
      <c r="M841">
        <v>1</v>
      </c>
    </row>
    <row r="842" spans="2:13" x14ac:dyDescent="0.25">
      <c r="B842" t="e">
        <f>VLOOKUP(A842,Data!$A$2:$B$16,2,FALSE)</f>
        <v>#N/A</v>
      </c>
      <c r="C842" s="57"/>
      <c r="G842">
        <f t="shared" si="13"/>
        <v>0</v>
      </c>
      <c r="M842">
        <v>1</v>
      </c>
    </row>
    <row r="843" spans="2:13" x14ac:dyDescent="0.25">
      <c r="B843" t="e">
        <f>VLOOKUP(A843,Data!$A$2:$B$16,2,FALSE)</f>
        <v>#N/A</v>
      </c>
      <c r="C843" s="57"/>
      <c r="G843">
        <f t="shared" si="13"/>
        <v>0</v>
      </c>
      <c r="M843">
        <v>1</v>
      </c>
    </row>
    <row r="844" spans="2:13" x14ac:dyDescent="0.25">
      <c r="B844" t="e">
        <f>VLOOKUP(A844,Data!$A$2:$B$16,2,FALSE)</f>
        <v>#N/A</v>
      </c>
      <c r="C844" s="57"/>
      <c r="G844">
        <f t="shared" si="13"/>
        <v>0</v>
      </c>
      <c r="M844">
        <v>1</v>
      </c>
    </row>
    <row r="845" spans="2:13" x14ac:dyDescent="0.25">
      <c r="B845" t="e">
        <f>VLOOKUP(A845,Data!$A$2:$B$16,2,FALSE)</f>
        <v>#N/A</v>
      </c>
      <c r="C845" s="57"/>
      <c r="G845">
        <f t="shared" si="13"/>
        <v>0</v>
      </c>
      <c r="M845">
        <v>1</v>
      </c>
    </row>
    <row r="846" spans="2:13" x14ac:dyDescent="0.25">
      <c r="B846" t="e">
        <f>VLOOKUP(A846,Data!$A$2:$B$16,2,FALSE)</f>
        <v>#N/A</v>
      </c>
      <c r="C846" s="57"/>
      <c r="G846">
        <f t="shared" si="13"/>
        <v>0</v>
      </c>
      <c r="M846">
        <v>1</v>
      </c>
    </row>
    <row r="847" spans="2:13" x14ac:dyDescent="0.25">
      <c r="B847" t="e">
        <f>VLOOKUP(A847,Data!$A$2:$B$16,2,FALSE)</f>
        <v>#N/A</v>
      </c>
      <c r="C847" s="57"/>
      <c r="G847">
        <f t="shared" si="13"/>
        <v>0</v>
      </c>
      <c r="M847">
        <v>1</v>
      </c>
    </row>
    <row r="848" spans="2:13" x14ac:dyDescent="0.25">
      <c r="B848" t="e">
        <f>VLOOKUP(A848,Data!$A$2:$B$16,2,FALSE)</f>
        <v>#N/A</v>
      </c>
      <c r="C848" s="57"/>
      <c r="G848">
        <f t="shared" si="13"/>
        <v>0</v>
      </c>
      <c r="M848">
        <v>1</v>
      </c>
    </row>
    <row r="849" spans="2:13" x14ac:dyDescent="0.25">
      <c r="B849" t="e">
        <f>VLOOKUP(A849,Data!$A$2:$B$16,2,FALSE)</f>
        <v>#N/A</v>
      </c>
      <c r="C849" s="57"/>
      <c r="G849">
        <f t="shared" si="13"/>
        <v>0</v>
      </c>
      <c r="M849">
        <v>1</v>
      </c>
    </row>
    <row r="850" spans="2:13" x14ac:dyDescent="0.25">
      <c r="B850" t="e">
        <f>VLOOKUP(A850,Data!$A$2:$B$16,2,FALSE)</f>
        <v>#N/A</v>
      </c>
      <c r="C850" s="57"/>
      <c r="G850">
        <f t="shared" si="13"/>
        <v>0</v>
      </c>
      <c r="M850">
        <v>1</v>
      </c>
    </row>
    <row r="851" spans="2:13" x14ac:dyDescent="0.25">
      <c r="B851" t="e">
        <f>VLOOKUP(A851,Data!$A$2:$B$16,2,FALSE)</f>
        <v>#N/A</v>
      </c>
      <c r="C851" s="57"/>
      <c r="G851">
        <f t="shared" si="13"/>
        <v>0</v>
      </c>
      <c r="M851">
        <v>1</v>
      </c>
    </row>
    <row r="852" spans="2:13" x14ac:dyDescent="0.25">
      <c r="B852" t="e">
        <f>VLOOKUP(A852,Data!$A$2:$B$16,2,FALSE)</f>
        <v>#N/A</v>
      </c>
      <c r="C852" s="57"/>
      <c r="G852">
        <f t="shared" si="13"/>
        <v>0</v>
      </c>
      <c r="M852">
        <v>1</v>
      </c>
    </row>
    <row r="853" spans="2:13" x14ac:dyDescent="0.25">
      <c r="B853" t="e">
        <f>VLOOKUP(A853,Data!$A$2:$B$16,2,FALSE)</f>
        <v>#N/A</v>
      </c>
      <c r="C853" s="57"/>
      <c r="G853">
        <f t="shared" si="13"/>
        <v>0</v>
      </c>
      <c r="M853">
        <v>1</v>
      </c>
    </row>
    <row r="854" spans="2:13" x14ac:dyDescent="0.25">
      <c r="B854" t="e">
        <f>VLOOKUP(A854,Data!$A$2:$B$16,2,FALSE)</f>
        <v>#N/A</v>
      </c>
      <c r="C854" s="57"/>
      <c r="G854">
        <f t="shared" si="13"/>
        <v>0</v>
      </c>
      <c r="M854">
        <v>1</v>
      </c>
    </row>
    <row r="855" spans="2:13" x14ac:dyDescent="0.25">
      <c r="B855" t="e">
        <f>VLOOKUP(A855,Data!$A$2:$B$16,2,FALSE)</f>
        <v>#N/A</v>
      </c>
      <c r="C855" s="57"/>
      <c r="G855">
        <f t="shared" si="13"/>
        <v>0</v>
      </c>
      <c r="M855">
        <v>1</v>
      </c>
    </row>
    <row r="856" spans="2:13" x14ac:dyDescent="0.25">
      <c r="B856" t="e">
        <f>VLOOKUP(A856,Data!$A$2:$B$16,2,FALSE)</f>
        <v>#N/A</v>
      </c>
      <c r="C856" s="57"/>
      <c r="G856">
        <f t="shared" si="13"/>
        <v>0</v>
      </c>
      <c r="M856">
        <v>1</v>
      </c>
    </row>
    <row r="857" spans="2:13" x14ac:dyDescent="0.25">
      <c r="B857" t="e">
        <f>VLOOKUP(A857,Data!$A$2:$B$16,2,FALSE)</f>
        <v>#N/A</v>
      </c>
      <c r="C857" s="57"/>
      <c r="G857">
        <f t="shared" si="13"/>
        <v>0</v>
      </c>
      <c r="M857">
        <v>1</v>
      </c>
    </row>
    <row r="858" spans="2:13" x14ac:dyDescent="0.25">
      <c r="B858" t="e">
        <f>VLOOKUP(A858,Data!$A$2:$B$16,2,FALSE)</f>
        <v>#N/A</v>
      </c>
      <c r="C858" s="57"/>
      <c r="G858">
        <f t="shared" si="13"/>
        <v>0</v>
      </c>
      <c r="M858">
        <v>1</v>
      </c>
    </row>
    <row r="859" spans="2:13" x14ac:dyDescent="0.25">
      <c r="B859" t="e">
        <f>VLOOKUP(A859,Data!$A$2:$B$16,2,FALSE)</f>
        <v>#N/A</v>
      </c>
      <c r="C859" s="57"/>
      <c r="G859">
        <f t="shared" si="13"/>
        <v>0</v>
      </c>
      <c r="M859">
        <v>1</v>
      </c>
    </row>
    <row r="860" spans="2:13" x14ac:dyDescent="0.25">
      <c r="B860" t="e">
        <f>VLOOKUP(A860,Data!$A$2:$B$16,2,FALSE)</f>
        <v>#N/A</v>
      </c>
      <c r="C860" s="57"/>
      <c r="G860">
        <f t="shared" si="13"/>
        <v>0</v>
      </c>
      <c r="M860">
        <v>1</v>
      </c>
    </row>
    <row r="861" spans="2:13" x14ac:dyDescent="0.25">
      <c r="B861" t="e">
        <f>VLOOKUP(A861,Data!$A$2:$B$16,2,FALSE)</f>
        <v>#N/A</v>
      </c>
      <c r="C861" s="57"/>
      <c r="G861">
        <f t="shared" si="13"/>
        <v>0</v>
      </c>
      <c r="M861">
        <v>1</v>
      </c>
    </row>
    <row r="862" spans="2:13" x14ac:dyDescent="0.25">
      <c r="B862" t="e">
        <f>VLOOKUP(A862,Data!$A$2:$B$16,2,FALSE)</f>
        <v>#N/A</v>
      </c>
      <c r="C862" s="57"/>
      <c r="G862">
        <f t="shared" si="13"/>
        <v>0</v>
      </c>
      <c r="M862">
        <v>1</v>
      </c>
    </row>
    <row r="863" spans="2:13" x14ac:dyDescent="0.25">
      <c r="B863" t="e">
        <f>VLOOKUP(A863,Data!$A$2:$B$16,2,FALSE)</f>
        <v>#N/A</v>
      </c>
      <c r="C863" s="57"/>
      <c r="G863">
        <f t="shared" si="13"/>
        <v>0</v>
      </c>
      <c r="M863">
        <v>1</v>
      </c>
    </row>
    <row r="864" spans="2:13" x14ac:dyDescent="0.25">
      <c r="B864" t="e">
        <f>VLOOKUP(A864,Data!$A$2:$B$16,2,FALSE)</f>
        <v>#N/A</v>
      </c>
      <c r="C864" s="57"/>
      <c r="G864">
        <f t="shared" si="13"/>
        <v>0</v>
      </c>
      <c r="M864">
        <v>1</v>
      </c>
    </row>
    <row r="865" spans="2:13" x14ac:dyDescent="0.25">
      <c r="B865" t="e">
        <f>VLOOKUP(A865,Data!$A$2:$B$16,2,FALSE)</f>
        <v>#N/A</v>
      </c>
      <c r="C865" s="57"/>
      <c r="G865">
        <f t="shared" si="13"/>
        <v>0</v>
      </c>
      <c r="M865">
        <v>1</v>
      </c>
    </row>
    <row r="866" spans="2:13" x14ac:dyDescent="0.25">
      <c r="B866" t="e">
        <f>VLOOKUP(A866,Data!$A$2:$B$16,2,FALSE)</f>
        <v>#N/A</v>
      </c>
      <c r="C866" s="57"/>
      <c r="G866">
        <f t="shared" si="13"/>
        <v>0</v>
      </c>
      <c r="M866">
        <v>1</v>
      </c>
    </row>
    <row r="867" spans="2:13" x14ac:dyDescent="0.25">
      <c r="B867" t="e">
        <f>VLOOKUP(A867,Data!$A$2:$B$16,2,FALSE)</f>
        <v>#N/A</v>
      </c>
      <c r="C867" s="57"/>
      <c r="G867">
        <f t="shared" si="13"/>
        <v>0</v>
      </c>
      <c r="M867">
        <v>1</v>
      </c>
    </row>
    <row r="868" spans="2:13" x14ac:dyDescent="0.25">
      <c r="B868" t="e">
        <f>VLOOKUP(A868,Data!$A$2:$B$16,2,FALSE)</f>
        <v>#N/A</v>
      </c>
      <c r="C868" s="57"/>
      <c r="G868">
        <f t="shared" si="13"/>
        <v>0</v>
      </c>
      <c r="M868">
        <v>1</v>
      </c>
    </row>
    <row r="869" spans="2:13" x14ac:dyDescent="0.25">
      <c r="B869" t="e">
        <f>VLOOKUP(A869,Data!$A$2:$B$16,2,FALSE)</f>
        <v>#N/A</v>
      </c>
      <c r="C869" s="57"/>
      <c r="G869">
        <f t="shared" si="13"/>
        <v>0</v>
      </c>
      <c r="M869">
        <v>1</v>
      </c>
    </row>
    <row r="870" spans="2:13" x14ac:dyDescent="0.25">
      <c r="B870" t="e">
        <f>VLOOKUP(A870,Data!$A$2:$B$16,2,FALSE)</f>
        <v>#N/A</v>
      </c>
      <c r="C870" s="57"/>
      <c r="G870">
        <f t="shared" si="13"/>
        <v>0</v>
      </c>
      <c r="M870">
        <v>1</v>
      </c>
    </row>
    <row r="871" spans="2:13" x14ac:dyDescent="0.25">
      <c r="B871" t="e">
        <f>VLOOKUP(A871,Data!$A$2:$B$16,2,FALSE)</f>
        <v>#N/A</v>
      </c>
      <c r="C871" s="57"/>
      <c r="G871">
        <f t="shared" si="13"/>
        <v>0</v>
      </c>
      <c r="M871">
        <v>1</v>
      </c>
    </row>
    <row r="872" spans="2:13" x14ac:dyDescent="0.25">
      <c r="B872" t="e">
        <f>VLOOKUP(A872,Data!$A$2:$B$16,2,FALSE)</f>
        <v>#N/A</v>
      </c>
      <c r="C872" s="57"/>
      <c r="G872">
        <f t="shared" si="13"/>
        <v>0</v>
      </c>
      <c r="M872">
        <v>1</v>
      </c>
    </row>
    <row r="873" spans="2:13" x14ac:dyDescent="0.25">
      <c r="B873" t="e">
        <f>VLOOKUP(A873,Data!$A$2:$B$16,2,FALSE)</f>
        <v>#N/A</v>
      </c>
      <c r="C873" s="57"/>
      <c r="G873">
        <f t="shared" si="13"/>
        <v>0</v>
      </c>
      <c r="M873">
        <v>1</v>
      </c>
    </row>
    <row r="874" spans="2:13" x14ac:dyDescent="0.25">
      <c r="B874" t="e">
        <f>VLOOKUP(A874,Data!$A$2:$B$16,2,FALSE)</f>
        <v>#N/A</v>
      </c>
      <c r="C874" s="57"/>
      <c r="G874">
        <f t="shared" si="13"/>
        <v>0</v>
      </c>
      <c r="M874">
        <v>1</v>
      </c>
    </row>
    <row r="875" spans="2:13" x14ac:dyDescent="0.25">
      <c r="B875" t="e">
        <f>VLOOKUP(A875,Data!$A$2:$B$16,2,FALSE)</f>
        <v>#N/A</v>
      </c>
      <c r="C875" s="57"/>
      <c r="G875">
        <f t="shared" si="13"/>
        <v>0</v>
      </c>
      <c r="M875">
        <v>1</v>
      </c>
    </row>
    <row r="876" spans="2:13" x14ac:dyDescent="0.25">
      <c r="B876" t="e">
        <f>VLOOKUP(A876,Data!$A$2:$B$16,2,FALSE)</f>
        <v>#N/A</v>
      </c>
      <c r="C876" s="57"/>
      <c r="G876">
        <f t="shared" si="13"/>
        <v>0</v>
      </c>
      <c r="M876">
        <v>1</v>
      </c>
    </row>
    <row r="877" spans="2:13" x14ac:dyDescent="0.25">
      <c r="B877" t="e">
        <f>VLOOKUP(A877,Data!$A$2:$B$16,2,FALSE)</f>
        <v>#N/A</v>
      </c>
      <c r="C877" s="57"/>
      <c r="G877">
        <f t="shared" si="13"/>
        <v>0</v>
      </c>
      <c r="M877">
        <v>1</v>
      </c>
    </row>
    <row r="878" spans="2:13" x14ac:dyDescent="0.25">
      <c r="B878" t="e">
        <f>VLOOKUP(A878,Data!$A$2:$B$16,2,FALSE)</f>
        <v>#N/A</v>
      </c>
      <c r="C878" s="57"/>
      <c r="G878">
        <f t="shared" si="13"/>
        <v>0</v>
      </c>
      <c r="M878">
        <v>1</v>
      </c>
    </row>
    <row r="879" spans="2:13" x14ac:dyDescent="0.25">
      <c r="B879" t="e">
        <f>VLOOKUP(A879,Data!$A$2:$B$16,2,FALSE)</f>
        <v>#N/A</v>
      </c>
      <c r="C879" s="57"/>
      <c r="G879">
        <f t="shared" si="13"/>
        <v>0</v>
      </c>
      <c r="M879">
        <v>1</v>
      </c>
    </row>
    <row r="880" spans="2:13" x14ac:dyDescent="0.25">
      <c r="B880" t="e">
        <f>VLOOKUP(A880,Data!$A$2:$B$16,2,FALSE)</f>
        <v>#N/A</v>
      </c>
      <c r="C880" s="57"/>
      <c r="G880">
        <f t="shared" si="13"/>
        <v>0</v>
      </c>
      <c r="M880">
        <v>1</v>
      </c>
    </row>
    <row r="881" spans="2:13" x14ac:dyDescent="0.25">
      <c r="B881" t="e">
        <f>VLOOKUP(A881,Data!$A$2:$B$16,2,FALSE)</f>
        <v>#N/A</v>
      </c>
      <c r="C881" s="57"/>
      <c r="G881">
        <f t="shared" si="13"/>
        <v>0</v>
      </c>
      <c r="M881">
        <v>1</v>
      </c>
    </row>
    <row r="882" spans="2:13" x14ac:dyDescent="0.25">
      <c r="B882" t="e">
        <f>VLOOKUP(A882,Data!$A$2:$B$16,2,FALSE)</f>
        <v>#N/A</v>
      </c>
      <c r="C882" s="57"/>
      <c r="G882">
        <f t="shared" si="13"/>
        <v>0</v>
      </c>
      <c r="M882">
        <v>1</v>
      </c>
    </row>
    <row r="883" spans="2:13" x14ac:dyDescent="0.25">
      <c r="B883" t="e">
        <f>VLOOKUP(A883,Data!$A$2:$B$16,2,FALSE)</f>
        <v>#N/A</v>
      </c>
      <c r="C883" s="57"/>
      <c r="G883">
        <f t="shared" si="13"/>
        <v>0</v>
      </c>
      <c r="M883">
        <v>1</v>
      </c>
    </row>
    <row r="884" spans="2:13" x14ac:dyDescent="0.25">
      <c r="B884" t="e">
        <f>VLOOKUP(A884,Data!$A$2:$B$16,2,FALSE)</f>
        <v>#N/A</v>
      </c>
      <c r="C884" s="57"/>
      <c r="G884">
        <f t="shared" si="13"/>
        <v>0</v>
      </c>
      <c r="M884">
        <v>1</v>
      </c>
    </row>
    <row r="885" spans="2:13" x14ac:dyDescent="0.25">
      <c r="B885" t="e">
        <f>VLOOKUP(A885,Data!$A$2:$B$16,2,FALSE)</f>
        <v>#N/A</v>
      </c>
      <c r="C885" s="57"/>
      <c r="G885">
        <f t="shared" si="13"/>
        <v>0</v>
      </c>
      <c r="M885">
        <v>1</v>
      </c>
    </row>
    <row r="886" spans="2:13" x14ac:dyDescent="0.25">
      <c r="B886" t="e">
        <f>VLOOKUP(A886,Data!$A$2:$B$16,2,FALSE)</f>
        <v>#N/A</v>
      </c>
      <c r="C886" s="57"/>
      <c r="G886">
        <f t="shared" si="13"/>
        <v>0</v>
      </c>
      <c r="M886">
        <v>1</v>
      </c>
    </row>
    <row r="887" spans="2:13" x14ac:dyDescent="0.25">
      <c r="B887" t="e">
        <f>VLOOKUP(A887,Data!$A$2:$B$16,2,FALSE)</f>
        <v>#N/A</v>
      </c>
      <c r="C887" s="57"/>
      <c r="G887">
        <f t="shared" si="13"/>
        <v>0</v>
      </c>
      <c r="M887">
        <v>1</v>
      </c>
    </row>
    <row r="888" spans="2:13" x14ac:dyDescent="0.25">
      <c r="B888" t="e">
        <f>VLOOKUP(A888,Data!$A$2:$B$16,2,FALSE)</f>
        <v>#N/A</v>
      </c>
      <c r="C888" s="57"/>
      <c r="G888">
        <f t="shared" si="13"/>
        <v>0</v>
      </c>
      <c r="M888">
        <v>1</v>
      </c>
    </row>
    <row r="889" spans="2:13" x14ac:dyDescent="0.25">
      <c r="B889" t="e">
        <f>VLOOKUP(A889,Data!$A$2:$B$16,2,FALSE)</f>
        <v>#N/A</v>
      </c>
      <c r="C889" s="57"/>
      <c r="G889">
        <f t="shared" si="13"/>
        <v>0</v>
      </c>
      <c r="M889">
        <v>1</v>
      </c>
    </row>
    <row r="890" spans="2:13" x14ac:dyDescent="0.25">
      <c r="B890" t="e">
        <f>VLOOKUP(A890,Data!$A$2:$B$16,2,FALSE)</f>
        <v>#N/A</v>
      </c>
      <c r="C890" s="57"/>
      <c r="G890">
        <f t="shared" si="13"/>
        <v>0</v>
      </c>
      <c r="M890">
        <v>1</v>
      </c>
    </row>
    <row r="891" spans="2:13" x14ac:dyDescent="0.25">
      <c r="B891" t="e">
        <f>VLOOKUP(A891,Data!$A$2:$B$16,2,FALSE)</f>
        <v>#N/A</v>
      </c>
      <c r="C891" s="57"/>
      <c r="G891">
        <f t="shared" si="13"/>
        <v>0</v>
      </c>
      <c r="M891">
        <v>1</v>
      </c>
    </row>
    <row r="892" spans="2:13" x14ac:dyDescent="0.25">
      <c r="B892" t="e">
        <f>VLOOKUP(A892,Data!$A$2:$B$16,2,FALSE)</f>
        <v>#N/A</v>
      </c>
      <c r="C892" s="57"/>
      <c r="G892">
        <f t="shared" si="13"/>
        <v>0</v>
      </c>
      <c r="M892">
        <v>1</v>
      </c>
    </row>
    <row r="893" spans="2:13" x14ac:dyDescent="0.25">
      <c r="B893" t="e">
        <f>VLOOKUP(A893,Data!$A$2:$B$16,2,FALSE)</f>
        <v>#N/A</v>
      </c>
      <c r="C893" s="57"/>
      <c r="G893">
        <f t="shared" si="13"/>
        <v>0</v>
      </c>
      <c r="M893">
        <v>1</v>
      </c>
    </row>
    <row r="894" spans="2:13" x14ac:dyDescent="0.25">
      <c r="B894" t="e">
        <f>VLOOKUP(A894,Data!$A$2:$B$16,2,FALSE)</f>
        <v>#N/A</v>
      </c>
      <c r="C894" s="57"/>
      <c r="G894">
        <f t="shared" si="13"/>
        <v>0</v>
      </c>
      <c r="M894">
        <v>1</v>
      </c>
    </row>
    <row r="895" spans="2:13" x14ac:dyDescent="0.25">
      <c r="B895" t="e">
        <f>VLOOKUP(A895,Data!$A$2:$B$16,2,FALSE)</f>
        <v>#N/A</v>
      </c>
      <c r="C895" s="57"/>
      <c r="G895">
        <f t="shared" si="13"/>
        <v>0</v>
      </c>
      <c r="M895">
        <v>1</v>
      </c>
    </row>
    <row r="896" spans="2:13" x14ac:dyDescent="0.25">
      <c r="B896" t="e">
        <f>VLOOKUP(A896,Data!$A$2:$B$16,2,FALSE)</f>
        <v>#N/A</v>
      </c>
      <c r="C896" s="57"/>
      <c r="G896">
        <f t="shared" si="13"/>
        <v>0</v>
      </c>
      <c r="M896">
        <v>1</v>
      </c>
    </row>
    <row r="897" spans="2:13" x14ac:dyDescent="0.25">
      <c r="B897" t="e">
        <f>VLOOKUP(A897,Data!$A$2:$B$16,2,FALSE)</f>
        <v>#N/A</v>
      </c>
      <c r="C897" s="57"/>
      <c r="G897">
        <f t="shared" si="13"/>
        <v>0</v>
      </c>
      <c r="M897">
        <v>1</v>
      </c>
    </row>
    <row r="898" spans="2:13" x14ac:dyDescent="0.25">
      <c r="B898" t="e">
        <f>VLOOKUP(A898,Data!$A$2:$B$16,2,FALSE)</f>
        <v>#N/A</v>
      </c>
      <c r="C898" s="57"/>
      <c r="G898">
        <f t="shared" si="13"/>
        <v>0</v>
      </c>
      <c r="M898">
        <v>1</v>
      </c>
    </row>
    <row r="899" spans="2:13" x14ac:dyDescent="0.25">
      <c r="B899" t="e">
        <f>VLOOKUP(A899,Data!$A$2:$B$16,2,FALSE)</f>
        <v>#N/A</v>
      </c>
      <c r="C899" s="57"/>
      <c r="G899">
        <f t="shared" ref="G899:G962" si="14">ROUNDUP(F899/60,2)</f>
        <v>0</v>
      </c>
      <c r="M899">
        <v>1</v>
      </c>
    </row>
    <row r="900" spans="2:13" x14ac:dyDescent="0.25">
      <c r="B900" t="e">
        <f>VLOOKUP(A900,Data!$A$2:$B$16,2,FALSE)</f>
        <v>#N/A</v>
      </c>
      <c r="C900" s="57"/>
      <c r="G900">
        <f t="shared" si="14"/>
        <v>0</v>
      </c>
      <c r="M900">
        <v>1</v>
      </c>
    </row>
    <row r="901" spans="2:13" x14ac:dyDescent="0.25">
      <c r="B901" t="e">
        <f>VLOOKUP(A901,Data!$A$2:$B$16,2,FALSE)</f>
        <v>#N/A</v>
      </c>
      <c r="C901" s="57"/>
      <c r="G901">
        <f t="shared" si="14"/>
        <v>0</v>
      </c>
      <c r="M901">
        <v>1</v>
      </c>
    </row>
    <row r="902" spans="2:13" x14ac:dyDescent="0.25">
      <c r="B902" t="e">
        <f>VLOOKUP(A902,Data!$A$2:$B$16,2,FALSE)</f>
        <v>#N/A</v>
      </c>
      <c r="C902" s="57"/>
      <c r="G902">
        <f t="shared" si="14"/>
        <v>0</v>
      </c>
      <c r="M902">
        <v>1</v>
      </c>
    </row>
    <row r="903" spans="2:13" x14ac:dyDescent="0.25">
      <c r="B903" t="e">
        <f>VLOOKUP(A903,Data!$A$2:$B$16,2,FALSE)</f>
        <v>#N/A</v>
      </c>
      <c r="C903" s="57"/>
      <c r="G903">
        <f t="shared" si="14"/>
        <v>0</v>
      </c>
      <c r="M903">
        <v>1</v>
      </c>
    </row>
    <row r="904" spans="2:13" x14ac:dyDescent="0.25">
      <c r="B904" t="e">
        <f>VLOOKUP(A904,Data!$A$2:$B$16,2,FALSE)</f>
        <v>#N/A</v>
      </c>
      <c r="C904" s="57"/>
      <c r="G904">
        <f t="shared" si="14"/>
        <v>0</v>
      </c>
      <c r="M904">
        <v>1</v>
      </c>
    </row>
    <row r="905" spans="2:13" x14ac:dyDescent="0.25">
      <c r="B905" t="e">
        <f>VLOOKUP(A905,Data!$A$2:$B$16,2,FALSE)</f>
        <v>#N/A</v>
      </c>
      <c r="C905" s="57"/>
      <c r="G905">
        <f t="shared" si="14"/>
        <v>0</v>
      </c>
      <c r="M905">
        <v>1</v>
      </c>
    </row>
    <row r="906" spans="2:13" x14ac:dyDescent="0.25">
      <c r="B906" t="e">
        <f>VLOOKUP(A906,Data!$A$2:$B$16,2,FALSE)</f>
        <v>#N/A</v>
      </c>
      <c r="C906" s="57"/>
      <c r="G906">
        <f t="shared" si="14"/>
        <v>0</v>
      </c>
      <c r="M906">
        <v>1</v>
      </c>
    </row>
    <row r="907" spans="2:13" x14ac:dyDescent="0.25">
      <c r="B907" t="e">
        <f>VLOOKUP(A907,Data!$A$2:$B$16,2,FALSE)</f>
        <v>#N/A</v>
      </c>
      <c r="C907" s="57"/>
      <c r="G907">
        <f t="shared" si="14"/>
        <v>0</v>
      </c>
      <c r="M907">
        <v>1</v>
      </c>
    </row>
    <row r="908" spans="2:13" x14ac:dyDescent="0.25">
      <c r="B908" t="e">
        <f>VLOOKUP(A908,Data!$A$2:$B$16,2,FALSE)</f>
        <v>#N/A</v>
      </c>
      <c r="C908" s="57"/>
      <c r="G908">
        <f t="shared" si="14"/>
        <v>0</v>
      </c>
      <c r="M908">
        <v>1</v>
      </c>
    </row>
    <row r="909" spans="2:13" x14ac:dyDescent="0.25">
      <c r="B909" t="e">
        <f>VLOOKUP(A909,Data!$A$2:$B$16,2,FALSE)</f>
        <v>#N/A</v>
      </c>
      <c r="C909" s="57"/>
      <c r="G909">
        <f t="shared" si="14"/>
        <v>0</v>
      </c>
      <c r="M909">
        <v>1</v>
      </c>
    </row>
    <row r="910" spans="2:13" x14ac:dyDescent="0.25">
      <c r="B910" t="e">
        <f>VLOOKUP(A910,Data!$A$2:$B$16,2,FALSE)</f>
        <v>#N/A</v>
      </c>
      <c r="C910" s="57"/>
      <c r="G910">
        <f t="shared" si="14"/>
        <v>0</v>
      </c>
      <c r="M910">
        <v>1</v>
      </c>
    </row>
    <row r="911" spans="2:13" x14ac:dyDescent="0.25">
      <c r="B911" t="e">
        <f>VLOOKUP(A911,Data!$A$2:$B$16,2,FALSE)</f>
        <v>#N/A</v>
      </c>
      <c r="C911" s="57"/>
      <c r="G911">
        <f t="shared" si="14"/>
        <v>0</v>
      </c>
      <c r="M911">
        <v>1</v>
      </c>
    </row>
    <row r="912" spans="2:13" x14ac:dyDescent="0.25">
      <c r="B912" t="e">
        <f>VLOOKUP(A912,Data!$A$2:$B$16,2,FALSE)</f>
        <v>#N/A</v>
      </c>
      <c r="C912" s="57"/>
      <c r="G912">
        <f t="shared" si="14"/>
        <v>0</v>
      </c>
      <c r="M912">
        <v>1</v>
      </c>
    </row>
    <row r="913" spans="2:13" x14ac:dyDescent="0.25">
      <c r="B913" t="e">
        <f>VLOOKUP(A913,Data!$A$2:$B$16,2,FALSE)</f>
        <v>#N/A</v>
      </c>
      <c r="C913" s="57"/>
      <c r="G913">
        <f t="shared" si="14"/>
        <v>0</v>
      </c>
      <c r="M913">
        <v>1</v>
      </c>
    </row>
    <row r="914" spans="2:13" x14ac:dyDescent="0.25">
      <c r="B914" t="e">
        <f>VLOOKUP(A914,Data!$A$2:$B$16,2,FALSE)</f>
        <v>#N/A</v>
      </c>
      <c r="C914" s="57"/>
      <c r="G914">
        <f t="shared" si="14"/>
        <v>0</v>
      </c>
      <c r="M914">
        <v>1</v>
      </c>
    </row>
    <row r="915" spans="2:13" x14ac:dyDescent="0.25">
      <c r="B915" t="e">
        <f>VLOOKUP(A915,Data!$A$2:$B$16,2,FALSE)</f>
        <v>#N/A</v>
      </c>
      <c r="C915" s="57"/>
      <c r="G915">
        <f t="shared" si="14"/>
        <v>0</v>
      </c>
      <c r="M915">
        <v>1</v>
      </c>
    </row>
    <row r="916" spans="2:13" x14ac:dyDescent="0.25">
      <c r="B916" t="e">
        <f>VLOOKUP(A916,Data!$A$2:$B$16,2,FALSE)</f>
        <v>#N/A</v>
      </c>
      <c r="C916" s="57"/>
      <c r="G916">
        <f t="shared" si="14"/>
        <v>0</v>
      </c>
      <c r="M916">
        <v>1</v>
      </c>
    </row>
    <row r="917" spans="2:13" x14ac:dyDescent="0.25">
      <c r="B917" t="e">
        <f>VLOOKUP(A917,Data!$A$2:$B$16,2,FALSE)</f>
        <v>#N/A</v>
      </c>
      <c r="C917" s="57"/>
      <c r="G917">
        <f t="shared" si="14"/>
        <v>0</v>
      </c>
      <c r="M917">
        <v>1</v>
      </c>
    </row>
    <row r="918" spans="2:13" x14ac:dyDescent="0.25">
      <c r="B918" t="e">
        <f>VLOOKUP(A918,Data!$A$2:$B$16,2,FALSE)</f>
        <v>#N/A</v>
      </c>
      <c r="C918" s="57"/>
      <c r="G918">
        <f t="shared" si="14"/>
        <v>0</v>
      </c>
      <c r="M918">
        <v>1</v>
      </c>
    </row>
    <row r="919" spans="2:13" x14ac:dyDescent="0.25">
      <c r="B919" t="e">
        <f>VLOOKUP(A919,Data!$A$2:$B$16,2,FALSE)</f>
        <v>#N/A</v>
      </c>
      <c r="C919" s="57"/>
      <c r="G919">
        <f t="shared" si="14"/>
        <v>0</v>
      </c>
      <c r="M919">
        <v>1</v>
      </c>
    </row>
    <row r="920" spans="2:13" x14ac:dyDescent="0.25">
      <c r="B920" t="e">
        <f>VLOOKUP(A920,Data!$A$2:$B$16,2,FALSE)</f>
        <v>#N/A</v>
      </c>
      <c r="C920" s="57"/>
      <c r="G920">
        <f t="shared" si="14"/>
        <v>0</v>
      </c>
      <c r="M920">
        <v>1</v>
      </c>
    </row>
    <row r="921" spans="2:13" x14ac:dyDescent="0.25">
      <c r="B921" t="e">
        <f>VLOOKUP(A921,Data!$A$2:$B$16,2,FALSE)</f>
        <v>#N/A</v>
      </c>
      <c r="C921" s="57"/>
      <c r="G921">
        <f t="shared" si="14"/>
        <v>0</v>
      </c>
      <c r="M921">
        <v>1</v>
      </c>
    </row>
    <row r="922" spans="2:13" x14ac:dyDescent="0.25">
      <c r="B922" t="e">
        <f>VLOOKUP(A922,Data!$A$2:$B$16,2,FALSE)</f>
        <v>#N/A</v>
      </c>
      <c r="C922" s="57"/>
      <c r="G922">
        <f t="shared" si="14"/>
        <v>0</v>
      </c>
      <c r="M922">
        <v>1</v>
      </c>
    </row>
    <row r="923" spans="2:13" x14ac:dyDescent="0.25">
      <c r="B923" t="e">
        <f>VLOOKUP(A923,Data!$A$2:$B$16,2,FALSE)</f>
        <v>#N/A</v>
      </c>
      <c r="C923" s="57"/>
      <c r="G923">
        <f t="shared" si="14"/>
        <v>0</v>
      </c>
      <c r="M923">
        <v>1</v>
      </c>
    </row>
    <row r="924" spans="2:13" x14ac:dyDescent="0.25">
      <c r="B924" t="e">
        <f>VLOOKUP(A924,Data!$A$2:$B$16,2,FALSE)</f>
        <v>#N/A</v>
      </c>
      <c r="C924" s="57"/>
      <c r="G924">
        <f t="shared" si="14"/>
        <v>0</v>
      </c>
      <c r="M924">
        <v>1</v>
      </c>
    </row>
    <row r="925" spans="2:13" x14ac:dyDescent="0.25">
      <c r="B925" t="e">
        <f>VLOOKUP(A925,Data!$A$2:$B$16,2,FALSE)</f>
        <v>#N/A</v>
      </c>
      <c r="C925" s="57"/>
      <c r="G925">
        <f t="shared" si="14"/>
        <v>0</v>
      </c>
      <c r="M925">
        <v>1</v>
      </c>
    </row>
    <row r="926" spans="2:13" x14ac:dyDescent="0.25">
      <c r="B926" t="e">
        <f>VLOOKUP(A926,Data!$A$2:$B$16,2,FALSE)</f>
        <v>#N/A</v>
      </c>
      <c r="C926" s="57"/>
      <c r="G926">
        <f t="shared" si="14"/>
        <v>0</v>
      </c>
      <c r="M926">
        <v>1</v>
      </c>
    </row>
    <row r="927" spans="2:13" x14ac:dyDescent="0.25">
      <c r="B927" t="e">
        <f>VLOOKUP(A927,Data!$A$2:$B$16,2,FALSE)</f>
        <v>#N/A</v>
      </c>
      <c r="C927" s="57"/>
      <c r="G927">
        <f t="shared" si="14"/>
        <v>0</v>
      </c>
      <c r="M927">
        <v>1</v>
      </c>
    </row>
    <row r="928" spans="2:13" x14ac:dyDescent="0.25">
      <c r="B928" t="e">
        <f>VLOOKUP(A928,Data!$A$2:$B$16,2,FALSE)</f>
        <v>#N/A</v>
      </c>
      <c r="C928" s="57"/>
      <c r="G928">
        <f t="shared" si="14"/>
        <v>0</v>
      </c>
      <c r="M928">
        <v>1</v>
      </c>
    </row>
    <row r="929" spans="2:13" x14ac:dyDescent="0.25">
      <c r="B929" t="e">
        <f>VLOOKUP(A929,Data!$A$2:$B$16,2,FALSE)</f>
        <v>#N/A</v>
      </c>
      <c r="C929" s="57"/>
      <c r="G929">
        <f t="shared" si="14"/>
        <v>0</v>
      </c>
      <c r="M929">
        <v>1</v>
      </c>
    </row>
    <row r="930" spans="2:13" x14ac:dyDescent="0.25">
      <c r="B930" t="e">
        <f>VLOOKUP(A930,Data!$A$2:$B$16,2,FALSE)</f>
        <v>#N/A</v>
      </c>
      <c r="C930" s="57"/>
      <c r="G930">
        <f t="shared" si="14"/>
        <v>0</v>
      </c>
      <c r="M930">
        <v>1</v>
      </c>
    </row>
    <row r="931" spans="2:13" x14ac:dyDescent="0.25">
      <c r="B931" t="e">
        <f>VLOOKUP(A931,Data!$A$2:$B$16,2,FALSE)</f>
        <v>#N/A</v>
      </c>
      <c r="C931" s="57"/>
      <c r="G931">
        <f t="shared" si="14"/>
        <v>0</v>
      </c>
      <c r="M931">
        <v>1</v>
      </c>
    </row>
    <row r="932" spans="2:13" x14ac:dyDescent="0.25">
      <c r="B932" t="e">
        <f>VLOOKUP(A932,Data!$A$2:$B$16,2,FALSE)</f>
        <v>#N/A</v>
      </c>
      <c r="C932" s="57"/>
      <c r="G932">
        <f t="shared" si="14"/>
        <v>0</v>
      </c>
      <c r="M932">
        <v>1</v>
      </c>
    </row>
    <row r="933" spans="2:13" x14ac:dyDescent="0.25">
      <c r="B933" t="e">
        <f>VLOOKUP(A933,Data!$A$2:$B$16,2,FALSE)</f>
        <v>#N/A</v>
      </c>
      <c r="C933" s="57"/>
      <c r="G933">
        <f t="shared" si="14"/>
        <v>0</v>
      </c>
      <c r="M933">
        <v>1</v>
      </c>
    </row>
    <row r="934" spans="2:13" x14ac:dyDescent="0.25">
      <c r="B934" t="e">
        <f>VLOOKUP(A934,Data!$A$2:$B$16,2,FALSE)</f>
        <v>#N/A</v>
      </c>
      <c r="C934" s="57"/>
      <c r="G934">
        <f t="shared" si="14"/>
        <v>0</v>
      </c>
      <c r="M934">
        <v>1</v>
      </c>
    </row>
    <row r="935" spans="2:13" x14ac:dyDescent="0.25">
      <c r="B935" t="e">
        <f>VLOOKUP(A935,Data!$A$2:$B$16,2,FALSE)</f>
        <v>#N/A</v>
      </c>
      <c r="C935" s="57"/>
      <c r="G935">
        <f t="shared" si="14"/>
        <v>0</v>
      </c>
      <c r="M935">
        <v>1</v>
      </c>
    </row>
    <row r="936" spans="2:13" x14ac:dyDescent="0.25">
      <c r="B936" t="e">
        <f>VLOOKUP(A936,Data!$A$2:$B$16,2,FALSE)</f>
        <v>#N/A</v>
      </c>
      <c r="C936" s="57"/>
      <c r="G936">
        <f t="shared" si="14"/>
        <v>0</v>
      </c>
      <c r="M936">
        <v>1</v>
      </c>
    </row>
    <row r="937" spans="2:13" x14ac:dyDescent="0.25">
      <c r="B937" t="e">
        <f>VLOOKUP(A937,Data!$A$2:$B$16,2,FALSE)</f>
        <v>#N/A</v>
      </c>
      <c r="C937" s="57"/>
      <c r="G937">
        <f t="shared" si="14"/>
        <v>0</v>
      </c>
      <c r="M937">
        <v>1</v>
      </c>
    </row>
    <row r="938" spans="2:13" x14ac:dyDescent="0.25">
      <c r="B938" t="e">
        <f>VLOOKUP(A938,Data!$A$2:$B$16,2,FALSE)</f>
        <v>#N/A</v>
      </c>
      <c r="C938" s="57"/>
      <c r="G938">
        <f t="shared" si="14"/>
        <v>0</v>
      </c>
      <c r="M938">
        <v>1</v>
      </c>
    </row>
    <row r="939" spans="2:13" x14ac:dyDescent="0.25">
      <c r="B939" t="e">
        <f>VLOOKUP(A939,Data!$A$2:$B$16,2,FALSE)</f>
        <v>#N/A</v>
      </c>
      <c r="C939" s="57"/>
      <c r="G939">
        <f t="shared" si="14"/>
        <v>0</v>
      </c>
      <c r="M939">
        <v>1</v>
      </c>
    </row>
    <row r="940" spans="2:13" x14ac:dyDescent="0.25">
      <c r="B940" t="e">
        <f>VLOOKUP(A940,Data!$A$2:$B$16,2,FALSE)</f>
        <v>#N/A</v>
      </c>
      <c r="C940" s="57"/>
      <c r="G940">
        <f t="shared" si="14"/>
        <v>0</v>
      </c>
      <c r="M940">
        <v>1</v>
      </c>
    </row>
    <row r="941" spans="2:13" x14ac:dyDescent="0.25">
      <c r="B941" t="e">
        <f>VLOOKUP(A941,Data!$A$2:$B$16,2,FALSE)</f>
        <v>#N/A</v>
      </c>
      <c r="C941" s="57"/>
      <c r="G941">
        <f t="shared" si="14"/>
        <v>0</v>
      </c>
      <c r="M941">
        <v>1</v>
      </c>
    </row>
    <row r="942" spans="2:13" x14ac:dyDescent="0.25">
      <c r="B942" t="e">
        <f>VLOOKUP(A942,Data!$A$2:$B$16,2,FALSE)</f>
        <v>#N/A</v>
      </c>
      <c r="C942" s="57"/>
      <c r="G942">
        <f t="shared" si="14"/>
        <v>0</v>
      </c>
      <c r="M942">
        <v>1</v>
      </c>
    </row>
    <row r="943" spans="2:13" x14ac:dyDescent="0.25">
      <c r="B943" t="e">
        <f>VLOOKUP(A943,Data!$A$2:$B$16,2,FALSE)</f>
        <v>#N/A</v>
      </c>
      <c r="C943" s="57"/>
      <c r="G943">
        <f t="shared" si="14"/>
        <v>0</v>
      </c>
      <c r="M943">
        <v>1</v>
      </c>
    </row>
    <row r="944" spans="2:13" x14ac:dyDescent="0.25">
      <c r="B944" t="e">
        <f>VLOOKUP(A944,Data!$A$2:$B$16,2,FALSE)</f>
        <v>#N/A</v>
      </c>
      <c r="C944" s="57"/>
      <c r="G944">
        <f t="shared" si="14"/>
        <v>0</v>
      </c>
      <c r="M944">
        <v>1</v>
      </c>
    </row>
    <row r="945" spans="2:13" x14ac:dyDescent="0.25">
      <c r="B945" t="e">
        <f>VLOOKUP(A945,Data!$A$2:$B$16,2,FALSE)</f>
        <v>#N/A</v>
      </c>
      <c r="C945" s="57"/>
      <c r="G945">
        <f t="shared" si="14"/>
        <v>0</v>
      </c>
      <c r="M945">
        <v>1</v>
      </c>
    </row>
    <row r="946" spans="2:13" x14ac:dyDescent="0.25">
      <c r="B946" t="e">
        <f>VLOOKUP(A946,Data!$A$2:$B$16,2,FALSE)</f>
        <v>#N/A</v>
      </c>
      <c r="C946" s="57"/>
      <c r="G946">
        <f t="shared" si="14"/>
        <v>0</v>
      </c>
      <c r="M946">
        <v>1</v>
      </c>
    </row>
    <row r="947" spans="2:13" x14ac:dyDescent="0.25">
      <c r="B947" t="e">
        <f>VLOOKUP(A947,Data!$A$2:$B$16,2,FALSE)</f>
        <v>#N/A</v>
      </c>
      <c r="C947" s="57"/>
      <c r="G947">
        <f t="shared" si="14"/>
        <v>0</v>
      </c>
      <c r="M947">
        <v>1</v>
      </c>
    </row>
    <row r="948" spans="2:13" x14ac:dyDescent="0.25">
      <c r="B948" t="e">
        <f>VLOOKUP(A948,Data!$A$2:$B$16,2,FALSE)</f>
        <v>#N/A</v>
      </c>
      <c r="C948" s="57"/>
      <c r="G948">
        <f t="shared" si="14"/>
        <v>0</v>
      </c>
      <c r="M948">
        <v>1</v>
      </c>
    </row>
    <row r="949" spans="2:13" x14ac:dyDescent="0.25">
      <c r="B949" t="e">
        <f>VLOOKUP(A949,Data!$A$2:$B$16,2,FALSE)</f>
        <v>#N/A</v>
      </c>
      <c r="C949" s="57"/>
      <c r="G949">
        <f t="shared" si="14"/>
        <v>0</v>
      </c>
      <c r="M949">
        <v>1</v>
      </c>
    </row>
    <row r="950" spans="2:13" x14ac:dyDescent="0.25">
      <c r="B950" t="e">
        <f>VLOOKUP(A950,Data!$A$2:$B$16,2,FALSE)</f>
        <v>#N/A</v>
      </c>
      <c r="C950" s="57"/>
      <c r="G950">
        <f t="shared" si="14"/>
        <v>0</v>
      </c>
      <c r="M950">
        <v>1</v>
      </c>
    </row>
    <row r="951" spans="2:13" x14ac:dyDescent="0.25">
      <c r="B951" t="e">
        <f>VLOOKUP(A951,Data!$A$2:$B$16,2,FALSE)</f>
        <v>#N/A</v>
      </c>
      <c r="C951" s="57"/>
      <c r="G951">
        <f t="shared" si="14"/>
        <v>0</v>
      </c>
      <c r="M951">
        <v>1</v>
      </c>
    </row>
    <row r="952" spans="2:13" x14ac:dyDescent="0.25">
      <c r="B952" t="e">
        <f>VLOOKUP(A952,Data!$A$2:$B$16,2,FALSE)</f>
        <v>#N/A</v>
      </c>
      <c r="C952" s="57"/>
      <c r="G952">
        <f t="shared" si="14"/>
        <v>0</v>
      </c>
      <c r="M952">
        <v>1</v>
      </c>
    </row>
    <row r="953" spans="2:13" x14ac:dyDescent="0.25">
      <c r="B953" t="e">
        <f>VLOOKUP(A953,Data!$A$2:$B$16,2,FALSE)</f>
        <v>#N/A</v>
      </c>
      <c r="C953" s="57"/>
      <c r="G953">
        <f t="shared" si="14"/>
        <v>0</v>
      </c>
      <c r="M953">
        <v>1</v>
      </c>
    </row>
    <row r="954" spans="2:13" x14ac:dyDescent="0.25">
      <c r="B954" t="e">
        <f>VLOOKUP(A954,Data!$A$2:$B$16,2,FALSE)</f>
        <v>#N/A</v>
      </c>
      <c r="C954" s="57"/>
      <c r="G954">
        <f t="shared" si="14"/>
        <v>0</v>
      </c>
      <c r="M954">
        <v>1</v>
      </c>
    </row>
    <row r="955" spans="2:13" x14ac:dyDescent="0.25">
      <c r="B955" t="e">
        <f>VLOOKUP(A955,Data!$A$2:$B$16,2,FALSE)</f>
        <v>#N/A</v>
      </c>
      <c r="C955" s="57"/>
      <c r="G955">
        <f t="shared" si="14"/>
        <v>0</v>
      </c>
      <c r="M955">
        <v>1</v>
      </c>
    </row>
    <row r="956" spans="2:13" x14ac:dyDescent="0.25">
      <c r="B956" t="e">
        <f>VLOOKUP(A956,Data!$A$2:$B$16,2,FALSE)</f>
        <v>#N/A</v>
      </c>
      <c r="C956" s="57"/>
      <c r="G956">
        <f t="shared" si="14"/>
        <v>0</v>
      </c>
      <c r="M956">
        <v>1</v>
      </c>
    </row>
    <row r="957" spans="2:13" x14ac:dyDescent="0.25">
      <c r="B957" t="e">
        <f>VLOOKUP(A957,Data!$A$2:$B$16,2,FALSE)</f>
        <v>#N/A</v>
      </c>
      <c r="C957" s="57"/>
      <c r="G957">
        <f t="shared" si="14"/>
        <v>0</v>
      </c>
      <c r="M957">
        <v>1</v>
      </c>
    </row>
    <row r="958" spans="2:13" x14ac:dyDescent="0.25">
      <c r="B958" t="e">
        <f>VLOOKUP(A958,Data!$A$2:$B$16,2,FALSE)</f>
        <v>#N/A</v>
      </c>
      <c r="C958" s="57"/>
      <c r="G958">
        <f t="shared" si="14"/>
        <v>0</v>
      </c>
      <c r="M958">
        <v>1</v>
      </c>
    </row>
    <row r="959" spans="2:13" x14ac:dyDescent="0.25">
      <c r="B959" t="e">
        <f>VLOOKUP(A959,Data!$A$2:$B$16,2,FALSE)</f>
        <v>#N/A</v>
      </c>
      <c r="C959" s="57"/>
      <c r="G959">
        <f t="shared" si="14"/>
        <v>0</v>
      </c>
      <c r="M959">
        <v>1</v>
      </c>
    </row>
    <row r="960" spans="2:13" x14ac:dyDescent="0.25">
      <c r="B960" t="e">
        <f>VLOOKUP(A960,Data!$A$2:$B$16,2,FALSE)</f>
        <v>#N/A</v>
      </c>
      <c r="C960" s="57"/>
      <c r="G960">
        <f t="shared" si="14"/>
        <v>0</v>
      </c>
      <c r="M960">
        <v>1</v>
      </c>
    </row>
    <row r="961" spans="2:13" x14ac:dyDescent="0.25">
      <c r="B961" t="e">
        <f>VLOOKUP(A961,Data!$A$2:$B$16,2,FALSE)</f>
        <v>#N/A</v>
      </c>
      <c r="C961" s="57"/>
      <c r="G961">
        <f t="shared" si="14"/>
        <v>0</v>
      </c>
      <c r="M961">
        <v>1</v>
      </c>
    </row>
    <row r="962" spans="2:13" x14ac:dyDescent="0.25">
      <c r="B962" t="e">
        <f>VLOOKUP(A962,Data!$A$2:$B$16,2,FALSE)</f>
        <v>#N/A</v>
      </c>
      <c r="C962" s="57"/>
      <c r="G962">
        <f t="shared" si="14"/>
        <v>0</v>
      </c>
      <c r="M962">
        <v>1</v>
      </c>
    </row>
    <row r="963" spans="2:13" x14ac:dyDescent="0.25">
      <c r="B963" t="e">
        <f>VLOOKUP(A963,Data!$A$2:$B$16,2,FALSE)</f>
        <v>#N/A</v>
      </c>
      <c r="C963" s="57"/>
      <c r="G963">
        <f t="shared" ref="G963:G1001" si="15">ROUNDUP(F963/60,2)</f>
        <v>0</v>
      </c>
      <c r="M963">
        <v>1</v>
      </c>
    </row>
    <row r="964" spans="2:13" x14ac:dyDescent="0.25">
      <c r="B964" t="e">
        <f>VLOOKUP(A964,Data!$A$2:$B$16,2,FALSE)</f>
        <v>#N/A</v>
      </c>
      <c r="C964" s="57"/>
      <c r="G964">
        <f t="shared" si="15"/>
        <v>0</v>
      </c>
      <c r="M964">
        <v>1</v>
      </c>
    </row>
    <row r="965" spans="2:13" x14ac:dyDescent="0.25">
      <c r="B965" t="e">
        <f>VLOOKUP(A965,Data!$A$2:$B$16,2,FALSE)</f>
        <v>#N/A</v>
      </c>
      <c r="C965" s="57"/>
      <c r="G965">
        <f t="shared" si="15"/>
        <v>0</v>
      </c>
      <c r="M965">
        <v>1</v>
      </c>
    </row>
    <row r="966" spans="2:13" x14ac:dyDescent="0.25">
      <c r="B966" t="e">
        <f>VLOOKUP(A966,Data!$A$2:$B$16,2,FALSE)</f>
        <v>#N/A</v>
      </c>
      <c r="C966" s="57"/>
      <c r="G966">
        <f t="shared" si="15"/>
        <v>0</v>
      </c>
      <c r="M966">
        <v>1</v>
      </c>
    </row>
    <row r="967" spans="2:13" x14ac:dyDescent="0.25">
      <c r="B967" t="e">
        <f>VLOOKUP(A967,Data!$A$2:$B$16,2,FALSE)</f>
        <v>#N/A</v>
      </c>
      <c r="C967" s="57"/>
      <c r="G967">
        <f t="shared" si="15"/>
        <v>0</v>
      </c>
      <c r="M967">
        <v>1</v>
      </c>
    </row>
    <row r="968" spans="2:13" x14ac:dyDescent="0.25">
      <c r="B968" t="e">
        <f>VLOOKUP(A968,Data!$A$2:$B$16,2,FALSE)</f>
        <v>#N/A</v>
      </c>
      <c r="C968" s="57"/>
      <c r="G968">
        <f t="shared" si="15"/>
        <v>0</v>
      </c>
      <c r="M968">
        <v>1</v>
      </c>
    </row>
    <row r="969" spans="2:13" x14ac:dyDescent="0.25">
      <c r="B969" t="e">
        <f>VLOOKUP(A969,Data!$A$2:$B$16,2,FALSE)</f>
        <v>#N/A</v>
      </c>
      <c r="C969" s="57"/>
      <c r="G969">
        <f t="shared" si="15"/>
        <v>0</v>
      </c>
      <c r="M969">
        <v>1</v>
      </c>
    </row>
    <row r="970" spans="2:13" x14ac:dyDescent="0.25">
      <c r="B970" t="e">
        <f>VLOOKUP(A970,Data!$A$2:$B$16,2,FALSE)</f>
        <v>#N/A</v>
      </c>
      <c r="C970" s="57"/>
      <c r="G970">
        <f t="shared" si="15"/>
        <v>0</v>
      </c>
      <c r="M970">
        <v>1</v>
      </c>
    </row>
    <row r="971" spans="2:13" x14ac:dyDescent="0.25">
      <c r="B971" t="e">
        <f>VLOOKUP(A971,Data!$A$2:$B$16,2,FALSE)</f>
        <v>#N/A</v>
      </c>
      <c r="C971" s="57"/>
      <c r="G971">
        <f t="shared" si="15"/>
        <v>0</v>
      </c>
      <c r="M971">
        <v>1</v>
      </c>
    </row>
    <row r="972" spans="2:13" x14ac:dyDescent="0.25">
      <c r="B972" t="e">
        <f>VLOOKUP(A972,Data!$A$2:$B$16,2,FALSE)</f>
        <v>#N/A</v>
      </c>
      <c r="C972" s="57"/>
      <c r="G972">
        <f t="shared" si="15"/>
        <v>0</v>
      </c>
      <c r="M972">
        <v>1</v>
      </c>
    </row>
    <row r="973" spans="2:13" x14ac:dyDescent="0.25">
      <c r="B973" t="e">
        <f>VLOOKUP(A973,Data!$A$2:$B$16,2,FALSE)</f>
        <v>#N/A</v>
      </c>
      <c r="C973" s="57"/>
      <c r="G973">
        <f t="shared" si="15"/>
        <v>0</v>
      </c>
      <c r="M973">
        <v>1</v>
      </c>
    </row>
    <row r="974" spans="2:13" x14ac:dyDescent="0.25">
      <c r="B974" t="e">
        <f>VLOOKUP(A974,Data!$A$2:$B$16,2,FALSE)</f>
        <v>#N/A</v>
      </c>
      <c r="C974" s="57"/>
      <c r="G974">
        <f t="shared" si="15"/>
        <v>0</v>
      </c>
      <c r="M974">
        <v>1</v>
      </c>
    </row>
    <row r="975" spans="2:13" x14ac:dyDescent="0.25">
      <c r="B975" t="e">
        <f>VLOOKUP(A975,Data!$A$2:$B$16,2,FALSE)</f>
        <v>#N/A</v>
      </c>
      <c r="C975" s="57"/>
      <c r="G975">
        <f t="shared" si="15"/>
        <v>0</v>
      </c>
      <c r="M975">
        <v>1</v>
      </c>
    </row>
    <row r="976" spans="2:13" x14ac:dyDescent="0.25">
      <c r="B976" t="e">
        <f>VLOOKUP(A976,Data!$A$2:$B$16,2,FALSE)</f>
        <v>#N/A</v>
      </c>
      <c r="C976" s="57"/>
      <c r="G976">
        <f t="shared" si="15"/>
        <v>0</v>
      </c>
      <c r="M976">
        <v>1</v>
      </c>
    </row>
    <row r="977" spans="2:13" x14ac:dyDescent="0.25">
      <c r="B977" t="e">
        <f>VLOOKUP(A977,Data!$A$2:$B$16,2,FALSE)</f>
        <v>#N/A</v>
      </c>
      <c r="C977" s="57"/>
      <c r="G977">
        <f t="shared" si="15"/>
        <v>0</v>
      </c>
      <c r="M977">
        <v>1</v>
      </c>
    </row>
    <row r="978" spans="2:13" x14ac:dyDescent="0.25">
      <c r="B978" t="e">
        <f>VLOOKUP(A978,Data!$A$2:$B$16,2,FALSE)</f>
        <v>#N/A</v>
      </c>
      <c r="C978" s="57"/>
      <c r="G978">
        <f t="shared" si="15"/>
        <v>0</v>
      </c>
      <c r="M978">
        <v>1</v>
      </c>
    </row>
    <row r="979" spans="2:13" x14ac:dyDescent="0.25">
      <c r="B979" t="e">
        <f>VLOOKUP(A979,Data!$A$2:$B$16,2,FALSE)</f>
        <v>#N/A</v>
      </c>
      <c r="C979" s="57"/>
      <c r="G979">
        <f t="shared" si="15"/>
        <v>0</v>
      </c>
      <c r="M979">
        <v>1</v>
      </c>
    </row>
    <row r="980" spans="2:13" x14ac:dyDescent="0.25">
      <c r="B980" t="e">
        <f>VLOOKUP(A980,Data!$A$2:$B$16,2,FALSE)</f>
        <v>#N/A</v>
      </c>
      <c r="C980" s="57"/>
      <c r="G980">
        <f t="shared" si="15"/>
        <v>0</v>
      </c>
      <c r="M980">
        <v>1</v>
      </c>
    </row>
    <row r="981" spans="2:13" x14ac:dyDescent="0.25">
      <c r="B981" t="e">
        <f>VLOOKUP(A981,Data!$A$2:$B$16,2,FALSE)</f>
        <v>#N/A</v>
      </c>
      <c r="C981" s="57"/>
      <c r="G981">
        <f t="shared" si="15"/>
        <v>0</v>
      </c>
      <c r="M981">
        <v>1</v>
      </c>
    </row>
    <row r="982" spans="2:13" x14ac:dyDescent="0.25">
      <c r="B982" t="e">
        <f>VLOOKUP(A982,Data!$A$2:$B$16,2,FALSE)</f>
        <v>#N/A</v>
      </c>
      <c r="C982" s="57"/>
      <c r="G982">
        <f t="shared" si="15"/>
        <v>0</v>
      </c>
      <c r="M982">
        <v>1</v>
      </c>
    </row>
    <row r="983" spans="2:13" x14ac:dyDescent="0.25">
      <c r="B983" t="e">
        <f>VLOOKUP(A983,Data!$A$2:$B$16,2,FALSE)</f>
        <v>#N/A</v>
      </c>
      <c r="C983" s="57"/>
      <c r="G983">
        <f t="shared" si="15"/>
        <v>0</v>
      </c>
      <c r="M983">
        <v>1</v>
      </c>
    </row>
    <row r="984" spans="2:13" x14ac:dyDescent="0.25">
      <c r="B984" t="e">
        <f>VLOOKUP(A984,Data!$A$2:$B$16,2,FALSE)</f>
        <v>#N/A</v>
      </c>
      <c r="C984" s="57"/>
      <c r="G984">
        <f t="shared" si="15"/>
        <v>0</v>
      </c>
      <c r="M984">
        <v>1</v>
      </c>
    </row>
    <row r="985" spans="2:13" x14ac:dyDescent="0.25">
      <c r="B985" t="e">
        <f>VLOOKUP(A985,Data!$A$2:$B$16,2,FALSE)</f>
        <v>#N/A</v>
      </c>
      <c r="C985" s="57"/>
      <c r="G985">
        <f t="shared" si="15"/>
        <v>0</v>
      </c>
      <c r="M985">
        <v>1</v>
      </c>
    </row>
    <row r="986" spans="2:13" x14ac:dyDescent="0.25">
      <c r="B986" t="e">
        <f>VLOOKUP(A986,Data!$A$2:$B$16,2,FALSE)</f>
        <v>#N/A</v>
      </c>
      <c r="C986" s="57"/>
      <c r="G986">
        <f t="shared" si="15"/>
        <v>0</v>
      </c>
      <c r="M986">
        <v>1</v>
      </c>
    </row>
    <row r="987" spans="2:13" x14ac:dyDescent="0.25">
      <c r="B987" t="e">
        <f>VLOOKUP(A987,Data!$A$2:$B$16,2,FALSE)</f>
        <v>#N/A</v>
      </c>
      <c r="C987" s="57"/>
      <c r="G987">
        <f t="shared" si="15"/>
        <v>0</v>
      </c>
      <c r="M987">
        <v>1</v>
      </c>
    </row>
    <row r="988" spans="2:13" x14ac:dyDescent="0.25">
      <c r="B988" t="e">
        <f>VLOOKUP(A988,Data!$A$2:$B$16,2,FALSE)</f>
        <v>#N/A</v>
      </c>
      <c r="C988" s="57"/>
      <c r="G988">
        <f t="shared" si="15"/>
        <v>0</v>
      </c>
      <c r="M988">
        <v>1</v>
      </c>
    </row>
    <row r="989" spans="2:13" x14ac:dyDescent="0.25">
      <c r="B989" t="e">
        <f>VLOOKUP(A989,Data!$A$2:$B$16,2,FALSE)</f>
        <v>#N/A</v>
      </c>
      <c r="C989" s="57"/>
      <c r="G989">
        <f t="shared" si="15"/>
        <v>0</v>
      </c>
      <c r="M989">
        <v>1</v>
      </c>
    </row>
    <row r="990" spans="2:13" x14ac:dyDescent="0.25">
      <c r="B990" t="e">
        <f>VLOOKUP(A990,Data!$A$2:$B$16,2,FALSE)</f>
        <v>#N/A</v>
      </c>
      <c r="C990" s="57"/>
      <c r="G990">
        <f t="shared" si="15"/>
        <v>0</v>
      </c>
      <c r="M990">
        <v>1</v>
      </c>
    </row>
    <row r="991" spans="2:13" x14ac:dyDescent="0.25">
      <c r="B991" t="e">
        <f>VLOOKUP(A991,Data!$A$2:$B$16,2,FALSE)</f>
        <v>#N/A</v>
      </c>
      <c r="C991" s="57"/>
      <c r="G991">
        <f t="shared" si="15"/>
        <v>0</v>
      </c>
      <c r="M991">
        <v>1</v>
      </c>
    </row>
    <row r="992" spans="2:13" x14ac:dyDescent="0.25">
      <c r="B992" t="e">
        <f>VLOOKUP(A992,Data!$A$2:$B$16,2,FALSE)</f>
        <v>#N/A</v>
      </c>
      <c r="C992" s="57"/>
      <c r="G992">
        <f t="shared" si="15"/>
        <v>0</v>
      </c>
      <c r="M992">
        <v>1</v>
      </c>
    </row>
    <row r="993" spans="2:13" x14ac:dyDescent="0.25">
      <c r="B993" t="e">
        <f>VLOOKUP(A993,Data!$A$2:$B$16,2,FALSE)</f>
        <v>#N/A</v>
      </c>
      <c r="C993" s="57"/>
      <c r="G993">
        <f t="shared" si="15"/>
        <v>0</v>
      </c>
      <c r="M993">
        <v>1</v>
      </c>
    </row>
    <row r="994" spans="2:13" x14ac:dyDescent="0.25">
      <c r="B994" t="e">
        <f>VLOOKUP(A994,Data!$A$2:$B$16,2,FALSE)</f>
        <v>#N/A</v>
      </c>
      <c r="C994" s="57"/>
      <c r="G994">
        <f t="shared" si="15"/>
        <v>0</v>
      </c>
      <c r="M994">
        <v>1</v>
      </c>
    </row>
    <row r="995" spans="2:13" x14ac:dyDescent="0.25">
      <c r="B995" t="e">
        <f>VLOOKUP(A995,Data!$A$2:$B$16,2,FALSE)</f>
        <v>#N/A</v>
      </c>
      <c r="C995" s="57"/>
      <c r="G995">
        <f t="shared" si="15"/>
        <v>0</v>
      </c>
      <c r="M995">
        <v>1</v>
      </c>
    </row>
    <row r="996" spans="2:13" x14ac:dyDescent="0.25">
      <c r="B996" t="e">
        <f>VLOOKUP(A996,Data!$A$2:$B$16,2,FALSE)</f>
        <v>#N/A</v>
      </c>
      <c r="C996" s="57"/>
      <c r="G996">
        <f t="shared" si="15"/>
        <v>0</v>
      </c>
      <c r="M996">
        <v>1</v>
      </c>
    </row>
    <row r="997" spans="2:13" x14ac:dyDescent="0.25">
      <c r="B997" t="e">
        <f>VLOOKUP(A997,Data!$A$2:$B$16,2,FALSE)</f>
        <v>#N/A</v>
      </c>
      <c r="C997" s="57"/>
      <c r="G997">
        <f t="shared" si="15"/>
        <v>0</v>
      </c>
      <c r="M997">
        <v>1</v>
      </c>
    </row>
    <row r="998" spans="2:13" x14ac:dyDescent="0.25">
      <c r="B998" t="e">
        <f>VLOOKUP(A998,Data!$A$2:$B$16,2,FALSE)</f>
        <v>#N/A</v>
      </c>
      <c r="C998" s="57"/>
      <c r="G998">
        <f t="shared" si="15"/>
        <v>0</v>
      </c>
      <c r="M998">
        <v>1</v>
      </c>
    </row>
    <row r="999" spans="2:13" x14ac:dyDescent="0.25">
      <c r="B999" t="e">
        <f>VLOOKUP(A999,Data!$A$2:$B$16,2,FALSE)</f>
        <v>#N/A</v>
      </c>
      <c r="C999" s="57"/>
      <c r="G999">
        <f t="shared" si="15"/>
        <v>0</v>
      </c>
      <c r="M999">
        <v>1</v>
      </c>
    </row>
    <row r="1000" spans="2:13" x14ac:dyDescent="0.25">
      <c r="B1000" t="e">
        <f>VLOOKUP(A1000,Data!$A$2:$B$16,2,FALSE)</f>
        <v>#N/A</v>
      </c>
      <c r="C1000" s="57"/>
      <c r="G1000">
        <f t="shared" si="15"/>
        <v>0</v>
      </c>
      <c r="M1000">
        <v>1</v>
      </c>
    </row>
    <row r="1001" spans="2:13" x14ac:dyDescent="0.25">
      <c r="B1001" t="e">
        <f>VLOOKUP(A1001,Data!$A$2:$B$16,2,FALSE)</f>
        <v>#N/A</v>
      </c>
      <c r="C1001" s="57"/>
      <c r="G1001">
        <f t="shared" si="15"/>
        <v>0</v>
      </c>
      <c r="M1001">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71DC59-34FC-4647-A622-8352629A15B6}">
          <x14:formula1>
            <xm:f>Data!$A$2:$A$15</xm:f>
          </x14:formula1>
          <xm:sqref>A2:A1001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5A0A-DFB9-4E81-A58A-4784843ACE93}">
  <sheetPr>
    <tabColor rgb="FF7030A0"/>
  </sheetPr>
  <dimension ref="A1:B15"/>
  <sheetViews>
    <sheetView workbookViewId="0">
      <selection activeCell="B2" sqref="B2:B15"/>
    </sheetView>
  </sheetViews>
  <sheetFormatPr defaultRowHeight="15" x14ac:dyDescent="0.25"/>
  <cols>
    <col min="1" max="1" width="22.140625" bestFit="1" customWidth="1"/>
    <col min="2" max="2" width="16.42578125" bestFit="1" customWidth="1"/>
  </cols>
  <sheetData>
    <row r="1" spans="1:2" x14ac:dyDescent="0.25">
      <c r="A1" t="s">
        <v>14</v>
      </c>
      <c r="B1" t="s">
        <v>54</v>
      </c>
    </row>
    <row r="2" spans="1:2" x14ac:dyDescent="0.25">
      <c r="A2" t="s">
        <v>6</v>
      </c>
      <c r="B2" t="s">
        <v>41</v>
      </c>
    </row>
    <row r="3" spans="1:2" x14ac:dyDescent="0.25">
      <c r="A3" t="s">
        <v>10</v>
      </c>
      <c r="B3" t="s">
        <v>55</v>
      </c>
    </row>
    <row r="4" spans="1:2" x14ac:dyDescent="0.25">
      <c r="A4" t="s">
        <v>11</v>
      </c>
      <c r="B4" t="s">
        <v>56</v>
      </c>
    </row>
    <row r="5" spans="1:2" x14ac:dyDescent="0.25">
      <c r="A5" t="s">
        <v>12</v>
      </c>
      <c r="B5" t="s">
        <v>57</v>
      </c>
    </row>
    <row r="6" spans="1:2" x14ac:dyDescent="0.25">
      <c r="A6" t="s">
        <v>13</v>
      </c>
      <c r="B6" t="s">
        <v>58</v>
      </c>
    </row>
    <row r="7" spans="1:2" x14ac:dyDescent="0.25">
      <c r="A7" t="s">
        <v>15</v>
      </c>
      <c r="B7" t="s">
        <v>59</v>
      </c>
    </row>
    <row r="8" spans="1:2" x14ac:dyDescent="0.25">
      <c r="A8" t="s">
        <v>16</v>
      </c>
      <c r="B8" t="s">
        <v>60</v>
      </c>
    </row>
    <row r="9" spans="1:2" x14ac:dyDescent="0.25">
      <c r="A9" t="s">
        <v>17</v>
      </c>
      <c r="B9" t="s">
        <v>61</v>
      </c>
    </row>
    <row r="10" spans="1:2" x14ac:dyDescent="0.25">
      <c r="A10" t="s">
        <v>53</v>
      </c>
      <c r="B10" t="s">
        <v>62</v>
      </c>
    </row>
    <row r="11" spans="1:2" x14ac:dyDescent="0.25">
      <c r="A11" t="s">
        <v>19</v>
      </c>
      <c r="B11" t="s">
        <v>63</v>
      </c>
    </row>
    <row r="12" spans="1:2" x14ac:dyDescent="0.25">
      <c r="A12" t="s">
        <v>20</v>
      </c>
      <c r="B12" t="s">
        <v>64</v>
      </c>
    </row>
    <row r="13" spans="1:2" x14ac:dyDescent="0.25">
      <c r="A13" t="s">
        <v>8</v>
      </c>
      <c r="B13" t="s">
        <v>65</v>
      </c>
    </row>
    <row r="14" spans="1:2" x14ac:dyDescent="0.25">
      <c r="A14" t="s">
        <v>21</v>
      </c>
      <c r="B14" t="s">
        <v>66</v>
      </c>
    </row>
    <row r="15" spans="1:2" x14ac:dyDescent="0.25">
      <c r="A15" t="s">
        <v>22</v>
      </c>
      <c r="B15"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Usage</vt:lpstr>
      <vt:lpstr>Strategic Overview</vt:lpstr>
      <vt:lpstr>Threat Hunts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Wiedner</dc:creator>
  <cp:lastModifiedBy>Jeremy</cp:lastModifiedBy>
  <dcterms:created xsi:type="dcterms:W3CDTF">2022-08-14T15:48:50Z</dcterms:created>
  <dcterms:modified xsi:type="dcterms:W3CDTF">2022-08-15T14:08:41Z</dcterms:modified>
</cp:coreProperties>
</file>