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labe/Desktop/INTPART/"/>
    </mc:Choice>
  </mc:AlternateContent>
  <bookViews>
    <workbookView xWindow="0" yWindow="460" windowWidth="25600" windowHeight="14620" activeTab="2"/>
  </bookViews>
  <sheets>
    <sheet name="BrinePropTab" sheetId="1" r:id="rId1"/>
    <sheet name="Station2Data" sheetId="2" r:id="rId2"/>
    <sheet name="CPP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E4" i="3"/>
  <c r="F4" i="3"/>
  <c r="I4" i="3"/>
  <c r="J4" i="3"/>
  <c r="C4" i="3"/>
  <c r="D4" i="3"/>
  <c r="B23" i="3"/>
  <c r="E23" i="3"/>
  <c r="F23" i="3"/>
  <c r="I23" i="3"/>
  <c r="J23" i="3"/>
  <c r="P23" i="3"/>
  <c r="B22" i="3"/>
  <c r="E22" i="3"/>
  <c r="F22" i="3"/>
  <c r="I22" i="3"/>
  <c r="J22" i="3"/>
  <c r="P22" i="3"/>
  <c r="B21" i="3"/>
  <c r="E21" i="3"/>
  <c r="F21" i="3"/>
  <c r="I21" i="3"/>
  <c r="J21" i="3"/>
  <c r="P21" i="3"/>
  <c r="B20" i="3"/>
  <c r="E20" i="3"/>
  <c r="F20" i="3"/>
  <c r="I20" i="3"/>
  <c r="J20" i="3"/>
  <c r="P20" i="3"/>
  <c r="B19" i="3"/>
  <c r="E19" i="3"/>
  <c r="F19" i="3"/>
  <c r="I19" i="3"/>
  <c r="J19" i="3"/>
  <c r="P19" i="3"/>
  <c r="B18" i="3"/>
  <c r="E18" i="3"/>
  <c r="F18" i="3"/>
  <c r="I18" i="3"/>
  <c r="J18" i="3"/>
  <c r="P18" i="3"/>
  <c r="B17" i="3"/>
  <c r="E17" i="3"/>
  <c r="F17" i="3"/>
  <c r="I17" i="3"/>
  <c r="J17" i="3"/>
  <c r="P17" i="3"/>
  <c r="B16" i="3"/>
  <c r="E16" i="3"/>
  <c r="F16" i="3"/>
  <c r="I16" i="3"/>
  <c r="J16" i="3"/>
  <c r="P16" i="3"/>
  <c r="B15" i="3"/>
  <c r="E15" i="3"/>
  <c r="F15" i="3"/>
  <c r="I15" i="3"/>
  <c r="J15" i="3"/>
  <c r="P15" i="3"/>
  <c r="B14" i="3"/>
  <c r="E14" i="3"/>
  <c r="F14" i="3"/>
  <c r="I14" i="3"/>
  <c r="J14" i="3"/>
  <c r="P14" i="3"/>
  <c r="B13" i="3"/>
  <c r="E13" i="3"/>
  <c r="F13" i="3"/>
  <c r="I13" i="3"/>
  <c r="J13" i="3"/>
  <c r="P13" i="3"/>
  <c r="B12" i="3"/>
  <c r="E12" i="3"/>
  <c r="F12" i="3"/>
  <c r="I12" i="3"/>
  <c r="J12" i="3"/>
  <c r="P12" i="3"/>
  <c r="B11" i="3"/>
  <c r="E11" i="3"/>
  <c r="F11" i="3"/>
  <c r="I11" i="3"/>
  <c r="J11" i="3"/>
  <c r="P11" i="3"/>
  <c r="B10" i="3"/>
  <c r="E10" i="3"/>
  <c r="F10" i="3"/>
  <c r="I10" i="3"/>
  <c r="J10" i="3"/>
  <c r="P10" i="3"/>
  <c r="B9" i="3"/>
  <c r="E9" i="3"/>
  <c r="F9" i="3"/>
  <c r="I9" i="3"/>
  <c r="J9" i="3"/>
  <c r="P9" i="3"/>
  <c r="B8" i="3"/>
  <c r="E8" i="3"/>
  <c r="F8" i="3"/>
  <c r="I8" i="3"/>
  <c r="J8" i="3"/>
  <c r="P8" i="3"/>
  <c r="B7" i="3"/>
  <c r="E7" i="3"/>
  <c r="F7" i="3"/>
  <c r="I7" i="3"/>
  <c r="J7" i="3"/>
  <c r="P7" i="3"/>
  <c r="B6" i="3"/>
  <c r="E6" i="3"/>
  <c r="F6" i="3"/>
  <c r="I6" i="3"/>
  <c r="J6" i="3"/>
  <c r="P6" i="3"/>
  <c r="B5" i="3"/>
  <c r="E5" i="3"/>
  <c r="F5" i="3"/>
  <c r="I5" i="3"/>
  <c r="J5" i="3"/>
  <c r="P5" i="3"/>
  <c r="P4" i="3"/>
  <c r="K23" i="3"/>
  <c r="N23" i="3"/>
  <c r="O23" i="3"/>
  <c r="L23" i="3"/>
  <c r="M23" i="3"/>
  <c r="K22" i="3"/>
  <c r="N22" i="3"/>
  <c r="O22" i="3"/>
  <c r="L22" i="3"/>
  <c r="M22" i="3"/>
  <c r="K21" i="3"/>
  <c r="N21" i="3"/>
  <c r="O21" i="3"/>
  <c r="L21" i="3"/>
  <c r="M21" i="3"/>
  <c r="K20" i="3"/>
  <c r="N20" i="3"/>
  <c r="O20" i="3"/>
  <c r="L20" i="3"/>
  <c r="M20" i="3"/>
  <c r="K19" i="3"/>
  <c r="N19" i="3"/>
  <c r="O19" i="3"/>
  <c r="L19" i="3"/>
  <c r="M19" i="3"/>
  <c r="K18" i="3"/>
  <c r="N18" i="3"/>
  <c r="O18" i="3"/>
  <c r="L18" i="3"/>
  <c r="M18" i="3"/>
  <c r="K17" i="3"/>
  <c r="N17" i="3"/>
  <c r="O17" i="3"/>
  <c r="L17" i="3"/>
  <c r="M17" i="3"/>
  <c r="K16" i="3"/>
  <c r="N16" i="3"/>
  <c r="O16" i="3"/>
  <c r="L16" i="3"/>
  <c r="M16" i="3"/>
  <c r="K15" i="3"/>
  <c r="N15" i="3"/>
  <c r="O15" i="3"/>
  <c r="L15" i="3"/>
  <c r="M15" i="3"/>
  <c r="K14" i="3"/>
  <c r="N14" i="3"/>
  <c r="O14" i="3"/>
  <c r="L14" i="3"/>
  <c r="M14" i="3"/>
  <c r="K13" i="3"/>
  <c r="N13" i="3"/>
  <c r="O13" i="3"/>
  <c r="L13" i="3"/>
  <c r="M13" i="3"/>
  <c r="K12" i="3"/>
  <c r="N12" i="3"/>
  <c r="O12" i="3"/>
  <c r="L12" i="3"/>
  <c r="M12" i="3"/>
  <c r="K11" i="3"/>
  <c r="N11" i="3"/>
  <c r="O11" i="3"/>
  <c r="L11" i="3"/>
  <c r="M11" i="3"/>
  <c r="K10" i="3"/>
  <c r="N10" i="3"/>
  <c r="O10" i="3"/>
  <c r="L10" i="3"/>
  <c r="M10" i="3"/>
  <c r="K9" i="3"/>
  <c r="N9" i="3"/>
  <c r="O9" i="3"/>
  <c r="L9" i="3"/>
  <c r="M9" i="3"/>
  <c r="K8" i="3"/>
  <c r="N8" i="3"/>
  <c r="O8" i="3"/>
  <c r="L8" i="3"/>
  <c r="M8" i="3"/>
  <c r="K7" i="3"/>
  <c r="N7" i="3"/>
  <c r="O7" i="3"/>
  <c r="L7" i="3"/>
  <c r="M7" i="3"/>
  <c r="K6" i="3"/>
  <c r="N6" i="3"/>
  <c r="O6" i="3"/>
  <c r="L6" i="3"/>
  <c r="M6" i="3"/>
  <c r="K5" i="3"/>
  <c r="N5" i="3"/>
  <c r="O5" i="3"/>
  <c r="L5" i="3"/>
  <c r="M5" i="3"/>
  <c r="K4" i="3"/>
  <c r="L4" i="3"/>
  <c r="N4" i="3"/>
  <c r="O4" i="3"/>
  <c r="M4" i="3"/>
  <c r="C23" i="3"/>
  <c r="D23" i="3"/>
  <c r="C22" i="3"/>
  <c r="D22" i="3"/>
  <c r="C21" i="3"/>
  <c r="D21" i="3"/>
  <c r="C20" i="3"/>
  <c r="D20" i="3"/>
  <c r="C19" i="3"/>
  <c r="D19" i="3"/>
  <c r="C18" i="3"/>
  <c r="D18" i="3"/>
  <c r="C17" i="3"/>
  <c r="D17" i="3"/>
  <c r="C16" i="3"/>
  <c r="D16" i="3"/>
  <c r="C15" i="3"/>
  <c r="D15" i="3"/>
  <c r="C14" i="3"/>
  <c r="D14" i="3"/>
  <c r="C13" i="3"/>
  <c r="D13" i="3"/>
  <c r="C12" i="3"/>
  <c r="D12" i="3"/>
  <c r="C11" i="3"/>
  <c r="D11" i="3"/>
  <c r="C10" i="3"/>
  <c r="D10" i="3"/>
  <c r="C9" i="3"/>
  <c r="D9" i="3"/>
  <c r="C8" i="3"/>
  <c r="D8" i="3"/>
  <c r="C7" i="3"/>
  <c r="D7" i="3"/>
  <c r="C6" i="3"/>
  <c r="D6" i="3"/>
  <c r="C5" i="3"/>
  <c r="D5" i="3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B36" i="1"/>
  <c r="E36" i="1"/>
  <c r="F36" i="1"/>
  <c r="I36" i="1"/>
  <c r="B35" i="1"/>
  <c r="E35" i="1"/>
  <c r="F35" i="1"/>
  <c r="I35" i="1"/>
  <c r="B34" i="1"/>
  <c r="E34" i="1"/>
  <c r="F34" i="1"/>
  <c r="I34" i="1"/>
  <c r="B33" i="1"/>
  <c r="E33" i="1"/>
  <c r="F33" i="1"/>
  <c r="I33" i="1"/>
  <c r="B32" i="1"/>
  <c r="E32" i="1"/>
  <c r="F32" i="1"/>
  <c r="I32" i="1"/>
  <c r="B31" i="1"/>
  <c r="E31" i="1"/>
  <c r="F31" i="1"/>
  <c r="I31" i="1"/>
  <c r="B30" i="1"/>
  <c r="E30" i="1"/>
  <c r="F30" i="1"/>
  <c r="I30" i="1"/>
  <c r="B29" i="1"/>
  <c r="E29" i="1"/>
  <c r="F29" i="1"/>
  <c r="I29" i="1"/>
  <c r="B26" i="1"/>
  <c r="E26" i="1"/>
  <c r="F26" i="1"/>
  <c r="I26" i="1"/>
  <c r="B25" i="1"/>
  <c r="E25" i="1"/>
  <c r="F25" i="1"/>
  <c r="I25" i="1"/>
  <c r="A24" i="1"/>
  <c r="B24" i="1"/>
  <c r="E24" i="1"/>
  <c r="F24" i="1"/>
  <c r="I24" i="1"/>
  <c r="A23" i="1"/>
  <c r="B23" i="1"/>
  <c r="E23" i="1"/>
  <c r="F23" i="1"/>
  <c r="I23" i="1"/>
  <c r="A22" i="1"/>
  <c r="B22" i="1"/>
  <c r="E22" i="1"/>
  <c r="F22" i="1"/>
  <c r="I22" i="1"/>
  <c r="A21" i="1"/>
  <c r="B21" i="1"/>
  <c r="E21" i="1"/>
  <c r="F21" i="1"/>
  <c r="I21" i="1"/>
  <c r="A20" i="1"/>
  <c r="B20" i="1"/>
  <c r="E20" i="1"/>
  <c r="F20" i="1"/>
  <c r="I20" i="1"/>
  <c r="A19" i="1"/>
  <c r="B19" i="1"/>
  <c r="E19" i="1"/>
  <c r="F19" i="1"/>
  <c r="I19" i="1"/>
  <c r="A18" i="1"/>
  <c r="B18" i="1"/>
  <c r="E18" i="1"/>
  <c r="F18" i="1"/>
  <c r="I18" i="1"/>
  <c r="A17" i="1"/>
  <c r="B17" i="1"/>
  <c r="E17" i="1"/>
  <c r="F17" i="1"/>
  <c r="I17" i="1"/>
  <c r="A16" i="1"/>
  <c r="B16" i="1"/>
  <c r="E16" i="1"/>
  <c r="F16" i="1"/>
  <c r="I16" i="1"/>
  <c r="A15" i="1"/>
  <c r="B15" i="1"/>
  <c r="E15" i="1"/>
  <c r="F15" i="1"/>
  <c r="I15" i="1"/>
  <c r="A14" i="1"/>
  <c r="B14" i="1"/>
  <c r="E14" i="1"/>
  <c r="F14" i="1"/>
  <c r="I14" i="1"/>
  <c r="A13" i="1"/>
  <c r="B13" i="1"/>
  <c r="E13" i="1"/>
  <c r="F13" i="1"/>
  <c r="I13" i="1"/>
  <c r="A12" i="1"/>
  <c r="B12" i="1"/>
  <c r="E12" i="1"/>
  <c r="F12" i="1"/>
  <c r="I12" i="1"/>
  <c r="A11" i="1"/>
  <c r="B11" i="1"/>
  <c r="E11" i="1"/>
  <c r="F11" i="1"/>
  <c r="I11" i="1"/>
  <c r="A10" i="1"/>
  <c r="B10" i="1"/>
  <c r="E10" i="1"/>
  <c r="F10" i="1"/>
  <c r="I10" i="1"/>
  <c r="A9" i="1"/>
  <c r="B9" i="1"/>
  <c r="E9" i="1"/>
  <c r="F9" i="1"/>
  <c r="I9" i="1"/>
  <c r="A8" i="1"/>
  <c r="B8" i="1"/>
  <c r="E8" i="1"/>
  <c r="F8" i="1"/>
  <c r="I8" i="1"/>
  <c r="A7" i="1"/>
  <c r="B7" i="1"/>
  <c r="E7" i="1"/>
  <c r="F7" i="1"/>
  <c r="I7" i="1"/>
  <c r="B6" i="1"/>
  <c r="E6" i="1"/>
  <c r="F6" i="1"/>
  <c r="I6" i="1"/>
  <c r="J26" i="1"/>
  <c r="C26" i="1"/>
  <c r="D26" i="1"/>
  <c r="J25" i="1"/>
  <c r="C25" i="1"/>
  <c r="D25" i="1"/>
  <c r="J24" i="1"/>
  <c r="C24" i="1"/>
  <c r="D24" i="1"/>
  <c r="J23" i="1"/>
  <c r="C23" i="1"/>
  <c r="D23" i="1"/>
  <c r="J22" i="1"/>
  <c r="C22" i="1"/>
  <c r="D22" i="1"/>
  <c r="J21" i="1"/>
  <c r="C21" i="1"/>
  <c r="D21" i="1"/>
  <c r="B49" i="1"/>
  <c r="E49" i="1"/>
  <c r="F49" i="1"/>
  <c r="I49" i="1"/>
  <c r="J49" i="1"/>
  <c r="B48" i="1"/>
  <c r="E48" i="1"/>
  <c r="F48" i="1"/>
  <c r="I48" i="1"/>
  <c r="J48" i="1"/>
  <c r="B47" i="1"/>
  <c r="E47" i="1"/>
  <c r="F47" i="1"/>
  <c r="I47" i="1"/>
  <c r="J47" i="1"/>
  <c r="B46" i="1"/>
  <c r="E46" i="1"/>
  <c r="F46" i="1"/>
  <c r="I46" i="1"/>
  <c r="J46" i="1"/>
  <c r="B45" i="1"/>
  <c r="E45" i="1"/>
  <c r="F45" i="1"/>
  <c r="I45" i="1"/>
  <c r="J45" i="1"/>
  <c r="B44" i="1"/>
  <c r="E44" i="1"/>
  <c r="F44" i="1"/>
  <c r="I44" i="1"/>
  <c r="J44" i="1"/>
  <c r="B43" i="1"/>
  <c r="E43" i="1"/>
  <c r="F43" i="1"/>
  <c r="I43" i="1"/>
  <c r="J43" i="1"/>
  <c r="B42" i="1"/>
  <c r="E42" i="1"/>
  <c r="F42" i="1"/>
  <c r="I42" i="1"/>
  <c r="J42" i="1"/>
  <c r="B41" i="1"/>
  <c r="E41" i="1"/>
  <c r="F41" i="1"/>
  <c r="I41" i="1"/>
  <c r="J41" i="1"/>
  <c r="B40" i="1"/>
  <c r="E40" i="1"/>
  <c r="F40" i="1"/>
  <c r="I40" i="1"/>
  <c r="J40" i="1"/>
  <c r="C47" i="1"/>
  <c r="C46" i="1"/>
  <c r="C45" i="1"/>
  <c r="C44" i="1"/>
  <c r="C43" i="1"/>
  <c r="C42" i="1"/>
  <c r="C41" i="1"/>
  <c r="C40" i="1"/>
  <c r="C48" i="1"/>
  <c r="C49" i="1"/>
  <c r="C36" i="1"/>
  <c r="C35" i="1"/>
  <c r="C34" i="1"/>
  <c r="C33" i="1"/>
  <c r="C32" i="1"/>
  <c r="C31" i="1"/>
  <c r="C30" i="1"/>
  <c r="C29" i="1"/>
  <c r="D49" i="1"/>
  <c r="D48" i="1"/>
  <c r="D47" i="1"/>
  <c r="D46" i="1"/>
  <c r="D45" i="1"/>
  <c r="D44" i="1"/>
  <c r="D43" i="1"/>
  <c r="D42" i="1"/>
  <c r="D41" i="1"/>
  <c r="D40" i="1"/>
  <c r="C6" i="1"/>
  <c r="D6" i="1"/>
  <c r="J6" i="1"/>
  <c r="C7" i="1"/>
  <c r="D7" i="1"/>
  <c r="J7" i="1"/>
  <c r="C8" i="1"/>
  <c r="D8" i="1"/>
  <c r="J8" i="1"/>
  <c r="C9" i="1"/>
  <c r="D9" i="1"/>
  <c r="J9" i="1"/>
  <c r="C10" i="1"/>
  <c r="D10" i="1"/>
  <c r="J10" i="1"/>
  <c r="C11" i="1"/>
  <c r="D11" i="1"/>
  <c r="J11" i="1"/>
  <c r="C12" i="1"/>
  <c r="D12" i="1"/>
  <c r="J12" i="1"/>
  <c r="C13" i="1"/>
  <c r="D13" i="1"/>
  <c r="J13" i="1"/>
  <c r="C14" i="1"/>
  <c r="D14" i="1"/>
  <c r="J14" i="1"/>
  <c r="C15" i="1"/>
  <c r="D15" i="1"/>
  <c r="J15" i="1"/>
  <c r="C16" i="1"/>
  <c r="D16" i="1"/>
  <c r="J16" i="1"/>
  <c r="C17" i="1"/>
  <c r="D17" i="1"/>
  <c r="J17" i="1"/>
  <c r="C18" i="1"/>
  <c r="D18" i="1"/>
  <c r="J18" i="1"/>
  <c r="C19" i="1"/>
  <c r="D19" i="1"/>
  <c r="J19" i="1"/>
  <c r="C20" i="1"/>
  <c r="D20" i="1"/>
  <c r="J20" i="1"/>
  <c r="D29" i="1"/>
  <c r="J29" i="1"/>
  <c r="D30" i="1"/>
  <c r="J30" i="1"/>
  <c r="D31" i="1"/>
  <c r="J31" i="1"/>
  <c r="D32" i="1"/>
  <c r="J32" i="1"/>
  <c r="D33" i="1"/>
  <c r="J33" i="1"/>
  <c r="D34" i="1"/>
  <c r="J34" i="1"/>
  <c r="D35" i="1"/>
  <c r="J35" i="1"/>
  <c r="D36" i="1"/>
  <c r="J36" i="1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9"/>
            <color rgb="FF000000"/>
            <rFont val="Tahoma"/>
            <family val="2"/>
            <charset val="1"/>
          </rPr>
          <t>insert the core length in meter (not the ice thickness measured in the corehole)</t>
        </r>
      </text>
    </comment>
    <comment ref="C3" authorId="0">
      <text>
        <r>
          <rPr>
            <sz val="9"/>
            <color rgb="FF000000"/>
            <rFont val="Tahoma"/>
            <family val="2"/>
            <charset val="1"/>
          </rPr>
          <t>insert general comment about the core extraction, if needed</t>
        </r>
      </text>
    </comment>
    <comment ref="A6" authorId="0">
      <text>
        <r>
          <rPr>
            <sz val="9"/>
            <rFont val="Geneva"/>
            <family val="2"/>
            <charset val="1"/>
          </rPr>
          <t>Insert depth where temperature is measured.
Depth is measured from the top ice surface in meter</t>
        </r>
      </text>
    </comment>
    <comment ref="B6" authorId="0">
      <text>
        <r>
          <rPr>
            <sz val="9"/>
            <rFont val="Geneva"/>
            <family val="2"/>
            <charset val="1"/>
          </rPr>
          <t>Insert temperature measured in degree Celsius at the specified depth</t>
        </r>
      </text>
    </comment>
    <comment ref="C6" authorId="0">
      <text>
        <r>
          <rPr>
            <sz val="9"/>
            <rFont val="Geneva"/>
            <family val="2"/>
            <charset val="1"/>
          </rPr>
          <t>Insert comment and notes for this particular measurement if needed</t>
        </r>
      </text>
    </comment>
    <comment ref="C22" authorId="0">
      <text>
        <r>
          <rPr>
            <sz val="9"/>
            <color rgb="FF000000"/>
            <rFont val="Geneva"/>
            <family val="2"/>
            <charset val="1"/>
          </rPr>
          <t>insert the core length in meter (not the ice thickness measured in the corehole)</t>
        </r>
      </text>
    </comment>
    <comment ref="C23" authorId="0">
      <text>
        <r>
          <rPr>
            <sz val="9"/>
            <color rgb="FF000000"/>
            <rFont val="Geneva"/>
            <family val="2"/>
            <charset val="1"/>
          </rPr>
          <t>insert general comment about the core extraction, if needed</t>
        </r>
      </text>
    </comment>
    <comment ref="A26" authorId="0">
      <text>
        <r>
          <rPr>
            <sz val="9"/>
            <rFont val="Geneva"/>
            <family val="2"/>
            <charset val="1"/>
          </rPr>
          <t xml:space="preserve">Insert the depth of the top of the section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B26" authorId="0">
      <text>
        <r>
          <rPr>
            <sz val="9"/>
            <rFont val="Geneva"/>
            <family val="2"/>
            <charset val="1"/>
          </rPr>
          <t xml:space="preserve">Insert the depth of the bottom of the section.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26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D26" authorId="0">
      <text>
        <r>
          <rPr>
            <sz val="9"/>
            <rFont val="Geneva"/>
            <family val="2"/>
            <charset val="1"/>
          </rPr>
          <t xml:space="preserve">Insert the bulk salinity measured of the melted ice sample
</t>
        </r>
        <r>
          <rPr>
            <i/>
            <sz val="9"/>
            <rFont val="Geneva"/>
            <family val="2"/>
            <charset val="1"/>
          </rPr>
          <t>Salinity is measured in PSU (Practical Salinity Unit)</t>
        </r>
      </text>
    </comment>
    <comment ref="E26" authorId="0">
      <text>
        <r>
          <rPr>
            <sz val="9"/>
            <rFont val="Geneva"/>
            <family val="2"/>
            <charset val="1"/>
          </rPr>
          <t xml:space="preserve">Insert the temperature of the water of the melted sample when the salinity is measured.
</t>
        </r>
        <r>
          <rPr>
            <i/>
            <sz val="9"/>
            <rFont val="Geneva"/>
            <family val="2"/>
            <charset val="1"/>
          </rPr>
          <t>Temperature is measured in degree Celsius (C)</t>
        </r>
      </text>
    </comment>
    <comment ref="C27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28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29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0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1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2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3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4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5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6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7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8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39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40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41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42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43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44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  <comment ref="C45" authorId="0">
      <text>
        <r>
          <rPr>
            <sz val="9"/>
            <rFont val="Geneva"/>
            <family val="2"/>
            <charset val="1"/>
          </rPr>
          <t xml:space="preserve">Insert the mid depth of the section. This value is used for plotting
</t>
        </r>
        <r>
          <rPr>
            <i/>
            <sz val="9"/>
            <rFont val="Geneva"/>
            <family val="2"/>
            <charset val="1"/>
          </rPr>
          <t>Depth is measured from the top surface of the ice in meter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4" authorId="0">
      <text>
        <r>
          <rPr>
            <sz val="9"/>
            <rFont val="Geneva"/>
            <family val="2"/>
            <charset val="1"/>
          </rPr>
          <t xml:space="preserve">Insert the bulk salinity measured of the melted ice sample
</t>
        </r>
        <r>
          <rPr>
            <i/>
            <sz val="9"/>
            <rFont val="Geneva"/>
            <family val="2"/>
            <charset val="1"/>
          </rPr>
          <t>Salinity is measured in PSU (Practical Salinity Unit)</t>
        </r>
      </text>
    </comment>
  </commentList>
</comments>
</file>

<file path=xl/sharedStrings.xml><?xml version="1.0" encoding="utf-8"?>
<sst xmlns="http://schemas.openxmlformats.org/spreadsheetml/2006/main" count="75" uniqueCount="48">
  <si>
    <t>T, °C</t>
  </si>
  <si>
    <t>F1(T)</t>
  </si>
  <si>
    <t>F2(T)</t>
  </si>
  <si>
    <t>Leppäranta and Manninen, 1988</t>
  </si>
  <si>
    <t>(from inversion of UNESCO freezing point equation, with sign error corrected)</t>
  </si>
  <si>
    <t>Cox &amp; Weeks, '86</t>
  </si>
  <si>
    <t>Brine salinity, ‰</t>
  </si>
  <si>
    <t>Pure ice density</t>
  </si>
  <si>
    <t>Brine density</t>
  </si>
  <si>
    <t>g/cm^3, Cox &amp; Weeks, '86</t>
  </si>
  <si>
    <t>g/cm^3, Yen, '91</t>
  </si>
  <si>
    <t>Bulk ice salinity</t>
  </si>
  <si>
    <t>‰, measured</t>
  </si>
  <si>
    <t>Sea ice density</t>
  </si>
  <si>
    <t>g/cm^3 calculated</t>
  </si>
  <si>
    <t>Brine volume fraction, ‰</t>
  </si>
  <si>
    <t>Leppaeranta &amp; Manninen, '88 for temperatures above –2 ˚C</t>
  </si>
  <si>
    <t>Cox &amp; Weeks '86 for temperatures  at or below –2˚C</t>
  </si>
  <si>
    <t>Cox &amp; Weeks for temperatures below –22 ˚C</t>
  </si>
  <si>
    <t>Cox &amp; Weeks for temperatures between –2 and –22 ˚C</t>
  </si>
  <si>
    <t>core</t>
  </si>
  <si>
    <t>core length</t>
  </si>
  <si>
    <t>m</t>
  </si>
  <si>
    <t>notes</t>
  </si>
  <si>
    <t>depth</t>
  </si>
  <si>
    <t>temperature</t>
  </si>
  <si>
    <t>comments</t>
  </si>
  <si>
    <t>˚C</t>
  </si>
  <si>
    <t>-</t>
  </si>
  <si>
    <t>Lance2017_170520_Stn1Site2_CoreA_B</t>
  </si>
  <si>
    <t>Break at 62 cm and 100 cm, A12(62-70cm) Dropped in the snow, T_S = temperature of melted sea ice,  measured at salinity measurements</t>
  </si>
  <si>
    <t>depth 1</t>
  </si>
  <si>
    <t>depth 2</t>
  </si>
  <si>
    <t>mid depth</t>
  </si>
  <si>
    <t>S</t>
  </si>
  <si>
    <t>T_S</t>
  </si>
  <si>
    <t>PSU</t>
  </si>
  <si>
    <t>(Interpolated) in-situ T</t>
  </si>
  <si>
    <t>Leppäranta &amp; Manninen, '88 for temperatures above –2 ˚C</t>
  </si>
  <si>
    <t>Cond brine, mS/m</t>
  </si>
  <si>
    <t>Cond sea ice, mS/m</t>
  </si>
  <si>
    <t>Resist, Ohm m</t>
  </si>
  <si>
    <t>cond phi-phic</t>
  </si>
  <si>
    <t>resist phi-phic</t>
  </si>
  <si>
    <t>Percolation model</t>
  </si>
  <si>
    <t>Depth, m</t>
  </si>
  <si>
    <t>Permeability, m^2</t>
  </si>
  <si>
    <t>(hierarchical model, Golden et al. (2007)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</si>
</sst>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1" x14ac:knownFonts="1">
    <font>
      <sz val="10"/>
      <name val="Geneva"/>
    </font>
    <font>
      <b/>
      <sz val="10"/>
      <name val="Geneva"/>
    </font>
    <font>
      <sz val="8"/>
      <name val="Verdana"/>
    </font>
    <font>
      <b/>
      <sz val="9"/>
      <name val="Geneva"/>
      <family val="2"/>
      <charset val="1"/>
    </font>
    <font>
      <i/>
      <sz val="9"/>
      <name val="Geneva"/>
      <family val="2"/>
      <charset val="1"/>
    </font>
    <font>
      <sz val="9"/>
      <color rgb="FF000000"/>
      <name val="Tahoma"/>
      <family val="2"/>
      <charset val="1"/>
    </font>
    <font>
      <sz val="9"/>
      <name val="Geneva"/>
      <family val="2"/>
      <charset val="1"/>
    </font>
    <font>
      <sz val="9"/>
      <color rgb="FF000000"/>
      <name val="Geneva"/>
      <family val="2"/>
      <charset val="1"/>
    </font>
    <font>
      <sz val="9"/>
      <name val="AdvTT5843c571"/>
    </font>
    <font>
      <u/>
      <sz val="10"/>
      <color theme="10"/>
      <name val="Geneva"/>
    </font>
    <font>
      <u/>
      <sz val="10"/>
      <color theme="11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8" fillId="0" borderId="0" xfId="0" applyFont="1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Temperature, ˚C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CPP!$G$4:$G$23</c:f>
              <c:numCache>
                <c:formatCode>General</c:formatCode>
                <c:ptCount val="20"/>
                <c:pt idx="0">
                  <c:v>0.0</c:v>
                </c:pt>
                <c:pt idx="1">
                  <c:v>-2.275</c:v>
                </c:pt>
                <c:pt idx="2">
                  <c:v>-2.625</c:v>
                </c:pt>
                <c:pt idx="3">
                  <c:v>-2.7</c:v>
                </c:pt>
                <c:pt idx="4">
                  <c:v>-2.5</c:v>
                </c:pt>
                <c:pt idx="5">
                  <c:v>-2.65</c:v>
                </c:pt>
                <c:pt idx="6">
                  <c:v>-3.15</c:v>
                </c:pt>
                <c:pt idx="7">
                  <c:v>-3.5</c:v>
                </c:pt>
                <c:pt idx="8">
                  <c:v>-3.7</c:v>
                </c:pt>
                <c:pt idx="9">
                  <c:v>-3.8</c:v>
                </c:pt>
                <c:pt idx="10">
                  <c:v>-3.8</c:v>
                </c:pt>
                <c:pt idx="11">
                  <c:v>-3.4</c:v>
                </c:pt>
                <c:pt idx="12">
                  <c:v>-3.6</c:v>
                </c:pt>
                <c:pt idx="13">
                  <c:v>-3.2</c:v>
                </c:pt>
                <c:pt idx="14">
                  <c:v>-3.2</c:v>
                </c:pt>
                <c:pt idx="15">
                  <c:v>-3.0</c:v>
                </c:pt>
                <c:pt idx="16">
                  <c:v>-2.7</c:v>
                </c:pt>
                <c:pt idx="17">
                  <c:v>-2.3</c:v>
                </c:pt>
                <c:pt idx="18">
                  <c:v>-1.9</c:v>
                </c:pt>
                <c:pt idx="19">
                  <c:v>-1.7</c:v>
                </c:pt>
              </c:numCache>
            </c:numRef>
          </c:xVal>
          <c:yVal>
            <c:numRef>
              <c:f>CPP!$A$4:$A$23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0.56</c:v>
                </c:pt>
                <c:pt idx="11">
                  <c:v>0.66</c:v>
                </c:pt>
                <c:pt idx="12">
                  <c:v>0.75</c:v>
                </c:pt>
                <c:pt idx="13">
                  <c:v>0.85</c:v>
                </c:pt>
                <c:pt idx="14">
                  <c:v>0.95</c:v>
                </c:pt>
                <c:pt idx="15">
                  <c:v>1.05</c:v>
                </c:pt>
                <c:pt idx="16">
                  <c:v>1.15</c:v>
                </c:pt>
                <c:pt idx="17">
                  <c:v>1.25</c:v>
                </c:pt>
                <c:pt idx="18">
                  <c:v>1.35</c:v>
                </c:pt>
                <c:pt idx="19">
                  <c:v>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10720"/>
        <c:axId val="694227408"/>
      </c:scatterChart>
      <c:valAx>
        <c:axId val="6942107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694227408"/>
        <c:crosses val="autoZero"/>
        <c:crossBetween val="midCat"/>
      </c:valAx>
      <c:valAx>
        <c:axId val="69422740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421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Salinity, 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CPP!$H$4:$H$23</c:f>
              <c:numCache>
                <c:formatCode>General</c:formatCode>
                <c:ptCount val="20"/>
                <c:pt idx="0">
                  <c:v>10.7</c:v>
                </c:pt>
                <c:pt idx="1">
                  <c:v>12.1</c:v>
                </c:pt>
                <c:pt idx="2">
                  <c:v>5.9</c:v>
                </c:pt>
                <c:pt idx="3">
                  <c:v>3.9</c:v>
                </c:pt>
                <c:pt idx="4">
                  <c:v>4.7</c:v>
                </c:pt>
                <c:pt idx="5">
                  <c:v>6.2</c:v>
                </c:pt>
                <c:pt idx="6">
                  <c:v>5.1</c:v>
                </c:pt>
                <c:pt idx="7">
                  <c:v>2.8</c:v>
                </c:pt>
                <c:pt idx="8">
                  <c:v>2.1</c:v>
                </c:pt>
                <c:pt idx="9">
                  <c:v>4.9</c:v>
                </c:pt>
                <c:pt idx="10">
                  <c:v>4.6</c:v>
                </c:pt>
                <c:pt idx="11">
                  <c:v>3.1</c:v>
                </c:pt>
                <c:pt idx="12">
                  <c:v>3.2</c:v>
                </c:pt>
                <c:pt idx="13">
                  <c:v>2.1</c:v>
                </c:pt>
                <c:pt idx="14">
                  <c:v>3.8</c:v>
                </c:pt>
                <c:pt idx="15">
                  <c:v>4.8</c:v>
                </c:pt>
                <c:pt idx="16">
                  <c:v>3.7</c:v>
                </c:pt>
                <c:pt idx="17">
                  <c:v>4.3</c:v>
                </c:pt>
                <c:pt idx="18">
                  <c:v>4.0</c:v>
                </c:pt>
                <c:pt idx="19">
                  <c:v>3.6</c:v>
                </c:pt>
              </c:numCache>
            </c:numRef>
          </c:xVal>
          <c:yVal>
            <c:numRef>
              <c:f>CPP!$A$4:$A$23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0.56</c:v>
                </c:pt>
                <c:pt idx="11">
                  <c:v>0.66</c:v>
                </c:pt>
                <c:pt idx="12">
                  <c:v>0.75</c:v>
                </c:pt>
                <c:pt idx="13">
                  <c:v>0.85</c:v>
                </c:pt>
                <c:pt idx="14">
                  <c:v>0.95</c:v>
                </c:pt>
                <c:pt idx="15">
                  <c:v>1.05</c:v>
                </c:pt>
                <c:pt idx="16">
                  <c:v>1.15</c:v>
                </c:pt>
                <c:pt idx="17">
                  <c:v>1.25</c:v>
                </c:pt>
                <c:pt idx="18">
                  <c:v>1.35</c:v>
                </c:pt>
                <c:pt idx="19">
                  <c:v>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53440"/>
        <c:axId val="693657312"/>
      </c:scatterChart>
      <c:valAx>
        <c:axId val="6936534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693657312"/>
        <c:crosses val="autoZero"/>
        <c:crossBetween val="midCat"/>
      </c:valAx>
      <c:valAx>
        <c:axId val="69365731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65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Brine volume fraction, 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CPP!$J$4:$J$23</c:f>
              <c:numCache>
                <c:formatCode>0</c:formatCode>
                <c:ptCount val="20"/>
                <c:pt idx="0">
                  <c:v>-10421.83315312571</c:v>
                </c:pt>
                <c:pt idx="1">
                  <c:v>265.8132969771893</c:v>
                </c:pt>
                <c:pt idx="2">
                  <c:v>109.8377891966954</c:v>
                </c:pt>
                <c:pt idx="3">
                  <c:v>70.20697453161584</c:v>
                </c:pt>
                <c:pt idx="4">
                  <c:v>91.72171088358897</c:v>
                </c:pt>
                <c:pt idx="5">
                  <c:v>114.3920866994149</c:v>
                </c:pt>
                <c:pt idx="6">
                  <c:v>78.86638013233446</c:v>
                </c:pt>
                <c:pt idx="7">
                  <c:v>38.86256977909434</c:v>
                </c:pt>
                <c:pt idx="8">
                  <c:v>27.58672612372387</c:v>
                </c:pt>
                <c:pt idx="9">
                  <c:v>63.08206129823428</c:v>
                </c:pt>
                <c:pt idx="10">
                  <c:v>59.1858783415518</c:v>
                </c:pt>
                <c:pt idx="11">
                  <c:v>44.28395887454287</c:v>
                </c:pt>
                <c:pt idx="12">
                  <c:v>43.25382880109622</c:v>
                </c:pt>
                <c:pt idx="13">
                  <c:v>31.76859150205224</c:v>
                </c:pt>
                <c:pt idx="14">
                  <c:v>57.69415730394042</c:v>
                </c:pt>
                <c:pt idx="15">
                  <c:v>77.86856304730937</c:v>
                </c:pt>
                <c:pt idx="16">
                  <c:v>66.57475719923112</c:v>
                </c:pt>
                <c:pt idx="17">
                  <c:v>91.40734710453187</c:v>
                </c:pt>
                <c:pt idx="18">
                  <c:v>102.8776112450922</c:v>
                </c:pt>
                <c:pt idx="19">
                  <c:v>103.2588094958999</c:v>
                </c:pt>
              </c:numCache>
            </c:numRef>
          </c:xVal>
          <c:yVal>
            <c:numRef>
              <c:f>CPP!$A$4:$A$23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0.56</c:v>
                </c:pt>
                <c:pt idx="11">
                  <c:v>0.66</c:v>
                </c:pt>
                <c:pt idx="12">
                  <c:v>0.75</c:v>
                </c:pt>
                <c:pt idx="13">
                  <c:v>0.85</c:v>
                </c:pt>
                <c:pt idx="14">
                  <c:v>0.95</c:v>
                </c:pt>
                <c:pt idx="15">
                  <c:v>1.05</c:v>
                </c:pt>
                <c:pt idx="16">
                  <c:v>1.15</c:v>
                </c:pt>
                <c:pt idx="17">
                  <c:v>1.25</c:v>
                </c:pt>
                <c:pt idx="18">
                  <c:v>1.35</c:v>
                </c:pt>
                <c:pt idx="19">
                  <c:v>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20240"/>
        <c:axId val="693724192"/>
      </c:scatterChart>
      <c:valAx>
        <c:axId val="693720240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crossAx val="693724192"/>
        <c:crosses val="autoZero"/>
        <c:crossBetween val="midCat"/>
      </c:valAx>
      <c:valAx>
        <c:axId val="69372419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72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conductivity, mS/m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CPP!$L$4:$L$23</c:f>
              <c:numCache>
                <c:formatCode>0</c:formatCode>
                <c:ptCount val="20"/>
                <c:pt idx="0">
                  <c:v>0.0</c:v>
                </c:pt>
                <c:pt idx="1">
                  <c:v>221.3924383674508</c:v>
                </c:pt>
                <c:pt idx="2">
                  <c:v>42.30122877138991</c:v>
                </c:pt>
                <c:pt idx="3">
                  <c:v>17.66008151256847</c:v>
                </c:pt>
                <c:pt idx="4">
                  <c:v>28.40254276638876</c:v>
                </c:pt>
                <c:pt idx="5">
                  <c:v>46.21759962017638</c:v>
                </c:pt>
                <c:pt idx="6">
                  <c:v>24.99497321615981</c:v>
                </c:pt>
                <c:pt idx="7">
                  <c:v>6.540056675143821</c:v>
                </c:pt>
                <c:pt idx="8">
                  <c:v>3.423323899921049</c:v>
                </c:pt>
                <c:pt idx="9">
                  <c:v>18.22380426100176</c:v>
                </c:pt>
                <c:pt idx="10">
                  <c:v>16.04218365979085</c:v>
                </c:pt>
                <c:pt idx="11">
                  <c:v>8.321938090560438</c:v>
                </c:pt>
                <c:pt idx="12">
                  <c:v>8.260375774550258</c:v>
                </c:pt>
                <c:pt idx="13">
                  <c:v>4.102070133907002</c:v>
                </c:pt>
                <c:pt idx="14">
                  <c:v>13.52915988913011</c:v>
                </c:pt>
                <c:pt idx="15">
                  <c:v>23.51295726248626</c:v>
                </c:pt>
                <c:pt idx="16">
                  <c:v>15.88003187982213</c:v>
                </c:pt>
                <c:pt idx="17">
                  <c:v>26.40994285554483</c:v>
                </c:pt>
                <c:pt idx="18">
                  <c:v>28.62079896160073</c:v>
                </c:pt>
                <c:pt idx="19">
                  <c:v>26.25391373186188</c:v>
                </c:pt>
              </c:numCache>
            </c:numRef>
          </c:xVal>
          <c:yVal>
            <c:numRef>
              <c:f>CPP!$A$4:$A$23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0.56</c:v>
                </c:pt>
                <c:pt idx="11">
                  <c:v>0.66</c:v>
                </c:pt>
                <c:pt idx="12">
                  <c:v>0.75</c:v>
                </c:pt>
                <c:pt idx="13">
                  <c:v>0.85</c:v>
                </c:pt>
                <c:pt idx="14">
                  <c:v>0.95</c:v>
                </c:pt>
                <c:pt idx="15">
                  <c:v>1.05</c:v>
                </c:pt>
                <c:pt idx="16">
                  <c:v>1.15</c:v>
                </c:pt>
                <c:pt idx="17">
                  <c:v>1.25</c:v>
                </c:pt>
                <c:pt idx="18">
                  <c:v>1.35</c:v>
                </c:pt>
                <c:pt idx="19">
                  <c:v>1.42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CPP!$N$4:$N$23</c:f>
              <c:numCache>
                <c:formatCode>0</c:formatCode>
                <c:ptCount val="20"/>
                <c:pt idx="0">
                  <c:v>0.0</c:v>
                </c:pt>
                <c:pt idx="1">
                  <c:v>205.0480337903533</c:v>
                </c:pt>
                <c:pt idx="2">
                  <c:v>34.94936811699415</c:v>
                </c:pt>
                <c:pt idx="3">
                  <c:v>12.98750702396124</c:v>
                </c:pt>
                <c:pt idx="4">
                  <c:v>22.54695140660542</c:v>
                </c:pt>
                <c:pt idx="5">
                  <c:v>38.49023644768897</c:v>
                </c:pt>
                <c:pt idx="6">
                  <c:v>19.05826543259979</c:v>
                </c:pt>
                <c:pt idx="7">
                  <c:v>3.607351599448825</c:v>
                </c:pt>
                <c:pt idx="8">
                  <c:v>1.39129000877545</c:v>
                </c:pt>
                <c:pt idx="9">
                  <c:v>12.90395524838869</c:v>
                </c:pt>
                <c:pt idx="10">
                  <c:v>11.07919362552291</c:v>
                </c:pt>
                <c:pt idx="11">
                  <c:v>4.987851717887963</c:v>
                </c:pt>
                <c:pt idx="12">
                  <c:v>4.882407269908272</c:v>
                </c:pt>
                <c:pt idx="13">
                  <c:v>1.926051166195556</c:v>
                </c:pt>
                <c:pt idx="14">
                  <c:v>9.245651518054473</c:v>
                </c:pt>
                <c:pt idx="15">
                  <c:v>17.86159516486993</c:v>
                </c:pt>
                <c:pt idx="16">
                  <c:v>11.46773332283552</c:v>
                </c:pt>
                <c:pt idx="17">
                  <c:v>20.9475124188814</c:v>
                </c:pt>
                <c:pt idx="18">
                  <c:v>23.32717159165125</c:v>
                </c:pt>
                <c:pt idx="19">
                  <c:v>21.41507308412276</c:v>
                </c:pt>
              </c:numCache>
            </c:numRef>
          </c:xVal>
          <c:yVal>
            <c:numRef>
              <c:f>CPP!$A$4:$A$23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0.56</c:v>
                </c:pt>
                <c:pt idx="11">
                  <c:v>0.66</c:v>
                </c:pt>
                <c:pt idx="12">
                  <c:v>0.75</c:v>
                </c:pt>
                <c:pt idx="13">
                  <c:v>0.85</c:v>
                </c:pt>
                <c:pt idx="14">
                  <c:v>0.95</c:v>
                </c:pt>
                <c:pt idx="15">
                  <c:v>1.05</c:v>
                </c:pt>
                <c:pt idx="16">
                  <c:v>1.15</c:v>
                </c:pt>
                <c:pt idx="17">
                  <c:v>1.25</c:v>
                </c:pt>
                <c:pt idx="18">
                  <c:v>1.35</c:v>
                </c:pt>
                <c:pt idx="19">
                  <c:v>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66832"/>
        <c:axId val="693770784"/>
      </c:scatterChart>
      <c:valAx>
        <c:axId val="693766832"/>
        <c:scaling>
          <c:logBase val="10.0"/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crossAx val="693770784"/>
        <c:crosses val="autoZero"/>
        <c:crossBetween val="midCat"/>
      </c:valAx>
      <c:valAx>
        <c:axId val="6937707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76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Permeability, m</a:t>
            </a:r>
            <a:r>
              <a:rPr lang="en-US" baseline="30000"/>
              <a:t>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CPP!$P$4:$P$23</c:f>
              <c:numCache>
                <c:formatCode>0.0E+00</c:formatCode>
                <c:ptCount val="20"/>
                <c:pt idx="0">
                  <c:v>-0.000339588991366487</c:v>
                </c:pt>
                <c:pt idx="1">
                  <c:v>5.63444781988346E-9</c:v>
                </c:pt>
                <c:pt idx="2">
                  <c:v>3.97536127993695E-10</c:v>
                </c:pt>
                <c:pt idx="3">
                  <c:v>1.03815459167141E-10</c:v>
                </c:pt>
                <c:pt idx="4">
                  <c:v>2.31492910793327E-10</c:v>
                </c:pt>
                <c:pt idx="5">
                  <c:v>4.49064993855049E-10</c:v>
                </c:pt>
                <c:pt idx="6">
                  <c:v>1.47162439288132E-10</c:v>
                </c:pt>
                <c:pt idx="7">
                  <c:v>1.76082339279094E-11</c:v>
                </c:pt>
                <c:pt idx="8">
                  <c:v>6.29827681880892E-12</c:v>
                </c:pt>
                <c:pt idx="9">
                  <c:v>7.53076131502174E-11</c:v>
                </c:pt>
                <c:pt idx="10">
                  <c:v>6.21978748281612E-11</c:v>
                </c:pt>
                <c:pt idx="11">
                  <c:v>2.60531698645501E-11</c:v>
                </c:pt>
                <c:pt idx="12">
                  <c:v>2.42769948187218E-11</c:v>
                </c:pt>
                <c:pt idx="13">
                  <c:v>9.61867244763742E-12</c:v>
                </c:pt>
                <c:pt idx="14">
                  <c:v>5.76125048460718E-11</c:v>
                </c:pt>
                <c:pt idx="15">
                  <c:v>1.4164711589286E-10</c:v>
                </c:pt>
                <c:pt idx="16">
                  <c:v>8.85217576272415E-11</c:v>
                </c:pt>
                <c:pt idx="17">
                  <c:v>2.29120827316147E-10</c:v>
                </c:pt>
                <c:pt idx="18">
                  <c:v>3.26650907933265E-10</c:v>
                </c:pt>
                <c:pt idx="19">
                  <c:v>3.30295453412827E-10</c:v>
                </c:pt>
              </c:numCache>
            </c:numRef>
          </c:xVal>
          <c:yVal>
            <c:numRef>
              <c:f>CPP!$A$4:$A$23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0.56</c:v>
                </c:pt>
                <c:pt idx="11">
                  <c:v>0.66</c:v>
                </c:pt>
                <c:pt idx="12">
                  <c:v>0.75</c:v>
                </c:pt>
                <c:pt idx="13">
                  <c:v>0.85</c:v>
                </c:pt>
                <c:pt idx="14">
                  <c:v>0.95</c:v>
                </c:pt>
                <c:pt idx="15">
                  <c:v>1.05</c:v>
                </c:pt>
                <c:pt idx="16">
                  <c:v>1.15</c:v>
                </c:pt>
                <c:pt idx="17">
                  <c:v>1.25</c:v>
                </c:pt>
                <c:pt idx="18">
                  <c:v>1.35</c:v>
                </c:pt>
                <c:pt idx="19">
                  <c:v>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27264"/>
        <c:axId val="693831248"/>
      </c:scatterChart>
      <c:valAx>
        <c:axId val="693827264"/>
        <c:scaling>
          <c:logBase val="10.0"/>
          <c:orientation val="minMax"/>
          <c:max val="1.0E-7"/>
        </c:scaling>
        <c:delete val="0"/>
        <c:axPos val="t"/>
        <c:numFmt formatCode="0.0E+00" sourceLinked="1"/>
        <c:majorTickMark val="out"/>
        <c:minorTickMark val="none"/>
        <c:tickLblPos val="nextTo"/>
        <c:crossAx val="693831248"/>
        <c:crosses val="autoZero"/>
        <c:crossBetween val="midCat"/>
      </c:valAx>
      <c:valAx>
        <c:axId val="69383124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82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23</xdr:row>
      <xdr:rowOff>146050</xdr:rowOff>
    </xdr:from>
    <xdr:to>
      <xdr:col>2</xdr:col>
      <xdr:colOff>939800</xdr:colOff>
      <xdr:row>54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23</xdr:row>
      <xdr:rowOff>146050</xdr:rowOff>
    </xdr:from>
    <xdr:to>
      <xdr:col>6</xdr:col>
      <xdr:colOff>457200</xdr:colOff>
      <xdr:row>54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628650</xdr:colOff>
      <xdr:row>23</xdr:row>
      <xdr:rowOff>133350</xdr:rowOff>
    </xdr:from>
    <xdr:to>
      <xdr:col>10</xdr:col>
      <xdr:colOff>50800</xdr:colOff>
      <xdr:row>53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120650</xdr:colOff>
      <xdr:row>23</xdr:row>
      <xdr:rowOff>133350</xdr:rowOff>
    </xdr:from>
    <xdr:to>
      <xdr:col>13</xdr:col>
      <xdr:colOff>495300</xdr:colOff>
      <xdr:row>53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590550</xdr:colOff>
      <xdr:row>23</xdr:row>
      <xdr:rowOff>133350</xdr:rowOff>
    </xdr:from>
    <xdr:to>
      <xdr:col>16</xdr:col>
      <xdr:colOff>330200</xdr:colOff>
      <xdr:row>53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F12" sqref="F12"/>
    </sheetView>
  </sheetViews>
  <sheetFormatPr baseColWidth="10" defaultColWidth="12.42578125" defaultRowHeight="14" x14ac:dyDescent="0.2"/>
  <cols>
    <col min="2" max="2" width="21" customWidth="1"/>
    <col min="3" max="3" width="22.140625" customWidth="1"/>
    <col min="4" max="4" width="25" customWidth="1"/>
    <col min="7" max="7" width="0" hidden="1" customWidth="1"/>
    <col min="9" max="9" width="14" customWidth="1"/>
    <col min="10" max="10" width="42" customWidth="1"/>
  </cols>
  <sheetData>
    <row r="1" spans="1:10" x14ac:dyDescent="0.2">
      <c r="A1" t="s">
        <v>0</v>
      </c>
      <c r="B1" t="s">
        <v>7</v>
      </c>
      <c r="C1" t="s">
        <v>6</v>
      </c>
      <c r="D1" t="s">
        <v>8</v>
      </c>
      <c r="E1" t="s">
        <v>1</v>
      </c>
      <c r="F1" t="s">
        <v>2</v>
      </c>
      <c r="H1" t="s">
        <v>11</v>
      </c>
      <c r="I1" t="s">
        <v>13</v>
      </c>
      <c r="J1" t="s">
        <v>15</v>
      </c>
    </row>
    <row r="2" spans="1:10" ht="16" customHeight="1" x14ac:dyDescent="0.2">
      <c r="B2" t="s">
        <v>10</v>
      </c>
      <c r="C2" t="s">
        <v>5</v>
      </c>
      <c r="D2" t="s">
        <v>9</v>
      </c>
      <c r="H2" t="s">
        <v>12</v>
      </c>
      <c r="I2" t="s">
        <v>14</v>
      </c>
      <c r="J2" t="s">
        <v>17</v>
      </c>
    </row>
    <row r="3" spans="1:10" x14ac:dyDescent="0.2">
      <c r="J3" t="s">
        <v>16</v>
      </c>
    </row>
    <row r="5" spans="1:10" x14ac:dyDescent="0.2">
      <c r="A5" t="s">
        <v>19</v>
      </c>
    </row>
    <row r="6" spans="1:10" x14ac:dyDescent="0.2">
      <c r="A6">
        <v>-2</v>
      </c>
      <c r="B6">
        <f t="shared" ref="B6:B26" si="0">0.917*(1-0.000117*A6)</f>
        <v>0.91721457800000006</v>
      </c>
      <c r="C6">
        <f t="shared" ref="C6:C26" si="1">-3.9921 - 22.7*A6 - 1.0015*A6*A6 - 0.019956*A6*A6*A6</f>
        <v>37.561547999999995</v>
      </c>
      <c r="D6">
        <f t="shared" ref="D6:D26" si="2">1+0.0008*C6</f>
        <v>1.0300492384</v>
      </c>
      <c r="E6">
        <f t="shared" ref="E6:E26" si="3">-4.732 - 22.45*A6 - 0.6397*A6*A6 - 0.01074*A6*A6*A6</f>
        <v>37.695120000000003</v>
      </c>
      <c r="F6">
        <f t="shared" ref="F6:F26" si="4">0.08903 - 0.01763*A6 - 0.000533*A6*A6 - 0.000008801*A6*A6*A6</f>
        <v>0.122228408</v>
      </c>
      <c r="H6">
        <v>2</v>
      </c>
      <c r="I6">
        <f>B6*E6/(E6-B6*H6*F6)</f>
        <v>0.92270303058152636</v>
      </c>
      <c r="J6">
        <f t="shared" ref="J6:J26" si="5">1000*I6*H6/E6</f>
        <v>48.956099918585025</v>
      </c>
    </row>
    <row r="7" spans="1:10" x14ac:dyDescent="0.2">
      <c r="A7">
        <f>ROW(A3)*-1</f>
        <v>-3</v>
      </c>
      <c r="B7">
        <f t="shared" si="0"/>
        <v>0.91732186700000007</v>
      </c>
      <c r="C7">
        <f t="shared" si="1"/>
        <v>55.633212</v>
      </c>
      <c r="D7">
        <f t="shared" si="2"/>
        <v>1.0445065696</v>
      </c>
      <c r="E7">
        <f t="shared" si="3"/>
        <v>57.150679999999994</v>
      </c>
      <c r="F7">
        <f t="shared" si="4"/>
        <v>0.13736062699999999</v>
      </c>
      <c r="H7">
        <v>2</v>
      </c>
      <c r="I7">
        <f t="shared" ref="I7:I26" si="6">B7*E7/(E7-B7*H7*F7)</f>
        <v>0.92138474349973298</v>
      </c>
      <c r="J7">
        <f t="shared" si="5"/>
        <v>32.244051811797625</v>
      </c>
    </row>
    <row r="8" spans="1:10" x14ac:dyDescent="0.2">
      <c r="A8">
        <f t="shared" ref="A8:A24" si="7">ROW(A4)*-1</f>
        <v>-4</v>
      </c>
      <c r="B8">
        <f t="shared" si="0"/>
        <v>0.91742915599999997</v>
      </c>
      <c r="C8">
        <f t="shared" si="1"/>
        <v>72.061084000000008</v>
      </c>
      <c r="D8">
        <f t="shared" si="2"/>
        <v>1.0576488672</v>
      </c>
      <c r="E8">
        <f t="shared" si="3"/>
        <v>75.52015999999999</v>
      </c>
      <c r="F8">
        <f t="shared" si="4"/>
        <v>0.151585264</v>
      </c>
      <c r="H8">
        <v>2</v>
      </c>
      <c r="I8">
        <f t="shared" si="6"/>
        <v>0.92082049805169486</v>
      </c>
      <c r="J8">
        <f t="shared" si="5"/>
        <v>24.386084405851232</v>
      </c>
    </row>
    <row r="9" spans="1:10" x14ac:dyDescent="0.2">
      <c r="A9">
        <f t="shared" si="7"/>
        <v>-5</v>
      </c>
      <c r="B9">
        <f t="shared" si="0"/>
        <v>0.91753644500000009</v>
      </c>
      <c r="C9">
        <f t="shared" si="1"/>
        <v>86.964900000000014</v>
      </c>
      <c r="D9">
        <f t="shared" si="2"/>
        <v>1.06957192</v>
      </c>
      <c r="E9">
        <f t="shared" si="3"/>
        <v>92.867999999999995</v>
      </c>
      <c r="F9">
        <f t="shared" si="4"/>
        <v>0.16495512500000001</v>
      </c>
      <c r="H9">
        <v>2</v>
      </c>
      <c r="I9">
        <f t="shared" si="6"/>
        <v>0.92053694938048691</v>
      </c>
      <c r="J9">
        <f t="shared" si="5"/>
        <v>19.824631722024527</v>
      </c>
    </row>
    <row r="10" spans="1:10" x14ac:dyDescent="0.2">
      <c r="A10">
        <f t="shared" si="7"/>
        <v>-6</v>
      </c>
      <c r="B10">
        <f t="shared" si="0"/>
        <v>0.91764373399999999</v>
      </c>
      <c r="C10">
        <f t="shared" si="1"/>
        <v>100.46439599999999</v>
      </c>
      <c r="D10">
        <f t="shared" si="2"/>
        <v>1.0803715168000001</v>
      </c>
      <c r="E10">
        <f t="shared" si="3"/>
        <v>109.25863999999999</v>
      </c>
      <c r="F10">
        <f t="shared" si="4"/>
        <v>0.17752301599999998</v>
      </c>
      <c r="H10">
        <v>2</v>
      </c>
      <c r="I10">
        <f t="shared" si="6"/>
        <v>0.92038830245152503</v>
      </c>
      <c r="J10">
        <f t="shared" si="5"/>
        <v>16.847881365748744</v>
      </c>
    </row>
    <row r="11" spans="1:10" x14ac:dyDescent="0.2">
      <c r="A11">
        <f t="shared" si="7"/>
        <v>-7</v>
      </c>
      <c r="B11">
        <f t="shared" si="0"/>
        <v>0.917751023</v>
      </c>
      <c r="C11">
        <f t="shared" si="1"/>
        <v>112.67930800000002</v>
      </c>
      <c r="D11">
        <f t="shared" si="2"/>
        <v>1.0901434463999999</v>
      </c>
      <c r="E11">
        <f t="shared" si="3"/>
        <v>124.75651999999999</v>
      </c>
      <c r="F11">
        <f t="shared" si="4"/>
        <v>0.18934174299999998</v>
      </c>
      <c r="H11">
        <v>2</v>
      </c>
      <c r="I11">
        <f t="shared" si="6"/>
        <v>0.9203147653743412</v>
      </c>
      <c r="J11">
        <f t="shared" si="5"/>
        <v>14.753774237600426</v>
      </c>
    </row>
    <row r="12" spans="1:10" x14ac:dyDescent="0.2">
      <c r="A12">
        <f t="shared" si="7"/>
        <v>-8</v>
      </c>
      <c r="B12">
        <f t="shared" si="0"/>
        <v>0.91785831200000012</v>
      </c>
      <c r="C12">
        <f t="shared" si="1"/>
        <v>123.729372</v>
      </c>
      <c r="D12">
        <f t="shared" si="2"/>
        <v>1.0989834975999999</v>
      </c>
      <c r="E12">
        <f t="shared" si="3"/>
        <v>139.42608000000001</v>
      </c>
      <c r="F12">
        <f t="shared" si="4"/>
        <v>0.200464112</v>
      </c>
      <c r="H12">
        <v>2</v>
      </c>
      <c r="I12">
        <f t="shared" si="6"/>
        <v>0.92028727935052967</v>
      </c>
      <c r="J12">
        <f t="shared" si="5"/>
        <v>13.201078009946627</v>
      </c>
    </row>
    <row r="13" spans="1:10" x14ac:dyDescent="0.2">
      <c r="A13">
        <f t="shared" si="7"/>
        <v>-9</v>
      </c>
      <c r="B13">
        <f t="shared" si="0"/>
        <v>0.91796560100000002</v>
      </c>
      <c r="C13">
        <f t="shared" si="1"/>
        <v>133.73432399999999</v>
      </c>
      <c r="D13">
        <f t="shared" si="2"/>
        <v>1.1069874592</v>
      </c>
      <c r="E13">
        <f t="shared" si="3"/>
        <v>153.33176</v>
      </c>
      <c r="F13">
        <f t="shared" si="4"/>
        <v>0.21094292899999997</v>
      </c>
      <c r="H13">
        <v>2</v>
      </c>
      <c r="I13">
        <f t="shared" si="6"/>
        <v>0.92029001758421858</v>
      </c>
      <c r="J13">
        <f t="shared" si="5"/>
        <v>12.003906008568853</v>
      </c>
    </row>
    <row r="14" spans="1:10" x14ac:dyDescent="0.2">
      <c r="A14">
        <f t="shared" si="7"/>
        <v>-10</v>
      </c>
      <c r="B14">
        <f t="shared" si="0"/>
        <v>0.91807288999999992</v>
      </c>
      <c r="C14">
        <f t="shared" si="1"/>
        <v>142.81389999999999</v>
      </c>
      <c r="D14">
        <f t="shared" si="2"/>
        <v>1.11425112</v>
      </c>
      <c r="E14">
        <f t="shared" si="3"/>
        <v>166.53800000000001</v>
      </c>
      <c r="F14">
        <f t="shared" si="4"/>
        <v>0.220831</v>
      </c>
      <c r="H14">
        <v>2</v>
      </c>
      <c r="I14">
        <f t="shared" si="6"/>
        <v>0.9203136208985927</v>
      </c>
      <c r="J14">
        <f t="shared" si="5"/>
        <v>11.052295823158591</v>
      </c>
    </row>
    <row r="15" spans="1:10" x14ac:dyDescent="0.2">
      <c r="A15">
        <f t="shared" si="7"/>
        <v>-11</v>
      </c>
      <c r="B15">
        <f t="shared" si="0"/>
        <v>0.91818017900000004</v>
      </c>
      <c r="C15">
        <f t="shared" si="1"/>
        <v>151.08783599999998</v>
      </c>
      <c r="D15">
        <f t="shared" si="2"/>
        <v>1.1208702688000001</v>
      </c>
      <c r="E15">
        <f t="shared" si="3"/>
        <v>179.10924</v>
      </c>
      <c r="F15">
        <f t="shared" si="4"/>
        <v>0.23018113099999998</v>
      </c>
      <c r="H15">
        <v>2</v>
      </c>
      <c r="I15">
        <f t="shared" si="6"/>
        <v>0.92035219835790816</v>
      </c>
      <c r="J15">
        <f t="shared" si="5"/>
        <v>10.276992949754106</v>
      </c>
    </row>
    <row r="16" spans="1:10" x14ac:dyDescent="0.2">
      <c r="A16">
        <f t="shared" si="7"/>
        <v>-12</v>
      </c>
      <c r="B16">
        <f t="shared" si="0"/>
        <v>0.91828746800000005</v>
      </c>
      <c r="C16">
        <f t="shared" si="1"/>
        <v>158.67586799999998</v>
      </c>
      <c r="D16">
        <f t="shared" si="2"/>
        <v>1.1269406944</v>
      </c>
      <c r="E16">
        <f t="shared" si="3"/>
        <v>191.10991999999993</v>
      </c>
      <c r="F16">
        <f t="shared" si="4"/>
        <v>0.239046128</v>
      </c>
      <c r="H16">
        <v>2</v>
      </c>
      <c r="I16">
        <f t="shared" si="6"/>
        <v>0.92040185568956179</v>
      </c>
      <c r="J16">
        <f t="shared" si="5"/>
        <v>9.6321724763378285</v>
      </c>
    </row>
    <row r="17" spans="1:10" x14ac:dyDescent="0.2">
      <c r="A17">
        <f t="shared" si="7"/>
        <v>-13</v>
      </c>
      <c r="B17">
        <f t="shared" si="0"/>
        <v>0.91839475700000017</v>
      </c>
      <c r="C17">
        <f t="shared" si="1"/>
        <v>165.69773199999997</v>
      </c>
      <c r="D17">
        <f t="shared" si="2"/>
        <v>1.1325581856</v>
      </c>
      <c r="E17">
        <f t="shared" si="3"/>
        <v>202.60447999999991</v>
      </c>
      <c r="F17">
        <f t="shared" si="4"/>
        <v>0.24747879699999997</v>
      </c>
      <c r="H17">
        <v>2</v>
      </c>
      <c r="I17">
        <f t="shared" si="6"/>
        <v>0.92045991471185196</v>
      </c>
      <c r="J17">
        <f t="shared" si="5"/>
        <v>9.0862740519049954</v>
      </c>
    </row>
    <row r="18" spans="1:10" x14ac:dyDescent="0.2">
      <c r="A18">
        <f t="shared" si="7"/>
        <v>-14</v>
      </c>
      <c r="B18">
        <f t="shared" si="0"/>
        <v>0.91850204600000007</v>
      </c>
      <c r="C18">
        <f t="shared" si="1"/>
        <v>172.27316400000001</v>
      </c>
      <c r="D18">
        <f t="shared" si="2"/>
        <v>1.1378185312</v>
      </c>
      <c r="E18">
        <f t="shared" si="3"/>
        <v>213.65735999999998</v>
      </c>
      <c r="F18">
        <f t="shared" si="4"/>
        <v>0.25553194399999996</v>
      </c>
      <c r="H18">
        <v>2</v>
      </c>
      <c r="I18">
        <f t="shared" si="6"/>
        <v>0.92052447276346749</v>
      </c>
      <c r="J18">
        <f t="shared" si="5"/>
        <v>8.6168290459403565</v>
      </c>
    </row>
    <row r="19" spans="1:10" x14ac:dyDescent="0.2">
      <c r="A19">
        <f t="shared" si="7"/>
        <v>-15</v>
      </c>
      <c r="B19">
        <f t="shared" si="0"/>
        <v>0.91860933499999997</v>
      </c>
      <c r="C19">
        <f t="shared" si="1"/>
        <v>178.52190000000002</v>
      </c>
      <c r="D19">
        <f t="shared" si="2"/>
        <v>1.1428175199999999</v>
      </c>
      <c r="E19">
        <f t="shared" si="3"/>
        <v>224.33299999999997</v>
      </c>
      <c r="F19">
        <f t="shared" si="4"/>
        <v>0.26325837499999999</v>
      </c>
      <c r="H19">
        <v>2</v>
      </c>
      <c r="I19">
        <f t="shared" si="6"/>
        <v>0.9205941411125641</v>
      </c>
      <c r="J19">
        <f t="shared" si="5"/>
        <v>8.2073893819684507</v>
      </c>
    </row>
    <row r="20" spans="1:10" x14ac:dyDescent="0.2">
      <c r="A20">
        <f t="shared" si="7"/>
        <v>-16</v>
      </c>
      <c r="B20">
        <f t="shared" si="0"/>
        <v>0.91871662400000009</v>
      </c>
      <c r="C20">
        <f t="shared" si="1"/>
        <v>184.56367599999999</v>
      </c>
      <c r="D20">
        <f t="shared" si="2"/>
        <v>1.1476509408</v>
      </c>
      <c r="E20">
        <f t="shared" si="3"/>
        <v>234.69583999999995</v>
      </c>
      <c r="F20">
        <f t="shared" si="4"/>
        <v>0.27071089599999998</v>
      </c>
      <c r="H20">
        <v>2</v>
      </c>
      <c r="I20">
        <f t="shared" si="6"/>
        <v>0.92066788295128954</v>
      </c>
      <c r="J20">
        <f t="shared" si="5"/>
        <v>7.8456259212032888</v>
      </c>
    </row>
    <row r="21" spans="1:10" x14ac:dyDescent="0.2">
      <c r="A21">
        <f t="shared" si="7"/>
        <v>-17</v>
      </c>
      <c r="B21">
        <f t="shared" si="0"/>
        <v>0.9188239130000001</v>
      </c>
      <c r="C21">
        <f t="shared" si="1"/>
        <v>190.51822799999997</v>
      </c>
      <c r="D21">
        <f t="shared" si="2"/>
        <v>1.1524145824000001</v>
      </c>
      <c r="E21">
        <f t="shared" si="3"/>
        <v>244.81031999999993</v>
      </c>
      <c r="F21">
        <f t="shared" si="4"/>
        <v>0.27794231299999994</v>
      </c>
      <c r="H21">
        <v>2</v>
      </c>
      <c r="I21">
        <f t="shared" si="6"/>
        <v>0.92074490942802356</v>
      </c>
      <c r="J21">
        <f t="shared" si="5"/>
        <v>7.5221086221203732</v>
      </c>
    </row>
    <row r="22" spans="1:10" x14ac:dyDescent="0.2">
      <c r="A22">
        <f t="shared" si="7"/>
        <v>-18</v>
      </c>
      <c r="B22">
        <f t="shared" si="0"/>
        <v>0.918931202</v>
      </c>
      <c r="C22">
        <f t="shared" si="1"/>
        <v>196.505292</v>
      </c>
      <c r="D22">
        <f t="shared" si="2"/>
        <v>1.1572042335999999</v>
      </c>
      <c r="E22">
        <f t="shared" si="3"/>
        <v>254.74087999999989</v>
      </c>
      <c r="F22">
        <f t="shared" si="4"/>
        <v>0.28500543199999995</v>
      </c>
      <c r="H22">
        <v>2</v>
      </c>
      <c r="I22">
        <f t="shared" si="6"/>
        <v>0.92082461085819767</v>
      </c>
      <c r="J22">
        <f t="shared" si="5"/>
        <v>7.2295001168104465</v>
      </c>
    </row>
    <row r="23" spans="1:10" x14ac:dyDescent="0.2">
      <c r="A23">
        <f t="shared" si="7"/>
        <v>-19</v>
      </c>
      <c r="B23">
        <f t="shared" si="0"/>
        <v>0.91903849100000012</v>
      </c>
      <c r="C23">
        <f t="shared" si="1"/>
        <v>202.64460399999999</v>
      </c>
      <c r="D23">
        <f t="shared" si="2"/>
        <v>1.1621156831999999</v>
      </c>
      <c r="E23">
        <f t="shared" si="3"/>
        <v>264.55196000000001</v>
      </c>
      <c r="F23">
        <f t="shared" si="4"/>
        <v>0.29195305899999996</v>
      </c>
      <c r="H23">
        <v>2</v>
      </c>
      <c r="I23">
        <f t="shared" si="6"/>
        <v>0.92090650998656443</v>
      </c>
      <c r="J23">
        <f t="shared" si="5"/>
        <v>6.9620085973777277</v>
      </c>
    </row>
    <row r="24" spans="1:10" x14ac:dyDescent="0.2">
      <c r="A24">
        <f t="shared" si="7"/>
        <v>-20</v>
      </c>
      <c r="B24">
        <f t="shared" si="0"/>
        <v>0.91914578000000002</v>
      </c>
      <c r="C24">
        <f t="shared" si="1"/>
        <v>209.05589999999998</v>
      </c>
      <c r="D24">
        <f t="shared" si="2"/>
        <v>1.16724472</v>
      </c>
      <c r="E24">
        <f t="shared" si="3"/>
        <v>274.30799999999999</v>
      </c>
      <c r="F24">
        <f t="shared" si="4"/>
        <v>0.29883799999999999</v>
      </c>
      <c r="H24">
        <v>2</v>
      </c>
      <c r="I24">
        <f t="shared" si="6"/>
        <v>0.92099022947749964</v>
      </c>
      <c r="J24">
        <f t="shared" si="5"/>
        <v>6.7150081621935902</v>
      </c>
    </row>
    <row r="25" spans="1:10" x14ac:dyDescent="0.2">
      <c r="A25">
        <v>-21</v>
      </c>
      <c r="B25">
        <f t="shared" si="0"/>
        <v>0.91925306899999992</v>
      </c>
      <c r="C25">
        <f t="shared" si="1"/>
        <v>215.85891599999997</v>
      </c>
      <c r="D25">
        <f t="shared" si="2"/>
        <v>1.1726871327999999</v>
      </c>
      <c r="E25">
        <f t="shared" si="3"/>
        <v>284.07343999999995</v>
      </c>
      <c r="F25">
        <f t="shared" si="4"/>
        <v>0.30571306099999995</v>
      </c>
      <c r="H25">
        <v>2</v>
      </c>
      <c r="I25">
        <f t="shared" si="6"/>
        <v>0.9210754688166688</v>
      </c>
      <c r="J25">
        <f t="shared" si="5"/>
        <v>6.4847700567618638</v>
      </c>
    </row>
    <row r="26" spans="1:10" x14ac:dyDescent="0.2">
      <c r="A26">
        <v>-22</v>
      </c>
      <c r="B26">
        <f t="shared" si="0"/>
        <v>0.91936035800000016</v>
      </c>
      <c r="C26">
        <f t="shared" si="1"/>
        <v>223.17338799999999</v>
      </c>
      <c r="D26">
        <f t="shared" si="2"/>
        <v>1.1785387104</v>
      </c>
      <c r="E26">
        <f t="shared" si="3"/>
        <v>293.91271999999992</v>
      </c>
      <c r="F26">
        <f t="shared" si="4"/>
        <v>0.31263104799999997</v>
      </c>
      <c r="H26">
        <v>2</v>
      </c>
      <c r="I26">
        <f t="shared" si="6"/>
        <v>0.92116198757214263</v>
      </c>
      <c r="J26">
        <f t="shared" si="5"/>
        <v>6.26826894441413</v>
      </c>
    </row>
    <row r="28" spans="1:10" x14ac:dyDescent="0.2">
      <c r="A28" t="s">
        <v>18</v>
      </c>
    </row>
    <row r="29" spans="1:10" x14ac:dyDescent="0.2">
      <c r="A29">
        <v>-23</v>
      </c>
      <c r="B29">
        <f t="shared" ref="B29:B36" si="8">0.917*(1-0.000117*A29)</f>
        <v>0.91946764700000005</v>
      </c>
      <c r="C29">
        <f t="shared" ref="C29:C36" si="9">206.24 - 1.8907*A29 - 0.060868*A29*A29 - 0.0010247*A29*A29*A29</f>
        <v>229.9944529</v>
      </c>
      <c r="D29">
        <f t="shared" ref="D29:D36" si="10">1+0.0008*C29</f>
        <v>1.18399556232</v>
      </c>
      <c r="E29">
        <f t="shared" ref="E29:E36" si="11">9899 +1309*A29 +55.27*A29*A29 + 0.716*A29*A29*A29</f>
        <v>318.25800000000163</v>
      </c>
      <c r="F29">
        <f t="shared" ref="F29:F36" si="12">8.547 +1.089*A29 + 0.04518*A29*A29 + 0.0005819*A29*A29*A29</f>
        <v>0.32024269999999699</v>
      </c>
      <c r="H29">
        <v>5</v>
      </c>
      <c r="I29">
        <f t="shared" ref="I29:I36" si="13">B29*E29/(E29-B29*H29*F29)</f>
        <v>0.92374087956856377</v>
      </c>
      <c r="J29">
        <f t="shared" ref="J29:J36" si="14">1000*I29*H29/E29</f>
        <v>14.512453411517685</v>
      </c>
    </row>
    <row r="30" spans="1:10" x14ac:dyDescent="0.2">
      <c r="A30">
        <v>-24</v>
      </c>
      <c r="B30">
        <f t="shared" si="8"/>
        <v>0.91957493599999995</v>
      </c>
      <c r="C30">
        <f t="shared" si="9"/>
        <v>230.72228480000001</v>
      </c>
      <c r="D30">
        <f t="shared" si="10"/>
        <v>1.1845778278400001</v>
      </c>
      <c r="E30">
        <f t="shared" si="11"/>
        <v>420.53600000000188</v>
      </c>
      <c r="F30">
        <f t="shared" si="12"/>
        <v>0.39049440000000146</v>
      </c>
      <c r="H30">
        <v>5</v>
      </c>
      <c r="I30">
        <f t="shared" si="13"/>
        <v>0.92351782036629038</v>
      </c>
      <c r="J30">
        <f t="shared" si="14"/>
        <v>10.98024687977113</v>
      </c>
    </row>
    <row r="31" spans="1:10" x14ac:dyDescent="0.2">
      <c r="A31">
        <v>-25</v>
      </c>
      <c r="B31">
        <f t="shared" si="8"/>
        <v>0.91968222500000008</v>
      </c>
      <c r="C31">
        <f t="shared" si="9"/>
        <v>231.47593749999999</v>
      </c>
      <c r="D31">
        <f t="shared" si="10"/>
        <v>1.18518075</v>
      </c>
      <c r="E31">
        <f t="shared" si="11"/>
        <v>530.25000000000182</v>
      </c>
      <c r="F31">
        <f t="shared" si="12"/>
        <v>0.46731250000000024</v>
      </c>
      <c r="H31">
        <v>5</v>
      </c>
      <c r="I31">
        <f t="shared" si="13"/>
        <v>0.92342450183888469</v>
      </c>
      <c r="J31">
        <f t="shared" si="14"/>
        <v>8.7074446189427768</v>
      </c>
    </row>
    <row r="32" spans="1:10" x14ac:dyDescent="0.2">
      <c r="A32">
        <v>-26</v>
      </c>
      <c r="B32">
        <f t="shared" si="8"/>
        <v>0.91978951399999997</v>
      </c>
      <c r="C32">
        <f t="shared" si="9"/>
        <v>232.26155919999999</v>
      </c>
      <c r="D32">
        <f t="shared" si="10"/>
        <v>1.1858092473599999</v>
      </c>
      <c r="E32">
        <f t="shared" si="11"/>
        <v>643.10399999999754</v>
      </c>
      <c r="F32">
        <f t="shared" si="12"/>
        <v>0.54720559999999985</v>
      </c>
      <c r="H32">
        <v>5</v>
      </c>
      <c r="I32">
        <f t="shared" si="13"/>
        <v>0.92340293890289438</v>
      </c>
      <c r="J32">
        <f t="shared" si="14"/>
        <v>7.1792660199819771</v>
      </c>
    </row>
    <row r="33" spans="1:10" x14ac:dyDescent="0.2">
      <c r="A33">
        <v>-27</v>
      </c>
      <c r="B33">
        <f t="shared" si="8"/>
        <v>0.91989680299999999</v>
      </c>
      <c r="C33">
        <f t="shared" si="9"/>
        <v>233.08529810000002</v>
      </c>
      <c r="D33">
        <f t="shared" si="10"/>
        <v>1.18646823848</v>
      </c>
      <c r="E33">
        <f t="shared" si="11"/>
        <v>754.80199999999968</v>
      </c>
      <c r="F33">
        <f t="shared" si="12"/>
        <v>0.62668230000000058</v>
      </c>
      <c r="H33">
        <v>5</v>
      </c>
      <c r="I33">
        <f t="shared" si="13"/>
        <v>0.9234231435830873</v>
      </c>
      <c r="J33">
        <f t="shared" si="14"/>
        <v>6.1169892473992356</v>
      </c>
    </row>
    <row r="34" spans="1:10" x14ac:dyDescent="0.2">
      <c r="A34">
        <v>-28</v>
      </c>
      <c r="B34">
        <f t="shared" si="8"/>
        <v>0.92000409200000011</v>
      </c>
      <c r="C34">
        <f t="shared" si="9"/>
        <v>233.95330240000001</v>
      </c>
      <c r="D34">
        <f t="shared" si="10"/>
        <v>1.1871626419200001</v>
      </c>
      <c r="E34">
        <f t="shared" si="11"/>
        <v>861.04800000000978</v>
      </c>
      <c r="F34">
        <f t="shared" si="12"/>
        <v>0.70225120000000629</v>
      </c>
      <c r="H34">
        <v>5</v>
      </c>
      <c r="I34">
        <f t="shared" si="13"/>
        <v>0.9234686436848385</v>
      </c>
      <c r="J34">
        <f t="shared" si="14"/>
        <v>5.3624690126730918</v>
      </c>
    </row>
    <row r="35" spans="1:10" x14ac:dyDescent="0.2">
      <c r="A35">
        <v>-29</v>
      </c>
      <c r="B35">
        <f t="shared" si="8"/>
        <v>0.92011138100000001</v>
      </c>
      <c r="C35">
        <f t="shared" si="9"/>
        <v>234.87172030000002</v>
      </c>
      <c r="D35">
        <f t="shared" si="10"/>
        <v>1.18789737624</v>
      </c>
      <c r="E35">
        <f t="shared" si="11"/>
        <v>957.54600000000937</v>
      </c>
      <c r="F35">
        <f t="shared" si="12"/>
        <v>0.77042089999999419</v>
      </c>
      <c r="H35">
        <v>5</v>
      </c>
      <c r="I35">
        <f t="shared" si="13"/>
        <v>0.92352983504860786</v>
      </c>
      <c r="J35">
        <f t="shared" si="14"/>
        <v>4.8223784290707643</v>
      </c>
    </row>
    <row r="36" spans="1:10" x14ac:dyDescent="0.2">
      <c r="A36">
        <v>-30</v>
      </c>
      <c r="B36">
        <f t="shared" si="8"/>
        <v>0.92021866999999991</v>
      </c>
      <c r="C36">
        <f t="shared" si="9"/>
        <v>235.8467</v>
      </c>
      <c r="D36">
        <f t="shared" si="10"/>
        <v>1.18867736</v>
      </c>
      <c r="E36">
        <f t="shared" si="11"/>
        <v>1040.0000000000073</v>
      </c>
      <c r="F36">
        <f t="shared" si="12"/>
        <v>0.82769999999999833</v>
      </c>
      <c r="H36">
        <v>5</v>
      </c>
      <c r="I36">
        <f t="shared" si="13"/>
        <v>0.92360075829446142</v>
      </c>
      <c r="J36">
        <f t="shared" si="14"/>
        <v>4.4403882610310337</v>
      </c>
    </row>
    <row r="39" spans="1:10" x14ac:dyDescent="0.2">
      <c r="A39" s="1" t="s">
        <v>3</v>
      </c>
      <c r="C39" t="s">
        <v>4</v>
      </c>
    </row>
    <row r="40" spans="1:10" x14ac:dyDescent="0.2">
      <c r="A40">
        <v>-0.05</v>
      </c>
      <c r="B40">
        <f t="shared" ref="B40:B49" si="15">0.917*(1-0.000117*A40)</f>
        <v>0.91700536445000003</v>
      </c>
      <c r="C40">
        <f t="shared" ref="C40:C47" si="16">-0.0316891 - 18.3801*A40 +0.327828*A40*A40 +0.213819*A40*A40*A40</f>
        <v>0.88810874262499995</v>
      </c>
      <c r="D40">
        <f t="shared" ref="D40:D49" si="17">1+0.0008*C40</f>
        <v>1.0007104869940999</v>
      </c>
      <c r="E40">
        <f>-0.041221 -18.407*A40 +0.58402*A40*A40 +0.21454*A40*A40*A40</f>
        <v>0.8805622325000001</v>
      </c>
      <c r="F40">
        <f t="shared" ref="F40:F48" si="18">0.090312 -0.016111*A40 + 0.00012291*A40*A40 + 0.00013603*A40*A40*A40</f>
        <v>9.111784027125E-2</v>
      </c>
      <c r="H40">
        <v>0.1</v>
      </c>
      <c r="I40">
        <f t="shared" ref="I40:I49" si="19">0.985*B40*E40/(E40-B40*H40*F40)</f>
        <v>0.91190322997484952</v>
      </c>
      <c r="J40">
        <f t="shared" ref="J40:J49" si="20">1000*I40*H40/E40</f>
        <v>103.55920300895365</v>
      </c>
    </row>
    <row r="41" spans="1:10" x14ac:dyDescent="0.2">
      <c r="A41">
        <v>-0.1</v>
      </c>
      <c r="B41">
        <f t="shared" si="15"/>
        <v>0.91701072890000002</v>
      </c>
      <c r="C41">
        <f t="shared" si="16"/>
        <v>1.8093853609999999</v>
      </c>
      <c r="D41">
        <f t="shared" si="17"/>
        <v>1.0014475082887999</v>
      </c>
      <c r="E41">
        <f t="shared" ref="E41:E48" si="21">-0.041221 -18.407*A41 +0.58402*A41*A41 +0.21454*A41*A41*A41</f>
        <v>1.80510466</v>
      </c>
      <c r="F41">
        <f t="shared" si="18"/>
        <v>9.1924193070000007E-2</v>
      </c>
      <c r="H41">
        <v>0.1</v>
      </c>
      <c r="I41">
        <f t="shared" si="19"/>
        <v>0.90749341560251406</v>
      </c>
      <c r="J41">
        <f t="shared" si="20"/>
        <v>50.273728483007417</v>
      </c>
    </row>
    <row r="42" spans="1:10" x14ac:dyDescent="0.2">
      <c r="A42">
        <v>-0.2</v>
      </c>
      <c r="B42">
        <f t="shared" si="15"/>
        <v>0.91702145779999999</v>
      </c>
      <c r="C42">
        <f t="shared" si="16"/>
        <v>3.6557334679999998</v>
      </c>
      <c r="D42">
        <f t="shared" si="17"/>
        <v>1.0029245867744001</v>
      </c>
      <c r="E42">
        <f t="shared" si="21"/>
        <v>3.6618234799999998</v>
      </c>
      <c r="F42">
        <f t="shared" si="18"/>
        <v>9.3538028159999995E-2</v>
      </c>
      <c r="H42">
        <v>0.1</v>
      </c>
      <c r="I42">
        <f t="shared" si="19"/>
        <v>0.90538695948856796</v>
      </c>
      <c r="J42">
        <f t="shared" si="20"/>
        <v>24.725030150513099</v>
      </c>
    </row>
    <row r="43" spans="1:10" x14ac:dyDescent="0.2">
      <c r="A43">
        <v>-0.3</v>
      </c>
      <c r="B43">
        <f t="shared" si="15"/>
        <v>0.91703218670000008</v>
      </c>
      <c r="C43">
        <f t="shared" si="16"/>
        <v>5.5060723069999984</v>
      </c>
      <c r="D43">
        <f t="shared" si="17"/>
        <v>1.0044048578456</v>
      </c>
      <c r="E43">
        <f t="shared" si="21"/>
        <v>5.5276482200000006</v>
      </c>
      <c r="F43">
        <f t="shared" si="18"/>
        <v>9.5152689090000006E-2</v>
      </c>
      <c r="H43">
        <v>0.1</v>
      </c>
      <c r="I43">
        <f t="shared" si="19"/>
        <v>0.90470484844823862</v>
      </c>
      <c r="J43">
        <f t="shared" si="20"/>
        <v>16.366903472164854</v>
      </c>
    </row>
    <row r="44" spans="1:10" x14ac:dyDescent="0.2">
      <c r="A44">
        <v>-0.4</v>
      </c>
      <c r="B44">
        <f t="shared" si="15"/>
        <v>0.91704291560000006</v>
      </c>
      <c r="C44">
        <f t="shared" si="16"/>
        <v>7.3591189639999994</v>
      </c>
      <c r="D44">
        <f t="shared" si="17"/>
        <v>1.0058872951711999</v>
      </c>
      <c r="E44">
        <f t="shared" si="21"/>
        <v>7.4012916400000002</v>
      </c>
      <c r="F44">
        <f t="shared" si="18"/>
        <v>9.6767359679999998E-2</v>
      </c>
      <c r="H44">
        <v>0.1</v>
      </c>
      <c r="I44">
        <f t="shared" si="19"/>
        <v>0.90437159305995274</v>
      </c>
      <c r="J44">
        <f t="shared" si="20"/>
        <v>12.219104948821512</v>
      </c>
    </row>
    <row r="45" spans="1:10" x14ac:dyDescent="0.2">
      <c r="A45">
        <v>-0.5</v>
      </c>
      <c r="B45">
        <f t="shared" si="15"/>
        <v>0.91705364450000004</v>
      </c>
      <c r="C45">
        <f t="shared" si="16"/>
        <v>9.213590524999999</v>
      </c>
      <c r="D45">
        <f t="shared" si="17"/>
        <v>1.0073708724199999</v>
      </c>
      <c r="E45">
        <f t="shared" si="21"/>
        <v>9.2814665000000005</v>
      </c>
      <c r="F45">
        <f t="shared" si="18"/>
        <v>9.8381223749999996E-2</v>
      </c>
      <c r="H45">
        <v>0.1</v>
      </c>
      <c r="I45">
        <f t="shared" si="19"/>
        <v>0.90417674839336648</v>
      </c>
      <c r="J45">
        <f t="shared" si="20"/>
        <v>9.7417444580914712</v>
      </c>
    </row>
    <row r="46" spans="1:10" x14ac:dyDescent="0.2">
      <c r="A46">
        <v>-0.75</v>
      </c>
      <c r="B46">
        <f t="shared" si="15"/>
        <v>0.9170804667500001</v>
      </c>
      <c r="C46">
        <f t="shared" si="16"/>
        <v>13.847584259375001</v>
      </c>
      <c r="D46">
        <f t="shared" si="17"/>
        <v>1.0110780674074999</v>
      </c>
      <c r="E46">
        <f t="shared" si="21"/>
        <v>14.0020311875</v>
      </c>
      <c r="F46">
        <f t="shared" si="18"/>
        <v>0.10240699921875</v>
      </c>
      <c r="H46">
        <v>0.1</v>
      </c>
      <c r="I46">
        <f t="shared" si="19"/>
        <v>0.90393055072979067</v>
      </c>
      <c r="J46">
        <f t="shared" si="20"/>
        <v>6.4557101653705384</v>
      </c>
    </row>
    <row r="47" spans="1:10" x14ac:dyDescent="0.2">
      <c r="A47">
        <v>-1</v>
      </c>
      <c r="B47">
        <f t="shared" si="15"/>
        <v>0.91710728899999994</v>
      </c>
      <c r="C47">
        <f t="shared" si="16"/>
        <v>18.462419899999997</v>
      </c>
      <c r="D47">
        <f t="shared" si="17"/>
        <v>1.01476993592</v>
      </c>
      <c r="E47">
        <f t="shared" si="21"/>
        <v>18.735258999999999</v>
      </c>
      <c r="F47">
        <f t="shared" si="18"/>
        <v>0.10640988000000001</v>
      </c>
      <c r="H47">
        <v>0.1</v>
      </c>
      <c r="I47">
        <f t="shared" si="19"/>
        <v>0.90382146730205426</v>
      </c>
      <c r="J47">
        <f t="shared" si="20"/>
        <v>4.8241738601107906</v>
      </c>
    </row>
    <row r="48" spans="1:10" x14ac:dyDescent="0.2">
      <c r="A48">
        <v>-1.5</v>
      </c>
      <c r="B48">
        <f t="shared" si="15"/>
        <v>0.91716093350000016</v>
      </c>
      <c r="C48">
        <f>-0.0316891 - 18.3801*A48 +0.327828*A48*A48 +0.213819*A48*A48*A48</f>
        <v>27.554434774999997</v>
      </c>
      <c r="D48">
        <f t="shared" si="17"/>
        <v>1.0220435478200001</v>
      </c>
      <c r="E48">
        <f t="shared" si="21"/>
        <v>28.159251500000003</v>
      </c>
      <c r="F48">
        <f t="shared" si="18"/>
        <v>0.11429594625000002</v>
      </c>
      <c r="H48">
        <v>0.1</v>
      </c>
      <c r="I48">
        <f t="shared" si="19"/>
        <v>0.90373995262322016</v>
      </c>
      <c r="J48">
        <f t="shared" si="20"/>
        <v>3.209389115414591</v>
      </c>
    </row>
    <row r="49" spans="1:10" x14ac:dyDescent="0.2">
      <c r="A49">
        <v>-2</v>
      </c>
      <c r="B49">
        <f t="shared" si="15"/>
        <v>0.91721457800000006</v>
      </c>
      <c r="C49">
        <f>-0.0316891 - 18.3801*A49 +0.327828*A49*A49 +0.213819*A49*A49*A49</f>
        <v>36.329270899999997</v>
      </c>
      <c r="D49">
        <f t="shared" si="17"/>
        <v>1.0290634167199999</v>
      </c>
      <c r="E49">
        <f>-0.041221 -18.407*A49 +0.58402*A49*A49 +0.21454*A49*A49*A49</f>
        <v>37.392538999999999</v>
      </c>
      <c r="F49">
        <f>0.090312 -0.016111*A49 + 0.00012291*A49*A49 + 0.00013603*A49*A49*A49</f>
        <v>0.1219374</v>
      </c>
      <c r="H49">
        <v>0.1</v>
      </c>
      <c r="I49">
        <f t="shared" si="19"/>
        <v>0.90372666802884583</v>
      </c>
      <c r="J49">
        <f t="shared" si="20"/>
        <v>2.4168636102214021</v>
      </c>
    </row>
  </sheetData>
  <phoneticPr fontId="2"/>
  <printOptions gridLines="1" gridLinesSet="0"/>
  <pageMargins left="0.78740157499999996" right="0.78740157499999996" top="0.984251969" bottom="0.984251969" header="0.5" footer="0.5"/>
  <pageSetup paperSize="9" orientation="portrait" horizontalDpi="4294967292" verticalDpi="4294967292"/>
  <headerFooter>
    <oddHeader>&amp;F</oddHeader>
    <oddFooter>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4" x14ac:dyDescent="0.2"/>
  <cols>
    <col min="1" max="1" width="23.28515625" customWidth="1"/>
    <col min="2" max="2" width="34.140625" customWidth="1"/>
    <col min="3" max="3" width="35.7109375" customWidth="1"/>
  </cols>
  <sheetData>
    <row r="1" spans="1:3" x14ac:dyDescent="0.2">
      <c r="A1" s="2" t="s">
        <v>20</v>
      </c>
      <c r="B1" s="3" t="s">
        <v>29</v>
      </c>
    </row>
    <row r="2" spans="1:3" x14ac:dyDescent="0.2">
      <c r="A2" s="2" t="s">
        <v>21</v>
      </c>
      <c r="B2" s="3" t="s">
        <v>22</v>
      </c>
      <c r="C2">
        <v>1.42</v>
      </c>
    </row>
    <row r="3" spans="1:3" x14ac:dyDescent="0.2">
      <c r="A3" s="2" t="s">
        <v>23</v>
      </c>
      <c r="B3" s="3"/>
    </row>
    <row r="4" spans="1:3" x14ac:dyDescent="0.2">
      <c r="A4" s="2" t="s">
        <v>24</v>
      </c>
      <c r="B4" s="2" t="s">
        <v>25</v>
      </c>
      <c r="C4" s="2" t="s">
        <v>26</v>
      </c>
    </row>
    <row r="5" spans="1:3" x14ac:dyDescent="0.2">
      <c r="A5" s="3" t="s">
        <v>22</v>
      </c>
      <c r="B5" s="3" t="s">
        <v>27</v>
      </c>
      <c r="C5" s="3" t="s">
        <v>28</v>
      </c>
    </row>
    <row r="6" spans="1:3" x14ac:dyDescent="0.2">
      <c r="A6" s="2">
        <v>0.05</v>
      </c>
      <c r="B6">
        <v>-2.1</v>
      </c>
    </row>
    <row r="7" spans="1:3" x14ac:dyDescent="0.2">
      <c r="A7" s="2">
        <v>0.15</v>
      </c>
      <c r="B7">
        <v>-2.8</v>
      </c>
    </row>
    <row r="8" spans="1:3" x14ac:dyDescent="0.2">
      <c r="A8" s="2">
        <v>0.25</v>
      </c>
      <c r="B8">
        <v>-2.4</v>
      </c>
    </row>
    <row r="9" spans="1:3" x14ac:dyDescent="0.2">
      <c r="A9" s="2">
        <v>0.35</v>
      </c>
      <c r="B9">
        <v>-3.4</v>
      </c>
    </row>
    <row r="10" spans="1:3" x14ac:dyDescent="0.2">
      <c r="A10" s="2">
        <v>0.45</v>
      </c>
      <c r="B10">
        <v>-3.8</v>
      </c>
    </row>
    <row r="11" spans="1:3" x14ac:dyDescent="0.2">
      <c r="A11" s="2">
        <v>0.55000000000000004</v>
      </c>
      <c r="B11">
        <v>-3.8</v>
      </c>
    </row>
    <row r="12" spans="1:3" x14ac:dyDescent="0.2">
      <c r="A12" s="2">
        <v>0.65</v>
      </c>
      <c r="B12">
        <v>-3.4</v>
      </c>
    </row>
    <row r="13" spans="1:3" x14ac:dyDescent="0.2">
      <c r="A13" s="2">
        <v>0.75</v>
      </c>
      <c r="B13">
        <v>-3.6</v>
      </c>
    </row>
    <row r="14" spans="1:3" x14ac:dyDescent="0.2">
      <c r="A14" s="2">
        <v>0.85</v>
      </c>
      <c r="B14">
        <v>-3.2</v>
      </c>
    </row>
    <row r="15" spans="1:3" x14ac:dyDescent="0.2">
      <c r="A15" s="2">
        <v>0.95</v>
      </c>
      <c r="B15">
        <v>-3.2</v>
      </c>
    </row>
    <row r="16" spans="1:3" x14ac:dyDescent="0.2">
      <c r="A16" s="2">
        <v>1.05</v>
      </c>
      <c r="B16">
        <v>-3</v>
      </c>
    </row>
    <row r="17" spans="1:6" x14ac:dyDescent="0.2">
      <c r="A17" s="2">
        <v>1.1499999999999999</v>
      </c>
      <c r="B17">
        <v>-2.7</v>
      </c>
    </row>
    <row r="18" spans="1:6" x14ac:dyDescent="0.2">
      <c r="A18" s="2">
        <v>1.25</v>
      </c>
      <c r="B18">
        <v>-2.2999999999999998</v>
      </c>
    </row>
    <row r="19" spans="1:6" x14ac:dyDescent="0.2">
      <c r="A19" s="2">
        <v>1.35</v>
      </c>
      <c r="B19">
        <v>-1.9</v>
      </c>
    </row>
    <row r="20" spans="1:6" x14ac:dyDescent="0.2">
      <c r="A20" s="2">
        <v>1.42</v>
      </c>
      <c r="B20">
        <v>-1.7</v>
      </c>
    </row>
    <row r="22" spans="1:6" x14ac:dyDescent="0.2">
      <c r="A22" s="2" t="s">
        <v>21</v>
      </c>
      <c r="B22" s="3" t="s">
        <v>22</v>
      </c>
      <c r="C22">
        <v>1.44</v>
      </c>
    </row>
    <row r="23" spans="1:6" x14ac:dyDescent="0.2">
      <c r="A23" s="2" t="s">
        <v>23</v>
      </c>
      <c r="C23" t="s">
        <v>30</v>
      </c>
    </row>
    <row r="24" spans="1:6" x14ac:dyDescent="0.2">
      <c r="A24" s="2" t="s">
        <v>31</v>
      </c>
      <c r="B24" s="2" t="s">
        <v>32</v>
      </c>
      <c r="C24" s="2" t="s">
        <v>33</v>
      </c>
      <c r="D24" s="2" t="s">
        <v>34</v>
      </c>
      <c r="E24" s="2" t="s">
        <v>35</v>
      </c>
      <c r="F24" s="2" t="s">
        <v>37</v>
      </c>
    </row>
    <row r="25" spans="1:6" x14ac:dyDescent="0.2">
      <c r="A25" s="3" t="s">
        <v>22</v>
      </c>
      <c r="B25" s="3" t="s">
        <v>22</v>
      </c>
      <c r="C25" s="3" t="s">
        <v>22</v>
      </c>
      <c r="D25" s="3" t="s">
        <v>36</v>
      </c>
      <c r="E25" s="3" t="s">
        <v>27</v>
      </c>
      <c r="F25" s="3" t="s">
        <v>27</v>
      </c>
    </row>
    <row r="26" spans="1:6" x14ac:dyDescent="0.2">
      <c r="A26">
        <v>0</v>
      </c>
      <c r="B26" s="3">
        <v>0.05</v>
      </c>
      <c r="C26">
        <f>A26+(B26-A26)/2</f>
        <v>2.5000000000000001E-2</v>
      </c>
      <c r="D26">
        <v>10.7</v>
      </c>
      <c r="E26" t="s">
        <v>28</v>
      </c>
      <c r="F26">
        <v>-1.9</v>
      </c>
    </row>
    <row r="27" spans="1:6" x14ac:dyDescent="0.2">
      <c r="A27">
        <v>0.05</v>
      </c>
      <c r="B27">
        <v>0.1</v>
      </c>
      <c r="C27">
        <f t="shared" ref="C27:C45" si="0">A27+(B27-A27)/2</f>
        <v>7.5000000000000011E-2</v>
      </c>
      <c r="D27">
        <v>12.1</v>
      </c>
      <c r="E27" t="s">
        <v>28</v>
      </c>
      <c r="F27">
        <v>-2.2749999999999999</v>
      </c>
    </row>
    <row r="28" spans="1:6" x14ac:dyDescent="0.2">
      <c r="A28">
        <v>0.1</v>
      </c>
      <c r="B28">
        <v>0.15</v>
      </c>
      <c r="C28">
        <f t="shared" si="0"/>
        <v>0.125</v>
      </c>
      <c r="D28">
        <v>5.9</v>
      </c>
      <c r="E28">
        <v>22.8</v>
      </c>
      <c r="F28">
        <v>-2.625</v>
      </c>
    </row>
    <row r="29" spans="1:6" x14ac:dyDescent="0.2">
      <c r="A29">
        <v>0.15</v>
      </c>
      <c r="B29">
        <v>0.2</v>
      </c>
      <c r="C29">
        <f t="shared" si="0"/>
        <v>0.17499999999999999</v>
      </c>
      <c r="D29">
        <v>3.9</v>
      </c>
      <c r="E29">
        <v>10.3</v>
      </c>
      <c r="F29">
        <v>-2.6999999999999997</v>
      </c>
    </row>
    <row r="30" spans="1:6" x14ac:dyDescent="0.2">
      <c r="A30">
        <v>0.2</v>
      </c>
      <c r="B30">
        <v>0.25</v>
      </c>
      <c r="C30">
        <f t="shared" si="0"/>
        <v>0.22500000000000001</v>
      </c>
      <c r="D30">
        <v>4.7</v>
      </c>
      <c r="E30">
        <v>18.399999999999999</v>
      </c>
      <c r="F30">
        <v>-2.5</v>
      </c>
    </row>
    <row r="31" spans="1:6" x14ac:dyDescent="0.2">
      <c r="A31">
        <v>0.25</v>
      </c>
      <c r="B31">
        <v>0.3</v>
      </c>
      <c r="C31">
        <f t="shared" si="0"/>
        <v>0.27500000000000002</v>
      </c>
      <c r="D31">
        <v>6.2</v>
      </c>
      <c r="E31">
        <v>21.8</v>
      </c>
      <c r="F31">
        <v>-2.65</v>
      </c>
    </row>
    <row r="32" spans="1:6" x14ac:dyDescent="0.2">
      <c r="A32">
        <v>0.3</v>
      </c>
      <c r="B32">
        <v>0.35</v>
      </c>
      <c r="C32">
        <f t="shared" si="0"/>
        <v>0.32499999999999996</v>
      </c>
      <c r="D32">
        <v>5.0999999999999996</v>
      </c>
      <c r="E32">
        <v>19.5</v>
      </c>
      <c r="F32">
        <v>-3.15</v>
      </c>
    </row>
    <row r="33" spans="1:6" x14ac:dyDescent="0.2">
      <c r="A33">
        <v>0.35</v>
      </c>
      <c r="B33">
        <v>0.4</v>
      </c>
      <c r="C33">
        <f t="shared" si="0"/>
        <v>0.375</v>
      </c>
      <c r="D33">
        <v>2.8</v>
      </c>
      <c r="E33">
        <v>7.4</v>
      </c>
      <c r="F33">
        <v>-3.5</v>
      </c>
    </row>
    <row r="34" spans="1:6" x14ac:dyDescent="0.2">
      <c r="A34">
        <v>0.4</v>
      </c>
      <c r="B34">
        <v>0.45</v>
      </c>
      <c r="C34">
        <f t="shared" si="0"/>
        <v>0.42500000000000004</v>
      </c>
      <c r="D34">
        <v>2.1</v>
      </c>
      <c r="E34">
        <v>10.199999999999999</v>
      </c>
      <c r="F34">
        <v>-3.6999999999999997</v>
      </c>
    </row>
    <row r="35" spans="1:6" x14ac:dyDescent="0.2">
      <c r="A35">
        <v>0.45</v>
      </c>
      <c r="B35">
        <v>0.5</v>
      </c>
      <c r="C35">
        <f t="shared" si="0"/>
        <v>0.47499999999999998</v>
      </c>
      <c r="D35">
        <v>4.9000000000000004</v>
      </c>
      <c r="E35">
        <v>21.2</v>
      </c>
      <c r="F35">
        <v>-3.8</v>
      </c>
    </row>
    <row r="36" spans="1:6" x14ac:dyDescent="0.2">
      <c r="A36">
        <v>0.5</v>
      </c>
      <c r="B36">
        <v>0.62</v>
      </c>
      <c r="C36">
        <f t="shared" si="0"/>
        <v>0.56000000000000005</v>
      </c>
      <c r="D36">
        <v>4.5999999999999996</v>
      </c>
      <c r="E36">
        <v>14</v>
      </c>
      <c r="F36">
        <v>-3.8</v>
      </c>
    </row>
    <row r="37" spans="1:6" x14ac:dyDescent="0.2">
      <c r="A37">
        <v>0.62</v>
      </c>
      <c r="B37">
        <v>0.7</v>
      </c>
      <c r="C37">
        <f t="shared" si="0"/>
        <v>0.65999999999999992</v>
      </c>
      <c r="D37">
        <v>3.1</v>
      </c>
      <c r="E37">
        <v>21.8</v>
      </c>
      <c r="F37">
        <v>-3.4</v>
      </c>
    </row>
    <row r="38" spans="1:6" x14ac:dyDescent="0.2">
      <c r="A38">
        <v>0.7</v>
      </c>
      <c r="B38">
        <v>0.8</v>
      </c>
      <c r="C38">
        <f t="shared" si="0"/>
        <v>0.75</v>
      </c>
      <c r="D38">
        <v>3.2</v>
      </c>
      <c r="E38">
        <v>10.6</v>
      </c>
      <c r="F38">
        <v>-3.6</v>
      </c>
    </row>
    <row r="39" spans="1:6" x14ac:dyDescent="0.2">
      <c r="A39">
        <v>0.8</v>
      </c>
      <c r="B39">
        <v>0.9</v>
      </c>
      <c r="C39">
        <f t="shared" si="0"/>
        <v>0.85000000000000009</v>
      </c>
      <c r="D39">
        <v>2.1</v>
      </c>
      <c r="E39">
        <v>17.7</v>
      </c>
      <c r="F39">
        <v>-3.2</v>
      </c>
    </row>
    <row r="40" spans="1:6" x14ac:dyDescent="0.2">
      <c r="A40">
        <v>0.9</v>
      </c>
      <c r="B40">
        <v>1</v>
      </c>
      <c r="C40">
        <f t="shared" si="0"/>
        <v>0.95</v>
      </c>
      <c r="D40">
        <v>3.8</v>
      </c>
      <c r="E40">
        <v>10.4</v>
      </c>
      <c r="F40">
        <v>-3.2</v>
      </c>
    </row>
    <row r="41" spans="1:6" x14ac:dyDescent="0.2">
      <c r="A41">
        <v>1</v>
      </c>
      <c r="B41">
        <v>1.1000000000000001</v>
      </c>
      <c r="C41">
        <f t="shared" si="0"/>
        <v>1.05</v>
      </c>
      <c r="D41">
        <v>4.8</v>
      </c>
      <c r="E41">
        <v>10.6</v>
      </c>
      <c r="F41">
        <v>-3</v>
      </c>
    </row>
    <row r="42" spans="1:6" x14ac:dyDescent="0.2">
      <c r="A42">
        <v>1.1000000000000001</v>
      </c>
      <c r="B42">
        <v>1.2</v>
      </c>
      <c r="C42">
        <f t="shared" si="0"/>
        <v>1.1499999999999999</v>
      </c>
      <c r="D42">
        <v>3.7</v>
      </c>
      <c r="E42">
        <v>15.9</v>
      </c>
      <c r="F42">
        <v>-2.7</v>
      </c>
    </row>
    <row r="43" spans="1:6" x14ac:dyDescent="0.2">
      <c r="A43">
        <v>1.2</v>
      </c>
      <c r="B43">
        <v>1.3</v>
      </c>
      <c r="C43">
        <f t="shared" si="0"/>
        <v>1.25</v>
      </c>
      <c r="D43">
        <v>4.3</v>
      </c>
      <c r="E43">
        <v>19.600000000000001</v>
      </c>
      <c r="F43">
        <v>-2.2999999999999998</v>
      </c>
    </row>
    <row r="44" spans="1:6" x14ac:dyDescent="0.2">
      <c r="A44">
        <v>1.3</v>
      </c>
      <c r="B44">
        <v>1.4</v>
      </c>
      <c r="C44">
        <f t="shared" si="0"/>
        <v>1.35</v>
      </c>
      <c r="D44">
        <v>4</v>
      </c>
      <c r="E44">
        <v>10.6</v>
      </c>
      <c r="F44">
        <v>-1.9</v>
      </c>
    </row>
    <row r="45" spans="1:6" x14ac:dyDescent="0.2">
      <c r="A45">
        <v>1.4</v>
      </c>
      <c r="B45">
        <v>1.44</v>
      </c>
      <c r="C45">
        <f t="shared" si="0"/>
        <v>1.42</v>
      </c>
      <c r="D45">
        <v>3.6</v>
      </c>
      <c r="E45">
        <v>8.5</v>
      </c>
      <c r="F45">
        <v>-1.7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G5" sqref="G5"/>
    </sheetView>
  </sheetViews>
  <sheetFormatPr baseColWidth="10" defaultRowHeight="14" x14ac:dyDescent="0.2"/>
  <cols>
    <col min="10" max="10" width="10.7109375" style="4"/>
    <col min="16" max="16" width="11.85546875" bestFit="1" customWidth="1"/>
  </cols>
  <sheetData>
    <row r="1" spans="1:17" x14ac:dyDescent="0.2">
      <c r="A1" t="s">
        <v>45</v>
      </c>
      <c r="B1" t="s">
        <v>7</v>
      </c>
      <c r="C1" t="s">
        <v>6</v>
      </c>
      <c r="D1" t="s">
        <v>8</v>
      </c>
      <c r="E1" t="s">
        <v>1</v>
      </c>
      <c r="F1" t="s">
        <v>2</v>
      </c>
      <c r="G1" t="s">
        <v>0</v>
      </c>
      <c r="H1" t="s">
        <v>11</v>
      </c>
      <c r="I1" t="s">
        <v>13</v>
      </c>
      <c r="J1" s="4" t="s">
        <v>15</v>
      </c>
    </row>
    <row r="2" spans="1:17" x14ac:dyDescent="0.2">
      <c r="B2" t="s">
        <v>10</v>
      </c>
      <c r="C2" t="s">
        <v>5</v>
      </c>
      <c r="D2" t="s">
        <v>9</v>
      </c>
      <c r="H2" t="s">
        <v>12</v>
      </c>
      <c r="I2" t="s">
        <v>14</v>
      </c>
      <c r="J2" s="4" t="s">
        <v>17</v>
      </c>
      <c r="N2" t="s">
        <v>44</v>
      </c>
      <c r="O2" t="s">
        <v>44</v>
      </c>
      <c r="P2" t="s">
        <v>46</v>
      </c>
    </row>
    <row r="3" spans="1:17" x14ac:dyDescent="0.2">
      <c r="J3" s="4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47</v>
      </c>
    </row>
    <row r="4" spans="1:17" x14ac:dyDescent="0.2">
      <c r="A4">
        <v>2.5000000000000001E-2</v>
      </c>
      <c r="B4">
        <f t="shared" ref="B4" si="0">0.917*(1-0.000117*G4)</f>
        <v>0.91700000000000004</v>
      </c>
      <c r="C4">
        <f>-0.0316891 - 18.3801*G4 +0.327828*G4*G4 +0.213819*G4*G4*G4</f>
        <v>-3.1689099999999998E-2</v>
      </c>
      <c r="D4">
        <f t="shared" ref="D4" si="1">1+0.0008*C4</f>
        <v>0.99997464871999997</v>
      </c>
      <c r="E4">
        <f>-0.041221 -18.407*G4 +0.58402*G4*G4 +0.21454*G4*G4*G4</f>
        <v>-4.1221000000000001E-2</v>
      </c>
      <c r="F4">
        <f>0.090312 -0.016111*G4 + 0.00012291*G4*G4 + 0.00013603*G4*G4*G4</f>
        <v>9.0312000000000003E-2</v>
      </c>
      <c r="G4">
        <v>0</v>
      </c>
      <c r="H4">
        <v>10.7</v>
      </c>
      <c r="I4">
        <f t="shared" ref="I4" si="2">0.985*B4*E4/(E4-B4*H4*F4)</f>
        <v>4.0149381720092997E-2</v>
      </c>
      <c r="J4" s="4">
        <f t="shared" ref="J4:J23" si="3">1000*I4*H4/E4</f>
        <v>-10421.833153125714</v>
      </c>
      <c r="K4" s="4">
        <f t="shared" ref="K4:K23" si="4">-G4*EXP(0.5193+0.08755*G4)*1000</f>
        <v>0</v>
      </c>
      <c r="L4" s="4">
        <f>K4*(J4/1000)^2</f>
        <v>0</v>
      </c>
      <c r="M4" s="4" t="e">
        <f>1000/L4</f>
        <v>#DIV/0!</v>
      </c>
      <c r="N4" s="4">
        <f>K4*(J4/1000-0.01)^2</f>
        <v>0</v>
      </c>
      <c r="O4" s="4" t="e">
        <f>1000/N4</f>
        <v>#DIV/0!</v>
      </c>
      <c r="P4" s="6">
        <f>3*POWER(J4/1000,3)*0.0000001</f>
        <v>-3.3958899136648667E-4</v>
      </c>
    </row>
    <row r="5" spans="1:17" x14ac:dyDescent="0.2">
      <c r="A5">
        <v>7.5000000000000011E-2</v>
      </c>
      <c r="B5">
        <f t="shared" ref="B5:B23" si="5">0.917*(1-0.000117*G5)</f>
        <v>0.917244082475</v>
      </c>
      <c r="C5">
        <f t="shared" ref="C5:C21" si="6">-3.9921 - 22.7*G5 - 1.0015*G5*G5 - 0.019956*G5*G5*G5</f>
        <v>42.701984419937496</v>
      </c>
      <c r="D5">
        <f t="shared" ref="D5:D23" si="7">1+0.0008*C5</f>
        <v>1.03416158753595</v>
      </c>
      <c r="E5">
        <f t="shared" ref="E5:E21" si="8">-4.732 - 22.45*G5 - 0.6397*G5*G5 - 0.01074*G5*G5*G5</f>
        <v>43.157361320937497</v>
      </c>
      <c r="F5">
        <f t="shared" ref="F5:F21" si="9">0.08903 - 0.01763*G5 - 0.000533*G5*G5 - 0.000008801*G5*G5*G5</f>
        <v>0.12648326966204687</v>
      </c>
      <c r="G5">
        <v>-2.2749999999999999</v>
      </c>
      <c r="H5">
        <v>12.1</v>
      </c>
      <c r="I5">
        <f t="shared" ref="I5:I21" si="10">B5*E5/(E5-B5*H5*F5)</f>
        <v>0.94808268607886126</v>
      </c>
      <c r="J5" s="4">
        <f t="shared" si="3"/>
        <v>265.81329697718928</v>
      </c>
      <c r="K5" s="4">
        <f t="shared" si="4"/>
        <v>3133.353392355411</v>
      </c>
      <c r="L5" s="4">
        <f t="shared" ref="L5:L23" si="11">K5*(J5/1000)^2</f>
        <v>221.39243836745086</v>
      </c>
      <c r="M5" s="4">
        <f t="shared" ref="M5:M23" si="12">1000/L5</f>
        <v>4.5168661015435116</v>
      </c>
      <c r="N5" s="4">
        <f t="shared" ref="N5:N23" si="13">K5*(J5/1000-0.01)^2</f>
        <v>205.04803379035334</v>
      </c>
      <c r="O5" s="4">
        <f t="shared" ref="O5:O23" si="14">1000/N5</f>
        <v>4.8769060669093127</v>
      </c>
      <c r="P5" s="6">
        <f t="shared" ref="P5:P23" si="15">3*POWER(J5/1000,3)*0.0000001</f>
        <v>5.6344478198834605E-9</v>
      </c>
    </row>
    <row r="6" spans="1:17" x14ac:dyDescent="0.2">
      <c r="A6">
        <v>0.125</v>
      </c>
      <c r="B6">
        <f t="shared" si="5"/>
        <v>0.91728163362500004</v>
      </c>
      <c r="C6">
        <f t="shared" si="6"/>
        <v>49.055401007812499</v>
      </c>
      <c r="D6">
        <f t="shared" si="7"/>
        <v>1.0392443208062501</v>
      </c>
      <c r="E6">
        <f t="shared" si="8"/>
        <v>49.985581132812499</v>
      </c>
      <c r="F6">
        <f t="shared" si="9"/>
        <v>0.13179523840039062</v>
      </c>
      <c r="G6">
        <v>-2.625</v>
      </c>
      <c r="H6">
        <v>5.9</v>
      </c>
      <c r="I6">
        <f t="shared" si="10"/>
        <v>0.93056029209155511</v>
      </c>
      <c r="J6" s="4">
        <f t="shared" si="3"/>
        <v>109.83778919669543</v>
      </c>
      <c r="K6" s="4">
        <f t="shared" si="4"/>
        <v>3506.3027896373719</v>
      </c>
      <c r="L6" s="4">
        <f t="shared" si="11"/>
        <v>42.301228771389908</v>
      </c>
      <c r="M6" s="4">
        <f t="shared" si="12"/>
        <v>23.63997522162623</v>
      </c>
      <c r="N6" s="4">
        <f t="shared" si="13"/>
        <v>34.949368116994151</v>
      </c>
      <c r="O6" s="4">
        <f t="shared" si="14"/>
        <v>28.612820599573283</v>
      </c>
      <c r="P6" s="6">
        <f t="shared" si="15"/>
        <v>3.9753612799369538E-10</v>
      </c>
    </row>
    <row r="7" spans="1:17" x14ac:dyDescent="0.2">
      <c r="A7">
        <v>0.17499999999999999</v>
      </c>
      <c r="B7">
        <f t="shared" si="5"/>
        <v>0.91728968030000002</v>
      </c>
      <c r="C7">
        <f t="shared" si="6"/>
        <v>50.389758947999987</v>
      </c>
      <c r="D7">
        <f t="shared" si="7"/>
        <v>1.0403118071584001</v>
      </c>
      <c r="E7">
        <f t="shared" si="8"/>
        <v>51.430982419999999</v>
      </c>
      <c r="F7">
        <f t="shared" si="9"/>
        <v>0.13291866008299999</v>
      </c>
      <c r="G7">
        <v>-2.6999999999999997</v>
      </c>
      <c r="H7">
        <v>3.9</v>
      </c>
      <c r="I7">
        <f t="shared" si="10"/>
        <v>0.92584965971715949</v>
      </c>
      <c r="J7" s="4">
        <f t="shared" si="3"/>
        <v>70.206974531615842</v>
      </c>
      <c r="K7" s="4">
        <f t="shared" si="4"/>
        <v>3582.879379215572</v>
      </c>
      <c r="L7" s="4">
        <f t="shared" si="11"/>
        <v>17.660081512568475</v>
      </c>
      <c r="M7" s="4">
        <f t="shared" si="12"/>
        <v>56.624880201618076</v>
      </c>
      <c r="N7" s="4">
        <f t="shared" si="13"/>
        <v>12.987507023961244</v>
      </c>
      <c r="O7" s="4">
        <f t="shared" si="14"/>
        <v>76.997070966356702</v>
      </c>
      <c r="P7" s="6">
        <f t="shared" si="15"/>
        <v>1.0381545916714118E-10</v>
      </c>
    </row>
    <row r="8" spans="1:17" x14ac:dyDescent="0.2">
      <c r="A8">
        <v>0.22500000000000001</v>
      </c>
      <c r="B8">
        <f t="shared" si="5"/>
        <v>0.91726822250000006</v>
      </c>
      <c r="C8">
        <f t="shared" si="6"/>
        <v>46.810337500000003</v>
      </c>
      <c r="D8">
        <f t="shared" si="7"/>
        <v>1.0374482700000001</v>
      </c>
      <c r="E8">
        <f t="shared" si="8"/>
        <v>47.562687499999996</v>
      </c>
      <c r="F8">
        <f t="shared" si="9"/>
        <v>0.12991126562499999</v>
      </c>
      <c r="G8">
        <v>-2.5</v>
      </c>
      <c r="H8">
        <v>4.7</v>
      </c>
      <c r="I8">
        <f t="shared" si="10"/>
        <v>0.92819810036627459</v>
      </c>
      <c r="J8" s="4">
        <f t="shared" si="3"/>
        <v>91.721710883588969</v>
      </c>
      <c r="K8" s="4">
        <f t="shared" si="4"/>
        <v>3376.0815487390469</v>
      </c>
      <c r="L8" s="4">
        <f t="shared" si="11"/>
        <v>28.402542766388756</v>
      </c>
      <c r="M8" s="4">
        <f t="shared" si="12"/>
        <v>35.208115281262373</v>
      </c>
      <c r="N8" s="4">
        <f t="shared" si="13"/>
        <v>22.54695140660542</v>
      </c>
      <c r="O8" s="4">
        <f t="shared" si="14"/>
        <v>44.3518940528269</v>
      </c>
      <c r="P8" s="6">
        <f t="shared" si="15"/>
        <v>2.3149291079332662E-10</v>
      </c>
      <c r="Q8" s="5"/>
    </row>
    <row r="9" spans="1:17" x14ac:dyDescent="0.2">
      <c r="A9">
        <v>0.27500000000000002</v>
      </c>
      <c r="B9">
        <f t="shared" si="5"/>
        <v>0.91728431585000003</v>
      </c>
      <c r="C9">
        <f t="shared" si="6"/>
        <v>49.501239926499991</v>
      </c>
      <c r="D9">
        <f t="shared" si="7"/>
        <v>1.0396009919411999</v>
      </c>
      <c r="E9">
        <f t="shared" si="8"/>
        <v>50.468074122499992</v>
      </c>
      <c r="F9">
        <f t="shared" si="9"/>
        <v>0.132170290809625</v>
      </c>
      <c r="G9">
        <v>-2.65</v>
      </c>
      <c r="H9">
        <v>6.2</v>
      </c>
      <c r="I9">
        <f t="shared" si="10"/>
        <v>0.93115295331830927</v>
      </c>
      <c r="J9" s="4">
        <f t="shared" si="3"/>
        <v>114.39208669941492</v>
      </c>
      <c r="K9" s="4">
        <f t="shared" si="4"/>
        <v>3531.9571120900546</v>
      </c>
      <c r="L9" s="4">
        <f t="shared" si="11"/>
        <v>46.217599620176379</v>
      </c>
      <c r="M9" s="4">
        <f t="shared" si="12"/>
        <v>21.636779240336146</v>
      </c>
      <c r="N9" s="4">
        <f t="shared" si="13"/>
        <v>38.490236447688972</v>
      </c>
      <c r="O9" s="4">
        <f t="shared" si="14"/>
        <v>25.980614625713528</v>
      </c>
      <c r="P9" s="6">
        <f t="shared" si="15"/>
        <v>4.4906499385504944E-10</v>
      </c>
    </row>
    <row r="10" spans="1:17" x14ac:dyDescent="0.2">
      <c r="A10">
        <v>0.32499999999999996</v>
      </c>
      <c r="B10">
        <f t="shared" si="5"/>
        <v>0.91733796034999993</v>
      </c>
      <c r="C10">
        <f t="shared" si="6"/>
        <v>58.199258491499997</v>
      </c>
      <c r="D10">
        <f t="shared" si="7"/>
        <v>1.0465594067932</v>
      </c>
      <c r="E10">
        <f t="shared" si="8"/>
        <v>59.9737648475</v>
      </c>
      <c r="F10">
        <f t="shared" si="9"/>
        <v>0.13955089045587499</v>
      </c>
      <c r="G10">
        <v>-3.15</v>
      </c>
      <c r="H10">
        <v>5.0999999999999996</v>
      </c>
      <c r="I10">
        <f t="shared" si="10"/>
        <v>0.92743406596670064</v>
      </c>
      <c r="J10" s="4">
        <f t="shared" si="3"/>
        <v>78.866380132334456</v>
      </c>
      <c r="K10" s="4">
        <f t="shared" si="4"/>
        <v>4018.5452251241954</v>
      </c>
      <c r="L10" s="4">
        <f t="shared" si="11"/>
        <v>24.99497321615981</v>
      </c>
      <c r="M10" s="4">
        <f t="shared" si="12"/>
        <v>40.008044471657108</v>
      </c>
      <c r="N10" s="4">
        <f t="shared" si="13"/>
        <v>19.058265432599786</v>
      </c>
      <c r="O10" s="4">
        <f t="shared" si="14"/>
        <v>52.470672293684572</v>
      </c>
      <c r="P10" s="6">
        <f t="shared" si="15"/>
        <v>1.4716243928813229E-10</v>
      </c>
    </row>
    <row r="11" spans="1:17" x14ac:dyDescent="0.2">
      <c r="A11">
        <v>0.375</v>
      </c>
      <c r="B11">
        <f t="shared" si="5"/>
        <v>0.91737551149999996</v>
      </c>
      <c r="C11">
        <f t="shared" si="6"/>
        <v>64.045138500000007</v>
      </c>
      <c r="D11">
        <f t="shared" si="7"/>
        <v>1.0512361107999999</v>
      </c>
      <c r="E11">
        <f t="shared" si="8"/>
        <v>66.467152499999997</v>
      </c>
      <c r="F11">
        <f t="shared" si="9"/>
        <v>0.14458309287500001</v>
      </c>
      <c r="G11">
        <v>-3.5</v>
      </c>
      <c r="H11">
        <v>2.8</v>
      </c>
      <c r="I11">
        <f t="shared" si="10"/>
        <v>0.9225301257317694</v>
      </c>
      <c r="J11" s="4">
        <f t="shared" si="3"/>
        <v>38.862569779094336</v>
      </c>
      <c r="K11" s="4">
        <f t="shared" si="4"/>
        <v>4330.3049574010101</v>
      </c>
      <c r="L11" s="4">
        <f t="shared" si="11"/>
        <v>6.5400566751438216</v>
      </c>
      <c r="M11" s="4">
        <f t="shared" si="12"/>
        <v>152.90387372338927</v>
      </c>
      <c r="N11" s="4">
        <f t="shared" si="13"/>
        <v>3.6073515994488248</v>
      </c>
      <c r="O11" s="4">
        <f t="shared" si="14"/>
        <v>277.21168076679641</v>
      </c>
      <c r="P11" s="6">
        <f t="shared" si="15"/>
        <v>1.7608233927909358E-11</v>
      </c>
    </row>
    <row r="12" spans="1:17" x14ac:dyDescent="0.2">
      <c r="A12">
        <v>0.42500000000000004</v>
      </c>
      <c r="B12">
        <f t="shared" si="5"/>
        <v>0.91739696930000014</v>
      </c>
      <c r="C12">
        <f t="shared" si="6"/>
        <v>67.298196267999998</v>
      </c>
      <c r="D12">
        <f t="shared" si="7"/>
        <v>1.0538385570144</v>
      </c>
      <c r="E12">
        <f t="shared" si="8"/>
        <v>70.119520219999998</v>
      </c>
      <c r="F12">
        <f t="shared" si="9"/>
        <v>0.14741002705299996</v>
      </c>
      <c r="G12">
        <v>-3.6999999999999997</v>
      </c>
      <c r="H12">
        <v>2.1</v>
      </c>
      <c r="I12">
        <f t="shared" si="10"/>
        <v>0.9211276191600275</v>
      </c>
      <c r="J12" s="4">
        <f t="shared" si="3"/>
        <v>27.586726123723867</v>
      </c>
      <c r="K12" s="4">
        <f t="shared" si="4"/>
        <v>4498.2922270688468</v>
      </c>
      <c r="L12" s="4">
        <f t="shared" si="11"/>
        <v>3.4233238999210487</v>
      </c>
      <c r="M12" s="4">
        <f t="shared" si="12"/>
        <v>292.11375529585814</v>
      </c>
      <c r="N12" s="4">
        <f t="shared" si="13"/>
        <v>1.3912900087754498</v>
      </c>
      <c r="O12" s="4">
        <f t="shared" si="14"/>
        <v>718.75740765230864</v>
      </c>
      <c r="P12" s="6">
        <f t="shared" si="15"/>
        <v>6.2982768188089214E-12</v>
      </c>
    </row>
    <row r="13" spans="1:17" x14ac:dyDescent="0.2">
      <c r="A13">
        <v>0.47499999999999998</v>
      </c>
      <c r="B13">
        <f t="shared" si="5"/>
        <v>0.91740769820000001</v>
      </c>
      <c r="C13">
        <f t="shared" si="6"/>
        <v>68.901265632000005</v>
      </c>
      <c r="D13">
        <f t="shared" si="7"/>
        <v>1.0551210125056001</v>
      </c>
      <c r="E13">
        <f t="shared" si="8"/>
        <v>71.930057279999986</v>
      </c>
      <c r="F13">
        <f t="shared" si="9"/>
        <v>0.14881040847199997</v>
      </c>
      <c r="G13">
        <v>-3.8</v>
      </c>
      <c r="H13">
        <v>4.9000000000000004</v>
      </c>
      <c r="I13">
        <f t="shared" si="10"/>
        <v>0.92601964949437998</v>
      </c>
      <c r="J13" s="4">
        <f t="shared" si="3"/>
        <v>63.082061298234279</v>
      </c>
      <c r="K13" s="4">
        <f t="shared" si="4"/>
        <v>4579.5972919222086</v>
      </c>
      <c r="L13" s="4">
        <f t="shared" si="11"/>
        <v>18.22380426100176</v>
      </c>
      <c r="M13" s="4">
        <f t="shared" si="12"/>
        <v>54.873284725734322</v>
      </c>
      <c r="N13" s="4">
        <f t="shared" si="13"/>
        <v>12.903955248388689</v>
      </c>
      <c r="O13" s="4">
        <f t="shared" si="14"/>
        <v>77.495619037028945</v>
      </c>
      <c r="P13" s="6">
        <f t="shared" si="15"/>
        <v>7.5307613150217377E-11</v>
      </c>
    </row>
    <row r="14" spans="1:17" x14ac:dyDescent="0.2">
      <c r="A14">
        <v>0.56000000000000005</v>
      </c>
      <c r="B14">
        <f t="shared" si="5"/>
        <v>0.91740769820000001</v>
      </c>
      <c r="C14">
        <f t="shared" si="6"/>
        <v>68.901265632000005</v>
      </c>
      <c r="D14">
        <f t="shared" si="7"/>
        <v>1.0551210125056001</v>
      </c>
      <c r="E14">
        <f t="shared" si="8"/>
        <v>71.930057279999986</v>
      </c>
      <c r="F14">
        <f t="shared" si="9"/>
        <v>0.14881040847199997</v>
      </c>
      <c r="G14">
        <v>-3.8</v>
      </c>
      <c r="H14">
        <v>4.5999999999999996</v>
      </c>
      <c r="I14">
        <f t="shared" si="10"/>
        <v>0.92548774332063732</v>
      </c>
      <c r="J14" s="4">
        <f t="shared" si="3"/>
        <v>59.185878341551806</v>
      </c>
      <c r="K14" s="4">
        <f t="shared" si="4"/>
        <v>4579.5972919222086</v>
      </c>
      <c r="L14" s="4">
        <f t="shared" si="11"/>
        <v>16.042183659790851</v>
      </c>
      <c r="M14" s="4">
        <f t="shared" si="12"/>
        <v>62.335653375323432</v>
      </c>
      <c r="N14" s="4">
        <f t="shared" si="13"/>
        <v>11.07919362552291</v>
      </c>
      <c r="O14" s="4">
        <f t="shared" si="14"/>
        <v>90.259276423901525</v>
      </c>
      <c r="P14" s="6">
        <f t="shared" si="15"/>
        <v>6.2197874828161186E-11</v>
      </c>
    </row>
    <row r="15" spans="1:17" x14ac:dyDescent="0.2">
      <c r="A15">
        <v>0.65999999999999992</v>
      </c>
      <c r="B15">
        <f t="shared" si="5"/>
        <v>0.91736478260000009</v>
      </c>
      <c r="C15">
        <f t="shared" si="6"/>
        <v>62.394910623999998</v>
      </c>
      <c r="D15">
        <f t="shared" si="7"/>
        <v>1.0499159284991999</v>
      </c>
      <c r="E15">
        <f t="shared" si="8"/>
        <v>64.625192960000007</v>
      </c>
      <c r="F15">
        <f t="shared" si="9"/>
        <v>0.14315643450400001</v>
      </c>
      <c r="G15">
        <v>-3.4</v>
      </c>
      <c r="H15">
        <v>3.1</v>
      </c>
      <c r="I15">
        <f t="shared" si="10"/>
        <v>0.92318044751614126</v>
      </c>
      <c r="J15" s="4">
        <f t="shared" si="3"/>
        <v>44.283958874542876</v>
      </c>
      <c r="K15" s="4">
        <f t="shared" si="4"/>
        <v>4243.5722724893922</v>
      </c>
      <c r="L15" s="4">
        <f t="shared" si="11"/>
        <v>8.3219380905604385</v>
      </c>
      <c r="M15" s="4">
        <f t="shared" si="12"/>
        <v>120.16431618667032</v>
      </c>
      <c r="N15" s="4">
        <f t="shared" si="13"/>
        <v>4.9878517178879633</v>
      </c>
      <c r="O15" s="4">
        <f t="shared" si="14"/>
        <v>200.48711480609856</v>
      </c>
      <c r="P15" s="6">
        <f t="shared" si="15"/>
        <v>2.6053169864550119E-11</v>
      </c>
    </row>
    <row r="16" spans="1:17" x14ac:dyDescent="0.2">
      <c r="A16">
        <v>0.75</v>
      </c>
      <c r="B16">
        <f t="shared" si="5"/>
        <v>0.91738624039999994</v>
      </c>
      <c r="C16">
        <f t="shared" si="6"/>
        <v>65.679527136000004</v>
      </c>
      <c r="D16">
        <f t="shared" si="7"/>
        <v>1.0525436217088</v>
      </c>
      <c r="E16">
        <f t="shared" si="8"/>
        <v>68.298573439999984</v>
      </c>
      <c r="F16">
        <f t="shared" si="9"/>
        <v>0.14600093945599998</v>
      </c>
      <c r="G16">
        <v>-3.6</v>
      </c>
      <c r="H16">
        <v>3.2</v>
      </c>
      <c r="I16">
        <f t="shared" si="10"/>
        <v>0.92317962591651759</v>
      </c>
      <c r="J16" s="4">
        <f t="shared" si="3"/>
        <v>43.253828801096219</v>
      </c>
      <c r="K16" s="4">
        <f t="shared" si="4"/>
        <v>4415.2031450315708</v>
      </c>
      <c r="L16" s="4">
        <f t="shared" si="11"/>
        <v>8.2603757745502584</v>
      </c>
      <c r="M16" s="4">
        <f t="shared" si="12"/>
        <v>121.05986789135457</v>
      </c>
      <c r="N16" s="4">
        <f t="shared" si="13"/>
        <v>4.8824072699082723</v>
      </c>
      <c r="O16" s="4">
        <f t="shared" si="14"/>
        <v>204.81699799262904</v>
      </c>
      <c r="P16" s="6">
        <f t="shared" si="15"/>
        <v>2.4276994818721843E-11</v>
      </c>
    </row>
    <row r="17" spans="1:16" x14ac:dyDescent="0.2">
      <c r="A17">
        <v>0.85000000000000009</v>
      </c>
      <c r="B17">
        <f t="shared" si="5"/>
        <v>0.91734332480000014</v>
      </c>
      <c r="C17">
        <f t="shared" si="6"/>
        <v>59.046458208000004</v>
      </c>
      <c r="D17">
        <f t="shared" si="7"/>
        <v>1.0472371665664</v>
      </c>
      <c r="E17">
        <f t="shared" si="8"/>
        <v>60.909400320000003</v>
      </c>
      <c r="F17">
        <f t="shared" si="9"/>
        <v>0.14027647116799999</v>
      </c>
      <c r="G17">
        <v>-3.2</v>
      </c>
      <c r="H17">
        <v>2.1</v>
      </c>
      <c r="I17">
        <f t="shared" si="10"/>
        <v>0.92143136066716647</v>
      </c>
      <c r="J17" s="4">
        <f t="shared" si="3"/>
        <v>31.768591502052235</v>
      </c>
      <c r="K17" s="4">
        <f t="shared" si="4"/>
        <v>4064.5003072810518</v>
      </c>
      <c r="L17" s="4">
        <f t="shared" si="11"/>
        <v>4.1020701339070023</v>
      </c>
      <c r="M17" s="4">
        <f t="shared" si="12"/>
        <v>243.7793522188158</v>
      </c>
      <c r="N17" s="4">
        <f t="shared" si="13"/>
        <v>1.9260511661955562</v>
      </c>
      <c r="O17" s="4">
        <f t="shared" si="14"/>
        <v>519.19700657550845</v>
      </c>
      <c r="P17" s="6">
        <f t="shared" si="15"/>
        <v>9.6186724476374163E-12</v>
      </c>
    </row>
    <row r="18" spans="1:16" x14ac:dyDescent="0.2">
      <c r="A18">
        <v>0.95</v>
      </c>
      <c r="B18">
        <f t="shared" si="5"/>
        <v>0.91734332480000014</v>
      </c>
      <c r="C18">
        <f t="shared" si="6"/>
        <v>59.046458208000004</v>
      </c>
      <c r="D18">
        <f t="shared" si="7"/>
        <v>1.0472371665664</v>
      </c>
      <c r="E18">
        <f t="shared" si="8"/>
        <v>60.909400320000003</v>
      </c>
      <c r="F18">
        <f t="shared" si="9"/>
        <v>0.14027647116799999</v>
      </c>
      <c r="G18">
        <v>-3.2</v>
      </c>
      <c r="H18">
        <v>3.8</v>
      </c>
      <c r="I18">
        <f t="shared" si="10"/>
        <v>0.92476750614493664</v>
      </c>
      <c r="J18" s="4">
        <f t="shared" si="3"/>
        <v>57.694157303940422</v>
      </c>
      <c r="K18" s="4">
        <f t="shared" si="4"/>
        <v>4064.5003072810518</v>
      </c>
      <c r="L18" s="4">
        <f t="shared" si="11"/>
        <v>13.529159889130112</v>
      </c>
      <c r="M18" s="4">
        <f t="shared" si="12"/>
        <v>73.914419534907083</v>
      </c>
      <c r="N18" s="4">
        <f t="shared" si="13"/>
        <v>9.2456515180544727</v>
      </c>
      <c r="O18" s="4">
        <f t="shared" si="14"/>
        <v>108.15895429837985</v>
      </c>
      <c r="P18" s="6">
        <f t="shared" si="15"/>
        <v>5.7612504846071854E-11</v>
      </c>
    </row>
    <row r="19" spans="1:16" x14ac:dyDescent="0.2">
      <c r="A19">
        <v>1.05</v>
      </c>
      <c r="B19">
        <f t="shared" si="5"/>
        <v>0.91732186700000007</v>
      </c>
      <c r="C19">
        <f t="shared" si="6"/>
        <v>55.633212</v>
      </c>
      <c r="D19">
        <f t="shared" si="7"/>
        <v>1.0445065696</v>
      </c>
      <c r="E19">
        <f t="shared" si="8"/>
        <v>57.150679999999994</v>
      </c>
      <c r="F19">
        <f t="shared" si="9"/>
        <v>0.13736062699999999</v>
      </c>
      <c r="G19">
        <v>-3</v>
      </c>
      <c r="H19">
        <v>4.8</v>
      </c>
      <c r="I19">
        <f t="shared" si="10"/>
        <v>0.9271336101617923</v>
      </c>
      <c r="J19" s="4">
        <f t="shared" si="3"/>
        <v>77.868563047309379</v>
      </c>
      <c r="K19" s="4">
        <f t="shared" si="4"/>
        <v>3877.7779204642879</v>
      </c>
      <c r="L19" s="4">
        <f t="shared" si="11"/>
        <v>23.512957262486257</v>
      </c>
      <c r="M19" s="4">
        <f t="shared" si="12"/>
        <v>42.529741743521555</v>
      </c>
      <c r="N19" s="4">
        <f t="shared" si="13"/>
        <v>17.861595164869932</v>
      </c>
      <c r="O19" s="4">
        <f t="shared" si="14"/>
        <v>55.986041043343846</v>
      </c>
      <c r="P19" s="6">
        <f t="shared" si="15"/>
        <v>1.4164711589286048E-10</v>
      </c>
    </row>
    <row r="20" spans="1:16" x14ac:dyDescent="0.2">
      <c r="A20">
        <v>1.1499999999999999</v>
      </c>
      <c r="B20">
        <f t="shared" si="5"/>
        <v>0.91728968030000002</v>
      </c>
      <c r="C20">
        <f t="shared" si="6"/>
        <v>50.389758947999994</v>
      </c>
      <c r="D20">
        <f t="shared" si="7"/>
        <v>1.0403118071584001</v>
      </c>
      <c r="E20">
        <f t="shared" si="8"/>
        <v>51.430982420000007</v>
      </c>
      <c r="F20">
        <f t="shared" si="9"/>
        <v>0.13291866008299999</v>
      </c>
      <c r="G20">
        <v>-2.7</v>
      </c>
      <c r="H20">
        <v>3.7</v>
      </c>
      <c r="I20">
        <f t="shared" si="10"/>
        <v>0.92540680192687153</v>
      </c>
      <c r="J20" s="4">
        <f t="shared" si="3"/>
        <v>66.574757199231115</v>
      </c>
      <c r="K20" s="4">
        <f t="shared" si="4"/>
        <v>3582.879379215573</v>
      </c>
      <c r="L20" s="4">
        <f t="shared" si="11"/>
        <v>15.880031879822134</v>
      </c>
      <c r="M20" s="4">
        <f t="shared" si="12"/>
        <v>62.972165771949356</v>
      </c>
      <c r="N20" s="4">
        <f t="shared" si="13"/>
        <v>11.467733322835517</v>
      </c>
      <c r="O20" s="4">
        <f t="shared" si="14"/>
        <v>87.201190666748033</v>
      </c>
      <c r="P20" s="6">
        <f t="shared" si="15"/>
        <v>8.8521757627241489E-11</v>
      </c>
    </row>
    <row r="21" spans="1:16" x14ac:dyDescent="0.2">
      <c r="A21">
        <v>1.25</v>
      </c>
      <c r="B21">
        <f t="shared" si="5"/>
        <v>0.91724676469999999</v>
      </c>
      <c r="C21">
        <f t="shared" si="6"/>
        <v>43.162769651999987</v>
      </c>
      <c r="D21">
        <f t="shared" si="7"/>
        <v>1.0345302157216001</v>
      </c>
      <c r="E21">
        <f t="shared" si="8"/>
        <v>43.649660579999995</v>
      </c>
      <c r="F21">
        <f t="shared" si="9"/>
        <v>0.12686651176700001</v>
      </c>
      <c r="G21">
        <v>-2.2999999999999998</v>
      </c>
      <c r="H21">
        <v>4.3</v>
      </c>
      <c r="I21">
        <f t="shared" si="10"/>
        <v>0.92788364549559577</v>
      </c>
      <c r="J21" s="4">
        <f t="shared" si="3"/>
        <v>91.407347104531866</v>
      </c>
      <c r="K21" s="4">
        <f t="shared" si="4"/>
        <v>3160.8599382499424</v>
      </c>
      <c r="L21" s="4">
        <f t="shared" si="11"/>
        <v>26.409942855544834</v>
      </c>
      <c r="M21" s="4">
        <f t="shared" si="12"/>
        <v>37.864527214985905</v>
      </c>
      <c r="N21" s="4">
        <f t="shared" si="13"/>
        <v>20.947512418881399</v>
      </c>
      <c r="O21" s="4">
        <f t="shared" si="14"/>
        <v>47.738365301009821</v>
      </c>
      <c r="P21" s="6">
        <f t="shared" si="15"/>
        <v>2.291208273161468E-10</v>
      </c>
    </row>
    <row r="22" spans="1:16" x14ac:dyDescent="0.2">
      <c r="A22">
        <v>1.35</v>
      </c>
      <c r="B22">
        <f t="shared" si="5"/>
        <v>0.91720384909999997</v>
      </c>
      <c r="C22">
        <f>-0.0316891 - 18.3801*G22 +0.327828*G22*G22 +0.213819*G22*G22*G22</f>
        <v>34.607375458999989</v>
      </c>
      <c r="D22">
        <f t="shared" si="7"/>
        <v>1.0276859003672001</v>
      </c>
      <c r="E22">
        <f>-0.041221 -18.407*G22 +0.58402*G22*G22 +0.21454*G22*G22*G22</f>
        <v>35.568861340000005</v>
      </c>
      <c r="F22">
        <f>0.090312 -0.016111*G22 + 0.00012291*G22*G22 + 0.00013603*G22*G22*G22</f>
        <v>0.12043357533</v>
      </c>
      <c r="G22">
        <v>-1.9</v>
      </c>
      <c r="H22">
        <v>4</v>
      </c>
      <c r="I22">
        <f t="shared" ref="I22:I23" si="16">0.985*B22*E22/(E22-B22*H22*F22)</f>
        <v>0.91480987234177702</v>
      </c>
      <c r="J22" s="4">
        <f t="shared" si="3"/>
        <v>102.87761124509215</v>
      </c>
      <c r="K22" s="4">
        <f t="shared" si="4"/>
        <v>2704.2074804491722</v>
      </c>
      <c r="L22" s="4">
        <f t="shared" si="11"/>
        <v>28.62079896160073</v>
      </c>
      <c r="M22" s="4">
        <f t="shared" si="12"/>
        <v>34.939625596813563</v>
      </c>
      <c r="N22" s="4">
        <f t="shared" si="13"/>
        <v>23.327171591651251</v>
      </c>
      <c r="O22" s="4">
        <f t="shared" si="14"/>
        <v>42.868463331315233</v>
      </c>
      <c r="P22" s="6">
        <f t="shared" si="15"/>
        <v>3.2665090793326507E-10</v>
      </c>
    </row>
    <row r="23" spans="1:16" x14ac:dyDescent="0.2">
      <c r="A23">
        <v>1.42</v>
      </c>
      <c r="B23">
        <f t="shared" si="5"/>
        <v>0.91718239130000001</v>
      </c>
      <c r="C23">
        <f>-0.0316891 - 18.3801*G23 +0.327828*G23*G23 +0.213819*G23*G23*G23</f>
        <v>31.111411072999992</v>
      </c>
      <c r="D23">
        <f t="shared" si="7"/>
        <v>1.0248891288583999</v>
      </c>
      <c r="E23">
        <f>-0.041221 -18.407*G23 +0.58402*G23*G23 +0.21454*G23*G23*G23</f>
        <v>31.884461779999995</v>
      </c>
      <c r="F23">
        <f>0.090312 -0.016111*G23 + 0.00012291*G23*G23 + 0.00013603*G23*G23*G23</f>
        <v>0.11738759451000001</v>
      </c>
      <c r="G23">
        <v>-1.7</v>
      </c>
      <c r="H23">
        <v>3.6</v>
      </c>
      <c r="I23">
        <f t="shared" si="16"/>
        <v>0.91454210133897773</v>
      </c>
      <c r="J23" s="4">
        <f t="shared" si="3"/>
        <v>103.25880949589988</v>
      </c>
      <c r="K23" s="4">
        <f t="shared" si="4"/>
        <v>2462.2935452627448</v>
      </c>
      <c r="L23" s="4">
        <f t="shared" si="11"/>
        <v>26.253913731861878</v>
      </c>
      <c r="M23" s="4">
        <f t="shared" si="12"/>
        <v>38.089559149666705</v>
      </c>
      <c r="N23" s="4">
        <f t="shared" si="13"/>
        <v>21.41507308412276</v>
      </c>
      <c r="O23" s="4">
        <f t="shared" si="14"/>
        <v>46.696081590373133</v>
      </c>
      <c r="P23" s="6">
        <f t="shared" si="15"/>
        <v>3.3029545341282663E-10</v>
      </c>
    </row>
  </sheetData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BrinePropTab</vt:lpstr>
      <vt:lpstr>Station2Data</vt:lpstr>
      <vt:lpstr>CPP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1999-08-19T20:40:35Z</dcterms:created>
  <dcterms:modified xsi:type="dcterms:W3CDTF">2017-05-25T10:30:51Z</dcterms:modified>
</cp:coreProperties>
</file>