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NUS\IE4100\FYP CW design\Updated writings\"/>
    </mc:Choice>
  </mc:AlternateContent>
  <bookViews>
    <workbookView xWindow="480" yWindow="140" windowWidth="27800" windowHeight="13350" firstSheet="1" activeTab="1"/>
  </bookViews>
  <sheets>
    <sheet name="Geographic locations" sheetId="8" r:id="rId1"/>
    <sheet name="Block site Fi" sheetId="1" r:id="rId2"/>
    <sheet name="Distance btwn block and CW, dij" sheetId="2" r:id="rId3"/>
    <sheet name="Pollutants τmj, εmi" sheetId="5" r:id="rId4"/>
    <sheet name="Design option k, Qjk, Ajk, cjk" sheetId="4" r:id="rId5"/>
    <sheet name="Cost cs" sheetId="7" r:id="rId6"/>
  </sheets>
  <calcPr calcId="171027"/>
</workbook>
</file>

<file path=xl/calcChain.xml><?xml version="1.0" encoding="utf-8"?>
<calcChain xmlns="http://schemas.openxmlformats.org/spreadsheetml/2006/main">
  <c r="F15" i="1" l="1"/>
  <c r="F14" i="1"/>
  <c r="F13" i="1"/>
  <c r="F12" i="1"/>
  <c r="F5" i="1"/>
  <c r="F4" i="1"/>
  <c r="F11" i="1"/>
  <c r="F10" i="1"/>
  <c r="H21" i="1" s="1"/>
  <c r="F9" i="1"/>
  <c r="F8" i="1"/>
  <c r="F7" i="1"/>
  <c r="F6" i="1"/>
  <c r="F3" i="1"/>
  <c r="F2" i="1"/>
  <c r="H22" i="1" l="1"/>
  <c r="H20" i="1"/>
  <c r="K5" i="4"/>
  <c r="K4" i="4"/>
  <c r="K3" i="4"/>
  <c r="K2" i="4"/>
  <c r="K11" i="4"/>
  <c r="K10" i="4"/>
  <c r="K9" i="4"/>
  <c r="K8" i="4"/>
  <c r="B3" i="7" l="1"/>
  <c r="D3" i="7"/>
  <c r="H4" i="1"/>
  <c r="D5" i="8" l="1"/>
  <c r="B3" i="8" l="1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E17" i="1" l="1"/>
  <c r="E18" i="1"/>
  <c r="F18" i="1"/>
  <c r="F17" i="1"/>
  <c r="E3" i="7"/>
  <c r="E4" i="7"/>
  <c r="E2" i="7"/>
  <c r="B6" i="2"/>
  <c r="C6" i="2"/>
  <c r="B7" i="2"/>
  <c r="C7" i="2"/>
  <c r="B8" i="2"/>
  <c r="C8" i="2"/>
  <c r="B9" i="2"/>
  <c r="C9" i="2"/>
  <c r="B10" i="2"/>
  <c r="E10" i="2" s="1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C5" i="2"/>
  <c r="B5" i="2"/>
  <c r="H3" i="1"/>
  <c r="D4" i="8" s="1"/>
  <c r="H5" i="1"/>
  <c r="D6" i="8" s="1"/>
  <c r="H6" i="1"/>
  <c r="D7" i="8" s="1"/>
  <c r="H7" i="1"/>
  <c r="D8" i="8" s="1"/>
  <c r="H8" i="1"/>
  <c r="D9" i="8" s="1"/>
  <c r="H9" i="1"/>
  <c r="D10" i="8" s="1"/>
  <c r="H10" i="1"/>
  <c r="D11" i="8" s="1"/>
  <c r="H11" i="1"/>
  <c r="D12" i="8" s="1"/>
  <c r="H12" i="1"/>
  <c r="D13" i="8" s="1"/>
  <c r="H13" i="1"/>
  <c r="D14" i="8" s="1"/>
  <c r="H14" i="1"/>
  <c r="D15" i="8" s="1"/>
  <c r="H15" i="1"/>
  <c r="D16" i="8" s="1"/>
  <c r="H2" i="1"/>
  <c r="D3" i="8" s="1"/>
  <c r="H17" i="1" l="1"/>
  <c r="H18" i="1"/>
  <c r="F20" i="1" s="1"/>
  <c r="F19" i="1"/>
  <c r="J16" i="2"/>
  <c r="M16" i="2"/>
  <c r="K16" i="2"/>
  <c r="L16" i="2"/>
  <c r="J10" i="2"/>
  <c r="K10" i="2"/>
  <c r="M10" i="2"/>
  <c r="L10" i="2"/>
  <c r="J6" i="2"/>
  <c r="K6" i="2"/>
  <c r="M6" i="2"/>
  <c r="L6" i="2"/>
  <c r="J17" i="2"/>
  <c r="K17" i="2"/>
  <c r="M17" i="2"/>
  <c r="L17" i="2"/>
  <c r="J15" i="2"/>
  <c r="K15" i="2"/>
  <c r="M15" i="2"/>
  <c r="L15" i="2"/>
  <c r="J13" i="2"/>
  <c r="M13" i="2"/>
  <c r="K13" i="2"/>
  <c r="L13" i="2"/>
  <c r="J11" i="2"/>
  <c r="K11" i="2"/>
  <c r="L11" i="2"/>
  <c r="M11" i="2"/>
  <c r="J9" i="2"/>
  <c r="M9" i="2"/>
  <c r="K9" i="2"/>
  <c r="L9" i="2"/>
  <c r="J7" i="2"/>
  <c r="M7" i="2"/>
  <c r="K7" i="2"/>
  <c r="L7" i="2"/>
  <c r="J18" i="2"/>
  <c r="L18" i="2"/>
  <c r="K18" i="2"/>
  <c r="M18" i="2"/>
  <c r="J14" i="2"/>
  <c r="K14" i="2"/>
  <c r="L14" i="2"/>
  <c r="M14" i="2"/>
  <c r="J12" i="2"/>
  <c r="K12" i="2"/>
  <c r="M12" i="2"/>
  <c r="L12" i="2"/>
  <c r="J8" i="2"/>
  <c r="K8" i="2"/>
  <c r="L8" i="2"/>
  <c r="M8" i="2"/>
  <c r="J5" i="2"/>
  <c r="K5" i="2"/>
  <c r="L5" i="2"/>
  <c r="M5" i="2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17" i="1" l="1"/>
  <c r="A15" i="4"/>
  <c r="A16" i="4"/>
  <c r="A14" i="4"/>
  <c r="H9" i="4"/>
  <c r="H10" i="4"/>
  <c r="H11" i="4"/>
  <c r="H8" i="4"/>
  <c r="C4" i="7"/>
  <c r="B4" i="7"/>
  <c r="D4" i="7" s="1"/>
  <c r="C3" i="7"/>
  <c r="D2" i="7"/>
  <c r="C2" i="7"/>
  <c r="B2" i="7"/>
  <c r="J3" i="4" l="1"/>
  <c r="J4" i="4"/>
  <c r="J5" i="4"/>
  <c r="J2" i="4"/>
  <c r="J9" i="4"/>
  <c r="J10" i="4"/>
  <c r="J11" i="4"/>
  <c r="J8" i="4"/>
  <c r="D15" i="4" l="1"/>
  <c r="D14" i="4"/>
  <c r="F11" i="4"/>
  <c r="G11" i="4" s="1"/>
  <c r="F10" i="4"/>
  <c r="G10" i="4" s="1"/>
  <c r="F9" i="4"/>
  <c r="G9" i="4" s="1"/>
  <c r="F8" i="4"/>
  <c r="G8" i="4" s="1"/>
  <c r="F5" i="4"/>
  <c r="G5" i="4" s="1"/>
  <c r="F4" i="4"/>
  <c r="G4" i="4" s="1"/>
  <c r="F3" i="4"/>
  <c r="G3" i="4" s="1"/>
  <c r="F2" i="4"/>
  <c r="G2" i="4" s="1"/>
  <c r="H3" i="4" l="1"/>
  <c r="H4" i="4"/>
  <c r="H5" i="4"/>
  <c r="H2" i="4"/>
  <c r="I2" i="4" s="1"/>
  <c r="I3" i="4"/>
  <c r="I4" i="4"/>
  <c r="I5" i="4"/>
  <c r="I8" i="4"/>
  <c r="I9" i="4"/>
  <c r="I10" i="4"/>
  <c r="I11" i="4"/>
  <c r="D6" i="2" l="1"/>
  <c r="E6" i="2"/>
  <c r="F6" i="2"/>
  <c r="G6" i="2"/>
  <c r="H6" i="2"/>
  <c r="I6" i="2"/>
  <c r="D7" i="2"/>
  <c r="E7" i="2"/>
  <c r="F7" i="2"/>
  <c r="G7" i="2"/>
  <c r="H7" i="2"/>
  <c r="I7" i="2"/>
  <c r="D8" i="2"/>
  <c r="E8" i="2"/>
  <c r="F8" i="2"/>
  <c r="G8" i="2"/>
  <c r="H8" i="2"/>
  <c r="I8" i="2"/>
  <c r="D9" i="2"/>
  <c r="E9" i="2"/>
  <c r="F9" i="2"/>
  <c r="G9" i="2"/>
  <c r="H9" i="2"/>
  <c r="I9" i="2"/>
  <c r="D10" i="2"/>
  <c r="F10" i="2"/>
  <c r="G10" i="2"/>
  <c r="H10" i="2"/>
  <c r="I10" i="2"/>
  <c r="D11" i="2"/>
  <c r="E11" i="2"/>
  <c r="F11" i="2"/>
  <c r="G11" i="2"/>
  <c r="H11" i="2"/>
  <c r="I11" i="2"/>
  <c r="D12" i="2"/>
  <c r="E12" i="2"/>
  <c r="F12" i="2"/>
  <c r="G12" i="2"/>
  <c r="H12" i="2"/>
  <c r="I12" i="2"/>
  <c r="D13" i="2"/>
  <c r="E13" i="2"/>
  <c r="F13" i="2"/>
  <c r="G13" i="2"/>
  <c r="H13" i="2"/>
  <c r="I13" i="2"/>
  <c r="D14" i="2"/>
  <c r="E14" i="2"/>
  <c r="F14" i="2"/>
  <c r="G14" i="2"/>
  <c r="H14" i="2"/>
  <c r="I14" i="2"/>
  <c r="D15" i="2"/>
  <c r="E15" i="2"/>
  <c r="F15" i="2"/>
  <c r="G15" i="2"/>
  <c r="H15" i="2"/>
  <c r="I15" i="2"/>
  <c r="D16" i="2"/>
  <c r="E16" i="2"/>
  <c r="F16" i="2"/>
  <c r="G16" i="2"/>
  <c r="H16" i="2"/>
  <c r="I16" i="2"/>
  <c r="D17" i="2"/>
  <c r="E17" i="2"/>
  <c r="F17" i="2"/>
  <c r="G17" i="2"/>
  <c r="H17" i="2"/>
  <c r="I17" i="2"/>
  <c r="D18" i="2"/>
  <c r="E18" i="2"/>
  <c r="F18" i="2"/>
  <c r="G18" i="2"/>
  <c r="H18" i="2"/>
  <c r="I18" i="2"/>
  <c r="E5" i="2"/>
  <c r="F5" i="2"/>
  <c r="G5" i="2"/>
  <c r="H5" i="2"/>
  <c r="I5" i="2"/>
  <c r="D5" i="2"/>
</calcChain>
</file>

<file path=xl/comments1.xml><?xml version="1.0" encoding="utf-8"?>
<comments xmlns="http://schemas.openxmlformats.org/spreadsheetml/2006/main">
  <authors>
    <author>user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Where are these numbers from?</t>
        </r>
      </text>
    </comment>
  </commentList>
</comments>
</file>

<file path=xl/sharedStrings.xml><?xml version="1.0" encoding="utf-8"?>
<sst xmlns="http://schemas.openxmlformats.org/spreadsheetml/2006/main" count="151" uniqueCount="109">
  <si>
    <t>map#</t>
  </si>
  <si>
    <t>block</t>
  </si>
  <si>
    <t>area(mi2)</t>
  </si>
  <si>
    <t>area(km2)</t>
  </si>
  <si>
    <t>popn</t>
  </si>
  <si>
    <t>density(/km2)</t>
  </si>
  <si>
    <t>est. wastewater (m3/day)</t>
  </si>
  <si>
    <t>land-use</t>
  </si>
  <si>
    <t>homes, shops (food)</t>
  </si>
  <si>
    <t>homes</t>
  </si>
  <si>
    <t>homes, hospital</t>
  </si>
  <si>
    <t>mean</t>
  </si>
  <si>
    <t>sum</t>
  </si>
  <si>
    <r>
      <t xml:space="preserve">* area calculated by importing the coordinates to Google My Maps - </t>
    </r>
    <r>
      <rPr>
        <sz val="11"/>
        <color rgb="FFFF0000"/>
        <rFont val="Calibri"/>
        <family val="2"/>
      </rPr>
      <t>https://goo.gl/dlG99D</t>
    </r>
  </si>
  <si>
    <t>waste(m3/day)</t>
  </si>
  <si>
    <r>
      <t xml:space="preserve">*All distances given in </t>
    </r>
    <r>
      <rPr>
        <sz val="11"/>
        <color rgb="FFFF0000"/>
        <rFont val="Calibri"/>
        <family val="2"/>
      </rPr>
      <t>km</t>
    </r>
    <r>
      <rPr>
        <sz val="11"/>
        <color rgb="FF000000"/>
        <rFont val="Calibri"/>
        <family val="2"/>
      </rPr>
      <t>, calculated with a combination of "spherical law of cosines" and "vincenty formula" from http://bluemm.blogspot.sg/2007/01/excel-formula-to-calculate-distance.html</t>
    </r>
  </si>
  <si>
    <t>CW, j</t>
  </si>
  <si>
    <t xml:space="preserve">Lat </t>
  </si>
  <si>
    <t>Lng</t>
  </si>
  <si>
    <t>block, i</t>
  </si>
  <si>
    <t>Lat</t>
  </si>
  <si>
    <t>K (BOD)</t>
  </si>
  <si>
    <t>k_A(m/day)</t>
  </si>
  <si>
    <t>Q(Flow rate) (m3/day)</t>
  </si>
  <si>
    <t>Area (m2)</t>
  </si>
  <si>
    <t>C*(mg/L)</t>
  </si>
  <si>
    <t>a</t>
  </si>
  <si>
    <t>b</t>
  </si>
  <si>
    <t>C(in)</t>
  </si>
  <si>
    <t>C(out)(a*C_in+b)</t>
  </si>
  <si>
    <t>\tau(standard)</t>
  </si>
  <si>
    <t>K (TN)</t>
  </si>
  <si>
    <t>Min</t>
  </si>
  <si>
    <t>Max</t>
  </si>
  <si>
    <t>Average</t>
  </si>
  <si>
    <t>Treatment target τ (mg/l)</t>
  </si>
  <si>
    <t>Concentration in wastewater source ε (mg/l)</t>
  </si>
  <si>
    <t>Minimum</t>
  </si>
  <si>
    <t>Maximum</t>
  </si>
  <si>
    <t>TN</t>
  </si>
  <si>
    <t>BOD5</t>
  </si>
  <si>
    <t>TSS</t>
  </si>
  <si>
    <t>TP</t>
  </si>
  <si>
    <t>Pollutant m</t>
  </si>
  <si>
    <t>Pipe cost (US$)</t>
  </si>
  <si>
    <t>Installation cost (US$)</t>
  </si>
  <si>
    <t>ENR CCI</t>
  </si>
  <si>
    <t>Reinforced concrete pipe (RCP)</t>
  </si>
  <si>
    <t>Non-reinforced concrete pipe (NRCP)</t>
  </si>
  <si>
    <t>Vitrified clay pipe (VCP)</t>
  </si>
  <si>
    <t>*Pipe installation for 24-in diameter, 10 miles</t>
  </si>
  <si>
    <t>per metre, c (US$)</t>
  </si>
  <si>
    <t>Pipe material</t>
  </si>
  <si>
    <t>*Pipe cost includes cost of material and manufacturing</t>
  </si>
  <si>
    <t>cost, cjk (625A^0.704) A是公顷（ha）($'000)</t>
  </si>
  <si>
    <t>m</t>
  </si>
  <si>
    <t>-88.1853676,30.672781,0.0</t>
  </si>
  <si>
    <t>-88.1846166,30.6659337</t>
  </si>
  <si>
    <t>-88.1848526,30.653936,0.0</t>
  </si>
  <si>
    <t>-88.1872559,30.6499672,0.0</t>
  </si>
  <si>
    <t>-88.1864834,30.6451305,0.0</t>
  </si>
  <si>
    <t>-88.1775784,30.6479181,0.0</t>
  </si>
  <si>
    <t>-88.19916, 30.67816, 0</t>
  </si>
  <si>
    <t>-88.20382, 30.66729, 0</t>
  </si>
  <si>
    <t>-88.19483, 30.67099, 0</t>
  </si>
  <si>
    <t>-88.19536, 30.66364, 0</t>
  </si>
  <si>
    <t>-88.20249, 30.65495, 0</t>
  </si>
  <si>
    <t>-88.19354, 30.65746, 0</t>
  </si>
  <si>
    <t>-88.19513, 30.64819, 0</t>
  </si>
  <si>
    <t>-88.19952, 30.64237, 0</t>
  </si>
  <si>
    <t>census tract</t>
  </si>
  <si>
    <t>homes, public amenities</t>
  </si>
  <si>
    <t>homes, shops (retail), school</t>
  </si>
  <si>
    <t>2 - 1</t>
  </si>
  <si>
    <t>2 - 2</t>
  </si>
  <si>
    <t>11 - 1</t>
  </si>
  <si>
    <t>11 - 2</t>
  </si>
  <si>
    <t>per km, c (US$)</t>
  </si>
  <si>
    <t>5 - 1</t>
  </si>
  <si>
    <t>5 - 2</t>
  </si>
  <si>
    <t>Wastewater sources</t>
  </si>
  <si>
    <t>Fi</t>
  </si>
  <si>
    <t>Potential CW locations</t>
  </si>
  <si>
    <t>latitude (N)</t>
  </si>
  <si>
    <t>longitude (W)</t>
  </si>
  <si>
    <t>j = 10</t>
  </si>
  <si>
    <t>i = 14</t>
  </si>
  <si>
    <t>-88.19916</t>
  </si>
  <si>
    <t>-88.20382</t>
  </si>
  <si>
    <t>-88.19483</t>
  </si>
  <si>
    <t>-88.19536</t>
  </si>
  <si>
    <t>-88.20249</t>
  </si>
  <si>
    <t>-88.19354</t>
  </si>
  <si>
    <t>-88.19513</t>
  </si>
  <si>
    <t>-88.19952</t>
  </si>
  <si>
    <t>-88.18536</t>
  </si>
  <si>
    <t>-88.18461</t>
  </si>
  <si>
    <t>-88.18485</t>
  </si>
  <si>
    <t>-88.18725</t>
  </si>
  <si>
    <t>-88.18648</t>
  </si>
  <si>
    <t>-88.17757</t>
  </si>
  <si>
    <t>Construction Cost Index (ENR)</t>
  </si>
  <si>
    <t>37.03 - 1</t>
  </si>
  <si>
    <t>37.04 - 1</t>
  </si>
  <si>
    <t>37.05 - 1</t>
  </si>
  <si>
    <t>37.05 - 2</t>
  </si>
  <si>
    <t>37.06 - 1</t>
  </si>
  <si>
    <t>37.06 - 2</t>
  </si>
  <si>
    <t>Population (ACS 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</si>
</sst>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0"/>
    <numFmt numFmtId="165" formatCode="#,##0.000"/>
    <numFmt numFmtId="166" formatCode="0.0000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9">
    <xf numFmtId="0" fontId="0" fillId="0" borderId="0" xfId="0"/>
    <xf numFmtId="0" fontId="1" fillId="0" borderId="0" xfId="1" applyFont="1" applyAlignment="1">
      <alignment horizontal="left"/>
    </xf>
    <xf numFmtId="1" fontId="1" fillId="0" borderId="0" xfId="1" applyNumberFormat="1" applyFont="1" applyAlignment="1">
      <alignment horizontal="left"/>
    </xf>
    <xf numFmtId="4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4" fontId="2" fillId="0" borderId="0" xfId="1" applyNumberFormat="1" applyFont="1" applyAlignment="1">
      <alignment horizontal="left"/>
    </xf>
    <xf numFmtId="4" fontId="1" fillId="0" borderId="0" xfId="1" applyNumberFormat="1" applyFont="1" applyAlignment="1">
      <alignment wrapText="1"/>
    </xf>
    <xf numFmtId="4" fontId="3" fillId="0" borderId="0" xfId="1" applyNumberFormat="1" applyFont="1" applyAlignment="1"/>
    <xf numFmtId="2" fontId="4" fillId="0" borderId="1" xfId="0" applyNumberFormat="1" applyFont="1" applyBorder="1" applyAlignment="1"/>
    <xf numFmtId="2" fontId="4" fillId="0" borderId="3" xfId="0" applyNumberFormat="1" applyFont="1" applyBorder="1" applyAlignment="1"/>
    <xf numFmtId="0" fontId="3" fillId="0" borderId="1" xfId="2" applyFont="1" applyBorder="1" applyAlignment="1"/>
    <xf numFmtId="0" fontId="3" fillId="0" borderId="1" xfId="2" applyBorder="1"/>
    <xf numFmtId="0" fontId="3" fillId="0" borderId="4" xfId="2" applyFont="1" applyBorder="1" applyAlignment="1"/>
    <xf numFmtId="0" fontId="3" fillId="0" borderId="1" xfId="2" applyNumberFormat="1" applyFont="1" applyBorder="1" applyAlignment="1"/>
    <xf numFmtId="2" fontId="4" fillId="0" borderId="6" xfId="0" applyNumberFormat="1" applyFont="1" applyBorder="1" applyAlignment="1"/>
    <xf numFmtId="2" fontId="4" fillId="0" borderId="2" xfId="0" applyNumberFormat="1" applyFont="1" applyBorder="1" applyAlignment="1"/>
    <xf numFmtId="0" fontId="3" fillId="3" borderId="1" xfId="2" applyFont="1" applyFill="1" applyBorder="1" applyAlignment="1"/>
    <xf numFmtId="0" fontId="3" fillId="3" borderId="1" xfId="2" applyFill="1" applyBorder="1" applyAlignment="1">
      <alignment horizontal="left"/>
    </xf>
    <xf numFmtId="49" fontId="3" fillId="3" borderId="1" xfId="2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4" borderId="1" xfId="0" applyFill="1" applyBorder="1"/>
    <xf numFmtId="0" fontId="0" fillId="0" borderId="1" xfId="0" applyBorder="1"/>
    <xf numFmtId="0" fontId="0" fillId="4" borderId="3" xfId="0" applyFill="1" applyBorder="1"/>
    <xf numFmtId="0" fontId="0" fillId="0" borderId="5" xfId="0" applyBorder="1" applyAlignment="1">
      <alignment horizontal="center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1" fontId="0" fillId="0" borderId="0" xfId="0" applyNumberFormat="1" applyFont="1" applyAlignment="1">
      <alignment horizontal="left"/>
    </xf>
    <xf numFmtId="165" fontId="2" fillId="0" borderId="0" xfId="1" applyNumberFormat="1" applyFont="1" applyFill="1" applyAlignment="1">
      <alignment horizontal="left"/>
    </xf>
    <xf numFmtId="0" fontId="3" fillId="0" borderId="1" xfId="2" applyNumberFormat="1" applyBorder="1"/>
    <xf numFmtId="49" fontId="3" fillId="3" borderId="1" xfId="2" applyNumberFormat="1" applyFill="1" applyBorder="1" applyAlignment="1">
      <alignment horizontal="left"/>
    </xf>
    <xf numFmtId="0" fontId="1" fillId="0" borderId="7" xfId="1" applyFont="1" applyBorder="1" applyAlignment="1">
      <alignment horizontal="left"/>
    </xf>
    <xf numFmtId="1" fontId="1" fillId="0" borderId="7" xfId="1" applyNumberFormat="1" applyFont="1" applyBorder="1" applyAlignment="1">
      <alignment horizontal="left"/>
    </xf>
    <xf numFmtId="4" fontId="1" fillId="0" borderId="7" xfId="1" applyNumberFormat="1" applyFont="1" applyBorder="1" applyAlignment="1">
      <alignment horizontal="left"/>
    </xf>
    <xf numFmtId="164" fontId="1" fillId="0" borderId="7" xfId="1" applyNumberFormat="1" applyFont="1" applyBorder="1" applyAlignment="1">
      <alignment horizontal="left"/>
    </xf>
    <xf numFmtId="4" fontId="1" fillId="0" borderId="7" xfId="1" applyNumberFormat="1" applyFont="1" applyFill="1" applyBorder="1" applyAlignment="1">
      <alignment horizontal="left"/>
    </xf>
    <xf numFmtId="166" fontId="3" fillId="0" borderId="5" xfId="2" applyNumberFormat="1" applyBorder="1"/>
    <xf numFmtId="166" fontId="3" fillId="0" borderId="1" xfId="2" applyNumberFormat="1" applyBorder="1"/>
    <xf numFmtId="0" fontId="3" fillId="0" borderId="8" xfId="2" applyNumberFormat="1" applyFont="1" applyBorder="1" applyAlignment="1"/>
    <xf numFmtId="0" fontId="0" fillId="0" borderId="7" xfId="0" applyBorder="1" applyAlignment="1">
      <alignment horizontal="left"/>
    </xf>
    <xf numFmtId="0" fontId="0" fillId="0" borderId="7" xfId="0" applyBorder="1"/>
    <xf numFmtId="4" fontId="0" fillId="0" borderId="0" xfId="0" applyNumberFormat="1"/>
    <xf numFmtId="0" fontId="3" fillId="0" borderId="0" xfId="2" applyNumberFormat="1" applyBorder="1"/>
    <xf numFmtId="166" fontId="3" fillId="0" borderId="0" xfId="2" applyNumberFormat="1" applyBorder="1"/>
    <xf numFmtId="0" fontId="3" fillId="0" borderId="0" xfId="2" applyBorder="1"/>
    <xf numFmtId="2" fontId="0" fillId="0" borderId="0" xfId="0" applyNumberFormat="1"/>
    <xf numFmtId="0" fontId="3" fillId="0" borderId="0" xfId="2" applyFill="1" applyBorder="1" applyAlignment="1">
      <alignment horizontal="left"/>
    </xf>
    <xf numFmtId="49" fontId="3" fillId="0" borderId="0" xfId="2" applyNumberFormat="1" applyFill="1" applyBorder="1" applyAlignment="1">
      <alignment horizontal="left"/>
    </xf>
    <xf numFmtId="49" fontId="3" fillId="0" borderId="0" xfId="2" applyNumberFormat="1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ont="1" applyAlignment="1"/>
    <xf numFmtId="0" fontId="0" fillId="0" borderId="0" xfId="0" applyAlignment="1">
      <alignment horizontal="center"/>
    </xf>
    <xf numFmtId="0" fontId="3" fillId="2" borderId="0" xfId="2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O11" sqref="O11"/>
    </sheetView>
  </sheetViews>
  <sheetFormatPr defaultRowHeight="14.5" x14ac:dyDescent="0.35"/>
  <cols>
    <col min="2" max="2" width="10.81640625" bestFit="1" customWidth="1"/>
    <col min="3" max="3" width="12.1796875" bestFit="1" customWidth="1"/>
    <col min="7" max="7" width="10.1796875" bestFit="1" customWidth="1"/>
    <col min="8" max="8" width="12.1796875" bestFit="1" customWidth="1"/>
  </cols>
  <sheetData>
    <row r="1" spans="1:8" x14ac:dyDescent="0.35">
      <c r="A1" s="54" t="s">
        <v>80</v>
      </c>
      <c r="B1" s="54"/>
      <c r="C1" s="54"/>
      <c r="D1" s="54"/>
      <c r="F1" s="54" t="s">
        <v>82</v>
      </c>
      <c r="G1" s="54"/>
      <c r="H1" s="54"/>
    </row>
    <row r="2" spans="1:8" x14ac:dyDescent="0.35">
      <c r="A2" s="40" t="s">
        <v>86</v>
      </c>
      <c r="B2" s="35" t="s">
        <v>83</v>
      </c>
      <c r="C2" s="35" t="s">
        <v>84</v>
      </c>
      <c r="D2" s="40" t="s">
        <v>81</v>
      </c>
      <c r="F2" s="40" t="s">
        <v>85</v>
      </c>
      <c r="G2" s="40" t="s">
        <v>83</v>
      </c>
      <c r="H2" s="40" t="s">
        <v>84</v>
      </c>
    </row>
    <row r="3" spans="1:8" x14ac:dyDescent="0.35">
      <c r="A3">
        <v>1</v>
      </c>
      <c r="B3">
        <f>ROUND(LEFT(RIGHT('Block site Fi'!L2,11),8),7)</f>
        <v>30.678159999999998</v>
      </c>
      <c r="C3" s="45" t="str">
        <f>LEFT('Block site Fi'!L2,9)</f>
        <v>-88.19916</v>
      </c>
      <c r="D3" s="41">
        <f>'Block site Fi'!H2</f>
        <v>187.42099999999999</v>
      </c>
      <c r="F3" s="46">
        <v>1</v>
      </c>
      <c r="G3" s="42">
        <v>30.681509999999999</v>
      </c>
      <c r="H3" s="43">
        <v>-88.205979999999997</v>
      </c>
    </row>
    <row r="4" spans="1:8" x14ac:dyDescent="0.35">
      <c r="A4">
        <v>2</v>
      </c>
      <c r="B4">
        <f>ROUND(LEFT(RIGHT('Block site Fi'!L3,11),8),7)</f>
        <v>30.667290000000001</v>
      </c>
      <c r="C4" s="45" t="str">
        <f>LEFT('Block site Fi'!L3,9)</f>
        <v>-88.20382</v>
      </c>
      <c r="D4" s="41">
        <f>'Block site Fi'!H3</f>
        <v>187.42099999999999</v>
      </c>
      <c r="F4" s="47" t="s">
        <v>73</v>
      </c>
      <c r="G4" s="42">
        <v>30.672630000000002</v>
      </c>
      <c r="H4" s="43">
        <v>-88.202269999999999</v>
      </c>
    </row>
    <row r="5" spans="1:8" x14ac:dyDescent="0.35">
      <c r="A5">
        <v>3</v>
      </c>
      <c r="B5">
        <f>ROUND(LEFT(RIGHT('Block site Fi'!L4,11),8),7)</f>
        <v>30.67099</v>
      </c>
      <c r="C5" s="45" t="str">
        <f>LEFT('Block site Fi'!L4,9)</f>
        <v>-88.19483</v>
      </c>
      <c r="D5" s="41">
        <f>'Block site Fi'!H4</f>
        <v>187.19919999999999</v>
      </c>
      <c r="F5" s="47" t="s">
        <v>74</v>
      </c>
      <c r="G5" s="42">
        <v>30.66779</v>
      </c>
      <c r="H5" s="43">
        <v>-88.204849999999993</v>
      </c>
    </row>
    <row r="6" spans="1:8" x14ac:dyDescent="0.35">
      <c r="A6">
        <v>4</v>
      </c>
      <c r="B6">
        <f>ROUND(LEFT(RIGHT('Block site Fi'!L5,11),8),7)</f>
        <v>30.663640000000001</v>
      </c>
      <c r="C6" s="45" t="str">
        <f>LEFT('Block site Fi'!L5,9)</f>
        <v>-88.19536</v>
      </c>
      <c r="D6" s="41">
        <f>'Block site Fi'!H5</f>
        <v>187.19919999999999</v>
      </c>
      <c r="F6" s="46">
        <v>3</v>
      </c>
      <c r="G6" s="42">
        <v>30.667649999999998</v>
      </c>
      <c r="H6" s="43">
        <v>-88.195830000000001</v>
      </c>
    </row>
    <row r="7" spans="1:8" x14ac:dyDescent="0.35">
      <c r="A7">
        <v>5</v>
      </c>
      <c r="B7">
        <f>ROUND(LEFT(RIGHT('Block site Fi'!L6,11),8),7)</f>
        <v>30.654949999999999</v>
      </c>
      <c r="C7" s="45" t="str">
        <f>LEFT('Block site Fi'!L6,9)</f>
        <v>-88.20249</v>
      </c>
      <c r="D7" s="41">
        <f>'Block site Fi'!H6</f>
        <v>186.97739999999999</v>
      </c>
      <c r="F7" s="47" t="s">
        <v>78</v>
      </c>
      <c r="G7" s="42">
        <v>30.659030000000001</v>
      </c>
      <c r="H7" s="43">
        <v>-88.202960000000004</v>
      </c>
    </row>
    <row r="8" spans="1:8" x14ac:dyDescent="0.35">
      <c r="A8">
        <v>6</v>
      </c>
      <c r="B8">
        <f>ROUND(LEFT(RIGHT('Block site Fi'!L7,11),8),7)</f>
        <v>30.65746</v>
      </c>
      <c r="C8" s="45" t="str">
        <f>LEFT('Block site Fi'!L7,9)</f>
        <v>-88.19354</v>
      </c>
      <c r="D8" s="41">
        <f>'Block site Fi'!H7</f>
        <v>186.97739999999999</v>
      </c>
      <c r="F8" s="47" t="s">
        <v>79</v>
      </c>
      <c r="G8" s="42">
        <v>30.65249</v>
      </c>
      <c r="H8" s="43">
        <v>-88.202550000000002</v>
      </c>
    </row>
    <row r="9" spans="1:8" x14ac:dyDescent="0.35">
      <c r="A9">
        <v>7</v>
      </c>
      <c r="B9">
        <f>ROUND(LEFT(RIGHT('Block site Fi'!L8,11),8),7)</f>
        <v>30.64819</v>
      </c>
      <c r="C9" s="45" t="str">
        <f>LEFT('Block site Fi'!L8,9)</f>
        <v>-88.19513</v>
      </c>
      <c r="D9" s="41">
        <f>'Block site Fi'!H8</f>
        <v>211.81899999999999</v>
      </c>
      <c r="F9" s="46">
        <v>8</v>
      </c>
      <c r="G9" s="42">
        <v>30.646550000000001</v>
      </c>
      <c r="H9" s="43">
        <v>-88.20326</v>
      </c>
    </row>
    <row r="10" spans="1:8" x14ac:dyDescent="0.35">
      <c r="A10">
        <v>8</v>
      </c>
      <c r="B10">
        <f>ROUND(LEFT(RIGHT('Block site Fi'!L9,11),8),7)</f>
        <v>30.64237</v>
      </c>
      <c r="C10" s="45" t="str">
        <f>LEFT('Block site Fi'!L9,9)</f>
        <v>-88.19952</v>
      </c>
      <c r="D10" s="41">
        <f>'Block site Fi'!H9</f>
        <v>211.81899999999999</v>
      </c>
      <c r="F10" s="48" t="s">
        <v>75</v>
      </c>
      <c r="G10" s="44">
        <v>30.657769999999999</v>
      </c>
      <c r="H10" s="43">
        <v>-88.185879999999997</v>
      </c>
    </row>
    <row r="11" spans="1:8" x14ac:dyDescent="0.35">
      <c r="A11">
        <v>9</v>
      </c>
      <c r="B11">
        <f>ROUND(LEFT(RIGHT('Block site Fi'!L10,13),9),7)</f>
        <v>30.672781000000001</v>
      </c>
      <c r="C11" s="45" t="str">
        <f>LEFT('Block site Fi'!L10,9)</f>
        <v>-88.18536</v>
      </c>
      <c r="D11" s="41">
        <f>'Block site Fi'!H10</f>
        <v>236.21699999999998</v>
      </c>
      <c r="F11" s="48" t="s">
        <v>76</v>
      </c>
      <c r="G11" s="43">
        <v>30.655999999999999</v>
      </c>
      <c r="H11" s="43">
        <v>-88.186909999999997</v>
      </c>
    </row>
    <row r="12" spans="1:8" x14ac:dyDescent="0.35">
      <c r="A12">
        <v>10</v>
      </c>
      <c r="B12">
        <f>ROUND(RIGHT('Block site Fi'!L11,10),7)</f>
        <v>30.6659337</v>
      </c>
      <c r="C12" s="45" t="str">
        <f>LEFT('Block site Fi'!L11,9)</f>
        <v>-88.18461</v>
      </c>
      <c r="D12" s="41">
        <f>'Block site Fi'!H11</f>
        <v>236.21699999999998</v>
      </c>
      <c r="F12" s="46">
        <v>12</v>
      </c>
      <c r="G12" s="44">
        <v>30.653559999999999</v>
      </c>
      <c r="H12" s="43">
        <v>-88.188800000000001</v>
      </c>
    </row>
    <row r="13" spans="1:8" x14ac:dyDescent="0.35">
      <c r="A13">
        <v>11</v>
      </c>
      <c r="B13">
        <f>ROUND(LEFT(RIGHT('Block site Fi'!L12,13),9),7)</f>
        <v>30.653936000000002</v>
      </c>
      <c r="C13" s="45" t="str">
        <f>LEFT('Block site Fi'!L12,9)</f>
        <v>-88.18485</v>
      </c>
      <c r="D13" s="41">
        <f>'Block site Fi'!H12</f>
        <v>128.2004</v>
      </c>
    </row>
    <row r="14" spans="1:8" x14ac:dyDescent="0.35">
      <c r="A14">
        <v>12</v>
      </c>
      <c r="B14">
        <f>ROUND(LEFT(RIGHT('Block site Fi'!L13,14),10),7)</f>
        <v>30.649967199999999</v>
      </c>
      <c r="C14" s="45" t="str">
        <f>LEFT('Block site Fi'!L13,9)</f>
        <v>-88.18725</v>
      </c>
      <c r="D14" s="41">
        <f>'Block site Fi'!H13</f>
        <v>128.2004</v>
      </c>
    </row>
    <row r="15" spans="1:8" x14ac:dyDescent="0.35">
      <c r="A15">
        <v>13</v>
      </c>
      <c r="B15">
        <f>ROUND(LEFT(RIGHT('Block site Fi'!L14,14),10),7)</f>
        <v>30.6451305</v>
      </c>
      <c r="C15" s="45" t="str">
        <f>LEFT('Block site Fi'!L14,9)</f>
        <v>-88.18648</v>
      </c>
      <c r="D15" s="41">
        <f>'Block site Fi'!H14</f>
        <v>203.1688</v>
      </c>
    </row>
    <row r="16" spans="1:8" x14ac:dyDescent="0.35">
      <c r="A16">
        <v>14</v>
      </c>
      <c r="B16">
        <f>ROUND(LEFT(RIGHT('Block site Fi'!L15,14),10),7)</f>
        <v>30.647918099999998</v>
      </c>
      <c r="C16" s="45" t="str">
        <f>LEFT('Block site Fi'!L15,9)</f>
        <v>-88.17757</v>
      </c>
      <c r="D16" s="41">
        <f>'Block site Fi'!H15</f>
        <v>203.1688</v>
      </c>
    </row>
  </sheetData>
  <mergeCells count="2">
    <mergeCell ref="A1:D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15" workbookViewId="0">
      <selection activeCell="A25" sqref="A25"/>
    </sheetView>
  </sheetViews>
  <sheetFormatPr defaultRowHeight="14.5" x14ac:dyDescent="0.35"/>
  <cols>
    <col min="2" max="2" width="11.7265625" bestFit="1" customWidth="1"/>
    <col min="4" max="4" width="9.54296875" bestFit="1" customWidth="1"/>
    <col min="5" max="5" width="10" bestFit="1" customWidth="1"/>
    <col min="7" max="7" width="13.7265625" bestFit="1" customWidth="1"/>
    <col min="8" max="8" width="24.1796875" bestFit="1" customWidth="1"/>
    <col min="9" max="9" width="77.26953125" bestFit="1" customWidth="1"/>
    <col min="12" max="12" width="0" hidden="1" customWidth="1"/>
  </cols>
  <sheetData>
    <row r="1" spans="1:13" x14ac:dyDescent="0.35">
      <c r="A1" s="31" t="s">
        <v>0</v>
      </c>
      <c r="B1" s="31" t="s">
        <v>70</v>
      </c>
      <c r="C1" s="32" t="s">
        <v>1</v>
      </c>
      <c r="D1" s="33" t="s">
        <v>2</v>
      </c>
      <c r="E1" s="34" t="s">
        <v>3</v>
      </c>
      <c r="F1" s="33" t="s">
        <v>4</v>
      </c>
      <c r="G1" s="33" t="s">
        <v>5</v>
      </c>
      <c r="H1" s="33" t="s">
        <v>6</v>
      </c>
      <c r="I1" s="33" t="s">
        <v>7</v>
      </c>
    </row>
    <row r="2" spans="1:13" x14ac:dyDescent="0.35">
      <c r="A2" s="1">
        <v>1</v>
      </c>
      <c r="B2" s="25">
        <v>37.03</v>
      </c>
      <c r="C2" s="27">
        <v>1</v>
      </c>
      <c r="D2" s="3">
        <f>E2*0.386102</f>
        <v>0.54440381999999998</v>
      </c>
      <c r="E2" s="5">
        <v>1.41</v>
      </c>
      <c r="F2" s="6">
        <f>ROUNDUP($B$25/4,0)</f>
        <v>845</v>
      </c>
      <c r="G2" s="6">
        <f>F2/E2</f>
        <v>599.29078014184404</v>
      </c>
      <c r="H2" s="6">
        <f>F2*0.2218</f>
        <v>187.42099999999999</v>
      </c>
      <c r="I2" s="26" t="s">
        <v>10</v>
      </c>
      <c r="L2" t="s">
        <v>62</v>
      </c>
    </row>
    <row r="3" spans="1:13" x14ac:dyDescent="0.35">
      <c r="A3" s="1">
        <v>2</v>
      </c>
      <c r="B3" s="25">
        <v>37.03</v>
      </c>
      <c r="C3" s="27">
        <v>1</v>
      </c>
      <c r="D3" s="3">
        <f t="shared" ref="D3:D15" si="0">E3*0.386102</f>
        <v>0.40926812000000001</v>
      </c>
      <c r="E3" s="5">
        <v>1.06</v>
      </c>
      <c r="F3" s="6">
        <f t="shared" ref="F3:F5" si="1">ROUNDUP($B$25/4,0)</f>
        <v>845</v>
      </c>
      <c r="G3" s="6">
        <f t="shared" ref="G3:G15" si="2">F3/E3</f>
        <v>797.16981132075466</v>
      </c>
      <c r="H3" s="6">
        <f t="shared" ref="H3:H15" si="3">F3*0.2218</f>
        <v>187.42099999999999</v>
      </c>
      <c r="I3" s="26" t="s">
        <v>10</v>
      </c>
      <c r="L3" t="s">
        <v>63</v>
      </c>
    </row>
    <row r="4" spans="1:13" x14ac:dyDescent="0.35">
      <c r="A4" s="1">
        <v>3</v>
      </c>
      <c r="B4" s="25">
        <v>37.03</v>
      </c>
      <c r="C4" s="27">
        <v>1</v>
      </c>
      <c r="D4" s="3">
        <f t="shared" si="0"/>
        <v>0.27992394999999998</v>
      </c>
      <c r="E4" s="5">
        <v>0.72499999999999998</v>
      </c>
      <c r="F4" s="6">
        <f>ROUNDDOWN($B$25/4,0)</f>
        <v>844</v>
      </c>
      <c r="G4" s="6">
        <f t="shared" si="2"/>
        <v>1164.1379310344828</v>
      </c>
      <c r="H4" s="6">
        <f>F4*0.2218</f>
        <v>187.19919999999999</v>
      </c>
      <c r="I4" s="26" t="s">
        <v>10</v>
      </c>
      <c r="L4" t="s">
        <v>64</v>
      </c>
    </row>
    <row r="5" spans="1:13" x14ac:dyDescent="0.35">
      <c r="A5" s="1">
        <v>4</v>
      </c>
      <c r="B5" s="25">
        <v>37.03</v>
      </c>
      <c r="C5" s="27">
        <v>1</v>
      </c>
      <c r="D5" s="3">
        <f t="shared" si="0"/>
        <v>0.22895848599999999</v>
      </c>
      <c r="E5" s="5">
        <v>0.59299999999999997</v>
      </c>
      <c r="F5" s="6">
        <f>ROUNDDOWN($B$25/4,0)</f>
        <v>844</v>
      </c>
      <c r="G5" s="6">
        <f t="shared" si="2"/>
        <v>1423.2715008431703</v>
      </c>
      <c r="H5" s="6">
        <f t="shared" si="3"/>
        <v>187.19919999999999</v>
      </c>
      <c r="I5" s="26" t="s">
        <v>10</v>
      </c>
      <c r="L5" t="s">
        <v>65</v>
      </c>
    </row>
    <row r="6" spans="1:13" x14ac:dyDescent="0.35">
      <c r="A6" s="1">
        <v>5</v>
      </c>
      <c r="B6" s="25">
        <v>37.049999999999997</v>
      </c>
      <c r="C6" s="27">
        <v>1</v>
      </c>
      <c r="D6" s="3">
        <f t="shared" si="0"/>
        <v>0.56756993999999994</v>
      </c>
      <c r="E6" s="5">
        <v>1.47</v>
      </c>
      <c r="F6" s="6">
        <f>$B$27/2</f>
        <v>843</v>
      </c>
      <c r="G6" s="6">
        <f t="shared" si="2"/>
        <v>573.46938775510205</v>
      </c>
      <c r="H6" s="6">
        <f t="shared" si="3"/>
        <v>186.97739999999999</v>
      </c>
      <c r="I6" s="26" t="s">
        <v>9</v>
      </c>
      <c r="L6" t="s">
        <v>66</v>
      </c>
    </row>
    <row r="7" spans="1:13" x14ac:dyDescent="0.35">
      <c r="A7" s="1">
        <v>6</v>
      </c>
      <c r="B7" s="25">
        <v>37.049999999999997</v>
      </c>
      <c r="C7" s="27">
        <v>1</v>
      </c>
      <c r="D7" s="3">
        <f t="shared" si="0"/>
        <v>0.18803167400000001</v>
      </c>
      <c r="E7" s="5">
        <v>0.48699999999999999</v>
      </c>
      <c r="F7" s="6">
        <f>$B$27/2</f>
        <v>843</v>
      </c>
      <c r="G7" s="6">
        <f t="shared" si="2"/>
        <v>1731.006160164271</v>
      </c>
      <c r="H7" s="6">
        <f t="shared" si="3"/>
        <v>186.97739999999999</v>
      </c>
      <c r="I7" s="26" t="s">
        <v>9</v>
      </c>
      <c r="L7" t="s">
        <v>67</v>
      </c>
      <c r="M7" s="26"/>
    </row>
    <row r="8" spans="1:13" x14ac:dyDescent="0.35">
      <c r="A8" s="1">
        <v>7</v>
      </c>
      <c r="B8" s="25">
        <v>37.049999999999997</v>
      </c>
      <c r="C8" s="27">
        <v>2</v>
      </c>
      <c r="D8" s="3">
        <f t="shared" si="0"/>
        <v>0.327028394</v>
      </c>
      <c r="E8" s="5">
        <v>0.84699999999999998</v>
      </c>
      <c r="F8" s="6">
        <f>$B$28/2</f>
        <v>955</v>
      </c>
      <c r="G8" s="6">
        <f t="shared" si="2"/>
        <v>1127.5088547815822</v>
      </c>
      <c r="H8" s="6">
        <f t="shared" si="3"/>
        <v>211.81899999999999</v>
      </c>
      <c r="I8" s="26" t="s">
        <v>9</v>
      </c>
      <c r="L8" t="s">
        <v>68</v>
      </c>
      <c r="M8" s="26"/>
    </row>
    <row r="9" spans="1:13" x14ac:dyDescent="0.35">
      <c r="A9" s="1">
        <v>8</v>
      </c>
      <c r="B9" s="25">
        <v>37.049999999999997</v>
      </c>
      <c r="C9" s="27">
        <v>2</v>
      </c>
      <c r="D9" s="3">
        <f t="shared" si="0"/>
        <v>0.38069657200000001</v>
      </c>
      <c r="E9" s="5">
        <v>0.98599999999999999</v>
      </c>
      <c r="F9" s="6">
        <f>$B$28/2</f>
        <v>955</v>
      </c>
      <c r="G9" s="6">
        <f t="shared" si="2"/>
        <v>968.55983772819479</v>
      </c>
      <c r="H9" s="6">
        <f t="shared" si="3"/>
        <v>211.81899999999999</v>
      </c>
      <c r="I9" s="26" t="s">
        <v>9</v>
      </c>
      <c r="L9" t="s">
        <v>69</v>
      </c>
    </row>
    <row r="10" spans="1:13" x14ac:dyDescent="0.35">
      <c r="A10" s="1">
        <v>9</v>
      </c>
      <c r="B10" s="25">
        <v>37.04</v>
      </c>
      <c r="C10" s="27">
        <v>1</v>
      </c>
      <c r="D10" s="3">
        <f t="shared" si="0"/>
        <v>0.32316737400000001</v>
      </c>
      <c r="E10" s="5">
        <v>0.83699999999999997</v>
      </c>
      <c r="F10" s="6">
        <f>$B$26/2</f>
        <v>1065</v>
      </c>
      <c r="G10" s="6">
        <f t="shared" si="2"/>
        <v>1272.4014336917562</v>
      </c>
      <c r="H10" s="6">
        <f t="shared" si="3"/>
        <v>236.21699999999998</v>
      </c>
      <c r="I10" s="26" t="s">
        <v>8</v>
      </c>
      <c r="L10" t="s">
        <v>56</v>
      </c>
      <c r="M10" s="26"/>
    </row>
    <row r="11" spans="1:13" x14ac:dyDescent="0.35">
      <c r="A11" s="1">
        <v>10</v>
      </c>
      <c r="B11" s="25">
        <v>37.04</v>
      </c>
      <c r="C11" s="27">
        <v>1</v>
      </c>
      <c r="D11" s="3">
        <f t="shared" si="0"/>
        <v>0.32432568000000001</v>
      </c>
      <c r="E11" s="5">
        <v>0.84</v>
      </c>
      <c r="F11" s="6">
        <f>$B$26/2</f>
        <v>1065</v>
      </c>
      <c r="G11" s="6">
        <f t="shared" si="2"/>
        <v>1267.8571428571429</v>
      </c>
      <c r="H11" s="6">
        <f t="shared" si="3"/>
        <v>236.21699999999998</v>
      </c>
      <c r="I11" s="26" t="s">
        <v>8</v>
      </c>
      <c r="L11" t="s">
        <v>57</v>
      </c>
    </row>
    <row r="12" spans="1:13" x14ac:dyDescent="0.35">
      <c r="A12" s="1">
        <v>11</v>
      </c>
      <c r="B12" s="25">
        <v>37.06</v>
      </c>
      <c r="C12" s="2">
        <v>1</v>
      </c>
      <c r="D12" s="3">
        <f t="shared" si="0"/>
        <v>0.37837996000000002</v>
      </c>
      <c r="E12" s="28">
        <v>0.98</v>
      </c>
      <c r="F12" s="6">
        <f>ROUNDUP($B$29/2,0)</f>
        <v>578</v>
      </c>
      <c r="G12" s="6">
        <f t="shared" si="2"/>
        <v>589.79591836734699</v>
      </c>
      <c r="H12" s="6">
        <f t="shared" si="3"/>
        <v>128.2004</v>
      </c>
      <c r="I12" s="26" t="s">
        <v>71</v>
      </c>
      <c r="L12" t="s">
        <v>58</v>
      </c>
      <c r="M12" s="26"/>
    </row>
    <row r="13" spans="1:13" x14ac:dyDescent="0.35">
      <c r="A13" s="1">
        <v>12</v>
      </c>
      <c r="B13" s="25">
        <v>37.06</v>
      </c>
      <c r="C13" s="2">
        <v>1</v>
      </c>
      <c r="D13" s="3">
        <f t="shared" si="0"/>
        <v>0.16756826799999999</v>
      </c>
      <c r="E13" s="28">
        <v>0.434</v>
      </c>
      <c r="F13" s="6">
        <f>ROUNDUP($B$29/2,0)</f>
        <v>578</v>
      </c>
      <c r="G13" s="6">
        <f t="shared" si="2"/>
        <v>1331.7972350230416</v>
      </c>
      <c r="H13" s="6">
        <f t="shared" si="3"/>
        <v>128.2004</v>
      </c>
      <c r="I13" s="26" t="s">
        <v>71</v>
      </c>
      <c r="L13" t="s">
        <v>59</v>
      </c>
    </row>
    <row r="14" spans="1:13" x14ac:dyDescent="0.35">
      <c r="A14" s="1">
        <v>13</v>
      </c>
      <c r="B14" s="25">
        <v>37.06</v>
      </c>
      <c r="C14" s="27">
        <v>2</v>
      </c>
      <c r="D14" s="3">
        <f t="shared" si="0"/>
        <v>0.26332156400000001</v>
      </c>
      <c r="E14" s="28">
        <v>0.68200000000000005</v>
      </c>
      <c r="F14" s="6">
        <f>$B$30/2</f>
        <v>916</v>
      </c>
      <c r="G14" s="6">
        <f t="shared" si="2"/>
        <v>1343.1085043988269</v>
      </c>
      <c r="H14" s="6">
        <f t="shared" si="3"/>
        <v>203.1688</v>
      </c>
      <c r="I14" s="26" t="s">
        <v>72</v>
      </c>
      <c r="L14" t="s">
        <v>60</v>
      </c>
      <c r="M14" s="26"/>
    </row>
    <row r="15" spans="1:13" x14ac:dyDescent="0.35">
      <c r="A15" s="1">
        <v>14</v>
      </c>
      <c r="B15" s="25">
        <v>37.06</v>
      </c>
      <c r="C15" s="27">
        <v>2</v>
      </c>
      <c r="D15" s="3">
        <f t="shared" si="0"/>
        <v>0.25753003400000002</v>
      </c>
      <c r="E15" s="28">
        <v>0.66700000000000004</v>
      </c>
      <c r="F15" s="6">
        <f>$B$30/2</f>
        <v>916</v>
      </c>
      <c r="G15" s="6">
        <f t="shared" si="2"/>
        <v>1373.3133433283358</v>
      </c>
      <c r="H15" s="6">
        <f t="shared" si="3"/>
        <v>203.1688</v>
      </c>
      <c r="I15" s="26" t="s">
        <v>72</v>
      </c>
      <c r="L15" t="s">
        <v>61</v>
      </c>
    </row>
    <row r="16" spans="1:13" x14ac:dyDescent="0.35">
      <c r="A16" s="1"/>
      <c r="B16" s="2"/>
      <c r="C16" s="3"/>
      <c r="D16" s="3"/>
      <c r="E16" s="4"/>
      <c r="F16" s="3"/>
      <c r="G16" s="3"/>
      <c r="H16" s="3"/>
      <c r="I16" s="3"/>
    </row>
    <row r="17" spans="1:9" ht="15" customHeight="1" x14ac:dyDescent="0.35">
      <c r="A17" s="1" t="s">
        <v>11</v>
      </c>
      <c r="B17" s="2"/>
      <c r="C17" s="3"/>
      <c r="D17" s="3"/>
      <c r="E17" s="3">
        <f>AVERAGE(E2:E15)</f>
        <v>0.85842857142857143</v>
      </c>
      <c r="F17" s="3">
        <f>AVERAGE(F2:F15)</f>
        <v>863.71428571428567</v>
      </c>
      <c r="G17" s="3">
        <f>AVERAGE(G2:G15)</f>
        <v>1111.6205601025608</v>
      </c>
      <c r="H17" s="3">
        <f>AVERAGE(H2:H15)</f>
        <v>191.5718285714286</v>
      </c>
      <c r="I17" s="8" t="s">
        <v>13</v>
      </c>
    </row>
    <row r="18" spans="1:9" x14ac:dyDescent="0.35">
      <c r="A18" s="1" t="s">
        <v>12</v>
      </c>
      <c r="B18" s="2"/>
      <c r="C18" s="3"/>
      <c r="D18" s="3"/>
      <c r="E18" s="3">
        <f>SUM(E2:E15)</f>
        <v>12.018000000000001</v>
      </c>
      <c r="F18" s="3">
        <f>SUM(F2:F15)</f>
        <v>12092</v>
      </c>
      <c r="G18" s="3"/>
      <c r="H18" s="6">
        <f>SUM(H2:H15)</f>
        <v>2682.0056000000004</v>
      </c>
      <c r="I18" s="7"/>
    </row>
    <row r="19" spans="1:9" x14ac:dyDescent="0.35">
      <c r="A19" s="1" t="s">
        <v>5</v>
      </c>
      <c r="B19" s="2"/>
      <c r="C19" s="3"/>
      <c r="D19" s="3"/>
      <c r="E19" s="4"/>
      <c r="F19" s="3">
        <f>F18/E18</f>
        <v>1006.1574305208853</v>
      </c>
      <c r="G19" s="3"/>
      <c r="H19" s="3"/>
      <c r="I19" s="7"/>
    </row>
    <row r="20" spans="1:9" x14ac:dyDescent="0.35">
      <c r="A20" s="1" t="s">
        <v>14</v>
      </c>
      <c r="B20" s="2"/>
      <c r="C20" s="3"/>
      <c r="D20" s="3"/>
      <c r="E20" s="4"/>
      <c r="F20" s="3">
        <f>H18</f>
        <v>2682.0056000000004</v>
      </c>
      <c r="G20" s="3"/>
      <c r="H20" s="3">
        <f>SUM(F2:F5)</f>
        <v>3378</v>
      </c>
    </row>
    <row r="21" spans="1:9" x14ac:dyDescent="0.35">
      <c r="H21" s="41">
        <f>SUM(F10:F11)</f>
        <v>2130</v>
      </c>
    </row>
    <row r="22" spans="1:9" x14ac:dyDescent="0.35">
      <c r="H22" s="41">
        <f>SUM(F12:F15)</f>
        <v>2988</v>
      </c>
    </row>
    <row r="24" spans="1:9" x14ac:dyDescent="0.35">
      <c r="A24" t="s">
        <v>108</v>
      </c>
    </row>
    <row r="25" spans="1:9" x14ac:dyDescent="0.35">
      <c r="A25" t="s">
        <v>102</v>
      </c>
      <c r="B25">
        <v>3378</v>
      </c>
    </row>
    <row r="26" spans="1:9" x14ac:dyDescent="0.35">
      <c r="A26" t="s">
        <v>103</v>
      </c>
      <c r="B26">
        <v>2130</v>
      </c>
    </row>
    <row r="27" spans="1:9" x14ac:dyDescent="0.35">
      <c r="A27" t="s">
        <v>104</v>
      </c>
      <c r="B27">
        <v>1686</v>
      </c>
    </row>
    <row r="28" spans="1:9" x14ac:dyDescent="0.35">
      <c r="A28" t="s">
        <v>105</v>
      </c>
      <c r="B28">
        <v>1910</v>
      </c>
    </row>
    <row r="29" spans="1:9" x14ac:dyDescent="0.35">
      <c r="A29" t="s">
        <v>106</v>
      </c>
      <c r="B29">
        <v>1155</v>
      </c>
    </row>
    <row r="30" spans="1:9" x14ac:dyDescent="0.35">
      <c r="A30" t="s">
        <v>107</v>
      </c>
      <c r="B30">
        <v>1832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workbookViewId="0">
      <selection activeCell="E11" sqref="E11"/>
    </sheetView>
  </sheetViews>
  <sheetFormatPr defaultRowHeight="14.5" x14ac:dyDescent="0.35"/>
  <cols>
    <col min="4" max="7" width="9" bestFit="1" customWidth="1"/>
    <col min="8" max="8" width="9.08984375" bestFit="1" customWidth="1"/>
    <col min="9" max="13" width="9" bestFit="1" customWidth="1"/>
  </cols>
  <sheetData>
    <row r="1" spans="1:29" x14ac:dyDescent="0.35">
      <c r="A1" s="55" t="s">
        <v>15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29" x14ac:dyDescent="0.35">
      <c r="C2" s="17" t="s">
        <v>16</v>
      </c>
      <c r="D2" s="18">
        <v>1</v>
      </c>
      <c r="E2" s="30" t="s">
        <v>73</v>
      </c>
      <c r="F2" s="30" t="s">
        <v>74</v>
      </c>
      <c r="G2" s="18">
        <v>3</v>
      </c>
      <c r="H2" s="30" t="s">
        <v>78</v>
      </c>
      <c r="I2" s="30" t="s">
        <v>79</v>
      </c>
      <c r="J2" s="18">
        <v>8</v>
      </c>
      <c r="K2" s="19" t="s">
        <v>75</v>
      </c>
      <c r="L2" s="19" t="s">
        <v>76</v>
      </c>
      <c r="M2" s="18">
        <v>12</v>
      </c>
    </row>
    <row r="3" spans="1:29" x14ac:dyDescent="0.35">
      <c r="C3" s="13" t="s">
        <v>17</v>
      </c>
      <c r="D3" s="29">
        <v>30.681509999999999</v>
      </c>
      <c r="E3" s="29">
        <v>30.672630000000002</v>
      </c>
      <c r="F3" s="29">
        <v>30.66779</v>
      </c>
      <c r="G3" s="29">
        <v>30.667649999999998</v>
      </c>
      <c r="H3" s="29">
        <v>30.659030000000001</v>
      </c>
      <c r="I3" s="29">
        <v>30.65249</v>
      </c>
      <c r="J3" s="29">
        <v>30.646550000000001</v>
      </c>
      <c r="K3" s="12">
        <v>30.657769999999999</v>
      </c>
      <c r="L3" s="37">
        <v>30.655999999999999</v>
      </c>
      <c r="M3" s="12">
        <v>30.653559999999999</v>
      </c>
    </row>
    <row r="4" spans="1:29" ht="15" thickBot="1" x14ac:dyDescent="0.4">
      <c r="A4" s="17" t="s">
        <v>19</v>
      </c>
      <c r="B4" s="11" t="s">
        <v>20</v>
      </c>
      <c r="C4" s="11" t="s">
        <v>18</v>
      </c>
      <c r="D4" s="36">
        <v>-88.205979999999997</v>
      </c>
      <c r="E4" s="36">
        <v>-88.202269999999999</v>
      </c>
      <c r="F4" s="36">
        <v>-88.204849999999993</v>
      </c>
      <c r="G4" s="36">
        <v>-88.195830000000001</v>
      </c>
      <c r="H4" s="36">
        <v>-88.202960000000004</v>
      </c>
      <c r="I4" s="36">
        <v>-88.202550000000002</v>
      </c>
      <c r="J4" s="36">
        <v>-88.20326</v>
      </c>
      <c r="K4" s="36">
        <v>-88.185879999999997</v>
      </c>
      <c r="L4" s="36">
        <v>-88.186909999999997</v>
      </c>
      <c r="M4" s="36">
        <v>-88.188800000000001</v>
      </c>
    </row>
    <row r="5" spans="1:29" x14ac:dyDescent="0.35">
      <c r="A5" s="17">
        <v>1</v>
      </c>
      <c r="B5" s="14">
        <f>'Geographic locations'!B3</f>
        <v>30.678159999999998</v>
      </c>
      <c r="C5" s="38" t="str">
        <f>'Geographic locations'!C3</f>
        <v>-88.19916</v>
      </c>
      <c r="D5" s="15">
        <f t="shared" ref="D5:M14" si="0">ACOS(COS(RADIANS(90-D$3))*COS(RADIANS(90-$B5))+SIN(RADIANS(90-D$3))*SIN(RADIANS(90-$B5))*COS(RADIANS(D$4-$C5)))*6371</f>
        <v>0.75108549863756657</v>
      </c>
      <c r="E5" s="10">
        <f t="shared" si="0"/>
        <v>0.68306251054565448</v>
      </c>
      <c r="F5" s="10">
        <f t="shared" si="0"/>
        <v>1.27504969096106</v>
      </c>
      <c r="G5" s="10">
        <f t="shared" si="0"/>
        <v>1.211275871010485</v>
      </c>
      <c r="H5" s="10">
        <f t="shared" ref="H5:I18" si="1">ACOS(COS(RADIANS(90-H$3))*COS(RADIANS(90-$B5))+SIN(RADIANS(90-H$3))*SIN(RADIANS(90-$B5))*COS(RADIANS(H$4-$C5)))*6371</f>
        <v>2.1579838763252228</v>
      </c>
      <c r="I5" s="10">
        <f t="shared" si="1"/>
        <v>2.8727304338546826</v>
      </c>
      <c r="J5" s="10">
        <f t="shared" si="0"/>
        <v>3.5366808042479057</v>
      </c>
      <c r="K5" s="10">
        <f t="shared" si="0"/>
        <v>2.5987957889538187</v>
      </c>
      <c r="L5" s="10">
        <f t="shared" si="0"/>
        <v>2.7284465673139731</v>
      </c>
      <c r="M5" s="10">
        <f t="shared" si="0"/>
        <v>2.9093357985071249</v>
      </c>
      <c r="O5" t="s">
        <v>87</v>
      </c>
      <c r="P5" t="s">
        <v>87</v>
      </c>
      <c r="Q5" t="s">
        <v>88</v>
      </c>
      <c r="R5" t="s">
        <v>89</v>
      </c>
      <c r="S5" t="s">
        <v>90</v>
      </c>
      <c r="T5" t="s">
        <v>91</v>
      </c>
      <c r="U5" t="s">
        <v>92</v>
      </c>
      <c r="V5" t="s">
        <v>93</v>
      </c>
      <c r="W5" t="s">
        <v>94</v>
      </c>
      <c r="X5" t="s">
        <v>95</v>
      </c>
      <c r="Y5" t="s">
        <v>96</v>
      </c>
      <c r="Z5" t="s">
        <v>97</v>
      </c>
      <c r="AA5" t="s">
        <v>98</v>
      </c>
      <c r="AB5" t="s">
        <v>99</v>
      </c>
      <c r="AC5" t="s">
        <v>100</v>
      </c>
    </row>
    <row r="6" spans="1:29" x14ac:dyDescent="0.35">
      <c r="A6" s="17">
        <v>2</v>
      </c>
      <c r="B6" s="14">
        <f>'Geographic locations'!B4</f>
        <v>30.667290000000001</v>
      </c>
      <c r="C6" s="38" t="str">
        <f>'Geographic locations'!C4</f>
        <v>-88.20382</v>
      </c>
      <c r="D6" s="16">
        <f t="shared" si="0"/>
        <v>1.5946287721154844</v>
      </c>
      <c r="E6" s="9">
        <f t="shared" si="0"/>
        <v>0.61200644198924259</v>
      </c>
      <c r="F6" s="9">
        <f t="shared" si="0"/>
        <v>0.11311858460819724</v>
      </c>
      <c r="G6" s="9">
        <f t="shared" si="0"/>
        <v>0.76523869998412408</v>
      </c>
      <c r="H6" s="9">
        <f t="shared" si="1"/>
        <v>0.92214615841486514</v>
      </c>
      <c r="I6" s="9">
        <f t="shared" si="1"/>
        <v>1.6501622406845842</v>
      </c>
      <c r="J6" s="9">
        <f t="shared" si="0"/>
        <v>2.3068047911055576</v>
      </c>
      <c r="K6" s="9">
        <f t="shared" si="0"/>
        <v>2.0161847529770842</v>
      </c>
      <c r="L6" s="9">
        <f t="shared" si="0"/>
        <v>2.0474566274763184</v>
      </c>
      <c r="M6" s="9">
        <f t="shared" si="0"/>
        <v>2.0963897627546704</v>
      </c>
      <c r="O6" t="s">
        <v>88</v>
      </c>
    </row>
    <row r="7" spans="1:29" x14ac:dyDescent="0.35">
      <c r="A7" s="17">
        <v>3</v>
      </c>
      <c r="B7" s="14">
        <f>'Geographic locations'!B5</f>
        <v>30.67099</v>
      </c>
      <c r="C7" s="38" t="str">
        <f>'Geographic locations'!C5</f>
        <v>-88.19483</v>
      </c>
      <c r="D7" s="16">
        <f t="shared" si="0"/>
        <v>1.5828509686828771</v>
      </c>
      <c r="E7" s="9">
        <f t="shared" si="0"/>
        <v>0.73455138865258007</v>
      </c>
      <c r="F7" s="9">
        <f t="shared" si="0"/>
        <v>1.0222540102608666</v>
      </c>
      <c r="G7" s="9">
        <f t="shared" si="0"/>
        <v>0.38350831264448959</v>
      </c>
      <c r="H7" s="9">
        <f t="shared" si="1"/>
        <v>1.5405434144047856</v>
      </c>
      <c r="I7" s="9">
        <f t="shared" si="1"/>
        <v>2.1856203969354451</v>
      </c>
      <c r="J7" s="9">
        <f t="shared" si="0"/>
        <v>2.8347074756980746</v>
      </c>
      <c r="K7" s="9">
        <f t="shared" si="0"/>
        <v>1.7010845564263322</v>
      </c>
      <c r="L7" s="9">
        <f t="shared" si="0"/>
        <v>1.830876666117736</v>
      </c>
      <c r="M7" s="9">
        <f t="shared" si="0"/>
        <v>2.0221255099460045</v>
      </c>
      <c r="O7" t="s">
        <v>89</v>
      </c>
    </row>
    <row r="8" spans="1:29" x14ac:dyDescent="0.35">
      <c r="A8" s="17">
        <v>4</v>
      </c>
      <c r="B8" s="14">
        <f>'Geographic locations'!B6</f>
        <v>30.663640000000001</v>
      </c>
      <c r="C8" s="38" t="str">
        <f>'Geographic locations'!C6</f>
        <v>-88.19536</v>
      </c>
      <c r="D8" s="16">
        <f t="shared" si="0"/>
        <v>2.2315881880257393</v>
      </c>
      <c r="E8" s="9">
        <f t="shared" si="0"/>
        <v>1.1983582614990875</v>
      </c>
      <c r="F8" s="9">
        <f t="shared" si="0"/>
        <v>1.0182405937963166</v>
      </c>
      <c r="G8" s="9">
        <f t="shared" si="0"/>
        <v>0.44815194615687215</v>
      </c>
      <c r="H8" s="9">
        <f t="shared" si="1"/>
        <v>0.88949638520355867</v>
      </c>
      <c r="I8" s="9">
        <f t="shared" si="1"/>
        <v>1.4177985722737663</v>
      </c>
      <c r="J8" s="9">
        <f t="shared" si="0"/>
        <v>2.045060637282254</v>
      </c>
      <c r="K8" s="9">
        <f t="shared" si="0"/>
        <v>1.117253455891132</v>
      </c>
      <c r="L8" s="9">
        <f t="shared" si="0"/>
        <v>1.1725909316010101</v>
      </c>
      <c r="M8" s="9">
        <f t="shared" si="0"/>
        <v>1.2845319891092566</v>
      </c>
      <c r="O8" t="s">
        <v>90</v>
      </c>
    </row>
    <row r="9" spans="1:29" x14ac:dyDescent="0.35">
      <c r="A9" s="17">
        <v>5</v>
      </c>
      <c r="B9" s="14">
        <f>'Geographic locations'!B7</f>
        <v>30.654949999999999</v>
      </c>
      <c r="C9" s="38" t="str">
        <f>'Geographic locations'!C7</f>
        <v>-88.20249</v>
      </c>
      <c r="D9" s="16">
        <f t="shared" si="0"/>
        <v>2.9721404131936833</v>
      </c>
      <c r="E9" s="9">
        <f t="shared" si="0"/>
        <v>1.9660389153055646</v>
      </c>
      <c r="F9" s="9">
        <f t="shared" si="0"/>
        <v>1.4454774052284427</v>
      </c>
      <c r="G9" s="9">
        <f t="shared" si="0"/>
        <v>1.5492068377376795</v>
      </c>
      <c r="H9" s="9">
        <f t="shared" si="1"/>
        <v>0.45589739995882872</v>
      </c>
      <c r="I9" s="9">
        <f t="shared" si="1"/>
        <v>0.27359972407400446</v>
      </c>
      <c r="J9" s="9">
        <f t="shared" si="0"/>
        <v>0.93693722002943147</v>
      </c>
      <c r="K9" s="9">
        <f t="shared" si="0"/>
        <v>1.6194674383700607</v>
      </c>
      <c r="L9" s="9">
        <f t="shared" si="0"/>
        <v>1.4948759698082212</v>
      </c>
      <c r="M9" s="9">
        <f t="shared" si="0"/>
        <v>1.3186271982301647</v>
      </c>
      <c r="O9" t="s">
        <v>91</v>
      </c>
    </row>
    <row r="10" spans="1:29" x14ac:dyDescent="0.35">
      <c r="A10" s="17">
        <v>6</v>
      </c>
      <c r="B10" s="14">
        <f>'Geographic locations'!B8</f>
        <v>30.65746</v>
      </c>
      <c r="C10" s="38" t="str">
        <f>'Geographic locations'!C8</f>
        <v>-88.19354</v>
      </c>
      <c r="D10" s="16">
        <f t="shared" si="0"/>
        <v>2.9269649467359535</v>
      </c>
      <c r="E10" s="9">
        <f>ACOS(COS(RADIANS(90-E$3))*COS(RADIANS(90-$B10))+SIN(RADIANS(90-E$3))*SIN(RADIANS(90-$B10))*COS(RADIANS(E$4-$C10)))*6371</f>
        <v>1.882177068042638</v>
      </c>
      <c r="F10" s="9">
        <f t="shared" si="0"/>
        <v>1.57785711211305</v>
      </c>
      <c r="G10" s="9">
        <f t="shared" si="0"/>
        <v>1.1540528829030596</v>
      </c>
      <c r="H10" s="9">
        <f t="shared" si="1"/>
        <v>0.91780316612637836</v>
      </c>
      <c r="I10" s="9">
        <f t="shared" si="1"/>
        <v>1.0238212876652728</v>
      </c>
      <c r="J10" s="9">
        <f t="shared" si="0"/>
        <v>1.5284743690747613</v>
      </c>
      <c r="K10" s="9">
        <f t="shared" si="0"/>
        <v>0.73351375734479141</v>
      </c>
      <c r="L10" s="9">
        <f t="shared" si="0"/>
        <v>0.65463588664961314</v>
      </c>
      <c r="M10" s="9">
        <f t="shared" si="0"/>
        <v>0.62740588041315704</v>
      </c>
      <c r="O10" t="s">
        <v>92</v>
      </c>
    </row>
    <row r="11" spans="1:29" x14ac:dyDescent="0.35">
      <c r="A11" s="17">
        <v>7</v>
      </c>
      <c r="B11" s="14">
        <f>'Geographic locations'!B9</f>
        <v>30.64819</v>
      </c>
      <c r="C11" s="38" t="str">
        <f>'Geographic locations'!C9</f>
        <v>-88.19513</v>
      </c>
      <c r="D11" s="16">
        <f t="shared" si="0"/>
        <v>3.847607068701695</v>
      </c>
      <c r="E11" s="9">
        <f t="shared" si="0"/>
        <v>2.8021034907342965</v>
      </c>
      <c r="F11" s="9">
        <f t="shared" si="0"/>
        <v>2.3694514758966703</v>
      </c>
      <c r="G11" s="9">
        <f t="shared" si="0"/>
        <v>2.1648889668618967</v>
      </c>
      <c r="H11" s="9">
        <f t="shared" si="1"/>
        <v>1.4191088859081951</v>
      </c>
      <c r="I11" s="9">
        <f t="shared" si="1"/>
        <v>0.85582251918082863</v>
      </c>
      <c r="J11" s="9">
        <f t="shared" si="0"/>
        <v>0.79883595212256631</v>
      </c>
      <c r="K11" s="9">
        <f t="shared" si="0"/>
        <v>1.3848046176391797</v>
      </c>
      <c r="L11" s="9">
        <f t="shared" si="0"/>
        <v>1.1715223271923303</v>
      </c>
      <c r="M11" s="9">
        <f t="shared" si="0"/>
        <v>0.85041824402032229</v>
      </c>
      <c r="O11" t="s">
        <v>93</v>
      </c>
    </row>
    <row r="12" spans="1:29" x14ac:dyDescent="0.35">
      <c r="A12" s="17">
        <v>8</v>
      </c>
      <c r="B12" s="14">
        <f>'Geographic locations'!B10</f>
        <v>30.64237</v>
      </c>
      <c r="C12" s="38" t="str">
        <f>'Geographic locations'!C10</f>
        <v>-88.19952</v>
      </c>
      <c r="D12" s="16">
        <f t="shared" si="0"/>
        <v>4.3958126761264555</v>
      </c>
      <c r="E12" s="9">
        <f t="shared" si="0"/>
        <v>3.37502490557603</v>
      </c>
      <c r="F12" s="9">
        <f t="shared" si="0"/>
        <v>2.8721887395490091</v>
      </c>
      <c r="G12" s="9">
        <f t="shared" si="0"/>
        <v>2.8330817466824367</v>
      </c>
      <c r="H12" s="9">
        <f t="shared" si="1"/>
        <v>1.8815077296111009</v>
      </c>
      <c r="I12" s="9">
        <f t="shared" si="1"/>
        <v>1.1620250345628</v>
      </c>
      <c r="J12" s="9">
        <f t="shared" si="0"/>
        <v>0.58655689935303479</v>
      </c>
      <c r="K12" s="9">
        <f t="shared" si="0"/>
        <v>2.1528707413179511</v>
      </c>
      <c r="L12" s="9">
        <f t="shared" si="0"/>
        <v>1.9370450033492468</v>
      </c>
      <c r="M12" s="9">
        <f t="shared" si="0"/>
        <v>1.6124113169494956</v>
      </c>
      <c r="O12" t="s">
        <v>94</v>
      </c>
    </row>
    <row r="13" spans="1:29" x14ac:dyDescent="0.35">
      <c r="A13" s="17">
        <v>9</v>
      </c>
      <c r="B13" s="14">
        <f>'Geographic locations'!B11</f>
        <v>30.672781000000001</v>
      </c>
      <c r="C13" s="38" t="str">
        <f>'Geographic locations'!C11</f>
        <v>-88.18536</v>
      </c>
      <c r="D13" s="16">
        <f t="shared" si="0"/>
        <v>2.1979011714210168</v>
      </c>
      <c r="E13" s="9">
        <f t="shared" si="0"/>
        <v>1.6173298525537385</v>
      </c>
      <c r="F13" s="9">
        <f t="shared" si="0"/>
        <v>1.9448975310583601</v>
      </c>
      <c r="G13" s="9">
        <f t="shared" si="0"/>
        <v>1.1524910037757368</v>
      </c>
      <c r="H13" s="9">
        <f t="shared" si="1"/>
        <v>2.2741240398647324</v>
      </c>
      <c r="I13" s="9">
        <f t="shared" si="1"/>
        <v>2.7917847421656576</v>
      </c>
      <c r="J13" s="9">
        <f t="shared" si="0"/>
        <v>3.3821489150688162</v>
      </c>
      <c r="K13" s="9">
        <f t="shared" si="0"/>
        <v>1.6698878678618754</v>
      </c>
      <c r="L13" s="9">
        <f t="shared" si="0"/>
        <v>1.8718421608477884</v>
      </c>
      <c r="M13" s="9">
        <f t="shared" si="0"/>
        <v>2.1624558600202999</v>
      </c>
      <c r="O13" t="s">
        <v>95</v>
      </c>
    </row>
    <row r="14" spans="1:29" x14ac:dyDescent="0.35">
      <c r="A14" s="17">
        <v>10</v>
      </c>
      <c r="B14" s="14">
        <f>'Geographic locations'!B12</f>
        <v>30.6659337</v>
      </c>
      <c r="C14" s="38" t="str">
        <f>'Geographic locations'!C12</f>
        <v>-88.18461</v>
      </c>
      <c r="D14" s="16">
        <f t="shared" si="0"/>
        <v>2.6789605719432252</v>
      </c>
      <c r="E14" s="9">
        <f t="shared" si="0"/>
        <v>1.8458731242426245</v>
      </c>
      <c r="F14" s="9">
        <f t="shared" si="0"/>
        <v>1.9468084627605875</v>
      </c>
      <c r="G14" s="9">
        <f t="shared" si="0"/>
        <v>1.0899644241285633</v>
      </c>
      <c r="H14" s="9">
        <f t="shared" si="1"/>
        <v>1.9156823845144311</v>
      </c>
      <c r="I14" s="9">
        <f t="shared" si="1"/>
        <v>2.2757988973437713</v>
      </c>
      <c r="J14" s="9">
        <f t="shared" si="0"/>
        <v>2.7978775868228229</v>
      </c>
      <c r="K14" s="9">
        <f t="shared" si="0"/>
        <v>0.91585363304603939</v>
      </c>
      <c r="L14" s="9">
        <f t="shared" si="0"/>
        <v>1.1262717698371687</v>
      </c>
      <c r="M14" s="9">
        <f t="shared" si="0"/>
        <v>1.4330748816697305</v>
      </c>
      <c r="O14" t="s">
        <v>96</v>
      </c>
    </row>
    <row r="15" spans="1:29" x14ac:dyDescent="0.35">
      <c r="A15" s="17">
        <v>11</v>
      </c>
      <c r="B15" s="14">
        <f>'Geographic locations'!B13</f>
        <v>30.653936000000002</v>
      </c>
      <c r="C15" s="38" t="str">
        <f>'Geographic locations'!C13</f>
        <v>-88.18485</v>
      </c>
      <c r="D15" s="16">
        <f t="shared" ref="D15:M18" si="2">ACOS(COS(RADIANS(90-D$3))*COS(RADIANS(90-$B15))+SIN(RADIANS(90-D$3))*SIN(RADIANS(90-$B15))*COS(RADIANS(D$4-$C15)))*6371</f>
        <v>3.6722065206766024</v>
      </c>
      <c r="E15" s="9">
        <f t="shared" si="2"/>
        <v>2.6640307903536193</v>
      </c>
      <c r="F15" s="9">
        <f t="shared" si="2"/>
        <v>2.4561534305138752</v>
      </c>
      <c r="G15" s="9">
        <f t="shared" si="2"/>
        <v>1.8515943362377187</v>
      </c>
      <c r="H15" s="9">
        <f t="shared" si="1"/>
        <v>1.8225533254434083</v>
      </c>
      <c r="I15" s="9">
        <f t="shared" si="1"/>
        <v>1.7007558075352334</v>
      </c>
      <c r="J15" s="9">
        <f t="shared" si="2"/>
        <v>1.9431974479934595</v>
      </c>
      <c r="K15" s="9">
        <f t="shared" si="2"/>
        <v>0.43755798308171512</v>
      </c>
      <c r="L15" s="9">
        <f t="shared" si="2"/>
        <v>0.30249335757837592</v>
      </c>
      <c r="M15" s="9">
        <f t="shared" si="2"/>
        <v>0.38015128084637739</v>
      </c>
      <c r="O15" t="s">
        <v>97</v>
      </c>
    </row>
    <row r="16" spans="1:29" x14ac:dyDescent="0.35">
      <c r="A16" s="17">
        <v>12</v>
      </c>
      <c r="B16" s="14">
        <f>'Geographic locations'!B14</f>
        <v>30.649967199999999</v>
      </c>
      <c r="C16" s="38" t="str">
        <f>'Geographic locations'!C14</f>
        <v>-88.18725</v>
      </c>
      <c r="D16" s="16">
        <f t="shared" si="2"/>
        <v>3.9384113275439812</v>
      </c>
      <c r="E16" s="9">
        <f t="shared" si="2"/>
        <v>2.9007450576747407</v>
      </c>
      <c r="F16" s="9">
        <f t="shared" si="2"/>
        <v>2.6003144687662658</v>
      </c>
      <c r="G16" s="9">
        <f t="shared" si="2"/>
        <v>2.130640602995034</v>
      </c>
      <c r="H16" s="9">
        <f t="shared" si="1"/>
        <v>1.809370597260139</v>
      </c>
      <c r="I16" s="9">
        <f t="shared" si="1"/>
        <v>1.4902313872365478</v>
      </c>
      <c r="J16" s="9">
        <f t="shared" si="2"/>
        <v>1.5779872830940631</v>
      </c>
      <c r="K16" s="9">
        <f t="shared" si="2"/>
        <v>0.8774730680905527</v>
      </c>
      <c r="L16" s="9">
        <f t="shared" si="2"/>
        <v>0.67160472081721867</v>
      </c>
      <c r="M16" s="9">
        <f t="shared" si="2"/>
        <v>0.42612858822755961</v>
      </c>
      <c r="O16" t="s">
        <v>98</v>
      </c>
    </row>
    <row r="17" spans="1:15" x14ac:dyDescent="0.35">
      <c r="A17" s="17">
        <v>13</v>
      </c>
      <c r="B17" s="14">
        <f>'Geographic locations'!B15</f>
        <v>30.6451305</v>
      </c>
      <c r="C17" s="38" t="str">
        <f>'Geographic locations'!C15</f>
        <v>-88.18648</v>
      </c>
      <c r="D17" s="16">
        <f t="shared" si="2"/>
        <v>4.4544886657589498</v>
      </c>
      <c r="E17" s="9">
        <f t="shared" si="2"/>
        <v>3.4104705604118144</v>
      </c>
      <c r="F17" s="9">
        <f t="shared" si="2"/>
        <v>3.0718297795069809</v>
      </c>
      <c r="G17" s="9">
        <f t="shared" si="2"/>
        <v>2.6589814420141247</v>
      </c>
      <c r="H17" s="9">
        <f t="shared" si="1"/>
        <v>2.2077015393585588</v>
      </c>
      <c r="I17" s="9">
        <f t="shared" si="1"/>
        <v>1.7415306239078008</v>
      </c>
      <c r="J17" s="9">
        <f t="shared" si="2"/>
        <v>1.6129972645479358</v>
      </c>
      <c r="K17" s="9">
        <f t="shared" si="2"/>
        <v>1.4066197465248598</v>
      </c>
      <c r="L17" s="9">
        <f t="shared" si="2"/>
        <v>1.2093330182755968</v>
      </c>
      <c r="M17" s="9">
        <f t="shared" si="2"/>
        <v>0.96323372609988578</v>
      </c>
      <c r="O17" t="s">
        <v>99</v>
      </c>
    </row>
    <row r="18" spans="1:15" x14ac:dyDescent="0.35">
      <c r="A18" s="17">
        <v>14</v>
      </c>
      <c r="B18" s="14">
        <f>'Geographic locations'!B16</f>
        <v>30.647918099999998</v>
      </c>
      <c r="C18" s="38" t="str">
        <f>'Geographic locations'!C16</f>
        <v>-88.17757</v>
      </c>
      <c r="D18" s="16">
        <f t="shared" si="2"/>
        <v>4.619073735940697</v>
      </c>
      <c r="E18" s="9">
        <f t="shared" si="2"/>
        <v>3.6238574904893608</v>
      </c>
      <c r="F18" s="9">
        <f t="shared" si="2"/>
        <v>3.419298934370695</v>
      </c>
      <c r="G18" s="9">
        <f t="shared" si="2"/>
        <v>2.8044097233683831</v>
      </c>
      <c r="H18" s="9">
        <f t="shared" si="1"/>
        <v>2.7249668916775982</v>
      </c>
      <c r="I18" s="9">
        <f t="shared" si="1"/>
        <v>2.4430776614519569</v>
      </c>
      <c r="J18" s="9">
        <f t="shared" si="2"/>
        <v>2.4622978697574163</v>
      </c>
      <c r="K18" s="9">
        <f t="shared" si="2"/>
        <v>1.3535038090534697</v>
      </c>
      <c r="L18" s="9">
        <f t="shared" si="2"/>
        <v>1.2672250359039319</v>
      </c>
      <c r="M18" s="9">
        <f t="shared" si="2"/>
        <v>1.2440284806694937</v>
      </c>
      <c r="O18" t="s">
        <v>100</v>
      </c>
    </row>
  </sheetData>
  <mergeCells count="1">
    <mergeCell ref="A1:O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12" sqref="C12"/>
    </sheetView>
  </sheetViews>
  <sheetFormatPr defaultRowHeight="14.5" x14ac:dyDescent="0.35"/>
  <cols>
    <col min="2" max="2" width="10.36328125" bestFit="1" customWidth="1"/>
    <col min="3" max="4" width="18.6328125" customWidth="1"/>
    <col min="5" max="5" width="22" bestFit="1" customWidth="1"/>
  </cols>
  <sheetData>
    <row r="1" spans="1:5" x14ac:dyDescent="0.35">
      <c r="A1" s="57" t="s">
        <v>43</v>
      </c>
      <c r="B1" s="57"/>
      <c r="C1" s="56" t="s">
        <v>36</v>
      </c>
      <c r="D1" s="56"/>
      <c r="E1" s="57" t="s">
        <v>35</v>
      </c>
    </row>
    <row r="2" spans="1:5" ht="15" thickBot="1" x14ac:dyDescent="0.4">
      <c r="A2" s="57"/>
      <c r="B2" s="57"/>
      <c r="C2" s="24" t="s">
        <v>37</v>
      </c>
      <c r="D2" s="24" t="s">
        <v>38</v>
      </c>
      <c r="E2" s="58"/>
    </row>
    <row r="3" spans="1:5" x14ac:dyDescent="0.35">
      <c r="A3" s="22">
        <v>1</v>
      </c>
      <c r="B3" s="21" t="s">
        <v>40</v>
      </c>
      <c r="C3" s="21">
        <v>155</v>
      </c>
      <c r="D3" s="21">
        <v>330</v>
      </c>
      <c r="E3" s="21">
        <v>30</v>
      </c>
    </row>
    <row r="4" spans="1:5" x14ac:dyDescent="0.35">
      <c r="A4" s="22">
        <v>2</v>
      </c>
      <c r="B4" s="21" t="s">
        <v>39</v>
      </c>
      <c r="C4" s="23">
        <v>26</v>
      </c>
      <c r="D4" s="23">
        <v>75</v>
      </c>
      <c r="E4" s="23">
        <v>10</v>
      </c>
    </row>
    <row r="5" spans="1:5" x14ac:dyDescent="0.35">
      <c r="A5" s="22">
        <v>3</v>
      </c>
      <c r="B5" s="21" t="s">
        <v>41</v>
      </c>
      <c r="C5" s="21">
        <v>155</v>
      </c>
      <c r="D5" s="21">
        <v>286</v>
      </c>
      <c r="E5" s="21">
        <v>30</v>
      </c>
    </row>
    <row r="6" spans="1:5" x14ac:dyDescent="0.35">
      <c r="A6" s="22"/>
      <c r="B6" s="22" t="s">
        <v>42</v>
      </c>
      <c r="C6" s="22">
        <v>6</v>
      </c>
      <c r="D6" s="22">
        <v>12</v>
      </c>
      <c r="E6" s="22">
        <v>0.05</v>
      </c>
    </row>
  </sheetData>
  <mergeCells count="3">
    <mergeCell ref="C1:D1"/>
    <mergeCell ref="E1:E2"/>
    <mergeCell ref="A1:B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workbookViewId="0">
      <selection activeCell="J14" sqref="J14"/>
    </sheetView>
  </sheetViews>
  <sheetFormatPr defaultRowHeight="14.5" x14ac:dyDescent="0.35"/>
  <cols>
    <col min="1" max="1" width="9.6328125" bestFit="1" customWidth="1"/>
    <col min="2" max="2" width="10.54296875" bestFit="1" customWidth="1"/>
    <col min="3" max="3" width="19.54296875" bestFit="1" customWidth="1"/>
    <col min="4" max="4" width="9.7265625" style="20" customWidth="1"/>
    <col min="6" max="6" width="8.54296875" customWidth="1"/>
    <col min="9" max="9" width="15.1796875" bestFit="1" customWidth="1"/>
    <col min="10" max="10" width="13.1796875" bestFit="1" customWidth="1"/>
    <col min="11" max="11" width="48.81640625" customWidth="1"/>
  </cols>
  <sheetData>
    <row r="1" spans="1:11" x14ac:dyDescent="0.35">
      <c r="A1" s="39" t="s">
        <v>21</v>
      </c>
      <c r="B1" s="39" t="s">
        <v>22</v>
      </c>
      <c r="C1" s="39" t="s">
        <v>23</v>
      </c>
      <c r="D1" s="39" t="s">
        <v>24</v>
      </c>
      <c r="E1" s="39" t="s">
        <v>25</v>
      </c>
      <c r="F1" s="39" t="s">
        <v>26</v>
      </c>
      <c r="G1" s="39" t="s">
        <v>27</v>
      </c>
      <c r="H1" s="39" t="s">
        <v>28</v>
      </c>
      <c r="I1" s="39" t="s">
        <v>29</v>
      </c>
      <c r="J1" s="39" t="s">
        <v>30</v>
      </c>
      <c r="K1" s="39" t="s">
        <v>54</v>
      </c>
    </row>
    <row r="2" spans="1:11" x14ac:dyDescent="0.35">
      <c r="A2" s="20">
        <v>1</v>
      </c>
      <c r="B2" s="20">
        <v>0.14000000000000001</v>
      </c>
      <c r="C2" s="20">
        <v>450</v>
      </c>
      <c r="D2" s="20">
        <v>7000</v>
      </c>
      <c r="E2" s="20">
        <v>3</v>
      </c>
      <c r="F2" s="20">
        <f>ROUND(EXP(-B2*D2/C2),3)</f>
        <v>0.113</v>
      </c>
      <c r="G2" s="20">
        <f>ROUND((1-F2)*E2,3)</f>
        <v>2.661</v>
      </c>
      <c r="H2" s="20">
        <f>$D$14</f>
        <v>235</v>
      </c>
      <c r="I2" s="20">
        <f>F2*H2+G2</f>
        <v>29.216000000000001</v>
      </c>
      <c r="J2" s="20">
        <f>'Pollutants τmj, εmi'!$E$3</f>
        <v>30</v>
      </c>
      <c r="K2" s="20">
        <f>ROUND((625*(D2/10000)^0.704)*($G$15/$G$14),0)</f>
        <v>606</v>
      </c>
    </row>
    <row r="3" spans="1:11" x14ac:dyDescent="0.35">
      <c r="A3" s="20">
        <v>2</v>
      </c>
      <c r="B3" s="20">
        <v>0.14000000000000001</v>
      </c>
      <c r="C3" s="20">
        <v>650</v>
      </c>
      <c r="D3" s="20">
        <v>10000</v>
      </c>
      <c r="E3" s="20">
        <v>3</v>
      </c>
      <c r="F3" s="20">
        <f>ROUND(EXP(-B3*D3/C3),3)</f>
        <v>0.11600000000000001</v>
      </c>
      <c r="G3" s="20">
        <f>ROUND((1-F3)*E3,3)</f>
        <v>2.6520000000000001</v>
      </c>
      <c r="H3" s="20">
        <f t="shared" ref="H3:H5" si="0">$D$14</f>
        <v>235</v>
      </c>
      <c r="I3" s="20">
        <f>F3*H3+G3</f>
        <v>29.912000000000003</v>
      </c>
      <c r="J3" s="20">
        <f>'Pollutants τmj, εmi'!$E$3</f>
        <v>30</v>
      </c>
      <c r="K3" s="20">
        <f>ROUND((625*(D3/10000)^0.704)*($G$15/$G$14),0)</f>
        <v>780</v>
      </c>
    </row>
    <row r="4" spans="1:11" x14ac:dyDescent="0.35">
      <c r="A4" s="20">
        <v>3</v>
      </c>
      <c r="B4" s="20">
        <v>0.14000000000000001</v>
      </c>
      <c r="C4" s="20">
        <v>800</v>
      </c>
      <c r="D4" s="20">
        <v>12500</v>
      </c>
      <c r="E4" s="20">
        <v>3</v>
      </c>
      <c r="F4" s="20">
        <f>ROUND(EXP(-B4*D4/C4),3)</f>
        <v>0.112</v>
      </c>
      <c r="G4" s="20">
        <f>ROUND((1-F4)*E4,3)</f>
        <v>2.6640000000000001</v>
      </c>
      <c r="H4" s="20">
        <f t="shared" si="0"/>
        <v>235</v>
      </c>
      <c r="I4" s="20">
        <f>F4*H4+G4</f>
        <v>28.984000000000002</v>
      </c>
      <c r="J4" s="20">
        <f>'Pollutants τmj, εmi'!$E$3</f>
        <v>30</v>
      </c>
      <c r="K4" s="20">
        <f>ROUND((625*(D4/10000)^0.704)*($G$15/$G$14),0)</f>
        <v>912</v>
      </c>
    </row>
    <row r="5" spans="1:11" x14ac:dyDescent="0.35">
      <c r="A5" s="20">
        <v>4</v>
      </c>
      <c r="B5" s="20">
        <v>0.14000000000000001</v>
      </c>
      <c r="C5" s="20">
        <v>950</v>
      </c>
      <c r="D5" s="20">
        <v>15000</v>
      </c>
      <c r="E5" s="20">
        <v>3</v>
      </c>
      <c r="F5" s="20">
        <f>ROUND(EXP(-B5*D5/C5),3)</f>
        <v>0.11</v>
      </c>
      <c r="G5" s="20">
        <f>ROUND((1-F5)*E5,3)</f>
        <v>2.67</v>
      </c>
      <c r="H5" s="20">
        <f t="shared" si="0"/>
        <v>235</v>
      </c>
      <c r="I5" s="20">
        <f>F5*H5+G5</f>
        <v>28.520000000000003</v>
      </c>
      <c r="J5" s="20">
        <f>'Pollutants τmj, εmi'!$E$3</f>
        <v>30</v>
      </c>
      <c r="K5" s="20">
        <f>ROUND((625*(D5/10000)^0.704)*($G$15/$G$14),0)</f>
        <v>1037</v>
      </c>
    </row>
    <row r="7" spans="1:11" x14ac:dyDescent="0.35">
      <c r="A7" s="39" t="s">
        <v>31</v>
      </c>
      <c r="B7" s="39" t="s">
        <v>22</v>
      </c>
      <c r="C7" s="39" t="s">
        <v>23</v>
      </c>
      <c r="D7" s="39" t="s">
        <v>24</v>
      </c>
      <c r="E7" s="39" t="s">
        <v>25</v>
      </c>
      <c r="F7" s="39" t="s">
        <v>26</v>
      </c>
      <c r="G7" s="39" t="s">
        <v>27</v>
      </c>
      <c r="H7" s="39" t="s">
        <v>28</v>
      </c>
      <c r="I7" s="39" t="s">
        <v>29</v>
      </c>
      <c r="J7" s="39" t="s">
        <v>30</v>
      </c>
      <c r="K7" s="39" t="s">
        <v>54</v>
      </c>
    </row>
    <row r="8" spans="1:11" x14ac:dyDescent="0.35">
      <c r="A8" s="20">
        <v>1</v>
      </c>
      <c r="B8" s="20">
        <v>7.3999999999999996E-2</v>
      </c>
      <c r="C8" s="20">
        <v>450</v>
      </c>
      <c r="D8" s="20">
        <v>7000</v>
      </c>
      <c r="E8" s="20">
        <v>1</v>
      </c>
      <c r="F8" s="20">
        <f>ROUND(EXP(-B8*D8/C8),3)</f>
        <v>0.316</v>
      </c>
      <c r="G8" s="20">
        <f>ROUND((1-F8)*E8,3)</f>
        <v>0.68400000000000005</v>
      </c>
      <c r="H8" s="20">
        <f>$D$15</f>
        <v>45.5</v>
      </c>
      <c r="I8" s="20">
        <f>F8*H8+G8</f>
        <v>15.061999999999999</v>
      </c>
      <c r="J8" s="20">
        <f>'Pollutants τmj, εmi'!$E$4</f>
        <v>10</v>
      </c>
      <c r="K8" s="20">
        <f>ROUND((625*(D8/10000)^0.704)*($G$15/$G$14),0)</f>
        <v>606</v>
      </c>
    </row>
    <row r="9" spans="1:11" x14ac:dyDescent="0.35">
      <c r="A9" s="20">
        <v>2</v>
      </c>
      <c r="B9" s="20">
        <v>7.3999999999999996E-2</v>
      </c>
      <c r="C9" s="20">
        <v>650</v>
      </c>
      <c r="D9" s="20">
        <v>10000</v>
      </c>
      <c r="E9" s="20">
        <v>1</v>
      </c>
      <c r="F9" s="20">
        <f>ROUND(EXP(-B9*D9/C9),3)</f>
        <v>0.32</v>
      </c>
      <c r="G9" s="20">
        <f>ROUND((1-F9)*E9,3)</f>
        <v>0.68</v>
      </c>
      <c r="H9" s="20">
        <f t="shared" ref="H9:H11" si="1">$D$15</f>
        <v>45.5</v>
      </c>
      <c r="I9" s="20">
        <f>F9*H9+G9</f>
        <v>15.24</v>
      </c>
      <c r="J9" s="20">
        <f>'Pollutants τmj, εmi'!$E$4</f>
        <v>10</v>
      </c>
      <c r="K9" s="20">
        <f>ROUND((625*(D9/10000)^0.704)*($G$15/$G$14),0)</f>
        <v>780</v>
      </c>
    </row>
    <row r="10" spans="1:11" x14ac:dyDescent="0.35">
      <c r="A10" s="20">
        <v>3</v>
      </c>
      <c r="B10" s="20">
        <v>7.3999999999999996E-2</v>
      </c>
      <c r="C10" s="20">
        <v>800</v>
      </c>
      <c r="D10" s="20">
        <v>12500</v>
      </c>
      <c r="E10" s="20">
        <v>1</v>
      </c>
      <c r="F10" s="20">
        <f>ROUND(EXP(-B10*D10/C10),3)</f>
        <v>0.315</v>
      </c>
      <c r="G10" s="20">
        <f>ROUND((1-F10)*E10,3)</f>
        <v>0.68500000000000005</v>
      </c>
      <c r="H10" s="20">
        <f t="shared" si="1"/>
        <v>45.5</v>
      </c>
      <c r="I10" s="20">
        <f>F10*H10+G10</f>
        <v>15.0175</v>
      </c>
      <c r="J10" s="20">
        <f>'Pollutants τmj, εmi'!$E$4</f>
        <v>10</v>
      </c>
      <c r="K10" s="20">
        <f>ROUND((625*(D10/10000)^0.704)*($G$15/$G$14),0)</f>
        <v>912</v>
      </c>
    </row>
    <row r="11" spans="1:11" x14ac:dyDescent="0.35">
      <c r="A11" s="20">
        <v>4</v>
      </c>
      <c r="B11" s="20">
        <v>7.3999999999999996E-2</v>
      </c>
      <c r="C11" s="20">
        <v>950</v>
      </c>
      <c r="D11" s="20">
        <v>15000</v>
      </c>
      <c r="E11" s="20">
        <v>1</v>
      </c>
      <c r="F11" s="20">
        <f>ROUND(EXP(-B11*D11/C11),3)</f>
        <v>0.311</v>
      </c>
      <c r="G11" s="20">
        <f>ROUND((1-F11)*E11,3)</f>
        <v>0.68899999999999995</v>
      </c>
      <c r="H11" s="20">
        <f t="shared" si="1"/>
        <v>45.5</v>
      </c>
      <c r="I11" s="20">
        <f>F11*H11+G11</f>
        <v>14.839499999999999</v>
      </c>
      <c r="J11" s="20">
        <f>'Pollutants τmj, εmi'!$E$4</f>
        <v>10</v>
      </c>
      <c r="K11" s="20">
        <f>ROUND((625*(D11/10000)^0.704)*($G$15/$G$14),0)</f>
        <v>1037</v>
      </c>
    </row>
    <row r="13" spans="1:11" x14ac:dyDescent="0.35">
      <c r="A13" t="s">
        <v>55</v>
      </c>
      <c r="B13" t="s">
        <v>32</v>
      </c>
      <c r="C13" t="s">
        <v>33</v>
      </c>
      <c r="D13" s="20" t="s">
        <v>34</v>
      </c>
      <c r="F13" s="53" t="s">
        <v>101</v>
      </c>
      <c r="K13" s="20"/>
    </row>
    <row r="14" spans="1:11" x14ac:dyDescent="0.35">
      <c r="A14" t="str">
        <f>"m=" &amp; 'Pollutants τmj, εmi'!A3 &amp; " " &amp; 'Pollutants τmj, εmi'!B3</f>
        <v>m=1 BOD5</v>
      </c>
      <c r="B14" s="20">
        <v>155</v>
      </c>
      <c r="C14" s="20">
        <v>315</v>
      </c>
      <c r="D14" s="20">
        <f>AVERAGE(B14:C14)</f>
        <v>235</v>
      </c>
      <c r="F14" s="53">
        <v>2006</v>
      </c>
      <c r="G14" s="53">
        <v>7751</v>
      </c>
      <c r="K14" s="20"/>
    </row>
    <row r="15" spans="1:11" x14ac:dyDescent="0.35">
      <c r="A15" t="str">
        <f>"m=" &amp; 'Pollutants τmj, εmi'!A4 &amp; " " &amp; 'Pollutants τmj, εmi'!B4</f>
        <v>m=2 TN</v>
      </c>
      <c r="B15" s="20">
        <v>23</v>
      </c>
      <c r="C15" s="20">
        <v>68</v>
      </c>
      <c r="D15" s="20">
        <f>AVERAGE(B15:C15)</f>
        <v>45.5</v>
      </c>
      <c r="F15" s="53">
        <v>2013</v>
      </c>
      <c r="G15" s="53">
        <v>9667.77</v>
      </c>
      <c r="K15" s="20"/>
    </row>
    <row r="16" spans="1:11" x14ac:dyDescent="0.35">
      <c r="A16" t="str">
        <f>"m=" &amp; 'Pollutants τmj, εmi'!A5 &amp; " " &amp; 'Pollutants τmj, εmi'!B5</f>
        <v>m=3 TSS</v>
      </c>
      <c r="C16" s="20"/>
      <c r="E16" s="20"/>
      <c r="F16" s="20"/>
      <c r="G16" s="20"/>
      <c r="K16" s="20"/>
    </row>
    <row r="17" spans="3:12" x14ac:dyDescent="0.35">
      <c r="C17" s="20"/>
    </row>
    <row r="18" spans="3:12" x14ac:dyDescent="0.35">
      <c r="C18" s="20"/>
      <c r="I18" s="20"/>
      <c r="J18" s="20"/>
      <c r="K18" s="20"/>
      <c r="L18" s="20"/>
    </row>
    <row r="19" spans="3:12" x14ac:dyDescent="0.35">
      <c r="C19" s="20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14" sqref="D14"/>
    </sheetView>
  </sheetViews>
  <sheetFormatPr defaultRowHeight="14.5" x14ac:dyDescent="0.35"/>
  <cols>
    <col min="1" max="1" width="34.81640625" style="20" bestFit="1" customWidth="1"/>
    <col min="2" max="2" width="14.26953125" style="20" bestFit="1" customWidth="1"/>
    <col min="3" max="3" width="20.453125" style="20" bestFit="1" customWidth="1"/>
    <col min="4" max="4" width="15.81640625" style="20" bestFit="1" customWidth="1"/>
    <col min="5" max="5" width="15.1796875" style="20" customWidth="1"/>
    <col min="6" max="16384" width="8.7265625" style="20"/>
  </cols>
  <sheetData>
    <row r="1" spans="1:8" x14ac:dyDescent="0.35">
      <c r="A1" s="39" t="s">
        <v>52</v>
      </c>
      <c r="B1" s="39" t="s">
        <v>44</v>
      </c>
      <c r="C1" s="39" t="s">
        <v>45</v>
      </c>
      <c r="D1" s="39" t="s">
        <v>51</v>
      </c>
      <c r="E1" s="49" t="s">
        <v>77</v>
      </c>
      <c r="G1" s="39" t="s">
        <v>46</v>
      </c>
    </row>
    <row r="2" spans="1:8" x14ac:dyDescent="0.35">
      <c r="A2" s="50" t="s">
        <v>47</v>
      </c>
      <c r="B2" s="50">
        <f>1756892*(H3/H2)</f>
        <v>2597924.1007708777</v>
      </c>
      <c r="C2" s="50">
        <f>1843123*(H3/H2)</f>
        <v>2725434.2682334045</v>
      </c>
      <c r="D2" s="50">
        <f>((B2+C2)/10)/1609.34</f>
        <v>330.77897579158423</v>
      </c>
      <c r="E2" s="50">
        <f>D2*1000</f>
        <v>330778.97579158423</v>
      </c>
      <c r="G2" s="20">
        <v>2002</v>
      </c>
      <c r="H2" s="20">
        <v>6538</v>
      </c>
    </row>
    <row r="3" spans="1:8" x14ac:dyDescent="0.35">
      <c r="A3" s="51" t="s">
        <v>48</v>
      </c>
      <c r="B3" s="51">
        <f>1412101*(H3/H2)</f>
        <v>2088080.0986188436</v>
      </c>
      <c r="C3" s="51">
        <f>1843123*(H3/H2)</f>
        <v>2725434.2682334045</v>
      </c>
      <c r="D3" s="51">
        <f>((B3+C3)/10)/1609.34</f>
        <v>299.09865950341435</v>
      </c>
      <c r="E3" s="52">
        <f t="shared" ref="E3:E4" si="0">D3*1000</f>
        <v>299098.65950341435</v>
      </c>
      <c r="G3" s="20">
        <v>2013</v>
      </c>
      <c r="H3" s="20">
        <v>9667.77</v>
      </c>
    </row>
    <row r="4" spans="1:8" x14ac:dyDescent="0.35">
      <c r="A4" s="51" t="s">
        <v>49</v>
      </c>
      <c r="B4" s="51">
        <f>3266770*(H3/H2)</f>
        <v>4830587.4889721628</v>
      </c>
      <c r="C4" s="51">
        <f>1562111*(H3/H2)</f>
        <v>2309900.5601820126</v>
      </c>
      <c r="D4" s="51">
        <f>((B4+C4)/10)/1609.34</f>
        <v>443.69046001181704</v>
      </c>
      <c r="E4" s="52">
        <f t="shared" si="0"/>
        <v>443690.46001181705</v>
      </c>
    </row>
    <row r="6" spans="1:8" x14ac:dyDescent="0.35">
      <c r="B6" s="20" t="s">
        <v>50</v>
      </c>
    </row>
    <row r="7" spans="1:8" x14ac:dyDescent="0.35">
      <c r="B7" s="20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Geographic locations</vt:lpstr>
      <vt:lpstr>Block site Fi</vt:lpstr>
      <vt:lpstr>Distance btwn block and CW, dij</vt:lpstr>
      <vt:lpstr>Pollutants τmj, εmi</vt:lpstr>
      <vt:lpstr>Design option k, Qjk, Ajk, cjk</vt:lpstr>
      <vt:lpstr>Cost 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Yeow Li Teng Cheryl</dc:creator>
  <cp:lastModifiedBy>user</cp:lastModifiedBy>
  <dcterms:created xsi:type="dcterms:W3CDTF">2016-11-10T12:25:37Z</dcterms:created>
  <dcterms:modified xsi:type="dcterms:W3CDTF">2016-12-11T09:57:20Z</dcterms:modified>
</cp:coreProperties>
</file>