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5700" yWindow="252" windowWidth="11160" windowHeight="6396" tabRatio="730" activeTab="1"/>
  </bookViews>
  <sheets>
    <sheet name="运营表" sheetId="1" r:id="rId1"/>
    <sheet name="T0登记表" sheetId="2" r:id="rId2"/>
    <sheet name="T3-T4" sheetId="7" r:id="rId3"/>
    <sheet name="T1存款利息表" sheetId="3" r:id="rId4"/>
    <sheet name="T2贷款利息表" sheetId="5" r:id="rId5"/>
    <sheet name="T6-T8 XX风险计量表" sheetId="10" r:id="rId6"/>
    <sheet name="T9现金流表" sheetId="13" r:id="rId7"/>
    <sheet name="T10损益表" sheetId="14" r:id="rId8"/>
    <sheet name="T11资产负债表" sheetId="15" r:id="rId9"/>
    <sheet name="T12监管表" sheetId="16" r:id="rId10"/>
  </sheets>
  <calcPr calcId="162913"/>
</workbook>
</file>

<file path=xl/calcChain.xml><?xml version="1.0" encoding="utf-8"?>
<calcChain xmlns="http://schemas.openxmlformats.org/spreadsheetml/2006/main">
  <c r="G28" i="13" l="1"/>
  <c r="E10" i="14" l="1"/>
  <c r="F10" i="14"/>
  <c r="G10" i="14"/>
  <c r="H10" i="14"/>
  <c r="I10" i="14"/>
  <c r="J10" i="14"/>
  <c r="D10" i="14"/>
  <c r="J21" i="13"/>
  <c r="I21" i="13"/>
  <c r="H21" i="13"/>
  <c r="G21" i="13"/>
  <c r="F21" i="13"/>
  <c r="E21" i="13"/>
  <c r="D21" i="13"/>
  <c r="C21" i="13"/>
  <c r="F22" i="13"/>
  <c r="D12" i="14" l="1"/>
  <c r="G13" i="10"/>
  <c r="AF18" i="7" l="1"/>
  <c r="AF19" i="7"/>
  <c r="AF20" i="7"/>
  <c r="AF21" i="7"/>
  <c r="AF22" i="7"/>
  <c r="AF23" i="7"/>
  <c r="AF24" i="7"/>
  <c r="AF17" i="7"/>
  <c r="AE17" i="7"/>
  <c r="AK23" i="7"/>
  <c r="G17" i="7"/>
  <c r="H42" i="7"/>
  <c r="H43" i="7"/>
  <c r="H44" i="7"/>
  <c r="H45" i="7"/>
  <c r="H46" i="7"/>
  <c r="H47" i="7"/>
  <c r="H48" i="7"/>
  <c r="H41" i="7"/>
  <c r="F42" i="7"/>
  <c r="G42" i="7" s="1"/>
  <c r="F43" i="7"/>
  <c r="G43" i="7" s="1"/>
  <c r="F44" i="7"/>
  <c r="G44" i="7" s="1"/>
  <c r="F45" i="7"/>
  <c r="G45" i="7" s="1"/>
  <c r="I45" i="7" s="1"/>
  <c r="J45" i="7" s="1"/>
  <c r="F46" i="7"/>
  <c r="G46" i="7" s="1"/>
  <c r="I46" i="7" s="1"/>
  <c r="J46" i="7" s="1"/>
  <c r="K46" i="7" s="1"/>
  <c r="F47" i="7"/>
  <c r="G47" i="7" s="1"/>
  <c r="I47" i="7" s="1"/>
  <c r="J47" i="7" s="1"/>
  <c r="K47" i="7" s="1"/>
  <c r="F48" i="7"/>
  <c r="G48" i="7" s="1"/>
  <c r="I48" i="7" s="1"/>
  <c r="J48" i="7" s="1"/>
  <c r="K48" i="7" s="1"/>
  <c r="F41" i="7"/>
  <c r="G41" i="7" s="1"/>
  <c r="D42" i="7"/>
  <c r="D43" i="7"/>
  <c r="D44" i="7"/>
  <c r="D45" i="7"/>
  <c r="D46" i="7"/>
  <c r="D47" i="7"/>
  <c r="D48" i="7"/>
  <c r="D41" i="7"/>
  <c r="E5" i="7"/>
  <c r="K45" i="7" l="1"/>
  <c r="AI24" i="7"/>
  <c r="AI23" i="7"/>
  <c r="AI22" i="7"/>
  <c r="I44" i="7"/>
  <c r="J44" i="7" s="1"/>
  <c r="K44" i="7" s="1"/>
  <c r="I43" i="7"/>
  <c r="J43" i="7" s="1"/>
  <c r="K43" i="7" s="1"/>
  <c r="I42" i="7"/>
  <c r="J42" i="7" s="1"/>
  <c r="K42" i="7" s="1"/>
  <c r="I18" i="7" s="1"/>
  <c r="I41" i="7"/>
  <c r="J41" i="7" s="1"/>
  <c r="K41" i="7" s="1"/>
  <c r="I17" i="7" s="1"/>
  <c r="J13" i="13"/>
  <c r="AL17" i="7"/>
  <c r="N35" i="7"/>
  <c r="N34" i="7"/>
  <c r="M35" i="7"/>
  <c r="M34" i="7"/>
  <c r="L35" i="7"/>
  <c r="L34" i="7"/>
  <c r="K35" i="7"/>
  <c r="K34" i="7"/>
  <c r="J35" i="7"/>
  <c r="J34" i="7"/>
  <c r="I35" i="7"/>
  <c r="I34" i="7"/>
  <c r="H35" i="7"/>
  <c r="H34" i="7"/>
  <c r="G35" i="7"/>
  <c r="G34" i="7"/>
  <c r="N33" i="7"/>
  <c r="M33" i="7"/>
  <c r="L33" i="7"/>
  <c r="K33" i="7"/>
  <c r="J33" i="7"/>
  <c r="I33" i="7"/>
  <c r="H33" i="7"/>
  <c r="G33" i="7"/>
  <c r="G36" i="7" l="1"/>
  <c r="D8" i="15" s="1"/>
  <c r="I36" i="7"/>
  <c r="D24" i="15" s="1"/>
  <c r="K36" i="7"/>
  <c r="D40" i="15" s="1"/>
  <c r="M36" i="7"/>
  <c r="D56" i="15" s="1"/>
  <c r="H36" i="7"/>
  <c r="K8" i="15" s="1"/>
  <c r="J36" i="7"/>
  <c r="K24" i="15" s="1"/>
  <c r="L36" i="7"/>
  <c r="K40" i="15" s="1"/>
  <c r="N36" i="7"/>
  <c r="K56" i="15" s="1"/>
  <c r="AK21" i="7"/>
  <c r="AK22" i="7"/>
  <c r="AK24" i="7"/>
  <c r="AK20" i="7"/>
  <c r="AK19" i="7"/>
  <c r="AK18" i="7"/>
  <c r="AK17" i="7"/>
  <c r="J18" i="7"/>
  <c r="K18" i="7"/>
  <c r="L18" i="7"/>
  <c r="M18" i="7"/>
  <c r="J19" i="7"/>
  <c r="K19" i="7"/>
  <c r="L19" i="7"/>
  <c r="M19" i="7"/>
  <c r="J20" i="7"/>
  <c r="K20" i="7"/>
  <c r="L20" i="7"/>
  <c r="M20" i="7"/>
  <c r="J21" i="7"/>
  <c r="K21" i="7"/>
  <c r="L21" i="7"/>
  <c r="M21" i="7"/>
  <c r="J22" i="7"/>
  <c r="K22" i="7"/>
  <c r="L22" i="7"/>
  <c r="M22" i="7"/>
  <c r="J23" i="7"/>
  <c r="K23" i="7"/>
  <c r="L23" i="7"/>
  <c r="M23" i="7"/>
  <c r="J24" i="7"/>
  <c r="K24" i="7"/>
  <c r="L24" i="7"/>
  <c r="M24" i="7"/>
  <c r="I19" i="7"/>
  <c r="I20" i="7"/>
  <c r="I21" i="7"/>
  <c r="I22" i="7"/>
  <c r="I23" i="7"/>
  <c r="I24" i="7"/>
  <c r="H24" i="7"/>
  <c r="H23" i="7"/>
  <c r="H22" i="7"/>
  <c r="H21" i="7"/>
  <c r="H20" i="7"/>
  <c r="H19" i="7"/>
  <c r="H18" i="7"/>
  <c r="AE18" i="7"/>
  <c r="AE19" i="7"/>
  <c r="AE20" i="7"/>
  <c r="AE21" i="7"/>
  <c r="AE22" i="7"/>
  <c r="AE23" i="7"/>
  <c r="AE24" i="7"/>
  <c r="C13" i="13"/>
  <c r="C26" i="13"/>
  <c r="G26" i="13"/>
  <c r="H26" i="13"/>
  <c r="I26" i="13"/>
  <c r="J26" i="13"/>
  <c r="F26" i="13"/>
  <c r="E26" i="13"/>
  <c r="D26" i="13"/>
  <c r="AJ24" i="7" l="1"/>
  <c r="AI19" i="7"/>
  <c r="AI17" i="7"/>
  <c r="AJ18" i="7"/>
  <c r="AN18" i="7" s="1"/>
  <c r="D13" i="13" s="1"/>
  <c r="AJ17" i="7"/>
  <c r="AI18" i="7"/>
  <c r="AJ22" i="7"/>
  <c r="AJ23" i="7"/>
  <c r="AJ19" i="7"/>
  <c r="AI21" i="7"/>
  <c r="AI20" i="7"/>
  <c r="AJ21" i="7"/>
  <c r="AJ20" i="7"/>
  <c r="E6" i="13"/>
  <c r="F6" i="13"/>
  <c r="G6" i="13"/>
  <c r="H6" i="13"/>
  <c r="I6" i="13"/>
  <c r="J6" i="13"/>
  <c r="D6" i="13"/>
  <c r="J25" i="13"/>
  <c r="I25" i="13"/>
  <c r="H25" i="13"/>
  <c r="G25" i="13"/>
  <c r="F25" i="13"/>
  <c r="E25" i="13"/>
  <c r="D25" i="13"/>
  <c r="C25" i="13"/>
  <c r="J24" i="13"/>
  <c r="I24" i="13"/>
  <c r="H24" i="13"/>
  <c r="G24" i="13"/>
  <c r="F24" i="13"/>
  <c r="E24" i="13"/>
  <c r="D24" i="13"/>
  <c r="C24" i="13"/>
  <c r="J11" i="13"/>
  <c r="I11" i="13"/>
  <c r="H11" i="13"/>
  <c r="G11" i="13"/>
  <c r="F11" i="13"/>
  <c r="E11" i="13"/>
  <c r="D11" i="13"/>
  <c r="J22" i="13"/>
  <c r="I22" i="13"/>
  <c r="H22" i="13"/>
  <c r="G22" i="13"/>
  <c r="E22" i="13"/>
  <c r="D22" i="13"/>
  <c r="J7" i="13"/>
  <c r="I7" i="13"/>
  <c r="H7" i="13"/>
  <c r="G7" i="13"/>
  <c r="F7" i="13"/>
  <c r="E7" i="13"/>
  <c r="D7" i="13"/>
  <c r="C7" i="13"/>
  <c r="J10" i="13"/>
  <c r="I10" i="13"/>
  <c r="H10" i="13"/>
  <c r="G10" i="13"/>
  <c r="F10" i="13"/>
  <c r="E10" i="13"/>
  <c r="C10" i="13"/>
  <c r="D10" i="13"/>
  <c r="K54" i="15"/>
  <c r="D54" i="15"/>
  <c r="AM17" i="7" l="1"/>
  <c r="AN17" i="7"/>
  <c r="AL18" i="7"/>
  <c r="AM18" i="7" s="1"/>
  <c r="AL19" i="7"/>
  <c r="AM19" i="7" s="1"/>
  <c r="AL23" i="7"/>
  <c r="AM23" i="7" s="1"/>
  <c r="AL20" i="7"/>
  <c r="AM20" i="7" s="1"/>
  <c r="AL24" i="7"/>
  <c r="AM24" i="7" s="1"/>
  <c r="AL21" i="7"/>
  <c r="AM21" i="7" s="1"/>
  <c r="AL22" i="7"/>
  <c r="AM22" i="7" s="1"/>
  <c r="K38" i="15"/>
  <c r="D38" i="15"/>
  <c r="D22" i="15"/>
  <c r="K22" i="15"/>
  <c r="K6" i="15"/>
  <c r="D6" i="15"/>
  <c r="AN23" i="7" l="1"/>
  <c r="AN20" i="7"/>
  <c r="F13" i="13" s="1"/>
  <c r="AN22" i="7"/>
  <c r="H13" i="13" s="1"/>
  <c r="AN21" i="7"/>
  <c r="G13" i="13" s="1"/>
  <c r="I13" i="13"/>
  <c r="AN19" i="7"/>
  <c r="E13" i="13" s="1"/>
  <c r="AN24" i="7"/>
  <c r="C30" i="13"/>
  <c r="K1" i="2"/>
  <c r="P25" i="2"/>
  <c r="O13" i="10"/>
  <c r="S25" i="2" l="1"/>
  <c r="V25" i="2"/>
  <c r="C23" i="14"/>
  <c r="E12" i="14" l="1"/>
  <c r="F12" i="14"/>
  <c r="G12" i="14"/>
  <c r="H12" i="14"/>
  <c r="I12" i="14"/>
  <c r="J12" i="14"/>
  <c r="E19" i="13"/>
  <c r="F19" i="13"/>
  <c r="G19" i="13"/>
  <c r="H19" i="13"/>
  <c r="I19" i="13"/>
  <c r="J19" i="13"/>
  <c r="D19" i="13"/>
  <c r="J29" i="13"/>
  <c r="J37" i="13"/>
  <c r="I29" i="13"/>
  <c r="I37" i="13"/>
  <c r="H29" i="13"/>
  <c r="H37" i="13"/>
  <c r="G29" i="13"/>
  <c r="G37" i="13"/>
  <c r="F29" i="13"/>
  <c r="F37" i="13"/>
  <c r="E29" i="13"/>
  <c r="E37" i="13"/>
  <c r="D29" i="13"/>
  <c r="D37" i="13"/>
  <c r="J28" i="13"/>
  <c r="I28" i="13"/>
  <c r="H28" i="13"/>
  <c r="H15" i="14" s="1"/>
  <c r="F28" i="13"/>
  <c r="E28" i="13"/>
  <c r="D28" i="13"/>
  <c r="C29" i="13"/>
  <c r="C37" i="13"/>
  <c r="C28" i="13"/>
  <c r="G18" i="7"/>
  <c r="G19" i="7"/>
  <c r="G20" i="7"/>
  <c r="G21" i="7"/>
  <c r="G22" i="7"/>
  <c r="G23" i="7"/>
  <c r="G24" i="7"/>
  <c r="D15" i="14" l="1"/>
  <c r="E15" i="14"/>
  <c r="I15" i="14"/>
  <c r="G15" i="14"/>
  <c r="C15" i="14"/>
  <c r="F15" i="14"/>
  <c r="J15" i="14"/>
  <c r="C19" i="13"/>
  <c r="C12" i="14"/>
  <c r="J36" i="13"/>
  <c r="I36" i="13"/>
  <c r="H36" i="13"/>
  <c r="G36" i="13"/>
  <c r="F36" i="13"/>
  <c r="E36" i="13"/>
  <c r="C36" i="13"/>
  <c r="J18" i="13"/>
  <c r="I18" i="13"/>
  <c r="H18" i="13"/>
  <c r="G18" i="13"/>
  <c r="F18" i="13"/>
  <c r="E18" i="13"/>
  <c r="D18" i="13"/>
  <c r="C18" i="13"/>
  <c r="C11" i="14"/>
  <c r="N60" i="15"/>
  <c r="G60" i="15"/>
  <c r="N44" i="15"/>
  <c r="G44" i="15"/>
  <c r="N28" i="15"/>
  <c r="G28" i="15"/>
  <c r="N12" i="15"/>
  <c r="G12" i="15"/>
  <c r="F12" i="15"/>
  <c r="C15" i="15"/>
  <c r="N55" i="15"/>
  <c r="G55" i="15"/>
  <c r="N39" i="15"/>
  <c r="G39" i="15"/>
  <c r="N23" i="15"/>
  <c r="G23" i="15"/>
  <c r="N7" i="15"/>
  <c r="G7" i="15"/>
  <c r="D10" i="15"/>
  <c r="K58" i="15"/>
  <c r="D58" i="15"/>
  <c r="K42" i="15"/>
  <c r="D42" i="15"/>
  <c r="K26" i="15"/>
  <c r="D26" i="15"/>
  <c r="K10" i="15"/>
  <c r="N53" i="15"/>
  <c r="J23" i="13" s="1"/>
  <c r="G53" i="15"/>
  <c r="I23" i="13" s="1"/>
  <c r="J9" i="13" s="1"/>
  <c r="N37" i="15"/>
  <c r="H23" i="13" s="1"/>
  <c r="I9" i="13" s="1"/>
  <c r="G37" i="15"/>
  <c r="N21" i="15"/>
  <c r="G21" i="15"/>
  <c r="N5" i="15"/>
  <c r="G5" i="15"/>
  <c r="F23" i="13" l="1"/>
  <c r="G9" i="13" s="1"/>
  <c r="G23" i="13"/>
  <c r="H9" i="13" s="1"/>
  <c r="K13" i="15"/>
  <c r="D23" i="13"/>
  <c r="E9" i="13" s="1"/>
  <c r="C23" i="13"/>
  <c r="D9" i="13" s="1"/>
  <c r="D13" i="15"/>
  <c r="D29" i="15"/>
  <c r="E23" i="13"/>
  <c r="F9" i="13" s="1"/>
  <c r="K29" i="15"/>
  <c r="K45" i="15"/>
  <c r="K61" i="15"/>
  <c r="D45" i="15"/>
  <c r="D61" i="15"/>
  <c r="D11" i="15"/>
  <c r="C10" i="14"/>
  <c r="V68" i="2"/>
  <c r="V67" i="2"/>
  <c r="V66" i="2"/>
  <c r="V65" i="2"/>
  <c r="V50" i="2"/>
  <c r="V49" i="2"/>
  <c r="V44" i="2"/>
  <c r="V38" i="2"/>
  <c r="V31" i="2"/>
  <c r="V32" i="2"/>
  <c r="F24" i="14"/>
  <c r="H24" i="14"/>
  <c r="J24" i="14"/>
  <c r="J22" i="14"/>
  <c r="J11" i="14"/>
  <c r="I22" i="14"/>
  <c r="I11" i="14"/>
  <c r="H22" i="14"/>
  <c r="H11" i="14"/>
  <c r="G22" i="14"/>
  <c r="G11" i="14"/>
  <c r="F22" i="14"/>
  <c r="F11" i="14"/>
  <c r="E22" i="14"/>
  <c r="E11" i="14"/>
  <c r="D22" i="14"/>
  <c r="D11" i="14"/>
  <c r="K11" i="15" s="1"/>
  <c r="C35" i="13"/>
  <c r="C19" i="14"/>
  <c r="J17" i="14"/>
  <c r="I17" i="14"/>
  <c r="H17" i="14"/>
  <c r="G17" i="14"/>
  <c r="F17" i="14"/>
  <c r="E17" i="14"/>
  <c r="D17" i="14"/>
  <c r="C17" i="14"/>
  <c r="J31" i="13"/>
  <c r="I31" i="13"/>
  <c r="H31" i="13"/>
  <c r="G31" i="13"/>
  <c r="F31" i="13"/>
  <c r="E31" i="13"/>
  <c r="D31" i="13"/>
  <c r="C31" i="13"/>
  <c r="J16" i="14"/>
  <c r="I16" i="14"/>
  <c r="H16" i="14"/>
  <c r="G16" i="14"/>
  <c r="F16" i="14"/>
  <c r="E16" i="14"/>
  <c r="D16" i="14"/>
  <c r="C16" i="14"/>
  <c r="J33" i="13"/>
  <c r="I33" i="13"/>
  <c r="H33" i="13"/>
  <c r="G33" i="13"/>
  <c r="F33" i="13"/>
  <c r="E33" i="13"/>
  <c r="D33" i="13"/>
  <c r="C33" i="13"/>
  <c r="J34" i="13"/>
  <c r="I34" i="13"/>
  <c r="H34" i="13"/>
  <c r="G34" i="13"/>
  <c r="F34" i="13"/>
  <c r="E34" i="13"/>
  <c r="D34" i="13"/>
  <c r="C34" i="13"/>
  <c r="J32" i="13"/>
  <c r="H32" i="13"/>
  <c r="I32" i="13"/>
  <c r="G32" i="13"/>
  <c r="F32" i="13"/>
  <c r="E32" i="13"/>
  <c r="D32" i="13"/>
  <c r="C32" i="13"/>
  <c r="J30" i="13"/>
  <c r="I30" i="13"/>
  <c r="H30" i="13"/>
  <c r="G30" i="13"/>
  <c r="F30" i="13"/>
  <c r="E30" i="13"/>
  <c r="D30" i="13"/>
  <c r="I24" i="14" l="1"/>
  <c r="E24" i="14"/>
  <c r="D24" i="14"/>
  <c r="G24" i="14"/>
  <c r="C18" i="14"/>
  <c r="K27" i="15"/>
  <c r="K43" i="15"/>
  <c r="D23" i="14"/>
  <c r="E23" i="14" s="1"/>
  <c r="F23" i="14" s="1"/>
  <c r="G23" i="14" s="1"/>
  <c r="H23" i="14" s="1"/>
  <c r="I23" i="14" s="1"/>
  <c r="J23" i="14" s="1"/>
  <c r="K59" i="15"/>
  <c r="D27" i="15"/>
  <c r="D59" i="15"/>
  <c r="D43" i="15"/>
  <c r="I18" i="14"/>
  <c r="E18" i="14"/>
  <c r="I19" i="14"/>
  <c r="E19" i="14"/>
  <c r="H18" i="14"/>
  <c r="D18" i="14"/>
  <c r="H19" i="14"/>
  <c r="D19" i="14"/>
  <c r="G18" i="14"/>
  <c r="G19" i="14"/>
  <c r="J18" i="14"/>
  <c r="F18" i="14"/>
  <c r="J19" i="14"/>
  <c r="F19" i="14"/>
  <c r="D7" i="14"/>
  <c r="C7" i="14"/>
  <c r="Q77" i="10"/>
  <c r="N77" i="10"/>
  <c r="M77" i="10"/>
  <c r="M68" i="10"/>
  <c r="Q59" i="10"/>
  <c r="M59" i="10"/>
  <c r="Q50" i="10"/>
  <c r="M50" i="10"/>
  <c r="Q23" i="10"/>
  <c r="M23" i="10"/>
  <c r="N13" i="10"/>
  <c r="Z81" i="10"/>
  <c r="Z71" i="10"/>
  <c r="Y81" i="10" s="1"/>
  <c r="Z61" i="10"/>
  <c r="Y71" i="10" s="1"/>
  <c r="X81" i="10" s="1"/>
  <c r="Z51" i="10"/>
  <c r="Y61" i="10" s="1"/>
  <c r="X71" i="10" s="1"/>
  <c r="W81" i="10" s="1"/>
  <c r="Z41" i="10"/>
  <c r="Y51" i="10" s="1"/>
  <c r="X61" i="10" s="1"/>
  <c r="W71" i="10" s="1"/>
  <c r="V81" i="10" s="1"/>
  <c r="Z31" i="10"/>
  <c r="Y41" i="10" s="1"/>
  <c r="X51" i="10" s="1"/>
  <c r="W61" i="10" s="1"/>
  <c r="V71" i="10" s="1"/>
  <c r="Z21" i="10"/>
  <c r="Y31" i="10" s="1"/>
  <c r="X41" i="10" s="1"/>
  <c r="W51" i="10" s="1"/>
  <c r="V61" i="10" s="1"/>
  <c r="Z11" i="10"/>
  <c r="Y21" i="10" s="1"/>
  <c r="X31" i="10" s="1"/>
  <c r="W41" i="10" s="1"/>
  <c r="V51" i="10" s="1"/>
  <c r="Y11" i="10"/>
  <c r="X21" i="10" s="1"/>
  <c r="W31" i="10" s="1"/>
  <c r="V41" i="10" s="1"/>
  <c r="X11" i="10"/>
  <c r="W21" i="10" s="1"/>
  <c r="V31" i="10" s="1"/>
  <c r="W11" i="10"/>
  <c r="V21" i="10" s="1"/>
  <c r="V11" i="10"/>
  <c r="K14" i="15" l="1"/>
  <c r="C30" i="15" s="1"/>
  <c r="D30" i="15"/>
  <c r="D14" i="15"/>
  <c r="J14" i="15" s="1"/>
  <c r="D62" i="15"/>
  <c r="D46" i="15"/>
  <c r="K30" i="15"/>
  <c r="K62" i="15"/>
  <c r="K46" i="15"/>
  <c r="R25" i="2"/>
  <c r="C7" i="5"/>
  <c r="C10" i="5"/>
  <c r="H77" i="10"/>
  <c r="G77" i="10"/>
  <c r="F77" i="10"/>
  <c r="E77" i="10"/>
  <c r="D77" i="10"/>
  <c r="H68" i="10"/>
  <c r="G68" i="10"/>
  <c r="F68" i="10"/>
  <c r="E68" i="10"/>
  <c r="D68" i="10"/>
  <c r="H59" i="10"/>
  <c r="G59" i="10"/>
  <c r="F59" i="10"/>
  <c r="E59" i="10"/>
  <c r="D59" i="10"/>
  <c r="H50" i="10"/>
  <c r="G50" i="10"/>
  <c r="F50" i="10"/>
  <c r="E50" i="10"/>
  <c r="D50" i="10"/>
  <c r="H41" i="10"/>
  <c r="G41" i="10"/>
  <c r="F41" i="10"/>
  <c r="E41" i="10"/>
  <c r="D41" i="10"/>
  <c r="H32" i="10"/>
  <c r="G32" i="10"/>
  <c r="F32" i="10"/>
  <c r="E32" i="10"/>
  <c r="D32" i="10"/>
  <c r="H23" i="10"/>
  <c r="G23" i="10"/>
  <c r="F23" i="10"/>
  <c r="E23" i="10"/>
  <c r="D23" i="10"/>
  <c r="H13" i="10"/>
  <c r="F13" i="10"/>
  <c r="E13" i="10"/>
  <c r="D13" i="10"/>
  <c r="S33" i="16"/>
  <c r="N33" i="16"/>
  <c r="I33" i="16"/>
  <c r="AH12" i="10" s="1"/>
  <c r="D33" i="16"/>
  <c r="AH11" i="10" s="1"/>
  <c r="S14" i="16"/>
  <c r="AH10" i="10" s="1"/>
  <c r="N14" i="16"/>
  <c r="AH9" i="10" s="1"/>
  <c r="I14" i="16"/>
  <c r="AH8" i="10" s="1"/>
  <c r="D14" i="16"/>
  <c r="AH7" i="10" s="1"/>
  <c r="C24" i="14"/>
  <c r="C27" i="13"/>
  <c r="F13" i="15"/>
  <c r="F6" i="15"/>
  <c r="F7" i="15"/>
  <c r="F8" i="15"/>
  <c r="F9" i="15"/>
  <c r="F5" i="15"/>
  <c r="C7" i="15"/>
  <c r="C8" i="15"/>
  <c r="C9" i="15"/>
  <c r="C10" i="15"/>
  <c r="C11" i="15"/>
  <c r="C12" i="15"/>
  <c r="C13" i="15"/>
  <c r="C6" i="15"/>
  <c r="C14" i="15"/>
  <c r="C5" i="15"/>
  <c r="F14" i="15" l="1"/>
  <c r="C16" i="13"/>
  <c r="F10" i="15"/>
  <c r="C16" i="15"/>
  <c r="D15" i="13"/>
  <c r="AB6" i="7"/>
  <c r="AB7" i="7"/>
  <c r="AB8" i="7"/>
  <c r="AB9" i="7"/>
  <c r="AB10" i="7"/>
  <c r="AB11" i="7"/>
  <c r="AB12" i="7"/>
  <c r="AB5" i="7"/>
  <c r="C14" i="13"/>
  <c r="C15" i="13"/>
  <c r="C12" i="13"/>
  <c r="C4" i="13"/>
  <c r="R9" i="5"/>
  <c r="J11" i="5"/>
  <c r="U11" i="5" s="1"/>
  <c r="J10" i="5"/>
  <c r="U10" i="5" s="1"/>
  <c r="C52" i="3"/>
  <c r="D52" i="3" s="1"/>
  <c r="Q78" i="10"/>
  <c r="Q60" i="10"/>
  <c r="P67" i="10" s="1"/>
  <c r="Q51" i="10"/>
  <c r="P58" i="10" s="1"/>
  <c r="Q24" i="10"/>
  <c r="P31" i="10" s="1"/>
  <c r="N14" i="10"/>
  <c r="M22" i="10" s="1"/>
  <c r="M24" i="10" s="1"/>
  <c r="H78" i="10"/>
  <c r="H69" i="10"/>
  <c r="G76" i="10" s="1"/>
  <c r="G78" i="10" s="1"/>
  <c r="H60" i="10"/>
  <c r="G67" i="10" s="1"/>
  <c r="G69" i="10" s="1"/>
  <c r="F76" i="10" s="1"/>
  <c r="F78" i="10" s="1"/>
  <c r="H51" i="10"/>
  <c r="G58" i="10" s="1"/>
  <c r="G60" i="10" s="1"/>
  <c r="F67" i="10" s="1"/>
  <c r="F69" i="10" s="1"/>
  <c r="E76" i="10" s="1"/>
  <c r="E78" i="10" s="1"/>
  <c r="H42" i="10"/>
  <c r="G49" i="10" s="1"/>
  <c r="G51" i="10" s="1"/>
  <c r="F58" i="10" s="1"/>
  <c r="F60" i="10" s="1"/>
  <c r="E67" i="10" s="1"/>
  <c r="E69" i="10" s="1"/>
  <c r="D76" i="10" s="1"/>
  <c r="D78" i="10" s="1"/>
  <c r="H33" i="10"/>
  <c r="G40" i="10" s="1"/>
  <c r="G42" i="10" s="1"/>
  <c r="F49" i="10" s="1"/>
  <c r="F51" i="10" s="1"/>
  <c r="E58" i="10" s="1"/>
  <c r="E60" i="10" s="1"/>
  <c r="D67" i="10" s="1"/>
  <c r="D69" i="10" s="1"/>
  <c r="H24" i="10"/>
  <c r="G31" i="10" s="1"/>
  <c r="G33" i="10" s="1"/>
  <c r="F40" i="10" s="1"/>
  <c r="F42" i="10" s="1"/>
  <c r="E49" i="10" s="1"/>
  <c r="E51" i="10" s="1"/>
  <c r="D58" i="10" s="1"/>
  <c r="D60" i="10" s="1"/>
  <c r="E14" i="10"/>
  <c r="D22" i="10" s="1"/>
  <c r="D24" i="10" s="1"/>
  <c r="F14" i="10"/>
  <c r="E22" i="10" s="1"/>
  <c r="E24" i="10" s="1"/>
  <c r="D31" i="10" s="1"/>
  <c r="D33" i="10" s="1"/>
  <c r="G14" i="10"/>
  <c r="F22" i="10" s="1"/>
  <c r="F24" i="10" s="1"/>
  <c r="E31" i="10" s="1"/>
  <c r="E33" i="10" s="1"/>
  <c r="D40" i="10" s="1"/>
  <c r="D42" i="10" s="1"/>
  <c r="H14" i="10"/>
  <c r="G22" i="10" s="1"/>
  <c r="G24" i="10" s="1"/>
  <c r="F31" i="10" s="1"/>
  <c r="F33" i="10" s="1"/>
  <c r="E40" i="10" s="1"/>
  <c r="E42" i="10" s="1"/>
  <c r="D49" i="10" s="1"/>
  <c r="D51" i="10" s="1"/>
  <c r="D14" i="10"/>
  <c r="E10" i="5"/>
  <c r="E7" i="5"/>
  <c r="C7" i="3"/>
  <c r="N84" i="5"/>
  <c r="X73" i="5"/>
  <c r="N73" i="5"/>
  <c r="M73" i="5"/>
  <c r="X62" i="5"/>
  <c r="W62" i="5"/>
  <c r="N62" i="5"/>
  <c r="M62" i="5"/>
  <c r="L62" i="5"/>
  <c r="X51" i="5"/>
  <c r="W51" i="5"/>
  <c r="V51" i="5"/>
  <c r="N51" i="5"/>
  <c r="M51" i="5"/>
  <c r="L51" i="5"/>
  <c r="K51" i="5"/>
  <c r="X40" i="5"/>
  <c r="W40" i="5"/>
  <c r="V40" i="5"/>
  <c r="U40" i="5"/>
  <c r="M40" i="5"/>
  <c r="L40" i="5"/>
  <c r="K40" i="5"/>
  <c r="J40" i="5"/>
  <c r="W29" i="5"/>
  <c r="V29" i="5"/>
  <c r="U29" i="5"/>
  <c r="T29" i="5"/>
  <c r="L29" i="5"/>
  <c r="K29" i="5"/>
  <c r="J29" i="5"/>
  <c r="I29" i="5"/>
  <c r="V18" i="5"/>
  <c r="U18" i="5"/>
  <c r="T18" i="5"/>
  <c r="S18" i="5"/>
  <c r="K18" i="5"/>
  <c r="J18" i="5"/>
  <c r="I18" i="5"/>
  <c r="H18" i="5"/>
  <c r="U9" i="5"/>
  <c r="T9" i="5"/>
  <c r="S9" i="5"/>
  <c r="J9" i="5"/>
  <c r="I9" i="5"/>
  <c r="H9" i="5"/>
  <c r="G9" i="5"/>
  <c r="C86" i="3"/>
  <c r="D86" i="3" s="1"/>
  <c r="C87" i="3"/>
  <c r="D87" i="3" s="1"/>
  <c r="C88" i="3"/>
  <c r="D88" i="3" s="1"/>
  <c r="C85" i="3"/>
  <c r="D85" i="3" s="1"/>
  <c r="F16" i="15" l="1"/>
  <c r="N52" i="5"/>
  <c r="N53" i="5"/>
  <c r="N54" i="5"/>
  <c r="N55" i="5"/>
  <c r="N87" i="5"/>
  <c r="N88" i="5"/>
  <c r="N86" i="5"/>
  <c r="N85" i="5"/>
  <c r="N64" i="5"/>
  <c r="N65" i="5"/>
  <c r="N66" i="5"/>
  <c r="N63" i="5"/>
  <c r="N76" i="5"/>
  <c r="N75" i="5"/>
  <c r="N74" i="5"/>
  <c r="N77" i="5"/>
  <c r="E7" i="3"/>
  <c r="D61" i="10"/>
  <c r="AE12" i="10" s="1"/>
  <c r="D25" i="10"/>
  <c r="AE8" i="10" s="1"/>
  <c r="D16" i="10"/>
  <c r="AE7" i="10" s="1"/>
  <c r="D52" i="10"/>
  <c r="AE11" i="10" s="1"/>
  <c r="D43" i="10"/>
  <c r="AE10" i="10" s="1"/>
  <c r="D79" i="10"/>
  <c r="D34" i="10"/>
  <c r="AE9" i="10" s="1"/>
  <c r="D70" i="10"/>
  <c r="E85" i="3"/>
  <c r="F85" i="3"/>
  <c r="D7" i="3"/>
  <c r="D10" i="5"/>
  <c r="F10" i="5" s="1"/>
  <c r="Q10" i="5" s="1"/>
  <c r="E52" i="3"/>
  <c r="D7" i="5"/>
  <c r="F88" i="3"/>
  <c r="F87" i="3"/>
  <c r="F86" i="3"/>
  <c r="E88" i="3"/>
  <c r="N88" i="3" s="1"/>
  <c r="Y88" i="3" s="1"/>
  <c r="E87" i="3"/>
  <c r="E86" i="3"/>
  <c r="N86" i="3" s="1"/>
  <c r="Y86" i="3" s="1"/>
  <c r="C75" i="3"/>
  <c r="D75" i="3" s="1"/>
  <c r="C76" i="3"/>
  <c r="D76" i="3" s="1"/>
  <c r="C77" i="3"/>
  <c r="D77" i="3" s="1"/>
  <c r="C74" i="3"/>
  <c r="F74" i="3" s="1"/>
  <c r="C64" i="3"/>
  <c r="D64" i="3" s="1"/>
  <c r="C65" i="3"/>
  <c r="D65" i="3" s="1"/>
  <c r="C66" i="3"/>
  <c r="D66" i="3" s="1"/>
  <c r="C63" i="3"/>
  <c r="F63" i="3" s="1"/>
  <c r="C53" i="3"/>
  <c r="D53" i="3" s="1"/>
  <c r="C54" i="3"/>
  <c r="D54" i="3" s="1"/>
  <c r="C55" i="3"/>
  <c r="D55" i="3" s="1"/>
  <c r="F52" i="3"/>
  <c r="C42" i="3"/>
  <c r="D42" i="3" s="1"/>
  <c r="C43" i="3"/>
  <c r="D43" i="3" s="1"/>
  <c r="C44" i="3"/>
  <c r="D44" i="3" s="1"/>
  <c r="C41" i="3"/>
  <c r="D41" i="3" s="1"/>
  <c r="O84" i="3"/>
  <c r="O73" i="3"/>
  <c r="O77" i="3" s="1"/>
  <c r="Y73" i="3"/>
  <c r="Y62" i="3"/>
  <c r="O62" i="3"/>
  <c r="O64" i="3" s="1"/>
  <c r="Y51" i="3"/>
  <c r="O51" i="3"/>
  <c r="O53" i="3" s="1"/>
  <c r="Y40" i="3"/>
  <c r="C31" i="3"/>
  <c r="E31" i="3" s="1"/>
  <c r="C32" i="3"/>
  <c r="E32" i="3" s="1"/>
  <c r="C33" i="3"/>
  <c r="E33" i="3" s="1"/>
  <c r="C30" i="3"/>
  <c r="F30" i="3" s="1"/>
  <c r="C81" i="3"/>
  <c r="D81" i="3" s="1"/>
  <c r="C82" i="3"/>
  <c r="D82" i="3" s="1"/>
  <c r="C83" i="3"/>
  <c r="D83" i="3" s="1"/>
  <c r="C80" i="3"/>
  <c r="E80" i="3" s="1"/>
  <c r="C70" i="3"/>
  <c r="D70" i="3" s="1"/>
  <c r="C71" i="3"/>
  <c r="D71" i="3" s="1"/>
  <c r="C72" i="3"/>
  <c r="D72" i="3" s="1"/>
  <c r="C69" i="3"/>
  <c r="D69" i="3" s="1"/>
  <c r="C59" i="3"/>
  <c r="C60" i="3"/>
  <c r="D60" i="3" s="1"/>
  <c r="C61" i="3"/>
  <c r="D61" i="3" s="1"/>
  <c r="C58" i="3"/>
  <c r="C48" i="3"/>
  <c r="D48" i="3" s="1"/>
  <c r="C49" i="3"/>
  <c r="D49" i="3" s="1"/>
  <c r="C50" i="3"/>
  <c r="D50" i="3" s="1"/>
  <c r="C47" i="3"/>
  <c r="F47" i="3" s="1"/>
  <c r="C37" i="3"/>
  <c r="D37" i="3" s="1"/>
  <c r="C38" i="3"/>
  <c r="D38" i="3" s="1"/>
  <c r="C39" i="3"/>
  <c r="D39" i="3" s="1"/>
  <c r="C36" i="3"/>
  <c r="E36" i="3" s="1"/>
  <c r="C26" i="3"/>
  <c r="D26" i="3" s="1"/>
  <c r="C27" i="3"/>
  <c r="D27" i="3" s="1"/>
  <c r="C28" i="3"/>
  <c r="D28" i="3" s="1"/>
  <c r="C25" i="3"/>
  <c r="F25" i="3" s="1"/>
  <c r="C14" i="3"/>
  <c r="C19" i="3"/>
  <c r="N87" i="3"/>
  <c r="Y87" i="3" s="1"/>
  <c r="P66" i="2"/>
  <c r="S66" i="2" s="1"/>
  <c r="P67" i="2"/>
  <c r="S67" i="2" s="1"/>
  <c r="P68" i="2"/>
  <c r="S68" i="2" s="1"/>
  <c r="P65" i="2"/>
  <c r="P60" i="2"/>
  <c r="S60" i="2" s="1"/>
  <c r="P61" i="2"/>
  <c r="P62" i="2"/>
  <c r="P59" i="2"/>
  <c r="P54" i="2"/>
  <c r="S54" i="2" s="1"/>
  <c r="P55" i="2"/>
  <c r="S55" i="2" s="1"/>
  <c r="P56" i="2"/>
  <c r="S56" i="2" s="1"/>
  <c r="P53" i="2"/>
  <c r="P48" i="2"/>
  <c r="P49" i="2"/>
  <c r="S49" i="2" s="1"/>
  <c r="P50" i="2"/>
  <c r="S50" i="2" s="1"/>
  <c r="P47" i="2"/>
  <c r="P41" i="2"/>
  <c r="P42" i="2"/>
  <c r="S42" i="2" s="1"/>
  <c r="P43" i="2"/>
  <c r="S43" i="2" s="1"/>
  <c r="P44" i="2"/>
  <c r="S44" i="2" s="1"/>
  <c r="P36" i="2"/>
  <c r="P37" i="2"/>
  <c r="S37" i="2" s="1"/>
  <c r="P38" i="2"/>
  <c r="S38" i="2" s="1"/>
  <c r="P35" i="2"/>
  <c r="S35" i="2" s="1"/>
  <c r="P30" i="2"/>
  <c r="P31" i="2"/>
  <c r="S31" i="2" s="1"/>
  <c r="P32" i="2"/>
  <c r="S32" i="2" s="1"/>
  <c r="P29" i="2"/>
  <c r="S29" i="2" s="1"/>
  <c r="P26" i="2"/>
  <c r="V26" i="2" s="1"/>
  <c r="Q13" i="10" l="1"/>
  <c r="Q14" i="10" s="1"/>
  <c r="P22" i="10" s="1"/>
  <c r="M13" i="10"/>
  <c r="V62" i="2"/>
  <c r="Q68" i="10" s="1"/>
  <c r="Q69" i="10" s="1"/>
  <c r="P76" i="10" s="1"/>
  <c r="S62" i="2"/>
  <c r="V61" i="2"/>
  <c r="S61" i="2"/>
  <c r="S26" i="2"/>
  <c r="C20" i="14"/>
  <c r="C47" i="5"/>
  <c r="S47" i="2"/>
  <c r="S53" i="2"/>
  <c r="H20" i="14"/>
  <c r="S59" i="2"/>
  <c r="I20" i="14"/>
  <c r="N41" i="16" s="1"/>
  <c r="J20" i="14"/>
  <c r="S65" i="2"/>
  <c r="G20" i="14"/>
  <c r="S48" i="2"/>
  <c r="S36" i="2"/>
  <c r="E20" i="14"/>
  <c r="N22" i="16" s="1"/>
  <c r="H10" i="5"/>
  <c r="S10" i="5" s="1"/>
  <c r="V30" i="2"/>
  <c r="S30" i="2"/>
  <c r="D20" i="14"/>
  <c r="I22" i="16" s="1"/>
  <c r="G10" i="5"/>
  <c r="R10" i="5" s="1"/>
  <c r="I10" i="5"/>
  <c r="T10" i="5" s="1"/>
  <c r="F20" i="14"/>
  <c r="S41" i="2"/>
  <c r="I8" i="13"/>
  <c r="D8" i="13"/>
  <c r="J8" i="13"/>
  <c r="C20" i="13"/>
  <c r="G8" i="13"/>
  <c r="H8" i="13"/>
  <c r="D22" i="16"/>
  <c r="E8" i="13"/>
  <c r="F8" i="13"/>
  <c r="I41" i="16"/>
  <c r="S41" i="16"/>
  <c r="K53" i="15"/>
  <c r="S40" i="16" s="1"/>
  <c r="D53" i="15"/>
  <c r="N40" i="16" s="1"/>
  <c r="K5" i="15"/>
  <c r="K21" i="15"/>
  <c r="D21" i="15"/>
  <c r="D5" i="15"/>
  <c r="D37" i="15"/>
  <c r="V29" i="2"/>
  <c r="K37" i="15"/>
  <c r="E58" i="3"/>
  <c r="D59" i="3"/>
  <c r="W59" i="3" s="1"/>
  <c r="C88" i="5"/>
  <c r="M88" i="5" s="1"/>
  <c r="X88" i="5" s="1"/>
  <c r="C83" i="5"/>
  <c r="C85" i="5"/>
  <c r="C80" i="5"/>
  <c r="C87" i="5"/>
  <c r="C82" i="5"/>
  <c r="M82" i="5" s="1"/>
  <c r="X82" i="5" s="1"/>
  <c r="C86" i="5"/>
  <c r="M86" i="5" s="1"/>
  <c r="X86" i="5" s="1"/>
  <c r="C81" i="5"/>
  <c r="C75" i="5"/>
  <c r="V60" i="2"/>
  <c r="N68" i="10" s="1"/>
  <c r="C70" i="5"/>
  <c r="C74" i="5"/>
  <c r="M74" i="5" s="1"/>
  <c r="V59" i="2"/>
  <c r="O68" i="10" s="1"/>
  <c r="C69" i="5"/>
  <c r="V56" i="2"/>
  <c r="C66" i="5"/>
  <c r="C61" i="5"/>
  <c r="V55" i="2"/>
  <c r="C65" i="5"/>
  <c r="C60" i="5"/>
  <c r="C59" i="5"/>
  <c r="V54" i="2"/>
  <c r="N59" i="10" s="1"/>
  <c r="C64" i="5"/>
  <c r="V53" i="2"/>
  <c r="O59" i="10" s="1"/>
  <c r="C63" i="5"/>
  <c r="C58" i="5"/>
  <c r="C36" i="5"/>
  <c r="V41" i="2"/>
  <c r="C41" i="5"/>
  <c r="C38" i="5"/>
  <c r="V43" i="2"/>
  <c r="Q41" i="10" s="1"/>
  <c r="Q42" i="10" s="1"/>
  <c r="P49" i="10" s="1"/>
  <c r="C43" i="5"/>
  <c r="V42" i="2"/>
  <c r="O41" i="10" s="1"/>
  <c r="C42" i="5"/>
  <c r="C37" i="5"/>
  <c r="C48" i="5"/>
  <c r="C53" i="5"/>
  <c r="V48" i="2"/>
  <c r="C52" i="5"/>
  <c r="V47" i="2"/>
  <c r="C76" i="5"/>
  <c r="C71" i="5"/>
  <c r="C77" i="5"/>
  <c r="C72" i="5"/>
  <c r="C55" i="5"/>
  <c r="C50" i="5"/>
  <c r="C49" i="5"/>
  <c r="J49" i="5" s="1"/>
  <c r="U49" i="5" s="1"/>
  <c r="C54" i="5"/>
  <c r="C44" i="5"/>
  <c r="C39" i="5"/>
  <c r="C27" i="5"/>
  <c r="V37" i="2"/>
  <c r="C32" i="5"/>
  <c r="C31" i="5"/>
  <c r="C26" i="5"/>
  <c r="V36" i="2"/>
  <c r="C25" i="5"/>
  <c r="C30" i="5"/>
  <c r="V35" i="2"/>
  <c r="C33" i="5"/>
  <c r="C28" i="5"/>
  <c r="C15" i="5"/>
  <c r="C20" i="5"/>
  <c r="C19" i="5"/>
  <c r="C14" i="5"/>
  <c r="C16" i="5"/>
  <c r="J16" i="5" s="1"/>
  <c r="U16" i="5" s="1"/>
  <c r="C21" i="5"/>
  <c r="C22" i="5"/>
  <c r="C17" i="5"/>
  <c r="C11" i="5"/>
  <c r="C8" i="5"/>
  <c r="S7" i="3"/>
  <c r="R7" i="3"/>
  <c r="V7" i="3"/>
  <c r="U7" i="3"/>
  <c r="R32" i="2"/>
  <c r="R56" i="2"/>
  <c r="R43" i="2"/>
  <c r="R68" i="2"/>
  <c r="R31" i="2"/>
  <c r="R37" i="2"/>
  <c r="R42" i="2"/>
  <c r="R49" i="2"/>
  <c r="R55" i="2"/>
  <c r="R61" i="2"/>
  <c r="R67" i="2"/>
  <c r="R50" i="2"/>
  <c r="R30" i="2"/>
  <c r="R36" i="2"/>
  <c r="R41" i="2"/>
  <c r="R48" i="2"/>
  <c r="R54" i="2"/>
  <c r="J16" i="13" s="1"/>
  <c r="R60" i="2"/>
  <c r="R66" i="2"/>
  <c r="O32" i="10"/>
  <c r="R38" i="2"/>
  <c r="R62" i="2"/>
  <c r="R26" i="2"/>
  <c r="C8" i="14" s="1"/>
  <c r="R29" i="2"/>
  <c r="Q32" i="10"/>
  <c r="Q33" i="10" s="1"/>
  <c r="P40" i="10" s="1"/>
  <c r="R35" i="2"/>
  <c r="R44" i="2"/>
  <c r="P50" i="10"/>
  <c r="R47" i="2"/>
  <c r="P59" i="10"/>
  <c r="P60" i="10" s="1"/>
  <c r="O67" i="10" s="1"/>
  <c r="R53" i="2"/>
  <c r="P68" i="10"/>
  <c r="P69" i="10" s="1"/>
  <c r="O76" i="10" s="1"/>
  <c r="R59" i="2"/>
  <c r="P77" i="10"/>
  <c r="P78" i="10" s="1"/>
  <c r="R65" i="2"/>
  <c r="O14" i="10"/>
  <c r="M14" i="10"/>
  <c r="P13" i="10"/>
  <c r="P14" i="10" s="1"/>
  <c r="O22" i="10" s="1"/>
  <c r="O77" i="10"/>
  <c r="Y10" i="10"/>
  <c r="W10" i="10"/>
  <c r="Z10" i="10"/>
  <c r="X10" i="10"/>
  <c r="V10" i="10"/>
  <c r="V12" i="10" s="1"/>
  <c r="V14" i="10" s="1"/>
  <c r="Z40" i="10"/>
  <c r="Z20" i="10"/>
  <c r="Z30" i="10"/>
  <c r="Z50" i="10"/>
  <c r="Z60" i="10"/>
  <c r="Z70" i="10"/>
  <c r="Z80" i="10"/>
  <c r="Z82" i="10" s="1"/>
  <c r="Z84" i="10" s="1"/>
  <c r="F7" i="5"/>
  <c r="J7" i="5"/>
  <c r="G7" i="5"/>
  <c r="H7" i="5"/>
  <c r="I7" i="5"/>
  <c r="L65" i="3"/>
  <c r="W65" i="3" s="1"/>
  <c r="E41" i="3"/>
  <c r="F64" i="3"/>
  <c r="D33" i="3"/>
  <c r="I33" i="3" s="1"/>
  <c r="T33" i="3" s="1"/>
  <c r="D31" i="3"/>
  <c r="I31" i="3" s="1"/>
  <c r="T31" i="3" s="1"/>
  <c r="O86" i="3"/>
  <c r="O87" i="3"/>
  <c r="O88" i="3"/>
  <c r="O85" i="3"/>
  <c r="D32" i="3"/>
  <c r="I32" i="3" s="1"/>
  <c r="T32" i="3" s="1"/>
  <c r="O63" i="3"/>
  <c r="O54" i="3"/>
  <c r="O52" i="3"/>
  <c r="M76" i="3"/>
  <c r="X76" i="3" s="1"/>
  <c r="F58" i="3"/>
  <c r="D30" i="3"/>
  <c r="F41" i="3"/>
  <c r="D63" i="3"/>
  <c r="D74" i="3"/>
  <c r="O66" i="3"/>
  <c r="O65" i="3"/>
  <c r="O75" i="3"/>
  <c r="E30" i="3"/>
  <c r="E63" i="3"/>
  <c r="E74" i="3"/>
  <c r="O55" i="3"/>
  <c r="O74" i="3"/>
  <c r="O76" i="3"/>
  <c r="K54" i="3"/>
  <c r="V54" i="3" s="1"/>
  <c r="F77" i="3"/>
  <c r="F76" i="3"/>
  <c r="F75" i="3"/>
  <c r="E77" i="3"/>
  <c r="M77" i="3" s="1"/>
  <c r="E76" i="3"/>
  <c r="E75" i="3"/>
  <c r="M75" i="3" s="1"/>
  <c r="X75" i="3" s="1"/>
  <c r="E66" i="3"/>
  <c r="L66" i="3" s="1"/>
  <c r="W66" i="3" s="1"/>
  <c r="E65" i="3"/>
  <c r="E64" i="3"/>
  <c r="F66" i="3"/>
  <c r="F65" i="3"/>
  <c r="F55" i="3"/>
  <c r="F54" i="3"/>
  <c r="F53" i="3"/>
  <c r="E55" i="3"/>
  <c r="K55" i="3" s="1"/>
  <c r="V55" i="3" s="1"/>
  <c r="E54" i="3"/>
  <c r="E53" i="3"/>
  <c r="K53" i="3" s="1"/>
  <c r="V53" i="3" s="1"/>
  <c r="F44" i="3"/>
  <c r="F43" i="3"/>
  <c r="F42" i="3"/>
  <c r="E44" i="3"/>
  <c r="J44" i="3" s="1"/>
  <c r="U44" i="3" s="1"/>
  <c r="E43" i="3"/>
  <c r="J43" i="3" s="1"/>
  <c r="U43" i="3" s="1"/>
  <c r="E42" i="3"/>
  <c r="J42" i="3" s="1"/>
  <c r="D36" i="3"/>
  <c r="W36" i="3" s="1"/>
  <c r="F33" i="3"/>
  <c r="F32" i="3"/>
  <c r="F31" i="3"/>
  <c r="D80" i="3"/>
  <c r="N80" i="3" s="1"/>
  <c r="E47" i="3"/>
  <c r="F36" i="3"/>
  <c r="D58" i="3"/>
  <c r="W58" i="3" s="1"/>
  <c r="E69" i="3"/>
  <c r="N69" i="3" s="1"/>
  <c r="F80" i="3"/>
  <c r="D47" i="3"/>
  <c r="X47" i="3" s="1"/>
  <c r="F69" i="3"/>
  <c r="F83" i="3"/>
  <c r="F82" i="3"/>
  <c r="F81" i="3"/>
  <c r="E83" i="3"/>
  <c r="E82" i="3"/>
  <c r="O82" i="3" s="1"/>
  <c r="E81" i="3"/>
  <c r="F72" i="3"/>
  <c r="F71" i="3"/>
  <c r="F70" i="3"/>
  <c r="E72" i="3"/>
  <c r="E71" i="3"/>
  <c r="O71" i="3" s="1"/>
  <c r="E70" i="3"/>
  <c r="Y70" i="3" s="1"/>
  <c r="F61" i="3"/>
  <c r="F60" i="3"/>
  <c r="F59" i="3"/>
  <c r="E61" i="3"/>
  <c r="E60" i="3"/>
  <c r="N60" i="3" s="1"/>
  <c r="E59" i="3"/>
  <c r="L59" i="3" s="1"/>
  <c r="F50" i="3"/>
  <c r="F49" i="3"/>
  <c r="F48" i="3"/>
  <c r="E50" i="3"/>
  <c r="E49" i="3"/>
  <c r="O49" i="3" s="1"/>
  <c r="E48" i="3"/>
  <c r="L48" i="3" s="1"/>
  <c r="F39" i="3"/>
  <c r="F38" i="3"/>
  <c r="F37" i="3"/>
  <c r="E39" i="3"/>
  <c r="E38" i="3"/>
  <c r="Y38" i="3" s="1"/>
  <c r="E37" i="3"/>
  <c r="E25" i="3"/>
  <c r="D25" i="3"/>
  <c r="T25" i="3" s="1"/>
  <c r="F28" i="3"/>
  <c r="F27" i="3"/>
  <c r="F26" i="3"/>
  <c r="E28" i="3"/>
  <c r="E27" i="3"/>
  <c r="X27" i="3" s="1"/>
  <c r="E26" i="3"/>
  <c r="J26" i="3" s="1"/>
  <c r="N73" i="3"/>
  <c r="X62" i="3"/>
  <c r="N62" i="3"/>
  <c r="M62" i="3"/>
  <c r="X51" i="3"/>
  <c r="W51" i="3"/>
  <c r="N51" i="3"/>
  <c r="M51" i="3"/>
  <c r="L51" i="3"/>
  <c r="X40" i="3"/>
  <c r="W40" i="3"/>
  <c r="V40" i="3"/>
  <c r="N40" i="3"/>
  <c r="M40" i="3"/>
  <c r="L40" i="3"/>
  <c r="K40" i="3"/>
  <c r="X29" i="3"/>
  <c r="W29" i="3"/>
  <c r="V29" i="3"/>
  <c r="U29" i="3"/>
  <c r="M29" i="3"/>
  <c r="L29" i="3"/>
  <c r="K29" i="3"/>
  <c r="J29" i="3"/>
  <c r="W18" i="3"/>
  <c r="V18" i="3"/>
  <c r="U18" i="3"/>
  <c r="T18" i="3"/>
  <c r="L18" i="3"/>
  <c r="K18" i="3"/>
  <c r="J18" i="3"/>
  <c r="I18" i="3"/>
  <c r="V9" i="3"/>
  <c r="U9" i="3"/>
  <c r="T9" i="3"/>
  <c r="S9" i="3"/>
  <c r="K9" i="3"/>
  <c r="J9" i="3"/>
  <c r="I9" i="3"/>
  <c r="H9" i="3"/>
  <c r="AC9" i="7"/>
  <c r="AC10" i="7"/>
  <c r="AC5" i="7"/>
  <c r="E7" i="14" s="1"/>
  <c r="E6" i="7"/>
  <c r="E7" i="7"/>
  <c r="K7" i="7" s="1"/>
  <c r="E8" i="7"/>
  <c r="K8" i="7" s="1"/>
  <c r="E9" i="7"/>
  <c r="E10" i="7"/>
  <c r="M10" i="7" s="1"/>
  <c r="E11" i="7"/>
  <c r="M11" i="7" s="1"/>
  <c r="E12" i="7"/>
  <c r="H5" i="7"/>
  <c r="S29" i="16"/>
  <c r="N29" i="16"/>
  <c r="I29" i="16"/>
  <c r="D29" i="16"/>
  <c r="S10" i="16"/>
  <c r="N10" i="16"/>
  <c r="I10" i="16"/>
  <c r="D10" i="16"/>
  <c r="AC8" i="7"/>
  <c r="Y83" i="3"/>
  <c r="Y82" i="3"/>
  <c r="Y81" i="3"/>
  <c r="Y72" i="3"/>
  <c r="X72" i="3"/>
  <c r="Y71" i="3"/>
  <c r="X71" i="3"/>
  <c r="X70" i="3"/>
  <c r="Y69" i="3"/>
  <c r="X69" i="3"/>
  <c r="Y61" i="3"/>
  <c r="X61" i="3"/>
  <c r="W61" i="3"/>
  <c r="Y60" i="3"/>
  <c r="X60" i="3"/>
  <c r="W60" i="3"/>
  <c r="Y59" i="3"/>
  <c r="X59" i="3"/>
  <c r="Y50" i="3"/>
  <c r="X50" i="3"/>
  <c r="W50" i="3"/>
  <c r="V50" i="3"/>
  <c r="X49" i="3"/>
  <c r="V49" i="3"/>
  <c r="Y48" i="3"/>
  <c r="X48" i="3"/>
  <c r="W48" i="3"/>
  <c r="V48" i="3"/>
  <c r="Y39" i="3"/>
  <c r="X39" i="3"/>
  <c r="W39" i="3"/>
  <c r="V39" i="3"/>
  <c r="U39" i="3"/>
  <c r="X38" i="3"/>
  <c r="W38" i="3"/>
  <c r="V38" i="3"/>
  <c r="U38" i="3"/>
  <c r="Y37" i="3"/>
  <c r="X37" i="3"/>
  <c r="W37" i="3"/>
  <c r="V37" i="3"/>
  <c r="U37" i="3"/>
  <c r="X28" i="3"/>
  <c r="W28" i="3"/>
  <c r="V28" i="3"/>
  <c r="U28" i="3"/>
  <c r="T28" i="3"/>
  <c r="W27" i="3"/>
  <c r="V27" i="3"/>
  <c r="U27" i="3"/>
  <c r="T27" i="3"/>
  <c r="X26" i="3"/>
  <c r="W26" i="3"/>
  <c r="V26" i="3"/>
  <c r="U26" i="3"/>
  <c r="T26" i="3"/>
  <c r="N85" i="3"/>
  <c r="Y85" i="3" s="1"/>
  <c r="O83" i="3"/>
  <c r="N83" i="3"/>
  <c r="N82" i="3"/>
  <c r="O81" i="3"/>
  <c r="N81" i="3"/>
  <c r="M74" i="3"/>
  <c r="X74" i="3" s="1"/>
  <c r="O72" i="3"/>
  <c r="N72" i="3"/>
  <c r="M72" i="3"/>
  <c r="O70" i="3"/>
  <c r="L63" i="3"/>
  <c r="W63" i="3" s="1"/>
  <c r="O61" i="3"/>
  <c r="N61" i="3"/>
  <c r="M61" i="3"/>
  <c r="L61" i="3"/>
  <c r="O60" i="3"/>
  <c r="L60" i="3"/>
  <c r="O59" i="3"/>
  <c r="N59" i="3"/>
  <c r="M59" i="3"/>
  <c r="K52" i="3"/>
  <c r="V52" i="3" s="1"/>
  <c r="J41" i="3"/>
  <c r="U41" i="3" s="1"/>
  <c r="O50" i="3"/>
  <c r="N50" i="3"/>
  <c r="M50" i="3"/>
  <c r="L50" i="3"/>
  <c r="K50" i="3"/>
  <c r="N39" i="3"/>
  <c r="M39" i="3"/>
  <c r="L39" i="3"/>
  <c r="K39" i="3"/>
  <c r="J39" i="3"/>
  <c r="N37" i="3"/>
  <c r="M37" i="3"/>
  <c r="L37" i="3"/>
  <c r="K37" i="3"/>
  <c r="J37" i="3"/>
  <c r="M28" i="3"/>
  <c r="L28" i="3"/>
  <c r="K28" i="3"/>
  <c r="J28" i="3"/>
  <c r="I28" i="3"/>
  <c r="M26" i="3"/>
  <c r="L26" i="3"/>
  <c r="K26" i="3"/>
  <c r="I26" i="3"/>
  <c r="V7" i="7"/>
  <c r="V8" i="7"/>
  <c r="V9" i="7"/>
  <c r="V10" i="7"/>
  <c r="V11" i="7"/>
  <c r="V12" i="7"/>
  <c r="V13" i="7"/>
  <c r="V14" i="7"/>
  <c r="V15" i="7"/>
  <c r="V16" i="7"/>
  <c r="V17" i="7"/>
  <c r="V6" i="7"/>
  <c r="AC6" i="7"/>
  <c r="AC7" i="7"/>
  <c r="AC11" i="7"/>
  <c r="AC12" i="7"/>
  <c r="K1" i="16"/>
  <c r="J62" i="15"/>
  <c r="C62" i="15"/>
  <c r="J54" i="15"/>
  <c r="C54" i="15"/>
  <c r="M60" i="15"/>
  <c r="J61" i="15"/>
  <c r="F60" i="15"/>
  <c r="C61" i="15"/>
  <c r="J59" i="15"/>
  <c r="C59" i="15"/>
  <c r="J58" i="15"/>
  <c r="C58" i="15"/>
  <c r="M55" i="15"/>
  <c r="J56" i="15"/>
  <c r="F55" i="15"/>
  <c r="C56" i="15"/>
  <c r="M53" i="15"/>
  <c r="F53" i="15"/>
  <c r="J46" i="15"/>
  <c r="C46" i="15"/>
  <c r="J38" i="15"/>
  <c r="C38" i="15"/>
  <c r="M44" i="15"/>
  <c r="J45" i="15"/>
  <c r="F44" i="15"/>
  <c r="C45" i="15"/>
  <c r="J43" i="15"/>
  <c r="C43" i="15"/>
  <c r="J42" i="15"/>
  <c r="C42" i="15"/>
  <c r="M39" i="15"/>
  <c r="J40" i="15"/>
  <c r="F39" i="15"/>
  <c r="C40" i="15"/>
  <c r="M37" i="15"/>
  <c r="F37" i="15"/>
  <c r="J30" i="15"/>
  <c r="J22" i="15"/>
  <c r="M28" i="15"/>
  <c r="J29" i="15"/>
  <c r="J27" i="15"/>
  <c r="J26" i="15"/>
  <c r="M23" i="15"/>
  <c r="J24" i="15"/>
  <c r="M21" i="15"/>
  <c r="F23" i="15"/>
  <c r="F28" i="15"/>
  <c r="F21" i="15"/>
  <c r="C26" i="15"/>
  <c r="C27" i="15"/>
  <c r="C29" i="15"/>
  <c r="C22" i="15"/>
  <c r="M7" i="15"/>
  <c r="M12" i="15"/>
  <c r="M5" i="15"/>
  <c r="J8" i="15"/>
  <c r="C24" i="15" s="1"/>
  <c r="J10" i="15"/>
  <c r="J11" i="15"/>
  <c r="J13" i="15"/>
  <c r="J6" i="15"/>
  <c r="H1" i="15"/>
  <c r="D1" i="14"/>
  <c r="D1" i="13"/>
  <c r="W2" i="10"/>
  <c r="N2" i="10"/>
  <c r="F2" i="10"/>
  <c r="U1" i="5"/>
  <c r="AA2" i="7"/>
  <c r="T2" i="7"/>
  <c r="F2" i="7"/>
  <c r="G1" i="5"/>
  <c r="U1" i="3"/>
  <c r="G1" i="3"/>
  <c r="I6" i="7" l="1"/>
  <c r="H6" i="7"/>
  <c r="O23" i="10"/>
  <c r="N50" i="10"/>
  <c r="N23" i="10"/>
  <c r="W49" i="3"/>
  <c r="P41" i="10"/>
  <c r="P42" i="10" s="1"/>
  <c r="O49" i="10" s="1"/>
  <c r="G16" i="13"/>
  <c r="N41" i="10"/>
  <c r="M41" i="10"/>
  <c r="J36" i="3"/>
  <c r="P32" i="10"/>
  <c r="P33" i="10" s="1"/>
  <c r="O40" i="10" s="1"/>
  <c r="O42" i="10" s="1"/>
  <c r="N49" i="10" s="1"/>
  <c r="N51" i="10" s="1"/>
  <c r="M58" i="10" s="1"/>
  <c r="M60" i="10" s="1"/>
  <c r="N32" i="10"/>
  <c r="P23" i="10"/>
  <c r="P24" i="10" s="1"/>
  <c r="O31" i="10" s="1"/>
  <c r="O33" i="10" s="1"/>
  <c r="N40" i="10" s="1"/>
  <c r="E16" i="13"/>
  <c r="I40" i="16"/>
  <c r="D40" i="16"/>
  <c r="S22" i="16"/>
  <c r="D41" i="16"/>
  <c r="J53" i="15"/>
  <c r="D21" i="16"/>
  <c r="J5" i="15"/>
  <c r="S21" i="16"/>
  <c r="I21" i="16"/>
  <c r="C37" i="15"/>
  <c r="N21" i="16"/>
  <c r="C21" i="15"/>
  <c r="I16" i="5"/>
  <c r="T16" i="5" s="1"/>
  <c r="M49" i="5"/>
  <c r="X49" i="5" s="1"/>
  <c r="D36" i="13"/>
  <c r="C22" i="14"/>
  <c r="H16" i="5"/>
  <c r="S16" i="5" s="1"/>
  <c r="K16" i="5"/>
  <c r="V16" i="5" s="1"/>
  <c r="M70" i="3"/>
  <c r="M48" i="3"/>
  <c r="J37" i="15"/>
  <c r="C53" i="15"/>
  <c r="J21" i="15"/>
  <c r="N48" i="3"/>
  <c r="N70" i="3"/>
  <c r="O48" i="3"/>
  <c r="K48" i="3"/>
  <c r="N12" i="7"/>
  <c r="M9" i="7"/>
  <c r="G9" i="14"/>
  <c r="I8" i="14"/>
  <c r="J8" i="14"/>
  <c r="Y49" i="3"/>
  <c r="L49" i="5"/>
  <c r="W49" i="5" s="1"/>
  <c r="D12" i="15"/>
  <c r="J12" i="15" s="1"/>
  <c r="I16" i="13"/>
  <c r="G8" i="14"/>
  <c r="D8" i="14"/>
  <c r="D16" i="13"/>
  <c r="H8" i="14"/>
  <c r="E8" i="14"/>
  <c r="F9" i="14"/>
  <c r="F16" i="13"/>
  <c r="H16" i="13"/>
  <c r="F8" i="14"/>
  <c r="K27" i="3"/>
  <c r="U36" i="3"/>
  <c r="T7" i="5"/>
  <c r="Q7" i="5"/>
  <c r="H33" i="5"/>
  <c r="K33" i="5"/>
  <c r="V33" i="5" s="1"/>
  <c r="I33" i="5"/>
  <c r="T33" i="5" s="1"/>
  <c r="J33" i="5"/>
  <c r="U33" i="5" s="1"/>
  <c r="L33" i="5"/>
  <c r="W33" i="5" s="1"/>
  <c r="J54" i="5"/>
  <c r="U54" i="5" s="1"/>
  <c r="L54" i="5"/>
  <c r="W54" i="5" s="1"/>
  <c r="M54" i="5"/>
  <c r="X54" i="5" s="1"/>
  <c r="K54" i="5"/>
  <c r="V54" i="5" s="1"/>
  <c r="J53" i="5"/>
  <c r="U53" i="5" s="1"/>
  <c r="M53" i="5"/>
  <c r="X53" i="5" s="1"/>
  <c r="L53" i="5"/>
  <c r="W53" i="5" s="1"/>
  <c r="K53" i="5"/>
  <c r="L75" i="5"/>
  <c r="M75" i="5"/>
  <c r="L27" i="3"/>
  <c r="S7" i="5"/>
  <c r="L77" i="5"/>
  <c r="M77" i="5"/>
  <c r="X77" i="5" s="1"/>
  <c r="L43" i="5"/>
  <c r="W43" i="5" s="1"/>
  <c r="M43" i="5"/>
  <c r="X43" i="5" s="1"/>
  <c r="K66" i="5"/>
  <c r="M66" i="5"/>
  <c r="X66" i="5" s="1"/>
  <c r="L66" i="5"/>
  <c r="R7" i="5"/>
  <c r="G22" i="5"/>
  <c r="K22" i="5"/>
  <c r="V22" i="5" s="1"/>
  <c r="J22" i="5"/>
  <c r="U22" i="5" s="1"/>
  <c r="H22" i="5"/>
  <c r="S22" i="5" s="1"/>
  <c r="I22" i="5"/>
  <c r="T22" i="5" s="1"/>
  <c r="K64" i="5"/>
  <c r="M64" i="5"/>
  <c r="X64" i="5" s="1"/>
  <c r="L64" i="5"/>
  <c r="K65" i="5"/>
  <c r="V65" i="5" s="1"/>
  <c r="M65" i="5"/>
  <c r="X65" i="5" s="1"/>
  <c r="L65" i="5"/>
  <c r="W65" i="5" s="1"/>
  <c r="U7" i="5"/>
  <c r="G21" i="5"/>
  <c r="R21" i="5" s="1"/>
  <c r="J21" i="5"/>
  <c r="U21" i="5" s="1"/>
  <c r="H21" i="5"/>
  <c r="S21" i="5" s="1"/>
  <c r="I21" i="5"/>
  <c r="T21" i="5" s="1"/>
  <c r="K21" i="5"/>
  <c r="V21" i="5" s="1"/>
  <c r="I44" i="5"/>
  <c r="K44" i="5"/>
  <c r="V44" i="5" s="1"/>
  <c r="M44" i="5"/>
  <c r="X44" i="5" s="1"/>
  <c r="J44" i="5"/>
  <c r="U44" i="5" s="1"/>
  <c r="L44" i="5"/>
  <c r="J55" i="5"/>
  <c r="K55" i="5"/>
  <c r="V55" i="5" s="1"/>
  <c r="L55" i="5"/>
  <c r="W55" i="5" s="1"/>
  <c r="M55" i="5"/>
  <c r="X55" i="5" s="1"/>
  <c r="L76" i="5"/>
  <c r="M76" i="5"/>
  <c r="Z72" i="10"/>
  <c r="Z74" i="10" s="1"/>
  <c r="Y80" i="10"/>
  <c r="Y82" i="10" s="1"/>
  <c r="Y84" i="10" s="1"/>
  <c r="Z22" i="10"/>
  <c r="Z24" i="10" s="1"/>
  <c r="Y30" i="10"/>
  <c r="Z12" i="10"/>
  <c r="Z14" i="10" s="1"/>
  <c r="Y20" i="10"/>
  <c r="Z32" i="10"/>
  <c r="Z34" i="10" s="1"/>
  <c r="Y40" i="10"/>
  <c r="Z42" i="10"/>
  <c r="Z44" i="10" s="1"/>
  <c r="Y50" i="10"/>
  <c r="W12" i="10"/>
  <c r="W14" i="10" s="1"/>
  <c r="V20" i="10"/>
  <c r="V22" i="10" s="1"/>
  <c r="V24" i="10" s="1"/>
  <c r="Z52" i="10"/>
  <c r="Z54" i="10" s="1"/>
  <c r="Y60" i="10"/>
  <c r="Y12" i="10"/>
  <c r="Y14" i="10" s="1"/>
  <c r="X20" i="10"/>
  <c r="Z62" i="10"/>
  <c r="Z64" i="10" s="1"/>
  <c r="Y70" i="10"/>
  <c r="X12" i="10"/>
  <c r="X14" i="10" s="1"/>
  <c r="W20" i="10"/>
  <c r="I30" i="3"/>
  <c r="T30" i="3" s="1"/>
  <c r="N76" i="3"/>
  <c r="Y76" i="3" s="1"/>
  <c r="N75" i="3"/>
  <c r="Y75" i="3" s="1"/>
  <c r="N77" i="3"/>
  <c r="N74" i="3"/>
  <c r="Y74" i="3" s="1"/>
  <c r="O50" i="10"/>
  <c r="P51" i="10"/>
  <c r="O58" i="10" s="1"/>
  <c r="O60" i="10" s="1"/>
  <c r="N67" i="10" s="1"/>
  <c r="N69" i="10" s="1"/>
  <c r="M76" i="10" s="1"/>
  <c r="M78" i="10" s="1"/>
  <c r="E81" i="5"/>
  <c r="D81" i="5"/>
  <c r="N81" i="5"/>
  <c r="M81" i="5"/>
  <c r="X81" i="5" s="1"/>
  <c r="E80" i="5"/>
  <c r="D80" i="5"/>
  <c r="M80" i="5" s="1"/>
  <c r="X80" i="5" s="1"/>
  <c r="N80" i="5"/>
  <c r="D86" i="5"/>
  <c r="E86" i="5"/>
  <c r="D85" i="5"/>
  <c r="M85" i="5" s="1"/>
  <c r="X85" i="5" s="1"/>
  <c r="E85" i="5"/>
  <c r="D82" i="5"/>
  <c r="E82" i="5"/>
  <c r="N82" i="5" s="1"/>
  <c r="M83" i="5"/>
  <c r="X83" i="5" s="1"/>
  <c r="D83" i="5"/>
  <c r="N83" i="5"/>
  <c r="E83" i="5"/>
  <c r="D87" i="5"/>
  <c r="M87" i="5"/>
  <c r="X87" i="5" s="1"/>
  <c r="E87" i="5"/>
  <c r="D88" i="5"/>
  <c r="E88" i="5"/>
  <c r="L74" i="5"/>
  <c r="W74" i="5" s="1"/>
  <c r="X74" i="5"/>
  <c r="D74" i="5"/>
  <c r="E74" i="5"/>
  <c r="D70" i="5"/>
  <c r="N70" i="5" s="1"/>
  <c r="E70" i="5"/>
  <c r="D69" i="5"/>
  <c r="E69" i="5"/>
  <c r="D75" i="5"/>
  <c r="E75" i="5"/>
  <c r="O69" i="10"/>
  <c r="N76" i="10" s="1"/>
  <c r="N78" i="10" s="1"/>
  <c r="E58" i="5"/>
  <c r="D58" i="5"/>
  <c r="E63" i="5"/>
  <c r="D63" i="5"/>
  <c r="E59" i="5"/>
  <c r="D59" i="5"/>
  <c r="M61" i="5"/>
  <c r="X61" i="5" s="1"/>
  <c r="L61" i="5"/>
  <c r="W61" i="5" s="1"/>
  <c r="D61" i="5"/>
  <c r="K61" i="5"/>
  <c r="V61" i="5" s="1"/>
  <c r="N61" i="5"/>
  <c r="E61" i="5"/>
  <c r="D60" i="5"/>
  <c r="E60" i="5"/>
  <c r="E66" i="5"/>
  <c r="D66" i="5"/>
  <c r="D64" i="5"/>
  <c r="E64" i="5"/>
  <c r="D65" i="5"/>
  <c r="E65" i="5"/>
  <c r="D38" i="5"/>
  <c r="E38" i="5"/>
  <c r="D41" i="5"/>
  <c r="E41" i="5"/>
  <c r="D42" i="5"/>
  <c r="M42" i="5" s="1"/>
  <c r="X42" i="5" s="1"/>
  <c r="E42" i="5"/>
  <c r="D43" i="5"/>
  <c r="K43" i="5" s="1"/>
  <c r="V43" i="5" s="1"/>
  <c r="E43" i="5"/>
  <c r="D37" i="5"/>
  <c r="E37" i="5"/>
  <c r="E36" i="5"/>
  <c r="D36" i="5"/>
  <c r="M36" i="5" s="1"/>
  <c r="D47" i="5"/>
  <c r="E47" i="5"/>
  <c r="D53" i="5"/>
  <c r="E53" i="5"/>
  <c r="E52" i="5"/>
  <c r="D52" i="5"/>
  <c r="D48" i="5"/>
  <c r="E48" i="5"/>
  <c r="E72" i="5"/>
  <c r="D72" i="5"/>
  <c r="E77" i="5"/>
  <c r="D77" i="5"/>
  <c r="D71" i="5"/>
  <c r="E71" i="5"/>
  <c r="X76" i="5"/>
  <c r="D76" i="5"/>
  <c r="W76" i="5"/>
  <c r="E76" i="5"/>
  <c r="D54" i="5"/>
  <c r="E54" i="5"/>
  <c r="D49" i="5"/>
  <c r="E49" i="5"/>
  <c r="K49" i="5" s="1"/>
  <c r="V49" i="5" s="1"/>
  <c r="N49" i="5"/>
  <c r="J50" i="5"/>
  <c r="U50" i="5" s="1"/>
  <c r="M50" i="5"/>
  <c r="X50" i="5" s="1"/>
  <c r="E50" i="5"/>
  <c r="L50" i="5"/>
  <c r="W50" i="5" s="1"/>
  <c r="N50" i="5"/>
  <c r="K50" i="5"/>
  <c r="V50" i="5" s="1"/>
  <c r="D50" i="5"/>
  <c r="E55" i="5"/>
  <c r="D55" i="5"/>
  <c r="E39" i="5"/>
  <c r="L39" i="5"/>
  <c r="W39" i="5" s="1"/>
  <c r="D39" i="5"/>
  <c r="K39" i="5"/>
  <c r="V39" i="5" s="1"/>
  <c r="M39" i="5"/>
  <c r="X39" i="5" s="1"/>
  <c r="J39" i="5"/>
  <c r="U39" i="5" s="1"/>
  <c r="I39" i="5"/>
  <c r="T39" i="5" s="1"/>
  <c r="E44" i="5"/>
  <c r="D44" i="5"/>
  <c r="E32" i="5"/>
  <c r="D32" i="5"/>
  <c r="I32" i="5" s="1"/>
  <c r="M32" i="10"/>
  <c r="E27" i="5"/>
  <c r="D27" i="5"/>
  <c r="L27" i="5" s="1"/>
  <c r="W27" i="5" s="1"/>
  <c r="D26" i="5"/>
  <c r="K26" i="5" s="1"/>
  <c r="V26" i="5" s="1"/>
  <c r="E26" i="5"/>
  <c r="D31" i="5"/>
  <c r="E31" i="5"/>
  <c r="D30" i="5"/>
  <c r="E30" i="5"/>
  <c r="D25" i="5"/>
  <c r="L25" i="5" s="1"/>
  <c r="W25" i="5" s="1"/>
  <c r="E25" i="5"/>
  <c r="I25" i="5" s="1"/>
  <c r="T25" i="5" s="1"/>
  <c r="H17" i="13"/>
  <c r="H9" i="14"/>
  <c r="F17" i="13"/>
  <c r="I9" i="14"/>
  <c r="I17" i="13"/>
  <c r="J9" i="14"/>
  <c r="J17" i="13"/>
  <c r="G17" i="13"/>
  <c r="E9" i="14"/>
  <c r="E17" i="13"/>
  <c r="D28" i="5"/>
  <c r="J28" i="5"/>
  <c r="U28" i="5" s="1"/>
  <c r="H28" i="5"/>
  <c r="S28" i="5" s="1"/>
  <c r="K28" i="5"/>
  <c r="V28" i="5" s="1"/>
  <c r="L28" i="5"/>
  <c r="W28" i="5" s="1"/>
  <c r="I28" i="5"/>
  <c r="T28" i="5" s="1"/>
  <c r="E28" i="5"/>
  <c r="D33" i="5"/>
  <c r="E33" i="5"/>
  <c r="D20" i="5"/>
  <c r="E20" i="5"/>
  <c r="D15" i="5"/>
  <c r="K15" i="5" s="1"/>
  <c r="V15" i="5" s="1"/>
  <c r="E15" i="5"/>
  <c r="H15" i="5" s="1"/>
  <c r="S15" i="5" s="1"/>
  <c r="J15" i="5"/>
  <c r="U15" i="5" s="1"/>
  <c r="D14" i="5"/>
  <c r="E14" i="5"/>
  <c r="K14" i="5"/>
  <c r="D19" i="5"/>
  <c r="K19" i="5" s="1"/>
  <c r="V19" i="5" s="1"/>
  <c r="E19" i="5"/>
  <c r="D17" i="5"/>
  <c r="G17" i="5"/>
  <c r="R17" i="5" s="1"/>
  <c r="H17" i="5"/>
  <c r="S17" i="5" s="1"/>
  <c r="I17" i="5"/>
  <c r="T17" i="5" s="1"/>
  <c r="K17" i="5"/>
  <c r="V17" i="5" s="1"/>
  <c r="J17" i="5"/>
  <c r="U17" i="5" s="1"/>
  <c r="E17" i="5"/>
  <c r="D22" i="5"/>
  <c r="E22" i="5"/>
  <c r="E21" i="5"/>
  <c r="D21" i="5"/>
  <c r="E16" i="5"/>
  <c r="D16" i="5"/>
  <c r="G16" i="5" s="1"/>
  <c r="R16" i="5" s="1"/>
  <c r="H8" i="5"/>
  <c r="S8" i="5" s="1"/>
  <c r="G8" i="5"/>
  <c r="R8" i="5" s="1"/>
  <c r="E8" i="5"/>
  <c r="J8" i="5"/>
  <c r="U8" i="5" s="1"/>
  <c r="I8" i="5"/>
  <c r="T8" i="5" s="1"/>
  <c r="F8" i="5"/>
  <c r="Q8" i="5" s="1"/>
  <c r="D8" i="5"/>
  <c r="D11" i="5"/>
  <c r="G11" i="5" s="1"/>
  <c r="R11" i="5" s="1"/>
  <c r="E11" i="5"/>
  <c r="V47" i="3"/>
  <c r="L38" i="3"/>
  <c r="K36" i="3"/>
  <c r="J30" i="3"/>
  <c r="U30" i="3" s="1"/>
  <c r="D9" i="14"/>
  <c r="D17" i="13"/>
  <c r="C17" i="13"/>
  <c r="C5" i="13" s="1"/>
  <c r="C38" i="13" s="1"/>
  <c r="C9" i="14"/>
  <c r="J7" i="14"/>
  <c r="J15" i="13"/>
  <c r="I7" i="14"/>
  <c r="I15" i="13"/>
  <c r="H15" i="13"/>
  <c r="H7" i="14"/>
  <c r="G15" i="13"/>
  <c r="G7" i="14"/>
  <c r="F15" i="13"/>
  <c r="F7" i="14"/>
  <c r="E15" i="13"/>
  <c r="O78" i="10"/>
  <c r="O24" i="10"/>
  <c r="N31" i="10" s="1"/>
  <c r="I7" i="7"/>
  <c r="M71" i="3"/>
  <c r="N11" i="7"/>
  <c r="N58" i="3"/>
  <c r="N71" i="3"/>
  <c r="W47" i="3"/>
  <c r="L49" i="3"/>
  <c r="N22" i="10"/>
  <c r="M16" i="10"/>
  <c r="M47" i="3"/>
  <c r="X58" i="3"/>
  <c r="K47" i="3"/>
  <c r="J7" i="7"/>
  <c r="X25" i="3"/>
  <c r="J25" i="3"/>
  <c r="N47" i="3"/>
  <c r="L58" i="3"/>
  <c r="Y47" i="3"/>
  <c r="O58" i="3"/>
  <c r="Y58" i="3"/>
  <c r="O47" i="3"/>
  <c r="M58" i="3"/>
  <c r="L47" i="3"/>
  <c r="N63" i="3"/>
  <c r="Y63" i="3" s="1"/>
  <c r="N64" i="3"/>
  <c r="Y64" i="3" s="1"/>
  <c r="N65" i="3"/>
  <c r="Y65" i="3" s="1"/>
  <c r="N66" i="3"/>
  <c r="Y66" i="3" s="1"/>
  <c r="L64" i="3"/>
  <c r="W64" i="3" s="1"/>
  <c r="M27" i="3"/>
  <c r="N36" i="3"/>
  <c r="Y80" i="3"/>
  <c r="M42" i="3"/>
  <c r="X42" i="3" s="1"/>
  <c r="M43" i="3"/>
  <c r="X43" i="3" s="1"/>
  <c r="M41" i="3"/>
  <c r="X41" i="3" s="1"/>
  <c r="M44" i="3"/>
  <c r="X44" i="3" s="1"/>
  <c r="L43" i="3"/>
  <c r="W43" i="3" s="1"/>
  <c r="L44" i="3"/>
  <c r="W44" i="3" s="1"/>
  <c r="L41" i="3"/>
  <c r="W41" i="3" s="1"/>
  <c r="L42" i="3"/>
  <c r="W42" i="3" s="1"/>
  <c r="N55" i="3"/>
  <c r="N52" i="3"/>
  <c r="N53" i="3"/>
  <c r="N54" i="3"/>
  <c r="Y54" i="3" s="1"/>
  <c r="I27" i="3"/>
  <c r="M60" i="3"/>
  <c r="M69" i="3"/>
  <c r="O80" i="3"/>
  <c r="X36" i="3"/>
  <c r="J27" i="3"/>
  <c r="O69" i="3"/>
  <c r="Y36" i="3"/>
  <c r="N41" i="3"/>
  <c r="Y41" i="3" s="1"/>
  <c r="N42" i="3"/>
  <c r="Y42" i="3" s="1"/>
  <c r="N43" i="3"/>
  <c r="Y43" i="3" s="1"/>
  <c r="N44" i="3"/>
  <c r="Y44" i="3" s="1"/>
  <c r="L53" i="3"/>
  <c r="W53" i="3" s="1"/>
  <c r="L54" i="3"/>
  <c r="W54" i="3" s="1"/>
  <c r="L52" i="3"/>
  <c r="L55" i="3"/>
  <c r="W55" i="3" s="1"/>
  <c r="K44" i="3"/>
  <c r="V44" i="3" s="1"/>
  <c r="K43" i="3"/>
  <c r="V43" i="3" s="1"/>
  <c r="K41" i="3"/>
  <c r="V41" i="3" s="1"/>
  <c r="K42" i="3"/>
  <c r="V42" i="3" s="1"/>
  <c r="M52" i="3"/>
  <c r="M55" i="3"/>
  <c r="M53" i="3"/>
  <c r="M54" i="3"/>
  <c r="X54" i="3" s="1"/>
  <c r="M64" i="3"/>
  <c r="X64" i="3" s="1"/>
  <c r="M65" i="3"/>
  <c r="X65" i="3" s="1"/>
  <c r="M66" i="3"/>
  <c r="X66" i="3" s="1"/>
  <c r="M63" i="3"/>
  <c r="X63" i="3" s="1"/>
  <c r="X77" i="3"/>
  <c r="J6" i="7"/>
  <c r="L10" i="7"/>
  <c r="K32" i="3"/>
  <c r="V32" i="3" s="1"/>
  <c r="K33" i="3"/>
  <c r="K30" i="3"/>
  <c r="V30" i="3" s="1"/>
  <c r="K31" i="3"/>
  <c r="L31" i="3"/>
  <c r="L32" i="3"/>
  <c r="W32" i="3" s="1"/>
  <c r="L30" i="3"/>
  <c r="W30" i="3" s="1"/>
  <c r="L33" i="3"/>
  <c r="M30" i="3"/>
  <c r="X30" i="3" s="1"/>
  <c r="M31" i="3"/>
  <c r="M32" i="3"/>
  <c r="X32" i="3" s="1"/>
  <c r="M33" i="3"/>
  <c r="J33" i="3"/>
  <c r="U33" i="3" s="1"/>
  <c r="J31" i="3"/>
  <c r="U31" i="3" s="1"/>
  <c r="J32" i="3"/>
  <c r="U32" i="3" s="1"/>
  <c r="Y77" i="3"/>
  <c r="U42" i="3"/>
  <c r="M49" i="3"/>
  <c r="N49" i="3"/>
  <c r="K49" i="3"/>
  <c r="L36" i="3"/>
  <c r="J38" i="3"/>
  <c r="N38" i="3"/>
  <c r="V36" i="3"/>
  <c r="M38" i="3"/>
  <c r="M36" i="3"/>
  <c r="K38" i="3"/>
  <c r="V25" i="3"/>
  <c r="L25" i="3"/>
  <c r="I25" i="3"/>
  <c r="M25" i="3"/>
  <c r="W25" i="3"/>
  <c r="K25" i="3"/>
  <c r="U25" i="3"/>
  <c r="N10" i="7"/>
  <c r="L8" i="7"/>
  <c r="K9" i="7"/>
  <c r="L9" i="7"/>
  <c r="I5" i="7"/>
  <c r="J8" i="7"/>
  <c r="C20" i="3"/>
  <c r="C21" i="3"/>
  <c r="C22" i="3"/>
  <c r="K22" i="3" s="1"/>
  <c r="V22" i="3" s="1"/>
  <c r="C15" i="3"/>
  <c r="C16" i="3"/>
  <c r="C17" i="3"/>
  <c r="C10" i="3"/>
  <c r="C11" i="3"/>
  <c r="C8" i="3"/>
  <c r="H11" i="5" l="1"/>
  <c r="S11" i="5" s="1"/>
  <c r="I11" i="5"/>
  <c r="T11" i="5" s="1"/>
  <c r="F11" i="5"/>
  <c r="Q11" i="5" s="1"/>
  <c r="L26" i="5"/>
  <c r="W26" i="5" s="1"/>
  <c r="I26" i="5"/>
  <c r="T26" i="5" s="1"/>
  <c r="H26" i="5"/>
  <c r="S26" i="5" s="1"/>
  <c r="J43" i="5"/>
  <c r="U43" i="5" s="1"/>
  <c r="J26" i="5"/>
  <c r="U26" i="5" s="1"/>
  <c r="I37" i="5"/>
  <c r="T37" i="5" s="1"/>
  <c r="N24" i="10"/>
  <c r="M31" i="10" s="1"/>
  <c r="M33" i="10" s="1"/>
  <c r="I43" i="5"/>
  <c r="T43" i="5" s="1"/>
  <c r="N42" i="10"/>
  <c r="M49" i="10" s="1"/>
  <c r="M51" i="10" s="1"/>
  <c r="I27" i="5"/>
  <c r="T27" i="5" s="1"/>
  <c r="V53" i="5"/>
  <c r="K37" i="5"/>
  <c r="V37" i="5" s="1"/>
  <c r="I30" i="5"/>
  <c r="T30" i="5" s="1"/>
  <c r="U55" i="5"/>
  <c r="J37" i="5"/>
  <c r="U37" i="5" s="1"/>
  <c r="L37" i="5"/>
  <c r="W37" i="5" s="1"/>
  <c r="M37" i="5"/>
  <c r="X37" i="5" s="1"/>
  <c r="J36" i="5"/>
  <c r="U36" i="5" s="1"/>
  <c r="L36" i="5"/>
  <c r="W36" i="5" s="1"/>
  <c r="K36" i="5"/>
  <c r="V36" i="5" s="1"/>
  <c r="I36" i="5"/>
  <c r="T36" i="5" s="1"/>
  <c r="K27" i="5"/>
  <c r="V27" i="5" s="1"/>
  <c r="H27" i="5"/>
  <c r="S27" i="5" s="1"/>
  <c r="J27" i="5"/>
  <c r="U27" i="5" s="1"/>
  <c r="N33" i="10"/>
  <c r="M40" i="10" s="1"/>
  <c r="M42" i="10" s="1"/>
  <c r="M43" i="10" s="1"/>
  <c r="J25" i="5"/>
  <c r="U25" i="5" s="1"/>
  <c r="K25" i="5"/>
  <c r="V25" i="5" s="1"/>
  <c r="H25" i="5"/>
  <c r="S25" i="5" s="1"/>
  <c r="D9" i="16"/>
  <c r="AF7" i="10"/>
  <c r="K47" i="5"/>
  <c r="V47" i="5" s="1"/>
  <c r="L47" i="5"/>
  <c r="W47" i="5" s="1"/>
  <c r="J47" i="5"/>
  <c r="U47" i="5" s="1"/>
  <c r="N47" i="5"/>
  <c r="M47" i="5"/>
  <c r="X47" i="5" s="1"/>
  <c r="S33" i="5"/>
  <c r="R22" i="5"/>
  <c r="G15" i="5"/>
  <c r="R15" i="5" s="1"/>
  <c r="I15" i="5"/>
  <c r="T15" i="5" s="1"/>
  <c r="J6" i="14"/>
  <c r="C6" i="14"/>
  <c r="D14" i="13"/>
  <c r="F14" i="13"/>
  <c r="E6" i="14"/>
  <c r="M17" i="7"/>
  <c r="K17" i="7"/>
  <c r="L17" i="7"/>
  <c r="J17" i="7"/>
  <c r="F6" i="14" s="1"/>
  <c r="H17" i="7"/>
  <c r="D6" i="14" s="1"/>
  <c r="T44" i="5"/>
  <c r="G56" i="15"/>
  <c r="M56" i="15" s="1"/>
  <c r="N56" i="15"/>
  <c r="N40" i="15"/>
  <c r="F56" i="15" s="1"/>
  <c r="G8" i="15"/>
  <c r="M8" i="15" s="1"/>
  <c r="N24" i="15"/>
  <c r="F40" i="15" s="1"/>
  <c r="G40" i="15"/>
  <c r="M40" i="15" s="1"/>
  <c r="N8" i="15"/>
  <c r="F24" i="15" s="1"/>
  <c r="G24" i="15"/>
  <c r="M24" i="15" s="1"/>
  <c r="W15" i="10"/>
  <c r="W77" i="5"/>
  <c r="W44" i="5"/>
  <c r="J41" i="5"/>
  <c r="U41" i="5" s="1"/>
  <c r="D60" i="15"/>
  <c r="J60" i="15" s="1"/>
  <c r="L52" i="5"/>
  <c r="W52" i="5" s="1"/>
  <c r="L59" i="5"/>
  <c r="W59" i="5" s="1"/>
  <c r="K60" i="15"/>
  <c r="K44" i="15"/>
  <c r="C60" i="15" s="1"/>
  <c r="D28" i="15"/>
  <c r="J28" i="15" s="1"/>
  <c r="G20" i="5"/>
  <c r="R20" i="5" s="1"/>
  <c r="H31" i="5"/>
  <c r="S31" i="5" s="1"/>
  <c r="K28" i="15"/>
  <c r="C44" i="15" s="1"/>
  <c r="D44" i="15"/>
  <c r="J44" i="15" s="1"/>
  <c r="K12" i="15"/>
  <c r="C28" i="15" s="1"/>
  <c r="J42" i="5"/>
  <c r="U42" i="5" s="1"/>
  <c r="I42" i="5"/>
  <c r="T42" i="5" s="1"/>
  <c r="L32" i="5"/>
  <c r="W32" i="5" s="1"/>
  <c r="J31" i="5"/>
  <c r="U31" i="5" s="1"/>
  <c r="K30" i="5"/>
  <c r="V30" i="5" s="1"/>
  <c r="K52" i="5"/>
  <c r="V52" i="5" s="1"/>
  <c r="L63" i="5"/>
  <c r="W63" i="5" s="1"/>
  <c r="L41" i="5"/>
  <c r="W41" i="5" s="1"/>
  <c r="K20" i="5"/>
  <c r="V20" i="5" s="1"/>
  <c r="J14" i="14"/>
  <c r="J13" i="14" s="1"/>
  <c r="D12" i="13"/>
  <c r="N71" i="5"/>
  <c r="X36" i="5"/>
  <c r="K42" i="5"/>
  <c r="V42" i="5" s="1"/>
  <c r="J32" i="5"/>
  <c r="U32" i="5" s="1"/>
  <c r="H32" i="5"/>
  <c r="S32" i="5" s="1"/>
  <c r="J19" i="5"/>
  <c r="U19" i="5" s="1"/>
  <c r="K31" i="5"/>
  <c r="V31" i="5" s="1"/>
  <c r="M52" i="5"/>
  <c r="X52" i="5" s="1"/>
  <c r="M41" i="5"/>
  <c r="X41" i="5" s="1"/>
  <c r="J20" i="5"/>
  <c r="U20" i="5" s="1"/>
  <c r="V14" i="5"/>
  <c r="L42" i="5"/>
  <c r="W42" i="5" s="1"/>
  <c r="I19" i="5"/>
  <c r="T19" i="5" s="1"/>
  <c r="I31" i="5"/>
  <c r="T31" i="5" s="1"/>
  <c r="L30" i="5"/>
  <c r="W30" i="5" s="1"/>
  <c r="K41" i="5"/>
  <c r="V41" i="5" s="1"/>
  <c r="I20" i="5"/>
  <c r="T20" i="5" s="1"/>
  <c r="C5" i="14"/>
  <c r="I14" i="14"/>
  <c r="I13" i="14" s="1"/>
  <c r="H30" i="5"/>
  <c r="S30" i="5" s="1"/>
  <c r="T32" i="5"/>
  <c r="K32" i="5"/>
  <c r="V32" i="5" s="1"/>
  <c r="H19" i="5"/>
  <c r="S19" i="5" s="1"/>
  <c r="L31" i="5"/>
  <c r="W31" i="5" s="1"/>
  <c r="J30" i="5"/>
  <c r="U30" i="5" s="1"/>
  <c r="M63" i="5"/>
  <c r="X63" i="5" s="1"/>
  <c r="H20" i="5"/>
  <c r="S20" i="5" s="1"/>
  <c r="V30" i="10"/>
  <c r="V32" i="10" s="1"/>
  <c r="V34" i="10" s="1"/>
  <c r="W22" i="10"/>
  <c r="W24" i="10" s="1"/>
  <c r="W30" i="10"/>
  <c r="X22" i="10"/>
  <c r="X24" i="10" s="1"/>
  <c r="X50" i="10"/>
  <c r="Y42" i="10"/>
  <c r="Y44" i="10" s="1"/>
  <c r="X40" i="10"/>
  <c r="Y32" i="10"/>
  <c r="Y34" i="10" s="1"/>
  <c r="X70" i="10"/>
  <c r="Y62" i="10"/>
  <c r="Y64" i="10" s="1"/>
  <c r="X60" i="10"/>
  <c r="Y52" i="10"/>
  <c r="Y54" i="10" s="1"/>
  <c r="X30" i="10"/>
  <c r="Y22" i="10"/>
  <c r="Y24" i="10" s="1"/>
  <c r="X80" i="10"/>
  <c r="X82" i="10" s="1"/>
  <c r="X84" i="10" s="1"/>
  <c r="Y72" i="10"/>
  <c r="Y74" i="10" s="1"/>
  <c r="M70" i="5"/>
  <c r="X70" i="5" s="1"/>
  <c r="L70" i="5"/>
  <c r="W70" i="5" s="1"/>
  <c r="G19" i="5"/>
  <c r="R19" i="5" s="1"/>
  <c r="N72" i="5"/>
  <c r="L38" i="5"/>
  <c r="W38" i="5" s="1"/>
  <c r="K63" i="5"/>
  <c r="V63" i="5" s="1"/>
  <c r="K59" i="5"/>
  <c r="V59" i="5" s="1"/>
  <c r="M59" i="5"/>
  <c r="X59" i="5" s="1"/>
  <c r="O51" i="10"/>
  <c r="N58" i="10" s="1"/>
  <c r="N60" i="10" s="1"/>
  <c r="M67" i="10" s="1"/>
  <c r="M69" i="10" s="1"/>
  <c r="M70" i="10" s="1"/>
  <c r="N28" i="16" s="1"/>
  <c r="J52" i="5"/>
  <c r="U52" i="5" s="1"/>
  <c r="J38" i="5"/>
  <c r="U38" i="5" s="1"/>
  <c r="L72" i="5"/>
  <c r="W72" i="5" s="1"/>
  <c r="M72" i="5"/>
  <c r="X72" i="5" s="1"/>
  <c r="L71" i="5"/>
  <c r="W71" i="5" s="1"/>
  <c r="M71" i="5"/>
  <c r="X71" i="5" s="1"/>
  <c r="X75" i="5"/>
  <c r="W75" i="5"/>
  <c r="M69" i="5"/>
  <c r="X69" i="5" s="1"/>
  <c r="N69" i="5"/>
  <c r="L69" i="5"/>
  <c r="W69" i="5" s="1"/>
  <c r="N59" i="5"/>
  <c r="V64" i="5"/>
  <c r="N60" i="5"/>
  <c r="K60" i="5"/>
  <c r="V60" i="5" s="1"/>
  <c r="M60" i="5"/>
  <c r="X60" i="5" s="1"/>
  <c r="L60" i="5"/>
  <c r="W60" i="5" s="1"/>
  <c r="W64" i="5"/>
  <c r="V66" i="5"/>
  <c r="W66" i="5"/>
  <c r="M58" i="5"/>
  <c r="X58" i="5" s="1"/>
  <c r="L58" i="5"/>
  <c r="W58" i="5" s="1"/>
  <c r="K58" i="5"/>
  <c r="V58" i="5" s="1"/>
  <c r="N58" i="5"/>
  <c r="K38" i="5"/>
  <c r="V38" i="5" s="1"/>
  <c r="I41" i="5"/>
  <c r="T41" i="5" s="1"/>
  <c r="I38" i="5"/>
  <c r="T38" i="5" s="1"/>
  <c r="M38" i="5"/>
  <c r="X38" i="5" s="1"/>
  <c r="L48" i="5"/>
  <c r="W48" i="5" s="1"/>
  <c r="J48" i="5"/>
  <c r="U48" i="5" s="1"/>
  <c r="M48" i="5"/>
  <c r="X48" i="5" s="1"/>
  <c r="N48" i="5"/>
  <c r="K48" i="5"/>
  <c r="V48" i="5" s="1"/>
  <c r="H14" i="5"/>
  <c r="S14" i="5" s="1"/>
  <c r="G14" i="5"/>
  <c r="R14" i="5" s="1"/>
  <c r="I14" i="5"/>
  <c r="T14" i="5" s="1"/>
  <c r="J14" i="5"/>
  <c r="U14" i="5" s="1"/>
  <c r="M79" i="10"/>
  <c r="S28" i="16" s="1"/>
  <c r="K11" i="3"/>
  <c r="U8" i="3"/>
  <c r="R8" i="3"/>
  <c r="V8" i="3"/>
  <c r="S8" i="3"/>
  <c r="T8" i="3"/>
  <c r="W33" i="3"/>
  <c r="X33" i="3"/>
  <c r="W31" i="3"/>
  <c r="X31" i="3"/>
  <c r="V33" i="3"/>
  <c r="V31" i="3"/>
  <c r="J22" i="3"/>
  <c r="U22" i="3" s="1"/>
  <c r="L22" i="3"/>
  <c r="W22" i="3" s="1"/>
  <c r="I22" i="3"/>
  <c r="T22" i="3" s="1"/>
  <c r="E19" i="3"/>
  <c r="D20" i="3"/>
  <c r="U17" i="3"/>
  <c r="H17" i="3"/>
  <c r="V17" i="3"/>
  <c r="S17" i="3"/>
  <c r="W17" i="3"/>
  <c r="J17" i="3"/>
  <c r="T17" i="3"/>
  <c r="K17" i="3"/>
  <c r="L17" i="3"/>
  <c r="I17" i="3"/>
  <c r="K8" i="3"/>
  <c r="G8" i="3"/>
  <c r="D22" i="3"/>
  <c r="H22" i="3"/>
  <c r="S22" i="3" s="1"/>
  <c r="D21" i="3"/>
  <c r="D17" i="3"/>
  <c r="D14" i="3"/>
  <c r="T14" i="3" s="1"/>
  <c r="D16" i="3"/>
  <c r="D15" i="3"/>
  <c r="T15" i="3" s="1"/>
  <c r="D10" i="3"/>
  <c r="K10" i="3" s="1"/>
  <c r="V10" i="3" s="1"/>
  <c r="D8" i="3"/>
  <c r="F19" i="3"/>
  <c r="D11" i="3"/>
  <c r="I11" i="3" s="1"/>
  <c r="D19" i="3"/>
  <c r="I19" i="3" s="1"/>
  <c r="F22" i="3"/>
  <c r="F21" i="3"/>
  <c r="F20" i="3"/>
  <c r="E22" i="3"/>
  <c r="E21" i="3"/>
  <c r="E20" i="3"/>
  <c r="E14" i="3"/>
  <c r="F14" i="3"/>
  <c r="F17" i="3"/>
  <c r="F16" i="3"/>
  <c r="F15" i="3"/>
  <c r="E17" i="3"/>
  <c r="E16" i="3"/>
  <c r="E15" i="3"/>
  <c r="F11" i="3"/>
  <c r="F10" i="3"/>
  <c r="E11" i="3"/>
  <c r="E10" i="3"/>
  <c r="F7" i="3"/>
  <c r="F8" i="3"/>
  <c r="E8" i="3"/>
  <c r="H10" i="3" l="1"/>
  <c r="J21" i="3"/>
  <c r="U21" i="3" s="1"/>
  <c r="M25" i="10"/>
  <c r="AF8" i="10" s="1"/>
  <c r="M34" i="10"/>
  <c r="N9" i="16" s="1"/>
  <c r="W15" i="3"/>
  <c r="H15" i="3"/>
  <c r="K15" i="3"/>
  <c r="I15" i="3"/>
  <c r="D11" i="16"/>
  <c r="D16" i="16" s="1"/>
  <c r="D19" i="16" s="1"/>
  <c r="AG7" i="10"/>
  <c r="I9" i="16"/>
  <c r="S9" i="16"/>
  <c r="AF10" i="10"/>
  <c r="J15" i="3"/>
  <c r="V15" i="3"/>
  <c r="L15" i="3"/>
  <c r="U15" i="3"/>
  <c r="S15" i="3"/>
  <c r="I14" i="13"/>
  <c r="H6" i="14"/>
  <c r="H14" i="13"/>
  <c r="G6" i="14"/>
  <c r="G14" i="13"/>
  <c r="E14" i="13"/>
  <c r="I6" i="14"/>
  <c r="J14" i="13"/>
  <c r="K9" i="15"/>
  <c r="C25" i="15" s="1"/>
  <c r="D5" i="13"/>
  <c r="G12" i="13"/>
  <c r="C4" i="14"/>
  <c r="F12" i="13"/>
  <c r="F5" i="13" s="1"/>
  <c r="H5" i="14"/>
  <c r="H12" i="13"/>
  <c r="J12" i="13"/>
  <c r="E12" i="13"/>
  <c r="I12" i="13"/>
  <c r="D5" i="14"/>
  <c r="D4" i="14" s="1"/>
  <c r="F5" i="14"/>
  <c r="F4" i="14" s="1"/>
  <c r="I5" i="14"/>
  <c r="D9" i="15"/>
  <c r="J9" i="15" s="1"/>
  <c r="D7" i="15"/>
  <c r="E5" i="14"/>
  <c r="J5" i="14"/>
  <c r="J4" i="14" s="1"/>
  <c r="J25" i="14" s="1"/>
  <c r="G5" i="14"/>
  <c r="D4" i="13"/>
  <c r="D15" i="15"/>
  <c r="W60" i="10"/>
  <c r="X52" i="10"/>
  <c r="X54" i="10" s="1"/>
  <c r="W50" i="10"/>
  <c r="X42" i="10"/>
  <c r="X44" i="10" s="1"/>
  <c r="V40" i="10"/>
  <c r="V42" i="10" s="1"/>
  <c r="V44" i="10" s="1"/>
  <c r="W32" i="10"/>
  <c r="W34" i="10" s="1"/>
  <c r="W70" i="10"/>
  <c r="X62" i="10"/>
  <c r="X64" i="10" s="1"/>
  <c r="W25" i="10"/>
  <c r="W40" i="10"/>
  <c r="X32" i="10"/>
  <c r="X34" i="10" s="1"/>
  <c r="W80" i="10"/>
  <c r="W82" i="10" s="1"/>
  <c r="W84" i="10" s="1"/>
  <c r="X72" i="10"/>
  <c r="X74" i="10" s="1"/>
  <c r="J16" i="3"/>
  <c r="J10" i="3"/>
  <c r="U10" i="3" s="1"/>
  <c r="G10" i="3"/>
  <c r="R10" i="3" s="1"/>
  <c r="V16" i="3"/>
  <c r="K16" i="3"/>
  <c r="S16" i="3"/>
  <c r="I16" i="3"/>
  <c r="U16" i="3"/>
  <c r="W16" i="3"/>
  <c r="L16" i="3"/>
  <c r="T16" i="3"/>
  <c r="H16" i="3"/>
  <c r="M61" i="10"/>
  <c r="M52" i="10"/>
  <c r="I21" i="3"/>
  <c r="T21" i="3" s="1"/>
  <c r="H21" i="3"/>
  <c r="S21" i="3" s="1"/>
  <c r="K21" i="3"/>
  <c r="V21" i="3" s="1"/>
  <c r="L21" i="3"/>
  <c r="W21" i="3" s="1"/>
  <c r="K19" i="3"/>
  <c r="V19" i="3" s="1"/>
  <c r="L19" i="3"/>
  <c r="W19" i="3" s="1"/>
  <c r="T19" i="3"/>
  <c r="J19" i="3"/>
  <c r="U19" i="3" s="1"/>
  <c r="H19" i="3"/>
  <c r="S19" i="3" s="1"/>
  <c r="I10" i="3"/>
  <c r="T10" i="3" s="1"/>
  <c r="S10" i="3"/>
  <c r="I20" i="3"/>
  <c r="T20" i="3" s="1"/>
  <c r="G11" i="3"/>
  <c r="J11" i="3"/>
  <c r="U11" i="3" s="1"/>
  <c r="V11" i="3"/>
  <c r="H11" i="3"/>
  <c r="S11" i="3" s="1"/>
  <c r="K20" i="3"/>
  <c r="V20" i="3" s="1"/>
  <c r="L20" i="3"/>
  <c r="W20" i="3" s="1"/>
  <c r="I8" i="3"/>
  <c r="H8" i="3"/>
  <c r="J8" i="3"/>
  <c r="J20" i="3"/>
  <c r="U20" i="3" s="1"/>
  <c r="T11" i="3"/>
  <c r="H20" i="3"/>
  <c r="S20" i="3" s="1"/>
  <c r="R11" i="3"/>
  <c r="K14" i="3"/>
  <c r="V14" i="3"/>
  <c r="S14" i="3"/>
  <c r="U14" i="3"/>
  <c r="I14" i="3"/>
  <c r="T7" i="3"/>
  <c r="G7" i="3"/>
  <c r="L14" i="3"/>
  <c r="J14" i="3"/>
  <c r="H14" i="3"/>
  <c r="W14" i="3"/>
  <c r="I7" i="3"/>
  <c r="H7" i="3"/>
  <c r="K7" i="3"/>
  <c r="J7" i="3"/>
  <c r="G27" i="13" l="1"/>
  <c r="H27" i="13"/>
  <c r="E5" i="13"/>
  <c r="AF9" i="10"/>
  <c r="I11" i="16"/>
  <c r="I16" i="16" s="1"/>
  <c r="I19" i="16" s="1"/>
  <c r="AG8" i="10"/>
  <c r="I28" i="16"/>
  <c r="AF12" i="10"/>
  <c r="D28" i="16"/>
  <c r="AF11" i="10"/>
  <c r="H4" i="14"/>
  <c r="G4" i="14"/>
  <c r="J5" i="13"/>
  <c r="K25" i="15"/>
  <c r="C41" i="15" s="1"/>
  <c r="I4" i="14"/>
  <c r="I25" i="14" s="1"/>
  <c r="I5" i="13"/>
  <c r="H5" i="13"/>
  <c r="G5" i="13"/>
  <c r="K57" i="15"/>
  <c r="D41" i="15"/>
  <c r="J41" i="15" s="1"/>
  <c r="K41" i="15"/>
  <c r="C57" i="15" s="1"/>
  <c r="D57" i="15"/>
  <c r="J57" i="15" s="1"/>
  <c r="D25" i="15"/>
  <c r="J25" i="15" s="1"/>
  <c r="K55" i="15"/>
  <c r="D16" i="15"/>
  <c r="J7" i="15"/>
  <c r="C14" i="14"/>
  <c r="C13" i="14" s="1"/>
  <c r="C25" i="14" s="1"/>
  <c r="D27" i="13"/>
  <c r="K7" i="15"/>
  <c r="W35" i="10"/>
  <c r="K23" i="15"/>
  <c r="F14" i="14"/>
  <c r="F13" i="14" s="1"/>
  <c r="F25" i="14" s="1"/>
  <c r="G14" i="14"/>
  <c r="G13" i="14" s="1"/>
  <c r="D55" i="15"/>
  <c r="J55" i="15" s="1"/>
  <c r="K39" i="15"/>
  <c r="D23" i="15"/>
  <c r="E4" i="14"/>
  <c r="D14" i="14"/>
  <c r="D13" i="14" s="1"/>
  <c r="D25" i="14" s="1"/>
  <c r="E14" i="14"/>
  <c r="E13" i="14" s="1"/>
  <c r="H14" i="14"/>
  <c r="H13" i="14" s="1"/>
  <c r="D39" i="15"/>
  <c r="J15" i="15"/>
  <c r="V80" i="10"/>
  <c r="V82" i="10" s="1"/>
  <c r="V84" i="10" s="1"/>
  <c r="W85" i="10" s="1"/>
  <c r="S30" i="16" s="1"/>
  <c r="S35" i="16" s="1"/>
  <c r="W72" i="10"/>
  <c r="W74" i="10" s="1"/>
  <c r="V60" i="10"/>
  <c r="V62" i="10" s="1"/>
  <c r="V64" i="10" s="1"/>
  <c r="W52" i="10"/>
  <c r="W54" i="10" s="1"/>
  <c r="V50" i="10"/>
  <c r="V52" i="10" s="1"/>
  <c r="V54" i="10" s="1"/>
  <c r="W42" i="10"/>
  <c r="W44" i="10" s="1"/>
  <c r="W45" i="10" s="1"/>
  <c r="V70" i="10"/>
  <c r="V72" i="10" s="1"/>
  <c r="V74" i="10" s="1"/>
  <c r="W62" i="10"/>
  <c r="W64" i="10" s="1"/>
  <c r="E27" i="13"/>
  <c r="F27" i="13"/>
  <c r="Y52" i="3"/>
  <c r="W52" i="3"/>
  <c r="I27" i="13" s="1"/>
  <c r="N11" i="16" l="1"/>
  <c r="N16" i="16" s="1"/>
  <c r="N19" i="16" s="1"/>
  <c r="AG9" i="10"/>
  <c r="C26" i="14"/>
  <c r="D26" i="14" s="1"/>
  <c r="S11" i="16"/>
  <c r="S16" i="16" s="1"/>
  <c r="S19" i="16" s="1"/>
  <c r="AG10" i="10"/>
  <c r="G25" i="14"/>
  <c r="W55" i="10"/>
  <c r="H25" i="14"/>
  <c r="G6" i="15"/>
  <c r="J16" i="15"/>
  <c r="C55" i="15"/>
  <c r="C39" i="15"/>
  <c r="C23" i="15"/>
  <c r="J39" i="15"/>
  <c r="J23" i="15"/>
  <c r="S38" i="16"/>
  <c r="W75" i="10"/>
  <c r="N30" i="16" s="1"/>
  <c r="N35" i="16" s="1"/>
  <c r="W65" i="10"/>
  <c r="G38" i="15"/>
  <c r="M38" i="15" s="1"/>
  <c r="G54" i="15"/>
  <c r="M54" i="15" s="1"/>
  <c r="N6" i="15"/>
  <c r="F22" i="15" s="1"/>
  <c r="N38" i="15"/>
  <c r="F54" i="15" s="1"/>
  <c r="N22" i="15"/>
  <c r="F38" i="15" s="1"/>
  <c r="E25" i="14"/>
  <c r="G22" i="15"/>
  <c r="M22" i="15" s="1"/>
  <c r="X52" i="3"/>
  <c r="Y53" i="3"/>
  <c r="X55" i="3"/>
  <c r="X53" i="3"/>
  <c r="Y55" i="3"/>
  <c r="J27" i="13" l="1"/>
  <c r="N54" i="15" s="1"/>
  <c r="M6" i="15"/>
  <c r="E26" i="14"/>
  <c r="F26" i="14" s="1"/>
  <c r="G26" i="14" s="1"/>
  <c r="I30" i="16"/>
  <c r="I35" i="16" s="1"/>
  <c r="I38" i="16" s="1"/>
  <c r="AG12" i="10"/>
  <c r="D30" i="16"/>
  <c r="D35" i="16" s="1"/>
  <c r="D38" i="16" s="1"/>
  <c r="AG11" i="10"/>
  <c r="N38" i="16"/>
  <c r="C27" i="14"/>
  <c r="G13" i="15" s="1"/>
  <c r="G14" i="15" s="1"/>
  <c r="N9" i="15"/>
  <c r="E35" i="13"/>
  <c r="E20" i="13" s="1"/>
  <c r="D27" i="14"/>
  <c r="G9" i="15"/>
  <c r="D35" i="13"/>
  <c r="H26" i="14" l="1"/>
  <c r="I26" i="14" s="1"/>
  <c r="J26" i="14" s="1"/>
  <c r="D20" i="13"/>
  <c r="D38" i="13" s="1"/>
  <c r="E4" i="13" s="1"/>
  <c r="E38" i="13" s="1"/>
  <c r="M14" i="15"/>
  <c r="F27" i="14"/>
  <c r="M13" i="15"/>
  <c r="N13" i="15" s="1"/>
  <c r="E27" i="14"/>
  <c r="M9" i="15"/>
  <c r="G10" i="15"/>
  <c r="G16" i="15" s="1"/>
  <c r="B17" i="15" s="1"/>
  <c r="N10" i="15"/>
  <c r="F25" i="15"/>
  <c r="F35" i="13"/>
  <c r="F20" i="13" s="1"/>
  <c r="G25" i="15"/>
  <c r="K15" i="15" l="1"/>
  <c r="K16" i="15" s="1"/>
  <c r="N25" i="15"/>
  <c r="F41" i="15" s="1"/>
  <c r="N41" i="15"/>
  <c r="N42" i="15" s="1"/>
  <c r="F58" i="15" s="1"/>
  <c r="G35" i="13"/>
  <c r="G20" i="13" s="1"/>
  <c r="F26" i="15"/>
  <c r="F29" i="15"/>
  <c r="G29" i="15" s="1"/>
  <c r="G30" i="15" s="1"/>
  <c r="N14" i="15"/>
  <c r="G26" i="15"/>
  <c r="M25" i="15"/>
  <c r="M10" i="15"/>
  <c r="F4" i="13"/>
  <c r="F38" i="13" s="1"/>
  <c r="D31" i="15"/>
  <c r="D32" i="15" s="1"/>
  <c r="C31" i="15" l="1"/>
  <c r="N26" i="15"/>
  <c r="F42" i="15" s="1"/>
  <c r="H27" i="14"/>
  <c r="G41" i="15"/>
  <c r="G42" i="15" s="1"/>
  <c r="M42" i="15" s="1"/>
  <c r="N57" i="15"/>
  <c r="N58" i="15" s="1"/>
  <c r="G27" i="14"/>
  <c r="I35" i="13"/>
  <c r="I20" i="13" s="1"/>
  <c r="H35" i="13"/>
  <c r="H20" i="13" s="1"/>
  <c r="N16" i="15"/>
  <c r="F32" i="15" s="1"/>
  <c r="I20" i="16"/>
  <c r="F57" i="15"/>
  <c r="M16" i="15"/>
  <c r="M26" i="15"/>
  <c r="F30" i="15"/>
  <c r="M29" i="15"/>
  <c r="N29" i="15" s="1"/>
  <c r="J31" i="15"/>
  <c r="C32" i="15"/>
  <c r="K31" i="15"/>
  <c r="K32" i="15" s="1"/>
  <c r="G4" i="13"/>
  <c r="G38" i="13" s="1"/>
  <c r="I17" i="15" l="1"/>
  <c r="M41" i="15"/>
  <c r="J35" i="13"/>
  <c r="J20" i="13" s="1"/>
  <c r="G57" i="15"/>
  <c r="M57" i="15" s="1"/>
  <c r="I27" i="14"/>
  <c r="G32" i="15"/>
  <c r="M32" i="15" s="1"/>
  <c r="D20" i="16"/>
  <c r="N20" i="16"/>
  <c r="J27" i="14"/>
  <c r="H4" i="13"/>
  <c r="H38" i="13" s="1"/>
  <c r="D47" i="15"/>
  <c r="D48" i="15" s="1"/>
  <c r="F45" i="15"/>
  <c r="G45" i="15" s="1"/>
  <c r="N30" i="15"/>
  <c r="S20" i="16" s="1"/>
  <c r="M30" i="15"/>
  <c r="C47" i="15"/>
  <c r="J32" i="15"/>
  <c r="B33" i="15" l="1"/>
  <c r="G58" i="15"/>
  <c r="F46" i="15"/>
  <c r="N32" i="15"/>
  <c r="F48" i="15" s="1"/>
  <c r="G46" i="15"/>
  <c r="D39" i="16" s="1"/>
  <c r="M45" i="15"/>
  <c r="N45" i="15" s="1"/>
  <c r="J47" i="15"/>
  <c r="C48" i="15"/>
  <c r="K47" i="15"/>
  <c r="K48" i="15" s="1"/>
  <c r="I4" i="13"/>
  <c r="I38" i="13" s="1"/>
  <c r="I33" i="15" l="1"/>
  <c r="M58" i="15"/>
  <c r="F61" i="15"/>
  <c r="G61" i="15" s="1"/>
  <c r="N46" i="15"/>
  <c r="I39" i="16" s="1"/>
  <c r="M46" i="15"/>
  <c r="G48" i="15"/>
  <c r="M48" i="15" s="1"/>
  <c r="J4" i="13"/>
  <c r="J38" i="13" s="1"/>
  <c r="K63" i="15" s="1"/>
  <c r="K64" i="15" s="1"/>
  <c r="D63" i="15"/>
  <c r="D64" i="15" s="1"/>
  <c r="C63" i="15"/>
  <c r="J48" i="15"/>
  <c r="B49" i="15" l="1"/>
  <c r="G62" i="15"/>
  <c r="M61" i="15"/>
  <c r="N61" i="15" s="1"/>
  <c r="N62" i="15" s="1"/>
  <c r="S39" i="16" s="1"/>
  <c r="C64" i="15"/>
  <c r="J63" i="15"/>
  <c r="N48" i="15"/>
  <c r="F64" i="15" s="1"/>
  <c r="F62" i="15"/>
  <c r="G64" i="15" l="1"/>
  <c r="B65" i="15" s="1"/>
  <c r="N39" i="16"/>
  <c r="I49" i="15"/>
  <c r="J64" i="15"/>
  <c r="M62" i="15"/>
  <c r="N64" i="15"/>
  <c r="M64" i="15" l="1"/>
  <c r="I65" i="15" s="1"/>
</calcChain>
</file>

<file path=xl/sharedStrings.xml><?xml version="1.0" encoding="utf-8"?>
<sst xmlns="http://schemas.openxmlformats.org/spreadsheetml/2006/main" count="11465" uniqueCount="729">
  <si>
    <t>任务</t>
  </si>
  <si>
    <t>第一期</t>
    <phoneticPr fontId="5" type="noConversion"/>
  </si>
  <si>
    <t>第二期</t>
    <phoneticPr fontId="5" type="noConversion"/>
  </si>
  <si>
    <t>第三期</t>
    <phoneticPr fontId="5" type="noConversion"/>
  </si>
  <si>
    <t>第四期</t>
    <phoneticPr fontId="5" type="noConversion"/>
  </si>
  <si>
    <t>第五期</t>
    <phoneticPr fontId="5" type="noConversion"/>
  </si>
  <si>
    <t>第六期</t>
    <phoneticPr fontId="5" type="noConversion"/>
  </si>
  <si>
    <t>第七期</t>
    <phoneticPr fontId="5" type="noConversion"/>
  </si>
  <si>
    <t>第八期</t>
    <phoneticPr fontId="5" type="noConversion"/>
  </si>
  <si>
    <t>期初：</t>
  </si>
  <si>
    <t>编制新年度规划</t>
    <phoneticPr fontId="5" type="noConversion"/>
  </si>
  <si>
    <t>营销费用预算</t>
    <phoneticPr fontId="5" type="noConversion"/>
  </si>
  <si>
    <t>更新应收利息/应收利息到期</t>
    <phoneticPr fontId="5" type="noConversion"/>
  </si>
  <si>
    <t>更新应付利息/应付利息到期</t>
  </si>
  <si>
    <t>更新不良贷款/不良贷款清收</t>
    <phoneticPr fontId="5" type="noConversion"/>
  </si>
  <si>
    <t>拨备收回</t>
    <phoneticPr fontId="5" type="noConversion"/>
  </si>
  <si>
    <t>更新盘面</t>
  </si>
  <si>
    <t>支付上一年应付税金</t>
    <phoneticPr fontId="5" type="noConversion"/>
  </si>
  <si>
    <t>期中：</t>
    <phoneticPr fontId="5" type="noConversion"/>
  </si>
  <si>
    <t>现金盘点</t>
  </si>
  <si>
    <t>计提拨备</t>
    <phoneticPr fontId="5" type="noConversion"/>
  </si>
  <si>
    <t>总支行购置/租赁</t>
    <phoneticPr fontId="5" type="noConversion"/>
  </si>
  <si>
    <t>投放存款营销费用</t>
    <phoneticPr fontId="5" type="noConversion"/>
  </si>
  <si>
    <t>选择存款业务</t>
    <phoneticPr fontId="5" type="noConversion"/>
  </si>
  <si>
    <t xml:space="preserve">上缴存款准备金 </t>
    <phoneticPr fontId="5" type="noConversion"/>
  </si>
  <si>
    <t>登记存款业务单</t>
    <phoneticPr fontId="5" type="noConversion"/>
  </si>
  <si>
    <t>计算操作风险加权资产</t>
    <phoneticPr fontId="5" type="noConversion"/>
  </si>
  <si>
    <t>投放贷款营销费用</t>
    <phoneticPr fontId="5" type="noConversion"/>
  </si>
  <si>
    <t>贷款业务选择与审批</t>
    <phoneticPr fontId="5" type="noConversion"/>
  </si>
  <si>
    <t>登记贷款业务单</t>
    <phoneticPr fontId="5" type="noConversion"/>
  </si>
  <si>
    <t>公布市场公开信息</t>
    <phoneticPr fontId="5" type="noConversion"/>
  </si>
  <si>
    <t>进行贷款分类</t>
    <phoneticPr fontId="5" type="noConversion"/>
  </si>
  <si>
    <t>损失类贷款处置</t>
  </si>
  <si>
    <t>计算信用风险加权资产</t>
    <phoneticPr fontId="5" type="noConversion"/>
  </si>
  <si>
    <r>
      <t>计算</t>
    </r>
    <r>
      <rPr>
        <sz val="11"/>
        <color indexed="8"/>
        <rFont val="宋体"/>
        <family val="3"/>
        <charset val="134"/>
      </rPr>
      <t>市场风险加权资产</t>
    </r>
    <phoneticPr fontId="5" type="noConversion"/>
  </si>
  <si>
    <t>投资业务/计算投融资业务风险加权资产</t>
    <phoneticPr fontId="5" type="noConversion"/>
  </si>
  <si>
    <t>国债业务交易</t>
    <phoneticPr fontId="5" type="noConversion"/>
  </si>
  <si>
    <t>同业业务</t>
    <phoneticPr fontId="5" type="noConversion"/>
  </si>
  <si>
    <t>期末：</t>
    <phoneticPr fontId="5" type="noConversion"/>
  </si>
  <si>
    <t>支付机构运营费</t>
    <phoneticPr fontId="5" type="noConversion"/>
  </si>
  <si>
    <t>支付薪酬</t>
  </si>
  <si>
    <t>总/支行固定资产折旧</t>
    <phoneticPr fontId="5" type="noConversion"/>
  </si>
  <si>
    <t>编制财务报表</t>
    <phoneticPr fontId="5" type="noConversion"/>
  </si>
  <si>
    <t>编制监管报表</t>
  </si>
  <si>
    <r>
      <t>备注：1</t>
    </r>
    <r>
      <rPr>
        <sz val="11"/>
        <color theme="1"/>
        <rFont val="宋体"/>
        <family val="2"/>
        <scheme val="minor"/>
      </rPr>
      <t>.</t>
    </r>
    <r>
      <rPr>
        <sz val="11"/>
        <color indexed="8"/>
        <rFont val="宋体"/>
        <family val="3"/>
        <charset val="134"/>
      </rPr>
      <t>每个步骤完成后，在相应的单元格内打√；</t>
    </r>
    <r>
      <rPr>
        <sz val="11"/>
        <color theme="1"/>
        <rFont val="宋体"/>
        <family val="2"/>
        <scheme val="minor"/>
      </rPr>
      <t>2.</t>
    </r>
    <r>
      <rPr>
        <sz val="11"/>
        <color indexed="8"/>
        <rFont val="宋体"/>
        <family val="3"/>
        <charset val="134"/>
      </rPr>
      <t>同业拆借可以在期中随时进行，不受限制</t>
    </r>
    <phoneticPr fontId="5" type="noConversion"/>
  </si>
  <si>
    <t>期数</t>
    <phoneticPr fontId="11" type="noConversion"/>
  </si>
  <si>
    <t>一</t>
    <phoneticPr fontId="5" type="noConversion"/>
  </si>
  <si>
    <t>二</t>
    <phoneticPr fontId="5" type="noConversion"/>
  </si>
  <si>
    <t>三</t>
    <phoneticPr fontId="5" type="noConversion"/>
  </si>
  <si>
    <t>四</t>
    <phoneticPr fontId="5" type="noConversion"/>
  </si>
  <si>
    <t>五</t>
    <phoneticPr fontId="5" type="noConversion"/>
  </si>
  <si>
    <t>六</t>
    <phoneticPr fontId="5" type="noConversion"/>
  </si>
  <si>
    <t>七</t>
    <phoneticPr fontId="5" type="noConversion"/>
  </si>
  <si>
    <t>八</t>
    <phoneticPr fontId="5" type="noConversion"/>
  </si>
  <si>
    <t>贷款业务信息登记表</t>
    <phoneticPr fontId="5" type="noConversion"/>
  </si>
  <si>
    <t>存款金额</t>
  </si>
  <si>
    <t>期限</t>
  </si>
  <si>
    <t>存款利率</t>
    <phoneticPr fontId="5" type="noConversion"/>
  </si>
  <si>
    <t>业务渠道</t>
    <phoneticPr fontId="5" type="noConversion"/>
  </si>
  <si>
    <t>利率属性</t>
    <phoneticPr fontId="5" type="noConversion"/>
  </si>
  <si>
    <t>贷款金额</t>
  </si>
  <si>
    <t>期限</t>
    <phoneticPr fontId="5" type="noConversion"/>
  </si>
  <si>
    <t>贷款利率</t>
  </si>
  <si>
    <t>贷款类型</t>
  </si>
  <si>
    <t>信用评级</t>
    <phoneticPr fontId="5" type="noConversion"/>
  </si>
  <si>
    <t>五级分类</t>
    <phoneticPr fontId="5" type="noConversion"/>
  </si>
  <si>
    <t>业务渠道</t>
    <phoneticPr fontId="5" type="noConversion"/>
  </si>
  <si>
    <t>业务类型</t>
    <phoneticPr fontId="5" type="noConversion"/>
  </si>
  <si>
    <t>抵押担保金额</t>
    <phoneticPr fontId="11" type="noConversion"/>
  </si>
  <si>
    <t>五级分类</t>
    <phoneticPr fontId="5" type="noConversion"/>
  </si>
  <si>
    <t>信用评级</t>
    <phoneticPr fontId="5" type="noConversion"/>
  </si>
  <si>
    <t>第六期</t>
    <phoneticPr fontId="5" type="noConversion"/>
  </si>
  <si>
    <t>第七期</t>
    <phoneticPr fontId="5" type="noConversion"/>
  </si>
  <si>
    <t>业务渠道</t>
    <phoneticPr fontId="5" type="noConversion"/>
  </si>
  <si>
    <t>业务类型</t>
    <phoneticPr fontId="5" type="noConversion"/>
  </si>
  <si>
    <t>期限</t>
    <phoneticPr fontId="5" type="noConversion"/>
  </si>
  <si>
    <t>利率属性</t>
    <phoneticPr fontId="5" type="noConversion"/>
  </si>
  <si>
    <t>五级分类</t>
    <phoneticPr fontId="5" type="noConversion"/>
  </si>
  <si>
    <t>第八期</t>
    <phoneticPr fontId="5" type="noConversion"/>
  </si>
  <si>
    <t>信用评级</t>
    <phoneticPr fontId="5" type="noConversion"/>
  </si>
  <si>
    <t>抵押担保金额</t>
    <phoneticPr fontId="11" type="noConversion"/>
  </si>
  <si>
    <t>T0登记表</t>
    <phoneticPr fontId="5" type="noConversion"/>
  </si>
  <si>
    <t>不良处置</t>
    <phoneticPr fontId="5" type="noConversion"/>
  </si>
  <si>
    <t>存款单</t>
    <phoneticPr fontId="11" type="noConversion"/>
  </si>
  <si>
    <t>存款利息支出</t>
    <phoneticPr fontId="11" type="noConversion"/>
  </si>
  <si>
    <t>第一期</t>
    <phoneticPr fontId="11" type="noConversion"/>
  </si>
  <si>
    <t>利率属性</t>
    <phoneticPr fontId="14" type="noConversion"/>
  </si>
  <si>
    <t>利率</t>
    <phoneticPr fontId="14" type="noConversion"/>
  </si>
  <si>
    <t>类型</t>
    <phoneticPr fontId="14" type="noConversion"/>
  </si>
  <si>
    <t>第1</t>
    <phoneticPr fontId="11" type="noConversion"/>
  </si>
  <si>
    <t>第2</t>
  </si>
  <si>
    <t>第3</t>
  </si>
  <si>
    <t>第4</t>
  </si>
  <si>
    <t>第5</t>
  </si>
  <si>
    <t>第6</t>
  </si>
  <si>
    <t>第7</t>
    <phoneticPr fontId="11" type="noConversion"/>
  </si>
  <si>
    <t>第8</t>
    <phoneticPr fontId="11" type="noConversion"/>
  </si>
  <si>
    <t>第8+</t>
    <phoneticPr fontId="11" type="noConversion"/>
  </si>
  <si>
    <t>固定</t>
    <phoneticPr fontId="14" type="noConversion"/>
  </si>
  <si>
    <t>利率浮动值</t>
    <phoneticPr fontId="14" type="noConversion"/>
  </si>
  <si>
    <t>浮动</t>
    <phoneticPr fontId="14" type="noConversion"/>
  </si>
  <si>
    <t>第二期</t>
    <phoneticPr fontId="11" type="noConversion"/>
  </si>
  <si>
    <t>第2</t>
    <phoneticPr fontId="11" type="noConversion"/>
  </si>
  <si>
    <t>第三期</t>
    <phoneticPr fontId="11" type="noConversion"/>
  </si>
  <si>
    <t>第3</t>
    <phoneticPr fontId="11" type="noConversion"/>
  </si>
  <si>
    <t>第7</t>
  </si>
  <si>
    <t>第8</t>
  </si>
  <si>
    <t>浮动</t>
    <phoneticPr fontId="14" type="noConversion"/>
  </si>
  <si>
    <t>第四期</t>
    <phoneticPr fontId="11" type="noConversion"/>
  </si>
  <si>
    <t>利率属性</t>
    <phoneticPr fontId="14" type="noConversion"/>
  </si>
  <si>
    <t>利率</t>
    <phoneticPr fontId="14" type="noConversion"/>
  </si>
  <si>
    <t>固定</t>
    <phoneticPr fontId="14" type="noConversion"/>
  </si>
  <si>
    <t>浮动</t>
    <phoneticPr fontId="14" type="noConversion"/>
  </si>
  <si>
    <t>第五期</t>
    <phoneticPr fontId="11" type="noConversion"/>
  </si>
  <si>
    <t>第8+</t>
    <phoneticPr fontId="11" type="noConversion"/>
  </si>
  <si>
    <t>固定</t>
    <phoneticPr fontId="14" type="noConversion"/>
  </si>
  <si>
    <t>浮动</t>
    <phoneticPr fontId="14" type="noConversion"/>
  </si>
  <si>
    <t>利率属性</t>
    <phoneticPr fontId="14" type="noConversion"/>
  </si>
  <si>
    <t>利率</t>
    <phoneticPr fontId="14" type="noConversion"/>
  </si>
  <si>
    <t>类型</t>
    <phoneticPr fontId="14" type="noConversion"/>
  </si>
  <si>
    <t>第8+</t>
    <phoneticPr fontId="11" type="noConversion"/>
  </si>
  <si>
    <t>第七期</t>
    <phoneticPr fontId="11" type="noConversion"/>
  </si>
  <si>
    <t>利率</t>
    <phoneticPr fontId="14" type="noConversion"/>
  </si>
  <si>
    <t>类型</t>
    <phoneticPr fontId="14" type="noConversion"/>
  </si>
  <si>
    <t>固定</t>
    <phoneticPr fontId="14" type="noConversion"/>
  </si>
  <si>
    <t>第八期</t>
    <phoneticPr fontId="11" type="noConversion"/>
  </si>
  <si>
    <t>注：每期利率发生浮动时，当期获取浮动利率存款利息不变，往期浮动利率存款剩余期限利息按浮动后利率计息。</t>
    <phoneticPr fontId="14" type="noConversion"/>
  </si>
  <si>
    <t>第8</t>
    <phoneticPr fontId="11" type="noConversion"/>
  </si>
  <si>
    <t>第1</t>
    <phoneticPr fontId="11" type="noConversion"/>
  </si>
  <si>
    <t>第五期</t>
    <phoneticPr fontId="11" type="noConversion"/>
  </si>
  <si>
    <t>第六期</t>
    <phoneticPr fontId="11" type="noConversion"/>
  </si>
  <si>
    <t>贷款单</t>
    <phoneticPr fontId="14" type="noConversion"/>
  </si>
  <si>
    <t>贷款利息收入</t>
    <phoneticPr fontId="14" type="noConversion"/>
  </si>
  <si>
    <t>第一期</t>
    <phoneticPr fontId="14" type="noConversion"/>
  </si>
  <si>
    <t>利率属性</t>
    <phoneticPr fontId="14" type="noConversion"/>
  </si>
  <si>
    <t>贷款金额</t>
    <phoneticPr fontId="14" type="noConversion"/>
  </si>
  <si>
    <t>利率</t>
    <phoneticPr fontId="11" type="noConversion"/>
  </si>
  <si>
    <t>第8+</t>
    <phoneticPr fontId="14" type="noConversion"/>
  </si>
  <si>
    <t>固定</t>
    <phoneticPr fontId="11" type="noConversion"/>
  </si>
  <si>
    <t>利率变动值</t>
    <phoneticPr fontId="11" type="noConversion"/>
  </si>
  <si>
    <t>浮动</t>
    <phoneticPr fontId="11" type="noConversion"/>
  </si>
  <si>
    <t>第二期</t>
    <phoneticPr fontId="14" type="noConversion"/>
  </si>
  <si>
    <t>贷款金额</t>
    <phoneticPr fontId="14" type="noConversion"/>
  </si>
  <si>
    <t>利率</t>
    <phoneticPr fontId="11" type="noConversion"/>
  </si>
  <si>
    <t>利率变动值</t>
  </si>
  <si>
    <t>浮动</t>
    <phoneticPr fontId="11" type="noConversion"/>
  </si>
  <si>
    <t>第三期</t>
    <phoneticPr fontId="14" type="noConversion"/>
  </si>
  <si>
    <t>利率属性</t>
    <phoneticPr fontId="14" type="noConversion"/>
  </si>
  <si>
    <t>贷款金额</t>
    <phoneticPr fontId="14" type="noConversion"/>
  </si>
  <si>
    <t>第四期</t>
    <phoneticPr fontId="14" type="noConversion"/>
  </si>
  <si>
    <t>第五期</t>
    <phoneticPr fontId="14" type="noConversion"/>
  </si>
  <si>
    <t>利率属性</t>
    <phoneticPr fontId="14" type="noConversion"/>
  </si>
  <si>
    <t>贷款金额</t>
    <phoneticPr fontId="14" type="noConversion"/>
  </si>
  <si>
    <t>利率</t>
    <phoneticPr fontId="11" type="noConversion"/>
  </si>
  <si>
    <t>固定</t>
    <phoneticPr fontId="11" type="noConversion"/>
  </si>
  <si>
    <t>浮动</t>
    <phoneticPr fontId="11" type="noConversion"/>
  </si>
  <si>
    <t>第六期</t>
    <phoneticPr fontId="14" type="noConversion"/>
  </si>
  <si>
    <t>第七期</t>
    <phoneticPr fontId="14" type="noConversion"/>
  </si>
  <si>
    <t>第八期</t>
    <phoneticPr fontId="14" type="noConversion"/>
  </si>
  <si>
    <t>注：每期利率发生浮动时，当期浮动利率贷款利息不变，往期浮动利率贷款剩余期限利息按浮动后利率计息。</t>
    <phoneticPr fontId="14" type="noConversion"/>
  </si>
  <si>
    <t>利率浮动值</t>
    <phoneticPr fontId="11" type="noConversion"/>
  </si>
  <si>
    <t>第6</t>
    <phoneticPr fontId="11" type="noConversion"/>
  </si>
  <si>
    <t>市场信息</t>
    <phoneticPr fontId="11" type="noConversion"/>
  </si>
  <si>
    <t>利率变化</t>
    <phoneticPr fontId="11" type="noConversion"/>
  </si>
  <si>
    <t>国债利率</t>
    <phoneticPr fontId="11" type="noConversion"/>
  </si>
  <si>
    <t>投融资利率</t>
    <phoneticPr fontId="11" type="noConversion"/>
  </si>
  <si>
    <t>国债金额</t>
    <phoneticPr fontId="11" type="noConversion"/>
  </si>
  <si>
    <t>收益率</t>
    <phoneticPr fontId="11" type="noConversion"/>
  </si>
  <si>
    <t>第一期</t>
    <phoneticPr fontId="11" type="noConversion"/>
  </si>
  <si>
    <t>第四期</t>
    <phoneticPr fontId="11" type="noConversion"/>
  </si>
  <si>
    <t>第七期</t>
    <phoneticPr fontId="11" type="noConversion"/>
  </si>
  <si>
    <t>第八期</t>
    <phoneticPr fontId="11" type="noConversion"/>
  </si>
  <si>
    <t>备注：国债收益率见国债单所示，当期所有国债收益率相同。</t>
    <phoneticPr fontId="11" type="noConversion"/>
  </si>
  <si>
    <t>剩余期限</t>
    <phoneticPr fontId="14" type="noConversion"/>
  </si>
  <si>
    <t>收益率</t>
    <phoneticPr fontId="11" type="noConversion"/>
  </si>
  <si>
    <t>第1</t>
    <phoneticPr fontId="11" type="noConversion"/>
  </si>
  <si>
    <t>第8+</t>
    <phoneticPr fontId="11" type="noConversion"/>
  </si>
  <si>
    <t>买入/卖出</t>
    <phoneticPr fontId="14" type="noConversion"/>
  </si>
  <si>
    <t>T3:国债购买记录</t>
    <phoneticPr fontId="14" type="noConversion"/>
  </si>
  <si>
    <t>T3:国债交易记录表</t>
    <phoneticPr fontId="14" type="noConversion"/>
  </si>
  <si>
    <t>拆入</t>
    <phoneticPr fontId="11" type="noConversion"/>
  </si>
  <si>
    <t>拆入金额</t>
    <phoneticPr fontId="11" type="noConversion"/>
  </si>
  <si>
    <t>拆入利率</t>
    <phoneticPr fontId="11" type="noConversion"/>
  </si>
  <si>
    <t>拆出行</t>
    <phoneticPr fontId="11" type="noConversion"/>
  </si>
  <si>
    <t>拆出</t>
    <phoneticPr fontId="11" type="noConversion"/>
  </si>
  <si>
    <t>拆出金额</t>
    <phoneticPr fontId="11" type="noConversion"/>
  </si>
  <si>
    <t>拆出利率</t>
    <phoneticPr fontId="11" type="noConversion"/>
  </si>
  <si>
    <t>拆入行</t>
    <phoneticPr fontId="11" type="noConversion"/>
  </si>
  <si>
    <t>同业利息收入</t>
    <phoneticPr fontId="11" type="noConversion"/>
  </si>
  <si>
    <t>T5:同业拆借记录表</t>
    <phoneticPr fontId="14" type="noConversion"/>
  </si>
  <si>
    <t>投资金额</t>
  </si>
  <si>
    <t>投资收益</t>
    <phoneticPr fontId="11" type="noConversion"/>
  </si>
  <si>
    <t>备注：根据到期实际收益率。</t>
    <phoneticPr fontId="11" type="noConversion"/>
  </si>
  <si>
    <t>T4：投融资收益表</t>
    <phoneticPr fontId="14" type="noConversion"/>
  </si>
  <si>
    <t>T6:操作风险计量表</t>
    <phoneticPr fontId="14" type="noConversion"/>
  </si>
  <si>
    <t>存款类型</t>
    <phoneticPr fontId="11" type="noConversion"/>
  </si>
  <si>
    <t>对公</t>
    <phoneticPr fontId="14" type="noConversion"/>
  </si>
  <si>
    <t>零售</t>
    <phoneticPr fontId="14" type="noConversion"/>
  </si>
  <si>
    <t>操作风险系数</t>
  </si>
  <si>
    <t>操作风险加权资产表</t>
    <phoneticPr fontId="14" type="noConversion"/>
  </si>
  <si>
    <t>存款到期日</t>
    <phoneticPr fontId="14" type="noConversion"/>
  </si>
  <si>
    <t>剩余期限1期</t>
    <phoneticPr fontId="14" type="noConversion"/>
  </si>
  <si>
    <t>剩余期限2期</t>
  </si>
  <si>
    <t>剩余期限3期</t>
    <phoneticPr fontId="14" type="noConversion"/>
  </si>
  <si>
    <t>剩余期限4期</t>
  </si>
  <si>
    <t>剩余期限5期</t>
  </si>
  <si>
    <t>存量风险</t>
  </si>
  <si>
    <t>新增风险</t>
  </si>
  <si>
    <t>风险总计</t>
    <phoneticPr fontId="14" type="noConversion"/>
  </si>
  <si>
    <t>操作风险加权资产表</t>
    <phoneticPr fontId="14" type="noConversion"/>
  </si>
  <si>
    <t>存款到期日</t>
    <phoneticPr fontId="14" type="noConversion"/>
  </si>
  <si>
    <t>剩余期限1期</t>
    <phoneticPr fontId="14" type="noConversion"/>
  </si>
  <si>
    <t>剩余期限3期</t>
    <phoneticPr fontId="14" type="noConversion"/>
  </si>
  <si>
    <t>风险总计</t>
  </si>
  <si>
    <t>贷款到期日</t>
    <phoneticPr fontId="14" type="noConversion"/>
  </si>
  <si>
    <t>第五期</t>
    <phoneticPr fontId="14" type="noConversion"/>
  </si>
  <si>
    <t>操作风险加权资产表</t>
    <phoneticPr fontId="14" type="noConversion"/>
  </si>
  <si>
    <t>存款到期日</t>
    <phoneticPr fontId="14" type="noConversion"/>
  </si>
  <si>
    <t>剩余期限1期</t>
    <phoneticPr fontId="14" type="noConversion"/>
  </si>
  <si>
    <t>剩余期限3期</t>
    <phoneticPr fontId="14" type="noConversion"/>
  </si>
  <si>
    <t>第六期</t>
    <phoneticPr fontId="14" type="noConversion"/>
  </si>
  <si>
    <t>第七期</t>
    <phoneticPr fontId="14" type="noConversion"/>
  </si>
  <si>
    <t>第八期</t>
    <phoneticPr fontId="14" type="noConversion"/>
  </si>
  <si>
    <t>贷款到期日</t>
    <phoneticPr fontId="14" type="noConversion"/>
  </si>
  <si>
    <t>T7:信用风险计量表</t>
    <phoneticPr fontId="14" type="noConversion"/>
  </si>
  <si>
    <t>信用贷款风险加权资产=剩余风险暴露×贷款分类系数×期限系数×信用风险系数</t>
    <phoneticPr fontId="14" type="noConversion"/>
  </si>
  <si>
    <t>剩余风险暴露=贷款金额—缓释工具金额×抵押保证率</t>
    <phoneticPr fontId="14" type="noConversion"/>
  </si>
  <si>
    <t>信用风险加权资产表</t>
    <phoneticPr fontId="14" type="noConversion"/>
  </si>
  <si>
    <t>备注：存量风险等于上一期风险总计值</t>
    <phoneticPr fontId="14" type="noConversion"/>
  </si>
  <si>
    <t>T8：市场风险计量表</t>
    <phoneticPr fontId="11" type="noConversion"/>
  </si>
  <si>
    <t>市场风险加权资产=利率敏感性缺口金额×市场风险系数(不同期限系数不同)</t>
    <phoneticPr fontId="11" type="noConversion"/>
  </si>
  <si>
    <t>利率敏感性贷款总额</t>
    <phoneticPr fontId="11" type="noConversion"/>
  </si>
  <si>
    <t>利率敏感性存款总额</t>
    <phoneticPr fontId="11" type="noConversion"/>
  </si>
  <si>
    <t>利率敏感性缺口</t>
  </si>
  <si>
    <t>市场风险系数</t>
    <phoneticPr fontId="11" type="noConversion"/>
  </si>
  <si>
    <t>市场风险加权资产</t>
    <phoneticPr fontId="11" type="noConversion"/>
  </si>
  <si>
    <t>市场风险加权资产总计:</t>
    <phoneticPr fontId="11" type="noConversion"/>
  </si>
  <si>
    <t>T9：现金流表</t>
    <phoneticPr fontId="14" type="noConversion"/>
  </si>
  <si>
    <t>科目名称</t>
    <phoneticPr fontId="11" type="noConversion"/>
  </si>
  <si>
    <t>第1期</t>
  </si>
  <si>
    <t>第2期</t>
  </si>
  <si>
    <t>第3期</t>
  </si>
  <si>
    <t>第4期</t>
  </si>
  <si>
    <t>第5期</t>
  </si>
  <si>
    <t>第6期</t>
  </si>
  <si>
    <t>第7期</t>
  </si>
  <si>
    <t>第8期</t>
  </si>
  <si>
    <t>期初余额</t>
    <phoneticPr fontId="11" type="noConversion"/>
  </si>
  <si>
    <t>（流入现金）</t>
    <phoneticPr fontId="11" type="noConversion"/>
  </si>
  <si>
    <t xml:space="preserve">        其它</t>
    <phoneticPr fontId="11" type="noConversion"/>
  </si>
  <si>
    <t>（流出现金）</t>
    <phoneticPr fontId="11" type="noConversion"/>
  </si>
  <si>
    <t xml:space="preserve">        存款利息支出</t>
    <phoneticPr fontId="11" type="noConversion"/>
  </si>
  <si>
    <t xml:space="preserve">        存款营销费用</t>
    <phoneticPr fontId="11" type="noConversion"/>
  </si>
  <si>
    <t xml:space="preserve">        贷款营销费用</t>
    <phoneticPr fontId="11" type="noConversion"/>
  </si>
  <si>
    <t xml:space="preserve">        机构购买费用</t>
    <phoneticPr fontId="11" type="noConversion"/>
  </si>
  <si>
    <t xml:space="preserve">        渠道建设费用</t>
    <phoneticPr fontId="11" type="noConversion"/>
  </si>
  <si>
    <t xml:space="preserve">        机构管理费用</t>
    <phoneticPr fontId="11" type="noConversion"/>
  </si>
  <si>
    <t xml:space="preserve">        机构租赁费用</t>
    <phoneticPr fontId="11" type="noConversion"/>
  </si>
  <si>
    <t xml:space="preserve">        机构员工薪酬</t>
    <phoneticPr fontId="11" type="noConversion"/>
  </si>
  <si>
    <t xml:space="preserve">        所得税</t>
    <phoneticPr fontId="11" type="noConversion"/>
  </si>
  <si>
    <t xml:space="preserve">        同业利息支出</t>
    <phoneticPr fontId="11" type="noConversion"/>
  </si>
  <si>
    <t>（期末余额）</t>
    <phoneticPr fontId="11" type="noConversion"/>
  </si>
  <si>
    <t>T10：损益表</t>
    <phoneticPr fontId="14" type="noConversion"/>
  </si>
  <si>
    <t>一、营业收入</t>
    <phoneticPr fontId="11" type="noConversion"/>
  </si>
  <si>
    <t xml:space="preserve">      贷款利息收入</t>
    <phoneticPr fontId="11" type="noConversion"/>
  </si>
  <si>
    <t xml:space="preserve">      国债收益</t>
    <phoneticPr fontId="11" type="noConversion"/>
  </si>
  <si>
    <t xml:space="preserve">      投资收益</t>
    <phoneticPr fontId="11" type="noConversion"/>
  </si>
  <si>
    <t xml:space="preserve">      不良资产清收收入</t>
    <phoneticPr fontId="11" type="noConversion"/>
  </si>
  <si>
    <t xml:space="preserve">      不良资产变卖收入</t>
    <phoneticPr fontId="11" type="noConversion"/>
  </si>
  <si>
    <t xml:space="preserve">      营业外收入</t>
    <phoneticPr fontId="11" type="noConversion"/>
  </si>
  <si>
    <t xml:space="preserve">      同业利息收入</t>
    <phoneticPr fontId="11" type="noConversion"/>
  </si>
  <si>
    <t xml:space="preserve">      其它</t>
    <phoneticPr fontId="11" type="noConversion"/>
  </si>
  <si>
    <t>二、营业支出</t>
    <phoneticPr fontId="11" type="noConversion"/>
  </si>
  <si>
    <t xml:space="preserve">      存款利息支出</t>
    <phoneticPr fontId="11" type="noConversion"/>
  </si>
  <si>
    <t xml:space="preserve">      营销费用</t>
    <phoneticPr fontId="11" type="noConversion"/>
  </si>
  <si>
    <t xml:space="preserve">      机构租赁费用</t>
    <phoneticPr fontId="11" type="noConversion"/>
  </si>
  <si>
    <t xml:space="preserve">      渠道建设费用</t>
    <phoneticPr fontId="14" type="noConversion"/>
  </si>
  <si>
    <t xml:space="preserve">      机构管理费用</t>
    <phoneticPr fontId="14" type="noConversion"/>
  </si>
  <si>
    <t xml:space="preserve">      机构员工薪酬</t>
    <phoneticPr fontId="11" type="noConversion"/>
  </si>
  <si>
    <t xml:space="preserve">      信贷资产损失</t>
    <phoneticPr fontId="11" type="noConversion"/>
  </si>
  <si>
    <t xml:space="preserve">      同业利息支出</t>
    <phoneticPr fontId="11" type="noConversion"/>
  </si>
  <si>
    <t xml:space="preserve">      折旧</t>
    <phoneticPr fontId="11" type="noConversion"/>
  </si>
  <si>
    <t xml:space="preserve">   其它</t>
    <phoneticPr fontId="11" type="noConversion"/>
  </si>
  <si>
    <t>三、税前利润</t>
    <phoneticPr fontId="11" type="noConversion"/>
  </si>
  <si>
    <t xml:space="preserve">         减：所得税</t>
    <phoneticPr fontId="11" type="noConversion"/>
  </si>
  <si>
    <t>四、净利润</t>
    <phoneticPr fontId="11" type="noConversion"/>
  </si>
  <si>
    <t>T11:资产负债表</t>
    <phoneticPr fontId="14" type="noConversion"/>
  </si>
  <si>
    <t>编报日期：第一期</t>
    <phoneticPr fontId="11" type="noConversion"/>
  </si>
  <si>
    <t>编报行：</t>
    <phoneticPr fontId="11" type="noConversion"/>
  </si>
  <si>
    <t>项目名称</t>
  </si>
  <si>
    <t>期初值</t>
  </si>
  <si>
    <t>期末值</t>
  </si>
  <si>
    <t>贷款总额</t>
    <phoneticPr fontId="11" type="noConversion"/>
  </si>
  <si>
    <t>存款总额</t>
    <phoneticPr fontId="11" type="noConversion"/>
  </si>
  <si>
    <t>贷款应收利息</t>
    <phoneticPr fontId="11" type="noConversion"/>
  </si>
  <si>
    <t>存款应付利息</t>
    <phoneticPr fontId="11" type="noConversion"/>
  </si>
  <si>
    <t>国债总额</t>
    <phoneticPr fontId="11" type="noConversion"/>
  </si>
  <si>
    <t>同业拆入</t>
    <phoneticPr fontId="11" type="noConversion"/>
  </si>
  <si>
    <t>国债应收利息</t>
    <phoneticPr fontId="11" type="noConversion"/>
  </si>
  <si>
    <t>同业应付利息</t>
    <phoneticPr fontId="11" type="noConversion"/>
  </si>
  <si>
    <t>同业拆出</t>
    <phoneticPr fontId="11" type="noConversion"/>
  </si>
  <si>
    <t>所得税</t>
    <phoneticPr fontId="11" type="noConversion"/>
  </si>
  <si>
    <t>同业应收利息</t>
    <phoneticPr fontId="11" type="noConversion"/>
  </si>
  <si>
    <t>不良资产清收收入</t>
    <phoneticPr fontId="11" type="noConversion"/>
  </si>
  <si>
    <t>负债合计</t>
    <phoneticPr fontId="11" type="noConversion"/>
  </si>
  <si>
    <t>存款准备金</t>
    <phoneticPr fontId="11" type="noConversion"/>
  </si>
  <si>
    <t>银行资本</t>
    <phoneticPr fontId="11" type="noConversion"/>
  </si>
  <si>
    <t>固定资产</t>
    <phoneticPr fontId="11" type="noConversion"/>
  </si>
  <si>
    <t>累计净利润</t>
    <phoneticPr fontId="11" type="noConversion"/>
  </si>
  <si>
    <t>现金</t>
    <phoneticPr fontId="11" type="noConversion"/>
  </si>
  <si>
    <t>所有者权益合计</t>
    <phoneticPr fontId="11" type="noConversion"/>
  </si>
  <si>
    <t>负债和所有者权益总计</t>
    <phoneticPr fontId="11" type="noConversion"/>
  </si>
  <si>
    <t>编报日期：第二期</t>
    <phoneticPr fontId="11" type="noConversion"/>
  </si>
  <si>
    <t>编报行：</t>
    <phoneticPr fontId="11" type="noConversion"/>
  </si>
  <si>
    <t>编报日期：第五期</t>
    <phoneticPr fontId="11" type="noConversion"/>
  </si>
  <si>
    <t xml:space="preserve">            贷款应收利息仅计算所有贷款下一期应收的利息总额</t>
    <phoneticPr fontId="11" type="noConversion"/>
  </si>
  <si>
    <t xml:space="preserve">            存款应付利息计算所有固定利率存款到下一期的应付利息总和加上浮动利率存款下一期应付利息的总额</t>
    <phoneticPr fontId="4" type="noConversion"/>
  </si>
  <si>
    <t xml:space="preserve">            贷款减值准备期初拨备，期末计入“贷款减值准备”</t>
    <phoneticPr fontId="11" type="noConversion"/>
  </si>
  <si>
    <t>备注：“现金”为银行自有资金剩余</t>
    <phoneticPr fontId="11" type="noConversion"/>
  </si>
  <si>
    <t>资产总计</t>
    <phoneticPr fontId="11" type="noConversion"/>
  </si>
  <si>
    <t>T12：监管报表</t>
    <phoneticPr fontId="11" type="noConversion"/>
  </si>
  <si>
    <t>监管要求资本充足率：大于等于10%</t>
    <phoneticPr fontId="11" type="noConversion"/>
  </si>
  <si>
    <t>监管资本=全部风险加权资产x10%</t>
    <phoneticPr fontId="11" type="noConversion"/>
  </si>
  <si>
    <t>存贷款业务风险加权资产</t>
    <phoneticPr fontId="11" type="noConversion"/>
  </si>
  <si>
    <t>信用风险：</t>
    <phoneticPr fontId="11" type="noConversion"/>
  </si>
  <si>
    <t>操作风险：</t>
    <phoneticPr fontId="11" type="noConversion"/>
  </si>
  <si>
    <t>市场风险：</t>
    <phoneticPr fontId="11" type="noConversion"/>
  </si>
  <si>
    <t>投行业务风险加权资产</t>
    <phoneticPr fontId="11" type="noConversion"/>
  </si>
  <si>
    <t>投行业务风险加权资产</t>
    <phoneticPr fontId="11" type="noConversion"/>
  </si>
  <si>
    <t>投融资风险：</t>
    <phoneticPr fontId="11" type="noConversion"/>
  </si>
  <si>
    <t>投融资风险：</t>
    <phoneticPr fontId="11" type="noConversion"/>
  </si>
  <si>
    <t>总风险值：</t>
    <phoneticPr fontId="11" type="noConversion"/>
  </si>
  <si>
    <t>监管数据</t>
    <phoneticPr fontId="11" type="noConversion"/>
  </si>
  <si>
    <t>监管数据</t>
    <phoneticPr fontId="11" type="noConversion"/>
  </si>
  <si>
    <t>监管资本总计：</t>
    <phoneticPr fontId="11" type="noConversion"/>
  </si>
  <si>
    <t>资本充足率：</t>
    <phoneticPr fontId="11" type="noConversion"/>
  </si>
  <si>
    <t>资本充足率：</t>
    <phoneticPr fontId="11" type="noConversion"/>
  </si>
  <si>
    <t>存贷比：</t>
    <phoneticPr fontId="11" type="noConversion"/>
  </si>
  <si>
    <t>拨备覆盖率：</t>
    <phoneticPr fontId="11" type="noConversion"/>
  </si>
  <si>
    <t>投行业务风险加权资产</t>
    <phoneticPr fontId="11" type="noConversion"/>
  </si>
  <si>
    <t>投融资风险：</t>
    <phoneticPr fontId="11" type="noConversion"/>
  </si>
  <si>
    <t>第六期</t>
    <phoneticPr fontId="11" type="noConversion"/>
  </si>
  <si>
    <t>存贷款业务风险加权资产</t>
    <phoneticPr fontId="11" type="noConversion"/>
  </si>
  <si>
    <t>存贷款业务风险加权资产</t>
    <phoneticPr fontId="11" type="noConversion"/>
  </si>
  <si>
    <t>信用风险：</t>
    <phoneticPr fontId="11" type="noConversion"/>
  </si>
  <si>
    <t>投行业务风险加权资产</t>
    <phoneticPr fontId="11" type="noConversion"/>
  </si>
  <si>
    <t>监管数据</t>
    <phoneticPr fontId="11" type="noConversion"/>
  </si>
  <si>
    <t>拨备覆盖率：</t>
    <phoneticPr fontId="11" type="noConversion"/>
  </si>
  <si>
    <t>第七期</t>
    <phoneticPr fontId="11" type="noConversion"/>
  </si>
  <si>
    <t>投行业务风险加权资产</t>
    <phoneticPr fontId="11" type="noConversion"/>
  </si>
  <si>
    <t>银行：</t>
    <phoneticPr fontId="4" type="noConversion"/>
  </si>
  <si>
    <t>存款业务信息登记</t>
    <phoneticPr fontId="5" type="noConversion"/>
  </si>
  <si>
    <t>第四期</t>
    <phoneticPr fontId="11" type="noConversion"/>
  </si>
  <si>
    <t>第六期</t>
    <phoneticPr fontId="11" type="noConversion"/>
  </si>
  <si>
    <t>第八期</t>
    <phoneticPr fontId="11" type="noConversion"/>
  </si>
  <si>
    <t>第8+</t>
    <phoneticPr fontId="11" type="noConversion"/>
  </si>
  <si>
    <t>第8+</t>
    <phoneticPr fontId="11" type="noConversion"/>
  </si>
  <si>
    <t>第1</t>
    <phoneticPr fontId="11" type="noConversion"/>
  </si>
  <si>
    <t>第2</t>
    <phoneticPr fontId="11" type="noConversion"/>
  </si>
  <si>
    <t>第3</t>
    <phoneticPr fontId="11" type="noConversion"/>
  </si>
  <si>
    <t>第4</t>
    <phoneticPr fontId="11" type="noConversion"/>
  </si>
  <si>
    <t>第5</t>
    <phoneticPr fontId="11" type="noConversion"/>
  </si>
  <si>
    <t>第1</t>
    <phoneticPr fontId="11" type="noConversion"/>
  </si>
  <si>
    <t>第2</t>
    <phoneticPr fontId="11" type="noConversion"/>
  </si>
  <si>
    <t>第4</t>
    <phoneticPr fontId="11" type="noConversion"/>
  </si>
  <si>
    <t>第1</t>
    <phoneticPr fontId="11" type="noConversion"/>
  </si>
  <si>
    <t>第3</t>
    <phoneticPr fontId="11" type="noConversion"/>
  </si>
  <si>
    <t>第4</t>
    <phoneticPr fontId="11" type="noConversion"/>
  </si>
  <si>
    <t>第4</t>
    <phoneticPr fontId="11" type="noConversion"/>
  </si>
  <si>
    <t>第4</t>
    <phoneticPr fontId="11" type="noConversion"/>
  </si>
  <si>
    <t>第6</t>
    <phoneticPr fontId="11" type="noConversion"/>
  </si>
  <si>
    <t>第8</t>
    <phoneticPr fontId="11" type="noConversion"/>
  </si>
  <si>
    <t>第1</t>
    <phoneticPr fontId="11" type="noConversion"/>
  </si>
  <si>
    <t>第2</t>
    <phoneticPr fontId="11" type="noConversion"/>
  </si>
  <si>
    <t>第1</t>
    <phoneticPr fontId="11" type="noConversion"/>
  </si>
  <si>
    <t>第3</t>
    <phoneticPr fontId="11" type="noConversion"/>
  </si>
  <si>
    <t>负债和所有者权益总计</t>
    <phoneticPr fontId="11" type="noConversion"/>
  </si>
  <si>
    <t>负债合计</t>
    <phoneticPr fontId="11" type="noConversion"/>
  </si>
  <si>
    <t>所有者权益合计</t>
    <phoneticPr fontId="11" type="noConversion"/>
  </si>
  <si>
    <t>资产总计</t>
    <phoneticPr fontId="11" type="noConversion"/>
  </si>
  <si>
    <t>负债和所有者权益总计</t>
    <phoneticPr fontId="11" type="noConversion"/>
  </si>
  <si>
    <t>当期注入的资本金</t>
    <phoneticPr fontId="14" type="noConversion"/>
  </si>
  <si>
    <t>分行购买/租赁</t>
    <phoneticPr fontId="14" type="noConversion"/>
  </si>
  <si>
    <t>B城市</t>
    <phoneticPr fontId="14" type="noConversion"/>
  </si>
  <si>
    <t>渠道建设</t>
    <phoneticPr fontId="14" type="noConversion"/>
  </si>
  <si>
    <t>√</t>
  </si>
  <si>
    <t>第一期</t>
  </si>
  <si>
    <t>第二期</t>
  </si>
  <si>
    <t>第三期</t>
  </si>
  <si>
    <t>第四期</t>
  </si>
  <si>
    <t>第五期</t>
  </si>
  <si>
    <t>第六期</t>
  </si>
  <si>
    <t>第七期</t>
  </si>
  <si>
    <t>第八期</t>
  </si>
  <si>
    <t>买入</t>
    <phoneticPr fontId="11" type="noConversion"/>
  </si>
  <si>
    <t>卖出</t>
    <phoneticPr fontId="11" type="noConversion"/>
  </si>
  <si>
    <t>清收</t>
    <phoneticPr fontId="11" type="noConversion"/>
  </si>
  <si>
    <t>变卖</t>
    <phoneticPr fontId="11" type="noConversion"/>
  </si>
  <si>
    <t>柜台</t>
  </si>
  <si>
    <t>柜台</t>
    <phoneticPr fontId="11" type="noConversion"/>
  </si>
  <si>
    <t>网络</t>
  </si>
  <si>
    <t>网络</t>
    <phoneticPr fontId="11" type="noConversion"/>
  </si>
  <si>
    <t>移动</t>
    <phoneticPr fontId="11" type="noConversion"/>
  </si>
  <si>
    <t>对公</t>
  </si>
  <si>
    <t>对公</t>
    <phoneticPr fontId="11" type="noConversion"/>
  </si>
  <si>
    <t>零售</t>
  </si>
  <si>
    <t>零售</t>
    <phoneticPr fontId="11" type="noConversion"/>
  </si>
  <si>
    <t>抵押</t>
    <phoneticPr fontId="11" type="noConversion"/>
  </si>
  <si>
    <t>信用</t>
    <phoneticPr fontId="11" type="noConversion"/>
  </si>
  <si>
    <t>AA</t>
    <phoneticPr fontId="11" type="noConversion"/>
  </si>
  <si>
    <t>A</t>
    <phoneticPr fontId="11" type="noConversion"/>
  </si>
  <si>
    <t>BBB</t>
    <phoneticPr fontId="11" type="noConversion"/>
  </si>
  <si>
    <t>BB</t>
    <phoneticPr fontId="11" type="noConversion"/>
  </si>
  <si>
    <t>B</t>
    <phoneticPr fontId="11" type="noConversion"/>
  </si>
  <si>
    <t>C</t>
    <phoneticPr fontId="11" type="noConversion"/>
  </si>
  <si>
    <t>关注</t>
    <phoneticPr fontId="11" type="noConversion"/>
  </si>
  <si>
    <t>固定</t>
    <phoneticPr fontId="11" type="noConversion"/>
  </si>
  <si>
    <t>浮动</t>
    <phoneticPr fontId="11" type="noConversion"/>
  </si>
  <si>
    <t>A城市</t>
    <phoneticPr fontId="14" type="noConversion"/>
  </si>
  <si>
    <t>C城市</t>
    <phoneticPr fontId="14" type="noConversion"/>
  </si>
  <si>
    <t>网络</t>
    <phoneticPr fontId="14" type="noConversion"/>
  </si>
  <si>
    <t>移动</t>
    <phoneticPr fontId="14" type="noConversion"/>
  </si>
  <si>
    <t>注：1.若当期需提交建设费，则“√”</t>
    <phoneticPr fontId="14" type="noConversion"/>
  </si>
  <si>
    <t>购买</t>
    <phoneticPr fontId="14" type="noConversion"/>
  </si>
  <si>
    <t>租赁</t>
    <phoneticPr fontId="14" type="noConversion"/>
  </si>
  <si>
    <t>编报日期：第三期</t>
    <phoneticPr fontId="11" type="noConversion"/>
  </si>
  <si>
    <t>编报日期：第四期</t>
    <phoneticPr fontId="11" type="noConversion"/>
  </si>
  <si>
    <t>编报日期：第七期</t>
    <phoneticPr fontId="11" type="noConversion"/>
  </si>
  <si>
    <t>编报日期：第八期</t>
    <phoneticPr fontId="11" type="noConversion"/>
  </si>
  <si>
    <t>编报日期：第六期</t>
    <phoneticPr fontId="11" type="noConversion"/>
  </si>
  <si>
    <t>T1.2:存款利息支出现金流表</t>
    <phoneticPr fontId="14" type="noConversion"/>
  </si>
  <si>
    <t>T2.2:贷款利息现金流表</t>
    <phoneticPr fontId="14" type="noConversion"/>
  </si>
  <si>
    <t>存款总额</t>
  </si>
  <si>
    <t>存款应付利息</t>
  </si>
  <si>
    <t>同业拆入</t>
  </si>
  <si>
    <t>同业应付利息</t>
  </si>
  <si>
    <t>所得税</t>
  </si>
  <si>
    <t>负债合计</t>
  </si>
  <si>
    <t>银行资本</t>
  </si>
  <si>
    <t>累计净利润</t>
  </si>
  <si>
    <t>所有者权益合计</t>
  </si>
  <si>
    <t>负债和所有者权益总计</t>
  </si>
  <si>
    <t>贷款总额</t>
  </si>
  <si>
    <t>贷款应收利息</t>
  </si>
  <si>
    <t>国债总额</t>
  </si>
  <si>
    <t>国债应收利息</t>
  </si>
  <si>
    <t>同业拆出</t>
  </si>
  <si>
    <t>同业应收利息</t>
  </si>
  <si>
    <t>不良资产清收收入</t>
  </si>
  <si>
    <t>存款准备金</t>
  </si>
  <si>
    <t>固定资产</t>
  </si>
  <si>
    <t>现金</t>
  </si>
  <si>
    <t>资产总计</t>
  </si>
  <si>
    <t>存贷比：</t>
    <phoneticPr fontId="11" type="noConversion"/>
  </si>
  <si>
    <t>监管资本总计：</t>
    <phoneticPr fontId="11" type="noConversion"/>
  </si>
  <si>
    <t>资本充足率：</t>
    <phoneticPr fontId="11" type="noConversion"/>
  </si>
  <si>
    <t>存贷比：</t>
    <phoneticPr fontId="11" type="noConversion"/>
  </si>
  <si>
    <t>拨备覆盖率：</t>
    <phoneticPr fontId="11" type="noConversion"/>
  </si>
  <si>
    <t>存贷比：</t>
    <phoneticPr fontId="11" type="noConversion"/>
  </si>
  <si>
    <t>拨备覆盖率：</t>
    <phoneticPr fontId="11" type="noConversion"/>
  </si>
  <si>
    <t>信用风险：</t>
    <phoneticPr fontId="11" type="noConversion"/>
  </si>
  <si>
    <t>操作风险：</t>
    <phoneticPr fontId="11" type="noConversion"/>
  </si>
  <si>
    <t>市场风险：</t>
    <phoneticPr fontId="11" type="noConversion"/>
  </si>
  <si>
    <t>投融资风险：</t>
    <phoneticPr fontId="11" type="noConversion"/>
  </si>
  <si>
    <t>信用风险：</t>
    <phoneticPr fontId="11" type="noConversion"/>
  </si>
  <si>
    <t>操作风险：</t>
    <phoneticPr fontId="11" type="noConversion"/>
  </si>
  <si>
    <t>市场风险：</t>
    <phoneticPr fontId="11" type="noConversion"/>
  </si>
  <si>
    <t>拨备覆盖率：</t>
    <phoneticPr fontId="11" type="noConversion"/>
  </si>
  <si>
    <t>拨备覆盖率：</t>
    <phoneticPr fontId="11" type="noConversion"/>
  </si>
  <si>
    <t>投融资风险：</t>
    <phoneticPr fontId="11" type="noConversion"/>
  </si>
  <si>
    <t>总风险值：</t>
    <phoneticPr fontId="11" type="noConversion"/>
  </si>
  <si>
    <t>投融资风险：</t>
    <phoneticPr fontId="11" type="noConversion"/>
  </si>
  <si>
    <t>总风险值：</t>
    <phoneticPr fontId="11" type="noConversion"/>
  </si>
  <si>
    <t>投融资风险：</t>
    <phoneticPr fontId="11" type="noConversion"/>
  </si>
  <si>
    <t>总风险值：</t>
    <phoneticPr fontId="11" type="noConversion"/>
  </si>
  <si>
    <t>关注</t>
    <phoneticPr fontId="11" type="noConversion"/>
  </si>
  <si>
    <t>不良</t>
    <phoneticPr fontId="11" type="noConversion"/>
  </si>
  <si>
    <t>贷款分类</t>
    <phoneticPr fontId="11" type="noConversion"/>
  </si>
  <si>
    <t>C及C以下</t>
  </si>
  <si>
    <t>B及B以下</t>
    <phoneticPr fontId="11" type="noConversion"/>
  </si>
  <si>
    <t>BB及BB以下</t>
    <phoneticPr fontId="11" type="noConversion"/>
  </si>
  <si>
    <t>BBB及BBB以下</t>
    <phoneticPr fontId="11" type="noConversion"/>
  </si>
  <si>
    <t>A及A以下</t>
    <phoneticPr fontId="11" type="noConversion"/>
  </si>
  <si>
    <t>AA及AA以下</t>
    <phoneticPr fontId="11" type="noConversion"/>
  </si>
  <si>
    <t>回收金额</t>
    <phoneticPr fontId="11" type="noConversion"/>
  </si>
  <si>
    <t>信用</t>
  </si>
  <si>
    <t>机构管理费用</t>
    <phoneticPr fontId="14" type="noConversion"/>
  </si>
  <si>
    <t>机构员工薪酬</t>
    <phoneticPr fontId="14" type="noConversion"/>
  </si>
  <si>
    <t>当期计提拨备</t>
    <phoneticPr fontId="14" type="noConversion"/>
  </si>
  <si>
    <t>存款营销预算费用</t>
    <phoneticPr fontId="14" type="noConversion"/>
  </si>
  <si>
    <t>贷款营销预算费用</t>
    <phoneticPr fontId="14" type="noConversion"/>
  </si>
  <si>
    <t>其他收入</t>
    <phoneticPr fontId="14" type="noConversion"/>
  </si>
  <si>
    <t>其他支出</t>
    <phoneticPr fontId="14" type="noConversion"/>
  </si>
  <si>
    <t>第8</t>
    <phoneticPr fontId="11" type="noConversion"/>
  </si>
  <si>
    <t>AAA</t>
  </si>
  <si>
    <t>抵押</t>
  </si>
  <si>
    <t>信用风险总计:</t>
    <phoneticPr fontId="14" type="noConversion"/>
  </si>
  <si>
    <t>操作风险总计:</t>
    <phoneticPr fontId="14" type="noConversion"/>
  </si>
  <si>
    <t xml:space="preserve">    备注：新增风险是当期选择的存款业务计算，存量风险根据上期风险总计值得出</t>
    <phoneticPr fontId="14" type="noConversion"/>
  </si>
  <si>
    <t xml:space="preserve">    2.购买分行只需在当期填写“购买”即可</t>
    <phoneticPr fontId="14" type="noConversion"/>
  </si>
  <si>
    <t>规则：</t>
    <phoneticPr fontId="14" type="noConversion"/>
  </si>
  <si>
    <t>风险加权资产计算：</t>
    <phoneticPr fontId="14" type="noConversion"/>
  </si>
  <si>
    <t>贷款分类</t>
  </si>
  <si>
    <t>正常类贷款</t>
  </si>
  <si>
    <t>关注类贷款</t>
  </si>
  <si>
    <t>分类系数</t>
  </si>
  <si>
    <r>
      <t>1</t>
    </r>
    <r>
      <rPr>
        <b/>
        <sz val="10.5"/>
        <color rgb="FF000000"/>
        <rFont val="宋体"/>
        <family val="3"/>
        <charset val="134"/>
      </rPr>
      <t>期</t>
    </r>
  </si>
  <si>
    <r>
      <t>2</t>
    </r>
    <r>
      <rPr>
        <b/>
        <sz val="10.5"/>
        <color rgb="FF000000"/>
        <rFont val="宋体"/>
        <family val="3"/>
        <charset val="134"/>
      </rPr>
      <t>期</t>
    </r>
  </si>
  <si>
    <r>
      <t>3</t>
    </r>
    <r>
      <rPr>
        <b/>
        <sz val="10.5"/>
        <color rgb="FF000000"/>
        <rFont val="宋体"/>
        <family val="3"/>
        <charset val="134"/>
      </rPr>
      <t>期</t>
    </r>
  </si>
  <si>
    <r>
      <t>4</t>
    </r>
    <r>
      <rPr>
        <b/>
        <sz val="10.5"/>
        <color rgb="FF000000"/>
        <rFont val="宋体"/>
        <family val="3"/>
        <charset val="134"/>
      </rPr>
      <t>期</t>
    </r>
  </si>
  <si>
    <r>
      <t>5</t>
    </r>
    <r>
      <rPr>
        <b/>
        <sz val="10.5"/>
        <color rgb="FF000000"/>
        <rFont val="宋体"/>
        <family val="3"/>
        <charset val="134"/>
      </rPr>
      <t>期</t>
    </r>
  </si>
  <si>
    <t>期限系数</t>
  </si>
  <si>
    <t>信用评级</t>
  </si>
  <si>
    <t xml:space="preserve">AA </t>
  </si>
  <si>
    <t xml:space="preserve">A </t>
  </si>
  <si>
    <t>BBB</t>
  </si>
  <si>
    <t>BB</t>
  </si>
  <si>
    <t xml:space="preserve">B </t>
  </si>
  <si>
    <t xml:space="preserve">C </t>
  </si>
  <si>
    <t>信用系数</t>
  </si>
  <si>
    <t>抵押保证品类型</t>
  </si>
  <si>
    <t>抵押品</t>
  </si>
  <si>
    <t>保证品</t>
  </si>
  <si>
    <t>抵押保证率</t>
  </si>
  <si>
    <t>市场风险系数</t>
  </si>
  <si>
    <t>业务类型</t>
  </si>
  <si>
    <t>公司</t>
  </si>
  <si>
    <t>操作风险系数</t>
    <phoneticPr fontId="14" type="noConversion"/>
  </si>
  <si>
    <t>操作风险加权资产=存款金额×操作风险加权资产系数</t>
    <phoneticPr fontId="14" type="noConversion"/>
  </si>
  <si>
    <t>操作风险加权资产=存款金额×操作风险加权资产系数</t>
    <phoneticPr fontId="11" type="noConversion"/>
  </si>
  <si>
    <t>机构建设</t>
  </si>
  <si>
    <t>总行购买费用</t>
  </si>
  <si>
    <t>分行购买费用</t>
  </si>
  <si>
    <t>分行租赁费用</t>
  </si>
  <si>
    <t>A区域</t>
  </si>
  <si>
    <t>600W</t>
  </si>
  <si>
    <t>200W</t>
  </si>
  <si>
    <t>100W</t>
  </si>
  <si>
    <t>B区域</t>
  </si>
  <si>
    <t>C区域</t>
  </si>
  <si>
    <t>渠道名称</t>
  </si>
  <si>
    <t>建设费用</t>
  </si>
  <si>
    <t>建设周期</t>
  </si>
  <si>
    <t>无</t>
  </si>
  <si>
    <t>100W/期</t>
  </si>
  <si>
    <t>一期</t>
  </si>
  <si>
    <t>移动</t>
  </si>
  <si>
    <t>二期</t>
  </si>
  <si>
    <t>机构建设：</t>
    <phoneticPr fontId="14" type="noConversion"/>
  </si>
  <si>
    <r>
      <t>总行的运营管理费为</t>
    </r>
    <r>
      <rPr>
        <sz val="12"/>
        <color rgb="FF000000"/>
        <rFont val="Calibri"/>
        <family val="2"/>
      </rPr>
      <t>200w/</t>
    </r>
    <r>
      <rPr>
        <sz val="12"/>
        <color rgb="FF000000"/>
        <rFont val="宋体"/>
        <family val="3"/>
        <charset val="134"/>
        <scheme val="minor"/>
      </rPr>
      <t>期，每个分行的运营管理费为</t>
    </r>
    <r>
      <rPr>
        <sz val="12"/>
        <color rgb="FF000000"/>
        <rFont val="Calibri"/>
        <family val="2"/>
      </rPr>
      <t>50w/</t>
    </r>
    <r>
      <rPr>
        <sz val="12"/>
        <color rgb="FF000000"/>
        <rFont val="宋体"/>
        <family val="3"/>
        <charset val="134"/>
        <scheme val="minor"/>
      </rPr>
      <t>期</t>
    </r>
  </si>
  <si>
    <r>
      <t>总行</t>
    </r>
    <r>
      <rPr>
        <sz val="12"/>
        <color rgb="FF000000"/>
        <rFont val="宋体"/>
        <family val="3"/>
        <charset val="134"/>
        <scheme val="minor"/>
      </rPr>
      <t>的薪酬为</t>
    </r>
    <r>
      <rPr>
        <b/>
        <u/>
        <sz val="12"/>
        <color rgb="FFFF0000"/>
        <rFont val="Calibri"/>
        <family val="2"/>
      </rPr>
      <t>100W/</t>
    </r>
    <r>
      <rPr>
        <b/>
        <u/>
        <sz val="12"/>
        <color rgb="FFFF0000"/>
        <rFont val="宋体"/>
        <family val="3"/>
        <charset val="134"/>
        <scheme val="minor"/>
      </rPr>
      <t>期</t>
    </r>
    <r>
      <rPr>
        <sz val="12"/>
        <color rgb="FF000000"/>
        <rFont val="宋体"/>
        <family val="3"/>
        <charset val="134"/>
        <scheme val="minor"/>
      </rPr>
      <t>，每个</t>
    </r>
    <r>
      <rPr>
        <b/>
        <u/>
        <sz val="12"/>
        <color rgb="FFFF0000"/>
        <rFont val="宋体"/>
        <family val="3"/>
        <charset val="134"/>
        <scheme val="minor"/>
      </rPr>
      <t>分行</t>
    </r>
    <r>
      <rPr>
        <sz val="12"/>
        <color rgb="FF000000"/>
        <rFont val="宋体"/>
        <family val="3"/>
        <charset val="134"/>
        <scheme val="minor"/>
      </rPr>
      <t>的薪酬为</t>
    </r>
    <r>
      <rPr>
        <b/>
        <u/>
        <sz val="12"/>
        <color rgb="FFFF0000"/>
        <rFont val="Calibri"/>
        <family val="2"/>
      </rPr>
      <t>20W/</t>
    </r>
    <r>
      <rPr>
        <b/>
        <u/>
        <sz val="12"/>
        <color rgb="FFFF0000"/>
        <rFont val="宋体"/>
        <family val="3"/>
        <charset val="134"/>
        <scheme val="minor"/>
      </rPr>
      <t>期</t>
    </r>
    <r>
      <rPr>
        <sz val="12"/>
        <color rgb="FF000000"/>
        <rFont val="宋体"/>
        <family val="3"/>
        <charset val="134"/>
        <scheme val="minor"/>
      </rPr>
      <t>。</t>
    </r>
  </si>
  <si>
    <t>存款业务类型</t>
  </si>
  <si>
    <t>营销费用预算</t>
  </si>
  <si>
    <t>存款金额的4%</t>
  </si>
  <si>
    <t>存款金额的2%</t>
  </si>
  <si>
    <t>营销费用预算计提：</t>
    <phoneticPr fontId="14" type="noConversion"/>
  </si>
  <si>
    <t>渠道建设：</t>
    <phoneticPr fontId="14" type="noConversion"/>
  </si>
  <si>
    <t>最低贷款营销费用为发放贷款总量的1%。</t>
  </si>
  <si>
    <r>
      <t>营销费用最小变动单位为</t>
    </r>
    <r>
      <rPr>
        <b/>
        <u/>
        <sz val="12"/>
        <color rgb="FFFF0000"/>
        <rFont val="Calibri"/>
        <family val="2"/>
      </rPr>
      <t>10W</t>
    </r>
  </si>
  <si>
    <t>AA</t>
  </si>
  <si>
    <t>A</t>
  </si>
  <si>
    <t>B</t>
  </si>
  <si>
    <t>不良贷款收回率</t>
  </si>
  <si>
    <t>不良资产变卖所得金额</t>
  </si>
  <si>
    <r>
      <t>抵押品金额×</t>
    </r>
    <r>
      <rPr>
        <sz val="10.5"/>
        <color rgb="FF000000"/>
        <rFont val="Calibri"/>
        <family val="2"/>
      </rPr>
      <t>70%</t>
    </r>
  </si>
  <si>
    <t>保证</t>
  </si>
  <si>
    <r>
      <t>保证金额×</t>
    </r>
    <r>
      <rPr>
        <sz val="10.5"/>
        <color rgb="FF000000"/>
        <rFont val="Calibri"/>
        <family val="2"/>
      </rPr>
      <t>80%</t>
    </r>
  </si>
  <si>
    <r>
      <t>信用不良贷款收回金额×</t>
    </r>
    <r>
      <rPr>
        <sz val="10.5"/>
        <color rgb="FF000000"/>
        <rFont val="Calibri"/>
        <family val="2"/>
      </rPr>
      <t>90%</t>
    </r>
  </si>
  <si>
    <t>（1）抵押：处置周期为三期，剩余价值按照抵押品金额。</t>
  </si>
  <si>
    <t>（2）保证：处置周期为两期，剩余价值按照保证金额。</t>
  </si>
  <si>
    <t>（3）信用：处置周期为一期，剩余价值按照贷款价值和信用评级决定。</t>
  </si>
  <si>
    <t>不良资产清收回收资金：</t>
    <phoneticPr fontId="14" type="noConversion"/>
  </si>
  <si>
    <t>不良资产变卖后当期收回资金：</t>
    <phoneticPr fontId="14" type="noConversion"/>
  </si>
  <si>
    <t>∞</t>
    <phoneticPr fontId="11" type="noConversion"/>
  </si>
  <si>
    <t>正常</t>
    <phoneticPr fontId="11" type="noConversion"/>
  </si>
  <si>
    <t>不良</t>
    <phoneticPr fontId="11" type="noConversion"/>
  </si>
  <si>
    <t>信用风险</t>
    <phoneticPr fontId="11" type="noConversion"/>
  </si>
  <si>
    <t>清收</t>
    <phoneticPr fontId="11" type="noConversion"/>
  </si>
  <si>
    <t>变卖</t>
    <phoneticPr fontId="11" type="noConversion"/>
  </si>
  <si>
    <t>担保</t>
    <phoneticPr fontId="11" type="noConversion"/>
  </si>
  <si>
    <t>同业利息支出</t>
    <phoneticPr fontId="11" type="noConversion"/>
  </si>
  <si>
    <t>支付期</t>
    <phoneticPr fontId="4" type="noConversion"/>
  </si>
  <si>
    <r>
      <t>信用贷款风险加权资产</t>
    </r>
    <r>
      <rPr>
        <b/>
        <sz val="11"/>
        <color rgb="FF000000"/>
        <rFont val="Calibri"/>
        <family val="2"/>
      </rPr>
      <t>=</t>
    </r>
    <r>
      <rPr>
        <b/>
        <sz val="11"/>
        <color rgb="FF000000"/>
        <rFont val="宋体"/>
        <family val="3"/>
        <charset val="134"/>
      </rPr>
      <t>剩余风险暴露×贷款分类系数×期限系数×信用风险系数</t>
    </r>
    <r>
      <rPr>
        <sz val="11"/>
        <color rgb="FF000000"/>
        <rFont val="宋体"/>
        <family val="3"/>
        <charset val="134"/>
      </rPr>
      <t>。</t>
    </r>
    <phoneticPr fontId="11" type="noConversion"/>
  </si>
  <si>
    <r>
      <t>剩余风险暴露</t>
    </r>
    <r>
      <rPr>
        <b/>
        <sz val="11"/>
        <color rgb="FF000000"/>
        <rFont val="Calibri"/>
        <family val="2"/>
      </rPr>
      <t>=</t>
    </r>
    <r>
      <rPr>
        <b/>
        <sz val="11"/>
        <color rgb="FF000000"/>
        <rFont val="宋体"/>
        <family val="3"/>
        <charset val="134"/>
      </rPr>
      <t>贷款金额</t>
    </r>
    <r>
      <rPr>
        <b/>
        <sz val="11"/>
        <color rgb="FF000000"/>
        <rFont val="Calibri"/>
        <family val="2"/>
      </rPr>
      <t>—</t>
    </r>
    <r>
      <rPr>
        <b/>
        <sz val="11"/>
        <color rgb="FF000000"/>
        <rFont val="宋体"/>
        <family val="3"/>
        <charset val="134"/>
      </rPr>
      <t>缓释工具金额×抵押保证率</t>
    </r>
    <phoneticPr fontId="11" type="noConversion"/>
  </si>
  <si>
    <t>银行</t>
    <phoneticPr fontId="4" type="noConversion"/>
  </si>
  <si>
    <t>银行</t>
    <phoneticPr fontId="4" type="noConversion"/>
  </si>
  <si>
    <t>银行</t>
    <phoneticPr fontId="4" type="noConversion"/>
  </si>
  <si>
    <t>银行</t>
    <phoneticPr fontId="4" type="noConversion"/>
  </si>
  <si>
    <t>银行</t>
    <phoneticPr fontId="4" type="noConversion"/>
  </si>
  <si>
    <t xml:space="preserve">        新发放贷款</t>
    <phoneticPr fontId="11" type="noConversion"/>
  </si>
  <si>
    <t xml:space="preserve">        支付到期存款</t>
    <phoneticPr fontId="11" type="noConversion"/>
  </si>
  <si>
    <t xml:space="preserve">        缴纳存款准备金</t>
    <phoneticPr fontId="11" type="noConversion"/>
  </si>
  <si>
    <t xml:space="preserve">        同业拆出</t>
    <phoneticPr fontId="11" type="noConversion"/>
  </si>
  <si>
    <t xml:space="preserve">        支付到期拆入同业</t>
    <phoneticPr fontId="11" type="noConversion"/>
  </si>
  <si>
    <t xml:space="preserve">        购买国债</t>
    <phoneticPr fontId="11" type="noConversion"/>
  </si>
  <si>
    <t xml:space="preserve">      贷款减值损失</t>
    <phoneticPr fontId="11" type="noConversion"/>
  </si>
  <si>
    <t>T1.1:存款利息支出损益表</t>
    <phoneticPr fontId="14" type="noConversion"/>
  </si>
  <si>
    <t>T2.1:贷款利息损益表</t>
    <phoneticPr fontId="14" type="noConversion"/>
  </si>
  <si>
    <t>IF(OR(T0登记表!$P$25=T0登记表!$T$38,T0登记表!$P$26=T0登记表!$T$38),-C20,0)+IF(T0登记表!$P$25=T0登记表!$T$38,T0登记表!$I$25,0)+IF(T0登记表!$P$26=T0登记表!$T$38,T0登记表!$I$26,0)</t>
    <phoneticPr fontId="4" type="noConversion"/>
  </si>
  <si>
    <t>IF(OR(T0登记表!$P$29=T0登记表!$T$38,T0登记表!$P$30=T0登记表!$T$38,T0登记表!$P$31=T0登记表!$T$38,T0登记表!$P$32=T0登记表!$T$38),-D20,0)+IF(T0登记表!$P$29=T0登记表!$T$38,T0登记表!$I$29,0)+IF(T0登记表!$P$30=T0登记表!$T$38,T0登记表!$I$30,0)+IF(T0登记表!$P$31=T0登记表!$T$38,T0登记表!$I$31,0)+IF(T0登记表!$P$32=T0登记表!$T$38,T0登记表!$I$32,0)</t>
    <phoneticPr fontId="4" type="noConversion"/>
  </si>
  <si>
    <t>IF(OR(T0登记表!$P$35=T0登记表!$T$38,T0登记表!$P$36=T0登记表!$T$38,T0登记表!$P$37=T0登记表!$T$38,T0登记表!$P$38=T0登记表!$T$38),-E20,0)+IF(T0登记表!$P$35=T0登记表!$T$38,T0登记表!$I$35,0)+IF(T0登记表!$P$36=T0登记表!$T$38,T0登记表!$I$36,0)+IF(T0登记表!$P$37=T0登记表!$T$38,T0登记表!$I$37,0)+IF(T0登记表!$P$38=T0登记表!$T$38,T0登记表!$I$38,0)</t>
    <phoneticPr fontId="4" type="noConversion"/>
  </si>
  <si>
    <t>IF(OR(T0登记表!$P$41=T0登记表!$T$38,T0登记表!$P$42=T0登记表!$T$38,T0登记表!$P$43=T0登记表!$T$38,T0登记表!$P$44=T0登记表!$T$38),-F20,0)+IF(T0登记表!$P$41=T0登记表!$T$38,T0登记表!$I$41,0)+IF(T0登记表!$P$42=T0登记表!$T$38,T0登记表!$I$42,0)+IF(T0登记表!$P$43=T0登记表!$T$38,T0登记表!$I$43,0)+IF(T0登记表!$P$44=T0登记表!$T$38,T0登记表!$I$44,0)</t>
    <phoneticPr fontId="4" type="noConversion"/>
  </si>
  <si>
    <t>IF(OR(T0登记表!$P$47=T0登记表!$T$38,T0登记表!$P$48=T0登记表!$T$38,T0登记表!$P$49=T0登记表!$T$38,T0登记表!$P$50=T0登记表!$T$38),-G20,0)+IF(T0登记表!$P$47=T0登记表!$T$38,T0登记表!$I$47,0)+IF(T0登记表!$P$48=T0登记表!$T$38,T0登记表!$I$48,0)+IF(T0登记表!$P$49=T0登记表!$T$38,T0登记表!$I$49,0)+IF(T0登记表!$P$50=T0登记表!$T$38,T0登记表!$I$50,0)</t>
    <phoneticPr fontId="4" type="noConversion"/>
  </si>
  <si>
    <t>IF(OR(T0登记表!$P$53=T0登记表!$T$38,T0登记表!$P$54=T0登记表!$T$38,T0登记表!$P$55=T0登记表!$T$38,T0登记表!$P$56=T0登记表!$T$38),-H20,0)+IF(T0登记表!$P$53=T0登记表!$T$38,T0登记表!$I$53,0)+IF(T0登记表!$P$54=T0登记表!$T$38,T0登记表!$I$54,0)+IF(T0登记表!$P$55=T0登记表!$T$38,T0登记表!$I$55,0)+IF(T0登记表!$P$56=T0登记表!$T$38,T0登记表!$I$56,0)</t>
    <phoneticPr fontId="4" type="noConversion"/>
  </si>
  <si>
    <t>IF(OR(T0登记表!$P$59=T0登记表!$T$38,T0登记表!$P$60=T0登记表!$T$38,T0登记表!$P$61=T0登记表!$T$38,T0登记表!$P$62=T0登记表!$T$38),-I20,0)+IF(T0登记表!$P$59=T0登记表!$T$38,T0登记表!$I$59,0)+IF(T0登记表!$P$60=T0登记表!$T$38,T0登记表!$I$60,0)+IF(T0登记表!$P$61=T0登记表!$T$38,T0登记表!$I$61,0)+IF(T0登记表!$P$62=T0登记表!$T$38,T0登记表!$I$62,0)</t>
    <phoneticPr fontId="4" type="noConversion"/>
  </si>
  <si>
    <t>IF(OR(T0登记表!$P$65=T0登记表!$T$38,T0登记表!$P$66=T0登记表!$T$38,T0登记表!$P$67=T0登记表!$T$38,T0登记表!$P$68=T0登记表!$T$38),-J20,0)+IF(T0登记表!$P$65=T0登记表!$T$38,T0登记表!$I$65,0)+IF(T0登记表!$P$66=T0登记表!$T$38,T0登记表!$I$66,0)+IF(T0登记表!$P$67=T0登记表!$T$38,T0登记表!$I$67,0)+IF(T0登记表!$P$68=T0登记表!$T$38,T0登记表!$I$68,0)</t>
    <phoneticPr fontId="4" type="noConversion"/>
  </si>
  <si>
    <t>减：贷款减值准备</t>
    <phoneticPr fontId="11" type="noConversion"/>
  </si>
  <si>
    <t>减：贷款减值准备</t>
    <phoneticPr fontId="11" type="noConversion"/>
  </si>
  <si>
    <t>存款准备金</t>
    <phoneticPr fontId="11" type="noConversion"/>
  </si>
  <si>
    <t xml:space="preserve">     筹资产生的现金流入</t>
    <phoneticPr fontId="11" type="noConversion"/>
  </si>
  <si>
    <t xml:space="preserve">     新吸收存款</t>
    <phoneticPr fontId="11" type="noConversion"/>
  </si>
  <si>
    <t xml:space="preserve">     回收到期贷款</t>
    <phoneticPr fontId="11" type="noConversion"/>
  </si>
  <si>
    <t xml:space="preserve">     回收存款准备金</t>
    <phoneticPr fontId="11" type="noConversion"/>
  </si>
  <si>
    <t xml:space="preserve">     同业拆入</t>
    <phoneticPr fontId="11" type="noConversion"/>
  </si>
  <si>
    <t xml:space="preserve">     回收到期拆出同业</t>
    <phoneticPr fontId="11" type="noConversion"/>
  </si>
  <si>
    <t xml:space="preserve">     贷款利息收入</t>
    <phoneticPr fontId="11" type="noConversion"/>
  </si>
  <si>
    <t xml:space="preserve">     回收到期国债本金</t>
    <phoneticPr fontId="4" type="noConversion"/>
  </si>
  <si>
    <t xml:space="preserve">     国债收益</t>
    <phoneticPr fontId="11" type="noConversion"/>
  </si>
  <si>
    <t xml:space="preserve">     不良资产清收收入</t>
    <phoneticPr fontId="11" type="noConversion"/>
  </si>
  <si>
    <t xml:space="preserve">     不良资产变卖收入</t>
    <phoneticPr fontId="11" type="noConversion"/>
  </si>
  <si>
    <t xml:space="preserve">     同业利息收入</t>
    <phoneticPr fontId="11" type="noConversion"/>
  </si>
  <si>
    <t xml:space="preserve">     其它</t>
    <phoneticPr fontId="11" type="noConversion"/>
  </si>
  <si>
    <t xml:space="preserve">     投融资收益</t>
    <phoneticPr fontId="11" type="noConversion"/>
  </si>
  <si>
    <t>卖出</t>
    <phoneticPr fontId="4" type="noConversion"/>
  </si>
  <si>
    <t>买入</t>
    <phoneticPr fontId="4" type="noConversion"/>
  </si>
  <si>
    <t>交易类型</t>
    <phoneticPr fontId="4" type="noConversion"/>
  </si>
  <si>
    <t>期数</t>
    <phoneticPr fontId="4" type="noConversion"/>
  </si>
  <si>
    <t>买入回收</t>
    <phoneticPr fontId="4" type="noConversion"/>
  </si>
  <si>
    <t>卖出回收</t>
    <phoneticPr fontId="4" type="noConversion"/>
  </si>
  <si>
    <t>购买回收</t>
    <phoneticPr fontId="4" type="noConversion"/>
  </si>
  <si>
    <t>购买</t>
    <phoneticPr fontId="4" type="noConversion"/>
  </si>
  <si>
    <t>买入</t>
    <phoneticPr fontId="4" type="noConversion"/>
  </si>
  <si>
    <t>卖出</t>
    <phoneticPr fontId="4" type="noConversion"/>
  </si>
  <si>
    <t>合计</t>
    <phoneticPr fontId="4" type="noConversion"/>
  </si>
  <si>
    <t>回收1</t>
    <phoneticPr fontId="4" type="noConversion"/>
  </si>
  <si>
    <t>回收2</t>
    <phoneticPr fontId="4" type="noConversion"/>
  </si>
  <si>
    <t>期</t>
    <phoneticPr fontId="11" type="noConversion"/>
  </si>
  <si>
    <t>国债记录</t>
    <phoneticPr fontId="11" type="noConversion"/>
  </si>
  <si>
    <t>第三期</t>
    <phoneticPr fontId="11" type="noConversion"/>
  </si>
  <si>
    <t>第一期</t>
    <phoneticPr fontId="11" type="noConversion"/>
  </si>
  <si>
    <t>第二期</t>
    <phoneticPr fontId="11" type="noConversion"/>
  </si>
  <si>
    <t>数值期</t>
    <phoneticPr fontId="11" type="noConversion"/>
  </si>
  <si>
    <t>sum</t>
    <phoneticPr fontId="14" type="noConversion"/>
  </si>
  <si>
    <t>第一期</t>
    <phoneticPr fontId="11" type="noConversion"/>
  </si>
  <si>
    <t>第二期</t>
    <phoneticPr fontId="11" type="noConversion"/>
  </si>
  <si>
    <t>第三期</t>
    <phoneticPr fontId="11" type="noConversion"/>
  </si>
  <si>
    <t>第四期</t>
    <phoneticPr fontId="11" type="noConversion"/>
  </si>
  <si>
    <t>第五期</t>
    <phoneticPr fontId="11" type="noConversion"/>
  </si>
  <si>
    <t>第六期</t>
    <phoneticPr fontId="11" type="noConversion"/>
  </si>
  <si>
    <t>第七期</t>
    <phoneticPr fontId="11" type="noConversion"/>
  </si>
  <si>
    <t>第八期</t>
    <phoneticPr fontId="11" type="noConversion"/>
  </si>
  <si>
    <t>abc</t>
    <phoneticPr fontId="14" type="noConversion"/>
  </si>
  <si>
    <t>期限</t>
    <phoneticPr fontId="4" type="noConversion"/>
  </si>
  <si>
    <t>操作风险</t>
    <phoneticPr fontId="4" type="noConversion"/>
  </si>
  <si>
    <t>信用风险</t>
    <phoneticPr fontId="4" type="noConversion"/>
  </si>
  <si>
    <t>市场风险</t>
    <phoneticPr fontId="4" type="noConversion"/>
  </si>
  <si>
    <t>投融资风险</t>
    <phoneticPr fontId="4" type="noConversion"/>
  </si>
  <si>
    <t>存款利率</t>
    <phoneticPr fontId="5" type="noConversion"/>
  </si>
  <si>
    <t>业务渠道</t>
    <phoneticPr fontId="5" type="noConversion"/>
  </si>
  <si>
    <t>业务类型</t>
    <phoneticPr fontId="5" type="noConversion"/>
  </si>
  <si>
    <t>利率属性</t>
    <phoneticPr fontId="5" type="noConversion"/>
  </si>
  <si>
    <t>利率属性</t>
    <phoneticPr fontId="5" type="noConversion"/>
  </si>
  <si>
    <t>业务类型</t>
    <phoneticPr fontId="5" type="noConversion"/>
  </si>
  <si>
    <t>第一期</t>
    <phoneticPr fontId="5" type="noConversion"/>
  </si>
  <si>
    <t>期限</t>
    <phoneticPr fontId="5" type="noConversion"/>
  </si>
  <si>
    <t>信用评级</t>
    <phoneticPr fontId="5" type="noConversion"/>
  </si>
  <si>
    <t>抵押担保金额</t>
    <phoneticPr fontId="11" type="noConversion"/>
  </si>
  <si>
    <t>利率属性</t>
    <phoneticPr fontId="5" type="noConversion"/>
  </si>
  <si>
    <t>第二期</t>
    <phoneticPr fontId="5" type="noConversion"/>
  </si>
  <si>
    <t>商业银行运营任务</t>
    <phoneticPr fontId="5" type="noConversion"/>
  </si>
  <si>
    <t>购买</t>
  </si>
  <si>
    <t>B及B以下</t>
  </si>
  <si>
    <t>固定</t>
  </si>
  <si>
    <t>浮动</t>
  </si>
  <si>
    <t>租赁</t>
  </si>
  <si>
    <t>BB及BB以下</t>
  </si>
  <si>
    <t>AA及AA以下</t>
  </si>
  <si>
    <t>A及A以下</t>
  </si>
  <si>
    <t>BBB及BBB以下</t>
  </si>
  <si>
    <t>清收</t>
  </si>
  <si>
    <t>变卖</t>
  </si>
  <si>
    <t>8953</t>
  </si>
  <si>
    <t>8000</t>
  </si>
  <si>
    <t/>
  </si>
  <si>
    <t>670</t>
  </si>
  <si>
    <t>674</t>
  </si>
  <si>
    <t>385</t>
  </si>
  <si>
    <t>564</t>
  </si>
  <si>
    <t>250</t>
  </si>
  <si>
    <t>456</t>
  </si>
  <si>
    <t>120</t>
  </si>
  <si>
    <t>356</t>
  </si>
  <si>
    <t>130</t>
  </si>
  <si>
    <t>265</t>
  </si>
  <si>
    <t>140</t>
  </si>
  <si>
    <t>751</t>
  </si>
  <si>
    <t>150</t>
  </si>
  <si>
    <t>113</t>
  </si>
  <si>
    <t>565</t>
  </si>
  <si>
    <t>2</t>
  </si>
  <si>
    <t>0.03</t>
  </si>
  <si>
    <t>7.0000000000000007E-2</t>
  </si>
  <si>
    <t>676</t>
  </si>
  <si>
    <t>675</t>
  </si>
  <si>
    <t>0.08</t>
  </si>
  <si>
    <t>478</t>
  </si>
  <si>
    <t>-0.01</t>
  </si>
  <si>
    <t>677</t>
  </si>
  <si>
    <t>-0.02</t>
  </si>
  <si>
    <t>0.04</t>
  </si>
  <si>
    <t>0.06</t>
  </si>
  <si>
    <t>671</t>
  </si>
  <si>
    <t>678</t>
  </si>
  <si>
    <t>0.05</t>
  </si>
  <si>
    <t>0</t>
  </si>
  <si>
    <t>398</t>
  </si>
  <si>
    <t>403</t>
  </si>
  <si>
    <t>673</t>
  </si>
  <si>
    <t>672</t>
  </si>
  <si>
    <t>495</t>
  </si>
  <si>
    <t>494</t>
  </si>
  <si>
    <t>679</t>
  </si>
  <si>
    <t>4231</t>
  </si>
  <si>
    <t>1</t>
  </si>
  <si>
    <t>0.02</t>
  </si>
  <si>
    <t>3543</t>
  </si>
  <si>
    <t>680</t>
  </si>
  <si>
    <t>485</t>
  </si>
  <si>
    <t>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</si>
</sst>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
  </numFmts>
  <fonts count="59">
    <font>
      <sz val="11"/>
      <color theme="1"/>
      <name val="宋体"/>
      <family val="2"/>
      <scheme val="minor"/>
    </font>
    <font>
      <sz val="11"/>
      <color theme="1"/>
      <name val="宋体"/>
      <family val="2"/>
      <charset val="134"/>
      <scheme val="minor"/>
    </font>
    <font>
      <sz val="11"/>
      <color theme="1"/>
      <name val="宋体"/>
      <family val="2"/>
      <charset val="134"/>
    </font>
    <font>
      <b/>
      <sz val="16"/>
      <color indexed="8"/>
      <name val="微软雅黑"/>
      <family val="2"/>
      <charset val="134"/>
    </font>
    <font>
      <sz val="9"/>
      <name val="宋体"/>
      <family val="3"/>
      <charset val="134"/>
      <scheme val="minor"/>
    </font>
    <font>
      <sz val="9"/>
      <name val="宋体"/>
      <family val="3"/>
      <charset val="134"/>
    </font>
    <font>
      <sz val="11"/>
      <color indexed="8"/>
      <name val="宋体"/>
      <family val="3"/>
      <charset val="134"/>
    </font>
    <font>
      <b/>
      <sz val="11"/>
      <color indexed="8"/>
      <name val="宋体"/>
      <family val="3"/>
      <charset val="134"/>
    </font>
    <font>
      <b/>
      <sz val="12"/>
      <color indexed="8"/>
      <name val="微软雅黑"/>
      <family val="2"/>
      <charset val="134"/>
    </font>
    <font>
      <b/>
      <sz val="11"/>
      <color indexed="8"/>
      <name val="微软雅黑"/>
      <family val="2"/>
      <charset val="134"/>
    </font>
    <font>
      <sz val="11"/>
      <color theme="1"/>
      <name val="微软雅黑"/>
      <family val="2"/>
      <charset val="134"/>
    </font>
    <font>
      <sz val="9"/>
      <name val="宋体"/>
      <family val="2"/>
      <charset val="134"/>
      <scheme val="minor"/>
    </font>
    <font>
      <sz val="11"/>
      <color indexed="8"/>
      <name val="微软雅黑"/>
      <family val="2"/>
      <charset val="134"/>
    </font>
    <font>
      <b/>
      <sz val="16"/>
      <color rgb="FF000000"/>
      <name val="微软雅黑"/>
      <family val="2"/>
      <charset val="134"/>
    </font>
    <font>
      <sz val="9"/>
      <name val="宋体"/>
      <family val="2"/>
      <charset val="134"/>
    </font>
    <font>
      <sz val="11"/>
      <color rgb="FF000000"/>
      <name val="微软雅黑"/>
      <family val="2"/>
      <charset val="134"/>
    </font>
    <font>
      <sz val="11"/>
      <name val="微软雅黑"/>
      <family val="2"/>
      <charset val="134"/>
    </font>
    <font>
      <sz val="11"/>
      <name val="宋体"/>
      <family val="2"/>
      <charset val="134"/>
      <scheme val="minor"/>
    </font>
    <font>
      <b/>
      <sz val="12"/>
      <color theme="1"/>
      <name val="微软雅黑"/>
      <family val="2"/>
      <charset val="134"/>
    </font>
    <font>
      <sz val="12"/>
      <color rgb="FF000000"/>
      <name val="微软雅黑"/>
      <family val="2"/>
      <charset val="134"/>
    </font>
    <font>
      <b/>
      <sz val="12"/>
      <color rgb="FF000000"/>
      <name val="微软雅黑"/>
      <family val="2"/>
      <charset val="134"/>
    </font>
    <font>
      <b/>
      <sz val="16"/>
      <color theme="1"/>
      <name val="微软雅黑"/>
      <family val="2"/>
      <charset val="134"/>
    </font>
    <font>
      <sz val="12"/>
      <color theme="1"/>
      <name val="微软雅黑"/>
      <family val="2"/>
      <charset val="134"/>
    </font>
    <font>
      <b/>
      <sz val="14"/>
      <name val="微软雅黑"/>
      <family val="2"/>
      <charset val="134"/>
    </font>
    <font>
      <b/>
      <sz val="12"/>
      <name val="微软雅黑"/>
      <family val="2"/>
      <charset val="134"/>
    </font>
    <font>
      <sz val="12"/>
      <name val="微软雅黑"/>
      <family val="2"/>
      <charset val="134"/>
    </font>
    <font>
      <sz val="12"/>
      <color indexed="8"/>
      <name val="微软雅黑"/>
      <family val="2"/>
      <charset val="134"/>
    </font>
    <font>
      <b/>
      <sz val="11"/>
      <color theme="1"/>
      <name val="微软雅黑"/>
      <family val="2"/>
      <charset val="134"/>
    </font>
    <font>
      <sz val="11"/>
      <color theme="1"/>
      <name val="宋体"/>
      <family val="2"/>
      <scheme val="minor"/>
    </font>
    <font>
      <b/>
      <sz val="11"/>
      <color theme="1"/>
      <name val="宋体"/>
      <family val="2"/>
      <scheme val="minor"/>
    </font>
    <font>
      <b/>
      <sz val="14"/>
      <color indexed="8"/>
      <name val="宋体"/>
      <family val="3"/>
      <charset val="134"/>
    </font>
    <font>
      <b/>
      <sz val="13"/>
      <color indexed="8"/>
      <name val="宋体"/>
      <family val="3"/>
      <charset val="134"/>
    </font>
    <font>
      <b/>
      <sz val="10.5"/>
      <color rgb="FF000000"/>
      <name val="宋体"/>
      <family val="3"/>
      <charset val="134"/>
    </font>
    <font>
      <b/>
      <sz val="10.5"/>
      <color rgb="FF000000"/>
      <name val="Calibri"/>
      <family val="2"/>
    </font>
    <font>
      <sz val="10.5"/>
      <color rgb="FF000000"/>
      <name val="宋体"/>
      <family val="3"/>
      <charset val="134"/>
    </font>
    <font>
      <sz val="10.5"/>
      <color rgb="FF000000"/>
      <name val="Calibri"/>
      <family val="2"/>
    </font>
    <font>
      <sz val="12"/>
      <color rgb="FF000000"/>
      <name val="宋体"/>
      <family val="3"/>
      <charset val="134"/>
    </font>
    <font>
      <b/>
      <sz val="10.5"/>
      <color theme="1"/>
      <name val="宋体"/>
      <family val="3"/>
      <charset val="134"/>
    </font>
    <font>
      <sz val="10.5"/>
      <color theme="1"/>
      <name val="宋体"/>
      <family val="3"/>
      <charset val="134"/>
    </font>
    <font>
      <sz val="10.5"/>
      <color rgb="FF000000"/>
      <name val="宋体"/>
      <family val="3"/>
      <charset val="134"/>
      <scheme val="minor"/>
    </font>
    <font>
      <sz val="12"/>
      <color rgb="FF000000"/>
      <name val="宋体"/>
      <family val="3"/>
      <charset val="134"/>
      <scheme val="minor"/>
    </font>
    <font>
      <sz val="12"/>
      <color rgb="FF000000"/>
      <name val="Calibri"/>
      <family val="2"/>
    </font>
    <font>
      <b/>
      <u/>
      <sz val="12"/>
      <color rgb="FFFF0000"/>
      <name val="宋体"/>
      <family val="3"/>
      <charset val="134"/>
      <scheme val="minor"/>
    </font>
    <font>
      <b/>
      <u/>
      <sz val="12"/>
      <color rgb="FFFF0000"/>
      <name val="Calibri"/>
      <family val="2"/>
    </font>
    <font>
      <sz val="10.5"/>
      <color rgb="FF000000"/>
      <name val="黑体"/>
      <family val="3"/>
      <charset val="134"/>
    </font>
    <font>
      <b/>
      <sz val="10.5"/>
      <color rgb="FF000000"/>
      <name val="黑体"/>
      <family val="3"/>
      <charset val="134"/>
    </font>
    <font>
      <b/>
      <i/>
      <sz val="14"/>
      <color indexed="8"/>
      <name val="宋体"/>
      <family val="3"/>
      <charset val="134"/>
    </font>
    <font>
      <sz val="12"/>
      <color indexed="8"/>
      <name val="宋体"/>
      <family val="3"/>
      <charset val="134"/>
    </font>
    <font>
      <b/>
      <sz val="11"/>
      <color theme="1"/>
      <name val="宋体"/>
      <family val="3"/>
      <charset val="134"/>
      <scheme val="minor"/>
    </font>
    <font>
      <b/>
      <sz val="11"/>
      <color rgb="FFFF0000"/>
      <name val="宋体"/>
      <family val="3"/>
      <charset val="134"/>
      <scheme val="minor"/>
    </font>
    <font>
      <b/>
      <i/>
      <sz val="14"/>
      <color rgb="FFFF0000"/>
      <name val="宋体"/>
      <family val="3"/>
      <charset val="134"/>
      <scheme val="minor"/>
    </font>
    <font>
      <b/>
      <sz val="11"/>
      <color rgb="FF000000"/>
      <name val="Calibri"/>
      <family val="2"/>
    </font>
    <font>
      <b/>
      <sz val="11"/>
      <color rgb="FF000000"/>
      <name val="宋体"/>
      <family val="3"/>
      <charset val="134"/>
    </font>
    <font>
      <sz val="11"/>
      <color rgb="FF000000"/>
      <name val="宋体"/>
      <family val="3"/>
      <charset val="134"/>
    </font>
    <font>
      <b/>
      <i/>
      <sz val="12"/>
      <color indexed="8"/>
      <name val="宋体"/>
      <family val="3"/>
      <charset val="134"/>
    </font>
    <font>
      <sz val="16"/>
      <color indexed="8"/>
      <name val="宋体"/>
      <family val="3"/>
      <charset val="134"/>
    </font>
    <font>
      <sz val="11"/>
      <color theme="0"/>
      <name val="宋体"/>
      <family val="2"/>
      <scheme val="minor"/>
    </font>
    <font>
      <sz val="11"/>
      <color theme="1"/>
      <name val="宋体"/>
      <family val="3"/>
      <charset val="134"/>
      <scheme val="minor"/>
    </font>
    <font>
      <sz val="11"/>
      <color theme="1"/>
      <name val="宋体"/>
      <family val="3"/>
      <charset val="134"/>
    </font>
  </fonts>
  <fills count="23">
    <fill>
      <patternFill patternType="none"/>
    </fill>
    <fill>
      <patternFill patternType="gray125"/>
    </fill>
    <fill>
      <patternFill patternType="solid">
        <fgColor indexed="49"/>
        <bgColor indexed="8"/>
      </patternFill>
    </fill>
    <fill>
      <patternFill patternType="solid">
        <fgColor indexed="9"/>
        <bgColor indexed="64"/>
      </patternFill>
    </fill>
    <fill>
      <patternFill patternType="solid">
        <fgColor indexed="27"/>
        <bgColor indexed="64"/>
      </patternFill>
    </fill>
    <fill>
      <patternFill patternType="solid">
        <fgColor indexed="31"/>
        <bgColor indexed="64"/>
      </patternFill>
    </fill>
    <fill>
      <patternFill patternType="solid">
        <fgColor theme="8" tint="0.59999389629810485"/>
        <bgColor indexed="64"/>
      </patternFill>
    </fill>
    <fill>
      <patternFill patternType="solid">
        <fgColor theme="0"/>
        <bgColor indexed="64"/>
      </patternFill>
    </fill>
    <fill>
      <patternFill patternType="solid">
        <fgColor rgb="FFFFFFFF"/>
        <bgColor rgb="FF000000"/>
      </patternFill>
    </fill>
    <fill>
      <patternFill patternType="solid">
        <fgColor theme="8" tint="0.39997558519241921"/>
        <bgColor rgb="FF000000"/>
      </patternFill>
    </fill>
    <fill>
      <patternFill patternType="solid">
        <fgColor theme="0" tint="-4.9989318521683403E-2"/>
        <bgColor indexed="64"/>
      </patternFill>
    </fill>
    <fill>
      <patternFill patternType="solid">
        <fgColor rgb="FFF2F2F2"/>
        <bgColor rgb="FF000000"/>
      </patternFill>
    </fill>
    <fill>
      <patternFill patternType="solid">
        <fgColor rgb="FFFFFFFF"/>
        <bgColor indexed="64"/>
      </patternFill>
    </fill>
    <fill>
      <patternFill patternType="solid">
        <fgColor theme="8" tint="0.39997558519241921"/>
        <bgColor indexed="64"/>
      </patternFill>
    </fill>
    <fill>
      <patternFill patternType="solid">
        <fgColor theme="4" tint="0.79998168889431442"/>
        <bgColor indexed="65"/>
      </patternFill>
    </fill>
    <fill>
      <patternFill patternType="darkUp">
        <bgColor theme="0"/>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rgb="FF000000"/>
      </patternFill>
    </fill>
    <fill>
      <patternFill patternType="solid">
        <fgColor theme="9" tint="0.79998168889431442"/>
        <bgColor indexed="64"/>
      </patternFill>
    </fill>
    <fill>
      <patternFill patternType="solid">
        <fgColor theme="0" tint="-0.14999847407452621"/>
        <bgColor indexed="64"/>
      </patternFill>
    </fill>
    <fill>
      <patternFill patternType="lightDown">
        <bgColor theme="0"/>
      </patternFill>
    </fill>
    <fill>
      <patternFill patternType="lightDown"/>
    </fill>
  </fills>
  <borders count="9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thin">
        <color indexed="64"/>
      </left>
      <right/>
      <top style="medium">
        <color indexed="64"/>
      </top>
      <bottom style="thin">
        <color indexed="64"/>
      </bottom>
      <diagonal/>
    </border>
    <border>
      <left/>
      <right/>
      <top/>
      <bottom style="thick">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diagonal/>
    </border>
    <border>
      <left style="thin">
        <color indexed="64"/>
      </left>
      <right style="thin">
        <color indexed="64"/>
      </right>
      <top style="thick">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right style="thin">
        <color indexed="64"/>
      </right>
      <top style="thin">
        <color indexed="64"/>
      </top>
      <bottom style="double">
        <color auto="1"/>
      </bottom>
      <diagonal/>
    </border>
    <border>
      <left style="thin">
        <color indexed="64"/>
      </left>
      <right style="thin">
        <color indexed="64"/>
      </right>
      <top style="thin">
        <color indexed="64"/>
      </top>
      <bottom style="double">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top style="medium">
        <color indexed="64"/>
      </top>
      <bottom style="thin">
        <color indexed="64"/>
      </bottom>
      <diagonal/>
    </border>
    <border>
      <left style="medium">
        <color auto="1"/>
      </left>
      <right/>
      <top style="thin">
        <color auto="1"/>
      </top>
      <bottom style="double">
        <color auto="1"/>
      </bottom>
      <diagonal/>
    </border>
    <border>
      <left style="thin">
        <color indexed="64"/>
      </left>
      <right/>
      <top style="double">
        <color auto="1"/>
      </top>
      <bottom style="thin">
        <color indexed="64"/>
      </bottom>
      <diagonal/>
    </border>
    <border>
      <left style="thin">
        <color indexed="64"/>
      </left>
      <right/>
      <top style="thin">
        <color indexed="64"/>
      </top>
      <bottom style="double">
        <color auto="1"/>
      </bottom>
      <diagonal/>
    </border>
    <border>
      <left style="thin">
        <color auto="1"/>
      </left>
      <right/>
      <top style="double">
        <color auto="1"/>
      </top>
      <bottom style="double">
        <color auto="1"/>
      </bottom>
      <diagonal/>
    </border>
    <border>
      <left style="thin">
        <color indexed="64"/>
      </left>
      <right/>
      <top style="double">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double">
        <color auto="1"/>
      </bottom>
      <diagonal/>
    </border>
    <border>
      <left/>
      <right style="medium">
        <color auto="1"/>
      </right>
      <top style="double">
        <color auto="1"/>
      </top>
      <bottom style="medium">
        <color auto="1"/>
      </bottom>
      <diagonal/>
    </border>
    <border>
      <left style="medium">
        <color auto="1"/>
      </left>
      <right/>
      <top style="double">
        <color auto="1"/>
      </top>
      <bottom style="double">
        <color auto="1"/>
      </bottom>
      <diagonal/>
    </border>
    <border>
      <left style="medium">
        <color auto="1"/>
      </left>
      <right/>
      <top style="double">
        <color auto="1"/>
      </top>
      <bottom style="thin">
        <color indexed="64"/>
      </bottom>
      <diagonal/>
    </border>
    <border>
      <left style="medium">
        <color auto="1"/>
      </left>
      <right/>
      <top style="double">
        <color auto="1"/>
      </top>
      <bottom style="medium">
        <color auto="1"/>
      </bottom>
      <diagonal/>
    </border>
    <border>
      <left style="thin">
        <color indexed="64"/>
      </left>
      <right style="thin">
        <color indexed="64"/>
      </right>
      <top style="thick">
        <color indexed="64"/>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auto="1"/>
      </left>
      <right/>
      <top style="double">
        <color auto="1"/>
      </top>
      <bottom/>
      <diagonal/>
    </border>
    <border>
      <left/>
      <right style="medium">
        <color auto="1"/>
      </right>
      <top style="double">
        <color auto="1"/>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indexed="64"/>
      </right>
      <top/>
      <bottom style="medium">
        <color indexed="64"/>
      </bottom>
      <diagonal/>
    </border>
    <border>
      <left style="medium">
        <color auto="1"/>
      </left>
      <right style="thin">
        <color auto="1"/>
      </right>
      <top style="thin">
        <color auto="1"/>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14" borderId="0" applyNumberFormat="0" applyBorder="0" applyAlignment="0" applyProtection="0">
      <alignment vertical="center"/>
    </xf>
    <xf numFmtId="9" fontId="28" fillId="0" borderId="0" applyFont="0" applyFill="0" applyBorder="0" applyAlignment="0" applyProtection="0">
      <alignment vertical="center"/>
    </xf>
  </cellStyleXfs>
  <cellXfs count="551">
    <xf numFmtId="0" fontId="0" fillId="0" borderId="0" xfId="0"/>
    <xf numFmtId="0" fontId="6" fillId="3" borderId="0" xfId="0" applyFont="1" applyFill="1" applyAlignment="1">
      <alignment vertical="center"/>
    </xf>
    <xf numFmtId="0" fontId="6" fillId="3" borderId="3" xfId="0" applyFont="1" applyFill="1" applyBorder="1" applyAlignment="1">
      <alignment vertical="top" wrapText="1"/>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1" xfId="0" applyFont="1" applyFill="1" applyBorder="1" applyAlignment="1">
      <alignment vertical="center"/>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0" xfId="0" applyFont="1" applyFill="1" applyAlignment="1">
      <alignment vertical="top"/>
    </xf>
    <xf numFmtId="0" fontId="0" fillId="0" borderId="0" xfId="0" applyAlignment="1">
      <alignment vertical="center"/>
    </xf>
    <xf numFmtId="0" fontId="10" fillId="7" borderId="3" xfId="0" applyFont="1" applyFill="1" applyBorder="1" applyAlignment="1">
      <alignment horizontal="center" vertical="center"/>
    </xf>
    <xf numFmtId="0" fontId="16" fillId="7" borderId="3" xfId="0" applyFont="1" applyFill="1" applyBorder="1" applyAlignment="1">
      <alignment horizontal="center" vertical="center"/>
    </xf>
    <xf numFmtId="10" fontId="16" fillId="7" borderId="3" xfId="0" applyNumberFormat="1" applyFont="1" applyFill="1" applyBorder="1" applyAlignment="1">
      <alignment horizontal="center" vertical="center"/>
    </xf>
    <xf numFmtId="0" fontId="10" fillId="7" borderId="3" xfId="0" applyFont="1" applyFill="1" applyBorder="1" applyAlignment="1">
      <alignment vertical="center"/>
    </xf>
    <xf numFmtId="10" fontId="10" fillId="7" borderId="3" xfId="0" applyNumberFormat="1" applyFont="1" applyFill="1" applyBorder="1" applyAlignment="1">
      <alignment horizontal="center" vertical="center"/>
    </xf>
    <xf numFmtId="0" fontId="0" fillId="7" borderId="0" xfId="0" applyFill="1" applyAlignment="1">
      <alignment vertical="center"/>
    </xf>
    <xf numFmtId="0" fontId="18" fillId="7" borderId="0" xfId="0" applyFont="1" applyFill="1" applyBorder="1" applyAlignment="1">
      <alignment vertical="center"/>
    </xf>
    <xf numFmtId="0" fontId="3" fillId="3" borderId="0" xfId="0" applyFont="1" applyFill="1" applyAlignment="1">
      <alignment horizontal="right"/>
    </xf>
    <xf numFmtId="0" fontId="12" fillId="3" borderId="3" xfId="0" applyFont="1" applyFill="1" applyBorder="1" applyAlignment="1" applyProtection="1">
      <alignment horizontal="center" vertical="center"/>
      <protection hidden="1"/>
    </xf>
    <xf numFmtId="0" fontId="16" fillId="7" borderId="66" xfId="0" applyFont="1" applyFill="1" applyBorder="1" applyAlignment="1">
      <alignment horizontal="center" vertical="center"/>
    </xf>
    <xf numFmtId="0" fontId="10" fillId="7" borderId="44" xfId="0" applyFont="1" applyFill="1" applyBorder="1" applyAlignment="1">
      <alignment vertical="center"/>
    </xf>
    <xf numFmtId="0" fontId="17" fillId="7" borderId="66" xfId="0" applyFont="1" applyFill="1" applyBorder="1" applyAlignment="1">
      <alignment horizontal="center" vertical="center"/>
    </xf>
    <xf numFmtId="0" fontId="10" fillId="7" borderId="44" xfId="0" applyFont="1" applyFill="1" applyBorder="1" applyAlignment="1">
      <alignment horizontal="center" vertical="center"/>
    </xf>
    <xf numFmtId="0" fontId="17" fillId="7" borderId="67" xfId="0" applyFont="1" applyFill="1" applyBorder="1" applyAlignment="1">
      <alignment horizontal="center" vertical="center"/>
    </xf>
    <xf numFmtId="0" fontId="10" fillId="7" borderId="66" xfId="0" applyFont="1" applyFill="1" applyBorder="1" applyAlignment="1">
      <alignment horizontal="center" vertical="center"/>
    </xf>
    <xf numFmtId="0" fontId="10" fillId="7" borderId="68" xfId="0" applyFont="1" applyFill="1" applyBorder="1" applyAlignment="1">
      <alignment horizontal="center" vertical="center"/>
    </xf>
    <xf numFmtId="0" fontId="32" fillId="0" borderId="74" xfId="0" applyFont="1" applyBorder="1" applyAlignment="1">
      <alignment horizontal="justify" vertical="center" wrapText="1"/>
    </xf>
    <xf numFmtId="0" fontId="32" fillId="0" borderId="76" xfId="0" applyFont="1" applyBorder="1" applyAlignment="1">
      <alignment horizontal="justify" vertical="center" wrapText="1"/>
    </xf>
    <xf numFmtId="0" fontId="33" fillId="0" borderId="75" xfId="0" applyFont="1" applyBorder="1" applyAlignment="1">
      <alignment horizontal="justify" vertical="center" wrapText="1"/>
    </xf>
    <xf numFmtId="9" fontId="36" fillId="0" borderId="77" xfId="0" applyNumberFormat="1" applyFont="1" applyBorder="1" applyAlignment="1">
      <alignment horizontal="justify" vertical="center" wrapText="1"/>
    </xf>
    <xf numFmtId="0" fontId="32" fillId="0" borderId="84" xfId="0" applyFont="1" applyBorder="1" applyAlignment="1">
      <alignment horizontal="justify" vertical="center" wrapText="1"/>
    </xf>
    <xf numFmtId="0" fontId="36" fillId="0" borderId="85" xfId="0" applyFont="1" applyBorder="1" applyAlignment="1">
      <alignment horizontal="justify" vertical="center" wrapText="1"/>
    </xf>
    <xf numFmtId="0" fontId="36" fillId="0" borderId="86" xfId="0" applyFont="1" applyBorder="1" applyAlignment="1">
      <alignment horizontal="justify" vertical="center" wrapText="1"/>
    </xf>
    <xf numFmtId="0" fontId="32" fillId="0" borderId="78" xfId="0" applyFont="1" applyBorder="1" applyAlignment="1">
      <alignment horizontal="justify" vertical="center" wrapText="1"/>
    </xf>
    <xf numFmtId="0" fontId="33" fillId="0" borderId="79" xfId="0" applyFont="1" applyBorder="1" applyAlignment="1">
      <alignment horizontal="justify" vertical="center" wrapText="1"/>
    </xf>
    <xf numFmtId="0" fontId="33" fillId="0" borderId="80" xfId="0" applyFont="1" applyBorder="1" applyAlignment="1">
      <alignment horizontal="justify" vertical="center" wrapText="1"/>
    </xf>
    <xf numFmtId="0" fontId="33" fillId="12" borderId="40" xfId="0" applyFont="1" applyFill="1" applyBorder="1" applyAlignment="1">
      <alignment horizontal="justify" vertical="center"/>
    </xf>
    <xf numFmtId="0" fontId="33" fillId="12" borderId="39" xfId="0" applyFont="1" applyFill="1" applyBorder="1" applyAlignment="1">
      <alignment horizontal="justify" vertical="center"/>
    </xf>
    <xf numFmtId="0" fontId="32" fillId="12" borderId="38" xfId="0" applyFont="1" applyFill="1" applyBorder="1" applyAlignment="1">
      <alignment horizontal="center" vertical="center"/>
    </xf>
    <xf numFmtId="0" fontId="34" fillId="0" borderId="27"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4" xfId="0" applyFont="1" applyBorder="1" applyAlignment="1">
      <alignment horizontal="center" vertical="center" wrapText="1"/>
    </xf>
    <xf numFmtId="0" fontId="32" fillId="0" borderId="67" xfId="0" applyFont="1" applyBorder="1" applyAlignment="1">
      <alignment horizontal="center" vertical="center" wrapText="1"/>
    </xf>
    <xf numFmtId="0" fontId="37" fillId="0" borderId="66" xfId="0" applyFont="1" applyBorder="1" applyAlignment="1">
      <alignment horizontal="justify" vertical="center" wrapText="1"/>
    </xf>
    <xf numFmtId="0" fontId="38" fillId="0" borderId="3" xfId="0" applyFont="1" applyBorder="1" applyAlignment="1">
      <alignment horizontal="justify" vertical="center" wrapText="1"/>
    </xf>
    <xf numFmtId="0" fontId="38" fillId="0" borderId="44" xfId="0" applyFont="1" applyBorder="1" applyAlignment="1">
      <alignment horizontal="justify" vertical="center" wrapText="1"/>
    </xf>
    <xf numFmtId="0" fontId="37" fillId="0" borderId="67" xfId="0" applyFont="1" applyBorder="1" applyAlignment="1">
      <alignment horizontal="justify" vertical="center" wrapText="1"/>
    </xf>
    <xf numFmtId="0" fontId="38" fillId="0" borderId="68" xfId="0" applyFont="1" applyBorder="1" applyAlignment="1">
      <alignment horizontal="justify" vertical="center" wrapText="1"/>
    </xf>
    <xf numFmtId="0" fontId="38" fillId="0" borderId="69" xfId="0" applyFont="1" applyBorder="1" applyAlignment="1">
      <alignment horizontal="justify" vertical="center" wrapText="1"/>
    </xf>
    <xf numFmtId="0" fontId="44" fillId="0" borderId="70" xfId="0" applyFont="1" applyBorder="1" applyAlignment="1">
      <alignment horizontal="center" vertical="center" wrapText="1"/>
    </xf>
    <xf numFmtId="0" fontId="45" fillId="0" borderId="19" xfId="0" applyFont="1" applyBorder="1" applyAlignment="1">
      <alignment horizontal="center" vertical="center" wrapText="1"/>
    </xf>
    <xf numFmtId="0" fontId="44" fillId="0" borderId="87" xfId="0" applyFont="1" applyBorder="1" applyAlignment="1">
      <alignment horizontal="center" vertical="center" wrapText="1"/>
    </xf>
    <xf numFmtId="9" fontId="35" fillId="0" borderId="77" xfId="0" applyNumberFormat="1" applyFont="1" applyBorder="1" applyAlignment="1">
      <alignment horizontal="justify" vertical="center" wrapText="1"/>
    </xf>
    <xf numFmtId="0" fontId="32" fillId="0" borderId="38" xfId="0" applyFont="1" applyBorder="1" applyAlignment="1">
      <alignment horizontal="justify" vertical="center" wrapText="1"/>
    </xf>
    <xf numFmtId="0" fontId="32" fillId="0" borderId="67" xfId="0" applyFont="1" applyBorder="1" applyAlignment="1">
      <alignment horizontal="justify" vertical="center" wrapText="1"/>
    </xf>
    <xf numFmtId="0" fontId="32" fillId="7" borderId="0" xfId="0" applyFont="1" applyFill="1" applyBorder="1" applyAlignment="1">
      <alignment horizontal="justify" vertical="center" wrapText="1"/>
    </xf>
    <xf numFmtId="9" fontId="35" fillId="7" borderId="0" xfId="0" applyNumberFormat="1" applyFont="1" applyFill="1" applyBorder="1" applyAlignment="1">
      <alignment horizontal="justify" vertical="center" wrapText="1"/>
    </xf>
    <xf numFmtId="0" fontId="3" fillId="0" borderId="0" xfId="0" applyFont="1" applyFill="1" applyAlignment="1">
      <alignment horizontal="right"/>
    </xf>
    <xf numFmtId="0" fontId="32" fillId="0" borderId="81" xfId="0" applyFont="1" applyBorder="1" applyAlignment="1">
      <alignment horizontal="center" vertical="center" wrapText="1"/>
    </xf>
    <xf numFmtId="0" fontId="36" fillId="0" borderId="83" xfId="0" applyFont="1" applyBorder="1" applyAlignment="1">
      <alignment horizontal="center" vertical="center" wrapText="1"/>
    </xf>
    <xf numFmtId="0" fontId="36" fillId="0" borderId="86" xfId="0" applyFont="1" applyBorder="1" applyAlignment="1">
      <alignment horizontal="center" vertical="center" wrapText="1"/>
    </xf>
    <xf numFmtId="0" fontId="32" fillId="0" borderId="84" xfId="0" applyFont="1" applyBorder="1" applyAlignment="1">
      <alignment horizontal="center" vertical="center" wrapText="1"/>
    </xf>
    <xf numFmtId="0" fontId="32" fillId="0" borderId="66" xfId="0" applyFont="1" applyBorder="1" applyAlignment="1">
      <alignment horizontal="center" vertical="center" wrapText="1"/>
    </xf>
    <xf numFmtId="0" fontId="34" fillId="0" borderId="68" xfId="0" applyFont="1" applyBorder="1" applyAlignment="1">
      <alignment horizontal="center" vertical="center" wrapText="1"/>
    </xf>
    <xf numFmtId="0" fontId="34" fillId="0" borderId="69" xfId="0" applyFont="1" applyBorder="1" applyAlignment="1">
      <alignment horizontal="center" vertical="center" wrapText="1"/>
    </xf>
    <xf numFmtId="0" fontId="0" fillId="0" borderId="0" xfId="0" applyAlignment="1" applyProtection="1">
      <alignment vertical="center"/>
      <protection hidden="1"/>
    </xf>
    <xf numFmtId="0" fontId="3" fillId="3" borderId="0" xfId="0" applyFont="1" applyFill="1" applyAlignment="1" applyProtection="1">
      <alignment horizontal="right"/>
      <protection hidden="1"/>
    </xf>
    <xf numFmtId="0" fontId="3" fillId="3" borderId="0" xfId="0" applyFont="1" applyFill="1" applyAlignment="1" applyProtection="1">
      <alignment horizontal="left"/>
      <protection hidden="1"/>
    </xf>
    <xf numFmtId="0" fontId="22" fillId="7" borderId="0" xfId="0" applyFont="1" applyFill="1" applyAlignment="1" applyProtection="1">
      <alignment vertical="center"/>
      <protection hidden="1"/>
    </xf>
    <xf numFmtId="0" fontId="0" fillId="7" borderId="0" xfId="0" applyFill="1" applyAlignment="1" applyProtection="1">
      <alignment vertical="center"/>
      <protection hidden="1"/>
    </xf>
    <xf numFmtId="0" fontId="22" fillId="7" borderId="30" xfId="0" applyFont="1" applyFill="1" applyBorder="1" applyAlignment="1" applyProtection="1">
      <alignment vertical="center"/>
      <protection hidden="1"/>
    </xf>
    <xf numFmtId="0" fontId="22" fillId="7" borderId="31" xfId="0" applyFont="1" applyFill="1" applyBorder="1" applyAlignment="1" applyProtection="1">
      <alignment vertical="center"/>
      <protection hidden="1"/>
    </xf>
    <xf numFmtId="0" fontId="22" fillId="7" borderId="32" xfId="0" applyFont="1" applyFill="1" applyBorder="1" applyAlignment="1" applyProtection="1">
      <alignment vertical="center"/>
      <protection hidden="1"/>
    </xf>
    <xf numFmtId="0" fontId="22" fillId="7" borderId="33" xfId="0" applyFont="1" applyFill="1" applyBorder="1" applyAlignment="1" applyProtection="1">
      <alignment vertical="center"/>
      <protection hidden="1"/>
    </xf>
    <xf numFmtId="0" fontId="18" fillId="7" borderId="0" xfId="0" applyFont="1" applyFill="1" applyBorder="1" applyAlignment="1" applyProtection="1">
      <alignment vertical="center"/>
      <protection hidden="1"/>
    </xf>
    <xf numFmtId="0" fontId="22" fillId="7" borderId="0" xfId="0" applyFont="1" applyFill="1" applyBorder="1" applyAlignment="1" applyProtection="1">
      <alignment vertical="center"/>
      <protection hidden="1"/>
    </xf>
    <xf numFmtId="0" fontId="22" fillId="7" borderId="34" xfId="0" applyFont="1" applyFill="1" applyBorder="1" applyAlignment="1" applyProtection="1">
      <alignment vertical="center"/>
      <protection hidden="1"/>
    </xf>
    <xf numFmtId="0" fontId="22" fillId="7" borderId="0" xfId="0" applyFont="1" applyFill="1" applyBorder="1" applyAlignment="1" applyProtection="1">
      <alignment horizontal="right" vertical="center"/>
      <protection hidden="1"/>
    </xf>
    <xf numFmtId="0" fontId="22" fillId="7" borderId="15" xfId="0" applyFont="1" applyFill="1" applyBorder="1" applyAlignment="1" applyProtection="1">
      <alignment vertical="center"/>
      <protection hidden="1"/>
    </xf>
    <xf numFmtId="0" fontId="18" fillId="7" borderId="33" xfId="0" applyFont="1" applyFill="1" applyBorder="1" applyAlignment="1" applyProtection="1">
      <alignment vertical="center"/>
      <protection hidden="1"/>
    </xf>
    <xf numFmtId="0" fontId="18" fillId="7" borderId="0" xfId="0" applyFont="1" applyFill="1" applyBorder="1" applyAlignment="1" applyProtection="1">
      <alignment horizontal="right" vertical="center"/>
      <protection hidden="1"/>
    </xf>
    <xf numFmtId="0" fontId="18" fillId="7" borderId="11" xfId="0" applyFont="1" applyFill="1" applyBorder="1" applyAlignment="1" applyProtection="1">
      <alignment vertical="center"/>
      <protection hidden="1"/>
    </xf>
    <xf numFmtId="0" fontId="18" fillId="7" borderId="34" xfId="0" applyFont="1" applyFill="1" applyBorder="1" applyAlignment="1" applyProtection="1">
      <alignment vertical="center"/>
      <protection hidden="1"/>
    </xf>
    <xf numFmtId="0" fontId="29" fillId="7" borderId="0" xfId="0" applyFont="1" applyFill="1" applyAlignment="1" applyProtection="1">
      <alignment vertical="center"/>
      <protection hidden="1"/>
    </xf>
    <xf numFmtId="0" fontId="29" fillId="0" borderId="0" xfId="0" applyFont="1" applyAlignment="1" applyProtection="1">
      <alignment vertical="center"/>
      <protection hidden="1"/>
    </xf>
    <xf numFmtId="0" fontId="22" fillId="7" borderId="15" xfId="0" applyFont="1" applyFill="1" applyBorder="1" applyAlignment="1" applyProtection="1">
      <alignment horizontal="center" vertical="center"/>
      <protection hidden="1"/>
    </xf>
    <xf numFmtId="0" fontId="22" fillId="7" borderId="35" xfId="0" applyFont="1" applyFill="1" applyBorder="1" applyAlignment="1" applyProtection="1">
      <alignment vertical="center"/>
      <protection hidden="1"/>
    </xf>
    <xf numFmtId="0" fontId="22" fillId="7" borderId="8" xfId="0" applyFont="1" applyFill="1" applyBorder="1" applyAlignment="1" applyProtection="1">
      <alignment vertical="center"/>
      <protection hidden="1"/>
    </xf>
    <xf numFmtId="0" fontId="22" fillId="7" borderId="27" xfId="0" applyFont="1" applyFill="1" applyBorder="1" applyAlignment="1" applyProtection="1">
      <alignment vertical="center"/>
      <protection hidden="1"/>
    </xf>
    <xf numFmtId="10" fontId="22" fillId="7" borderId="15" xfId="2" applyNumberFormat="1" applyFont="1" applyFill="1" applyBorder="1" applyAlignment="1" applyProtection="1">
      <alignment horizontal="center" vertical="center"/>
      <protection hidden="1"/>
    </xf>
    <xf numFmtId="10" fontId="22" fillId="7" borderId="2" xfId="2" applyNumberFormat="1" applyFont="1" applyFill="1" applyBorder="1" applyAlignment="1" applyProtection="1">
      <alignment horizontal="center" vertical="center"/>
      <protection hidden="1"/>
    </xf>
    <xf numFmtId="177" fontId="0" fillId="0" borderId="0" xfId="0" applyNumberFormat="1" applyAlignment="1" applyProtection="1">
      <alignment vertical="center"/>
      <protection hidden="1"/>
    </xf>
    <xf numFmtId="177" fontId="3" fillId="3" borderId="0" xfId="0" applyNumberFormat="1" applyFont="1" applyFill="1" applyAlignment="1" applyProtection="1">
      <alignment horizontal="right"/>
      <protection hidden="1"/>
    </xf>
    <xf numFmtId="0" fontId="26" fillId="7" borderId="3" xfId="0" applyFont="1" applyFill="1" applyBorder="1" applyAlignment="1" applyProtection="1">
      <alignment horizontal="left" vertical="center"/>
      <protection hidden="1"/>
    </xf>
    <xf numFmtId="177" fontId="26" fillId="7" borderId="3" xfId="0" applyNumberFormat="1" applyFont="1" applyFill="1" applyBorder="1" applyAlignment="1" applyProtection="1">
      <alignment horizontal="center" vertical="center"/>
      <protection hidden="1"/>
    </xf>
    <xf numFmtId="177" fontId="26" fillId="7" borderId="3" xfId="0" applyNumberFormat="1" applyFont="1" applyFill="1" applyBorder="1" applyAlignment="1" applyProtection="1">
      <alignment horizontal="left" vertical="center"/>
      <protection hidden="1"/>
    </xf>
    <xf numFmtId="177" fontId="22" fillId="7" borderId="3" xfId="0" applyNumberFormat="1" applyFont="1" applyFill="1" applyBorder="1" applyAlignment="1" applyProtection="1">
      <alignment horizontal="center" vertical="center"/>
      <protection hidden="1"/>
    </xf>
    <xf numFmtId="177" fontId="22" fillId="0" borderId="3" xfId="0" applyNumberFormat="1" applyFont="1" applyFill="1" applyBorder="1" applyAlignment="1" applyProtection="1">
      <alignment horizontal="center" vertical="center"/>
      <protection hidden="1"/>
    </xf>
    <xf numFmtId="0" fontId="26" fillId="7" borderId="5" xfId="0" applyFont="1" applyFill="1" applyBorder="1" applyAlignment="1" applyProtection="1">
      <alignment horizontal="left" vertical="center"/>
      <protection hidden="1"/>
    </xf>
    <xf numFmtId="177" fontId="26" fillId="7" borderId="5" xfId="0" applyNumberFormat="1" applyFont="1" applyFill="1" applyBorder="1" applyAlignment="1" applyProtection="1">
      <alignment horizontal="left" vertical="center"/>
      <protection hidden="1"/>
    </xf>
    <xf numFmtId="177" fontId="22" fillId="7" borderId="5" xfId="0" applyNumberFormat="1" applyFont="1" applyFill="1" applyBorder="1" applyAlignment="1" applyProtection="1">
      <alignment horizontal="center" vertical="center"/>
      <protection hidden="1"/>
    </xf>
    <xf numFmtId="0" fontId="26" fillId="0" borderId="3" xfId="0" applyFont="1" applyFill="1" applyBorder="1" applyAlignment="1" applyProtection="1">
      <alignment horizontal="left" vertical="center"/>
      <protection hidden="1"/>
    </xf>
    <xf numFmtId="0" fontId="18" fillId="14" borderId="37" xfId="1" applyFont="1" applyBorder="1" applyAlignment="1" applyProtection="1">
      <alignment horizontal="left" vertical="center"/>
      <protection hidden="1"/>
    </xf>
    <xf numFmtId="177" fontId="27" fillId="14" borderId="37" xfId="1" applyNumberFormat="1" applyFont="1" applyBorder="1" applyAlignment="1" applyProtection="1">
      <alignment horizontal="left" vertical="center"/>
      <protection hidden="1"/>
    </xf>
    <xf numFmtId="177" fontId="18" fillId="14" borderId="37" xfId="1" applyNumberFormat="1" applyFont="1" applyBorder="1" applyAlignment="1" applyProtection="1">
      <alignment horizontal="left" vertical="center"/>
      <protection hidden="1"/>
    </xf>
    <xf numFmtId="0" fontId="12" fillId="7" borderId="3" xfId="0" applyFont="1" applyFill="1" applyBorder="1" applyAlignment="1" applyProtection="1">
      <alignment horizontal="left" vertical="center"/>
      <protection hidden="1"/>
    </xf>
    <xf numFmtId="0" fontId="22" fillId="7" borderId="3" xfId="0" applyFont="1" applyFill="1" applyBorder="1" applyAlignment="1" applyProtection="1">
      <alignment horizontal="left" vertical="center"/>
      <protection hidden="1"/>
    </xf>
    <xf numFmtId="177" fontId="22" fillId="7" borderId="3" xfId="0" applyNumberFormat="1" applyFont="1" applyFill="1" applyBorder="1" applyAlignment="1" applyProtection="1">
      <alignment horizontal="left" vertical="center"/>
      <protection hidden="1"/>
    </xf>
    <xf numFmtId="0" fontId="22" fillId="7" borderId="3" xfId="0" applyFont="1" applyFill="1" applyBorder="1" applyAlignment="1" applyProtection="1">
      <alignment vertical="center"/>
      <protection hidden="1"/>
    </xf>
    <xf numFmtId="0" fontId="18" fillId="14" borderId="65" xfId="1" applyFont="1" applyBorder="1" applyAlignment="1" applyProtection="1">
      <alignment horizontal="left" vertical="center"/>
      <protection hidden="1"/>
    </xf>
    <xf numFmtId="177" fontId="18" fillId="14" borderId="65" xfId="1" applyNumberFormat="1" applyFont="1" applyBorder="1" applyAlignment="1" applyProtection="1">
      <alignment horizontal="left" vertical="center"/>
      <protection hidden="1"/>
    </xf>
    <xf numFmtId="0" fontId="0" fillId="0" borderId="0" xfId="0" applyProtection="1">
      <protection hidden="1"/>
    </xf>
    <xf numFmtId="177" fontId="0" fillId="0" borderId="0" xfId="0" applyNumberFormat="1" applyProtection="1">
      <protection hidden="1"/>
    </xf>
    <xf numFmtId="177" fontId="22" fillId="7" borderId="0" xfId="0" applyNumberFormat="1" applyFont="1" applyFill="1" applyAlignment="1" applyProtection="1">
      <alignment vertical="center"/>
      <protection hidden="1"/>
    </xf>
    <xf numFmtId="0" fontId="26" fillId="7" borderId="0" xfId="0" applyFont="1" applyFill="1" applyBorder="1" applyAlignment="1" applyProtection="1">
      <alignment horizontal="left" vertical="center"/>
      <protection hidden="1"/>
    </xf>
    <xf numFmtId="177" fontId="3" fillId="3" borderId="0" xfId="0" applyNumberFormat="1" applyFont="1" applyFill="1" applyAlignment="1" applyProtection="1">
      <alignment horizontal="left"/>
      <protection hidden="1"/>
    </xf>
    <xf numFmtId="0" fontId="24" fillId="7" borderId="3" xfId="0" applyFont="1" applyFill="1" applyBorder="1" applyAlignment="1" applyProtection="1">
      <alignment horizontal="center" vertical="center"/>
      <protection hidden="1"/>
    </xf>
    <xf numFmtId="177" fontId="24" fillId="7" borderId="3" xfId="0" applyNumberFormat="1" applyFont="1" applyFill="1" applyBorder="1" applyAlignment="1" applyProtection="1">
      <alignment horizontal="center" vertical="center"/>
      <protection hidden="1"/>
    </xf>
    <xf numFmtId="0" fontId="24" fillId="7" borderId="3" xfId="0" applyFont="1" applyFill="1" applyBorder="1" applyAlignment="1" applyProtection="1">
      <alignment vertical="center"/>
      <protection hidden="1"/>
    </xf>
    <xf numFmtId="177" fontId="25" fillId="7" borderId="3" xfId="0" applyNumberFormat="1" applyFont="1" applyFill="1" applyBorder="1" applyAlignment="1" applyProtection="1">
      <alignment vertical="center"/>
      <protection hidden="1"/>
    </xf>
    <xf numFmtId="0" fontId="25" fillId="7" borderId="3" xfId="0" applyFont="1" applyFill="1" applyBorder="1" applyAlignment="1" applyProtection="1">
      <alignment vertical="center"/>
      <protection hidden="1"/>
    </xf>
    <xf numFmtId="177" fontId="16" fillId="7" borderId="3" xfId="0" applyNumberFormat="1" applyFont="1" applyFill="1" applyBorder="1" applyAlignment="1" applyProtection="1">
      <alignment vertical="center"/>
      <protection hidden="1"/>
    </xf>
    <xf numFmtId="177" fontId="16" fillId="0" borderId="3" xfId="0" applyNumberFormat="1" applyFont="1" applyFill="1" applyBorder="1" applyAlignment="1" applyProtection="1">
      <alignment vertical="center"/>
      <protection hidden="1"/>
    </xf>
    <xf numFmtId="0" fontId="49" fillId="0" borderId="0" xfId="0" applyFont="1" applyAlignment="1" applyProtection="1">
      <alignment vertical="center"/>
      <protection hidden="1"/>
    </xf>
    <xf numFmtId="177" fontId="25" fillId="0" borderId="3" xfId="0" applyNumberFormat="1" applyFont="1" applyFill="1" applyBorder="1" applyAlignment="1" applyProtection="1">
      <alignment vertical="center"/>
      <protection hidden="1"/>
    </xf>
    <xf numFmtId="177" fontId="0" fillId="0" borderId="0" xfId="0" applyNumberFormat="1" applyFill="1" applyAlignment="1" applyProtection="1">
      <alignment vertical="center"/>
      <protection hidden="1"/>
    </xf>
    <xf numFmtId="0" fontId="0" fillId="0" borderId="0" xfId="0" applyFill="1" applyAlignment="1" applyProtection="1">
      <alignment vertical="center"/>
      <protection hidden="1"/>
    </xf>
    <xf numFmtId="0" fontId="23" fillId="7" borderId="3" xfId="0" applyFont="1" applyFill="1" applyBorder="1" applyAlignment="1" applyProtection="1">
      <alignment horizontal="center" vertical="center"/>
      <protection hidden="1"/>
    </xf>
    <xf numFmtId="177" fontId="23" fillId="7" borderId="3" xfId="0" applyNumberFormat="1" applyFont="1" applyFill="1" applyBorder="1" applyAlignment="1" applyProtection="1">
      <alignment horizontal="center" vertical="center"/>
      <protection hidden="1"/>
    </xf>
    <xf numFmtId="0" fontId="23" fillId="7" borderId="3" xfId="0" applyFont="1" applyFill="1" applyBorder="1" applyAlignment="1" applyProtection="1">
      <alignment horizontal="left" vertical="center"/>
      <protection hidden="1"/>
    </xf>
    <xf numFmtId="0" fontId="23" fillId="7" borderId="3" xfId="0" applyFont="1" applyFill="1" applyBorder="1" applyAlignment="1" applyProtection="1">
      <alignment vertical="center"/>
      <protection hidden="1"/>
    </xf>
    <xf numFmtId="0" fontId="16" fillId="7" borderId="3" xfId="0" applyFont="1" applyFill="1" applyBorder="1" applyAlignment="1" applyProtection="1">
      <alignment vertical="center"/>
      <protection hidden="1"/>
    </xf>
    <xf numFmtId="0" fontId="16" fillId="7" borderId="6" xfId="0" applyFont="1" applyFill="1" applyBorder="1" applyAlignment="1" applyProtection="1">
      <alignment vertical="center"/>
      <protection hidden="1"/>
    </xf>
    <xf numFmtId="0" fontId="19" fillId="8" borderId="0" xfId="0" applyFont="1" applyFill="1" applyBorder="1" applyAlignment="1" applyProtection="1">
      <alignment vertical="center"/>
      <protection hidden="1"/>
    </xf>
    <xf numFmtId="0" fontId="2" fillId="0" borderId="0" xfId="0" applyFont="1" applyBorder="1" applyAlignment="1" applyProtection="1">
      <alignment vertical="center"/>
      <protection hidden="1"/>
    </xf>
    <xf numFmtId="0" fontId="21" fillId="7" borderId="0" xfId="0" applyFont="1" applyFill="1" applyBorder="1" applyAlignment="1" applyProtection="1">
      <alignment horizontal="center" vertical="center"/>
      <protection hidden="1"/>
    </xf>
    <xf numFmtId="0" fontId="15" fillId="11" borderId="3" xfId="0" applyFont="1" applyFill="1" applyBorder="1" applyAlignment="1" applyProtection="1">
      <alignment horizontal="center" vertical="center"/>
      <protection hidden="1"/>
    </xf>
    <xf numFmtId="0" fontId="19" fillId="8" borderId="30" xfId="0" applyFont="1" applyFill="1" applyBorder="1" applyAlignment="1" applyProtection="1">
      <alignment vertical="center"/>
      <protection hidden="1"/>
    </xf>
    <xf numFmtId="0" fontId="19" fillId="8" borderId="31" xfId="0" applyFont="1" applyFill="1" applyBorder="1" applyAlignment="1" applyProtection="1">
      <alignment vertical="center"/>
      <protection hidden="1"/>
    </xf>
    <xf numFmtId="0" fontId="19" fillId="8" borderId="32" xfId="0" applyFont="1" applyFill="1" applyBorder="1" applyAlignment="1" applyProtection="1">
      <alignment vertical="center"/>
      <protection hidden="1"/>
    </xf>
    <xf numFmtId="0" fontId="19" fillId="8" borderId="3" xfId="0" applyFont="1" applyFill="1" applyBorder="1" applyAlignment="1" applyProtection="1">
      <alignment horizontal="center" vertical="center"/>
      <protection hidden="1"/>
    </xf>
    <xf numFmtId="0" fontId="22" fillId="7" borderId="34" xfId="0" applyFont="1" applyFill="1" applyBorder="1" applyAlignment="1" applyProtection="1">
      <alignment horizontal="center" vertical="center"/>
      <protection hidden="1"/>
    </xf>
    <xf numFmtId="0" fontId="19" fillId="8" borderId="33" xfId="0" applyFont="1" applyFill="1" applyBorder="1" applyAlignment="1" applyProtection="1">
      <alignment vertical="center"/>
      <protection hidden="1"/>
    </xf>
    <xf numFmtId="0" fontId="20" fillId="8" borderId="0" xfId="0" applyFont="1" applyFill="1" applyBorder="1" applyAlignment="1" applyProtection="1">
      <alignment horizontal="left" vertical="center"/>
      <protection hidden="1"/>
    </xf>
    <xf numFmtId="0" fontId="20" fillId="8" borderId="0" xfId="0" applyFont="1" applyFill="1" applyBorder="1" applyAlignment="1" applyProtection="1">
      <alignment vertical="center"/>
      <protection hidden="1"/>
    </xf>
    <xf numFmtId="0" fontId="19" fillId="8" borderId="34" xfId="0" applyFont="1" applyFill="1" applyBorder="1" applyAlignment="1" applyProtection="1">
      <alignment vertical="center"/>
      <protection hidden="1"/>
    </xf>
    <xf numFmtId="0" fontId="22" fillId="7" borderId="3" xfId="0" applyFont="1" applyFill="1" applyBorder="1" applyAlignment="1" applyProtection="1">
      <alignment horizontal="center" vertical="center"/>
      <protection hidden="1"/>
    </xf>
    <xf numFmtId="0" fontId="19" fillId="8" borderId="0" xfId="0" applyFont="1" applyFill="1" applyBorder="1" applyAlignment="1" applyProtection="1">
      <alignment horizontal="center" vertical="center"/>
      <protection hidden="1"/>
    </xf>
    <xf numFmtId="0" fontId="22" fillId="7" borderId="15" xfId="0" applyFont="1" applyFill="1" applyBorder="1" applyAlignment="1" applyProtection="1">
      <alignment horizontal="right" vertical="center"/>
      <protection hidden="1"/>
    </xf>
    <xf numFmtId="0" fontId="19" fillId="8" borderId="3" xfId="0" applyFont="1" applyFill="1" applyBorder="1" applyAlignment="1" applyProtection="1">
      <alignment vertical="center"/>
      <protection hidden="1"/>
    </xf>
    <xf numFmtId="0" fontId="22" fillId="7" borderId="36" xfId="0" applyFont="1" applyFill="1" applyBorder="1" applyAlignment="1" applyProtection="1">
      <alignment horizontal="right" vertical="center"/>
      <protection hidden="1"/>
    </xf>
    <xf numFmtId="0" fontId="22" fillId="7" borderId="16" xfId="0" applyFont="1" applyFill="1" applyBorder="1" applyAlignment="1" applyProtection="1">
      <alignment horizontal="right" vertical="center"/>
      <protection hidden="1"/>
    </xf>
    <xf numFmtId="9" fontId="19" fillId="12" borderId="3" xfId="0" applyNumberFormat="1" applyFont="1" applyFill="1" applyBorder="1" applyAlignment="1" applyProtection="1">
      <alignment horizontal="center" vertical="center"/>
      <protection hidden="1"/>
    </xf>
    <xf numFmtId="0" fontId="22" fillId="7" borderId="1" xfId="0" applyFont="1" applyFill="1" applyBorder="1" applyAlignment="1" applyProtection="1">
      <alignment horizontal="center" vertical="center"/>
      <protection hidden="1"/>
    </xf>
    <xf numFmtId="0" fontId="19" fillId="8" borderId="0" xfId="0" applyFont="1" applyFill="1" applyBorder="1" applyAlignment="1" applyProtection="1">
      <alignment horizontal="right" vertical="center"/>
      <protection hidden="1"/>
    </xf>
    <xf numFmtId="0" fontId="19" fillId="8" borderId="15" xfId="0" applyFont="1" applyFill="1" applyBorder="1" applyAlignment="1" applyProtection="1">
      <alignment vertical="center"/>
      <protection hidden="1"/>
    </xf>
    <xf numFmtId="0" fontId="19" fillId="8" borderId="35" xfId="0" applyFont="1" applyFill="1" applyBorder="1" applyAlignment="1" applyProtection="1">
      <alignment vertical="center"/>
      <protection hidden="1"/>
    </xf>
    <xf numFmtId="0" fontId="19" fillId="8" borderId="8" xfId="0" applyFont="1" applyFill="1" applyBorder="1" applyAlignment="1" applyProtection="1">
      <alignment vertical="center"/>
      <protection hidden="1"/>
    </xf>
    <xf numFmtId="0" fontId="19" fillId="8" borderId="27" xfId="0" applyFont="1" applyFill="1" applyBorder="1" applyAlignment="1" applyProtection="1">
      <alignment vertical="center"/>
      <protection hidden="1"/>
    </xf>
    <xf numFmtId="9" fontId="0" fillId="0" borderId="0" xfId="0" applyNumberFormat="1" applyAlignment="1" applyProtection="1">
      <alignment vertical="center"/>
      <protection hidden="1"/>
    </xf>
    <xf numFmtId="176" fontId="0" fillId="0" borderId="0" xfId="2" applyNumberFormat="1" applyFont="1" applyAlignment="1" applyProtection="1">
      <alignment vertical="center"/>
      <protection hidden="1"/>
    </xf>
    <xf numFmtId="0" fontId="15" fillId="8" borderId="0" xfId="0" applyFont="1" applyFill="1" applyBorder="1" applyAlignment="1" applyProtection="1">
      <alignment vertical="center"/>
      <protection hidden="1"/>
    </xf>
    <xf numFmtId="9" fontId="15" fillId="8" borderId="0" xfId="0" applyNumberFormat="1" applyFont="1" applyFill="1" applyBorder="1" applyAlignment="1" applyProtection="1">
      <alignment vertical="center"/>
      <protection hidden="1"/>
    </xf>
    <xf numFmtId="0" fontId="15" fillId="8" borderId="14" xfId="0" applyFont="1" applyFill="1" applyBorder="1" applyAlignment="1" applyProtection="1">
      <alignment vertical="center"/>
      <protection hidden="1"/>
    </xf>
    <xf numFmtId="0" fontId="15" fillId="8" borderId="15" xfId="0" applyFont="1" applyFill="1" applyBorder="1" applyAlignment="1" applyProtection="1">
      <alignment vertical="center"/>
      <protection hidden="1"/>
    </xf>
    <xf numFmtId="176" fontId="15" fillId="8" borderId="15" xfId="2" applyNumberFormat="1" applyFont="1" applyFill="1" applyBorder="1" applyAlignment="1" applyProtection="1">
      <alignment vertical="center"/>
      <protection hidden="1"/>
    </xf>
    <xf numFmtId="0" fontId="15" fillId="8" borderId="16" xfId="0" applyFont="1" applyFill="1" applyBorder="1" applyAlignment="1" applyProtection="1">
      <alignment vertical="center"/>
      <protection hidden="1"/>
    </xf>
    <xf numFmtId="0" fontId="15" fillId="8" borderId="3" xfId="0" applyFont="1" applyFill="1" applyBorder="1" applyAlignment="1" applyProtection="1">
      <alignment horizontal="center" vertical="center" wrapText="1"/>
      <protection hidden="1"/>
    </xf>
    <xf numFmtId="0" fontId="15" fillId="8" borderId="3" xfId="0" applyFont="1" applyFill="1" applyBorder="1" applyAlignment="1" applyProtection="1">
      <alignment horizontal="center" vertical="center"/>
      <protection hidden="1"/>
    </xf>
    <xf numFmtId="9" fontId="15" fillId="8" borderId="3" xfId="0" applyNumberFormat="1" applyFont="1" applyFill="1" applyBorder="1" applyAlignment="1" applyProtection="1">
      <alignment horizontal="center" vertical="center"/>
      <protection hidden="1"/>
    </xf>
    <xf numFmtId="0" fontId="10" fillId="7" borderId="17" xfId="0" applyFont="1" applyFill="1" applyBorder="1" applyAlignment="1" applyProtection="1">
      <alignment horizontal="center" vertical="center"/>
      <protection hidden="1"/>
    </xf>
    <xf numFmtId="0" fontId="10" fillId="15" borderId="17" xfId="0" applyFont="1" applyFill="1" applyBorder="1" applyAlignment="1" applyProtection="1">
      <alignment horizontal="center" vertical="center"/>
      <protection hidden="1"/>
    </xf>
    <xf numFmtId="176" fontId="10" fillId="15" borderId="17" xfId="2" applyNumberFormat="1" applyFont="1" applyFill="1" applyBorder="1" applyAlignment="1" applyProtection="1">
      <alignment horizontal="center" vertical="center"/>
      <protection hidden="1"/>
    </xf>
    <xf numFmtId="0" fontId="15" fillId="8" borderId="25" xfId="0" applyFont="1" applyFill="1" applyBorder="1" applyAlignment="1" applyProtection="1">
      <alignment horizontal="center" vertical="center"/>
      <protection hidden="1"/>
    </xf>
    <xf numFmtId="0" fontId="15" fillId="8" borderId="26" xfId="0" applyFont="1" applyFill="1" applyBorder="1" applyAlignment="1" applyProtection="1">
      <alignment horizontal="center" vertical="center"/>
      <protection hidden="1"/>
    </xf>
    <xf numFmtId="0" fontId="10" fillId="7" borderId="3" xfId="0" applyFont="1" applyFill="1" applyBorder="1" applyAlignment="1" applyProtection="1">
      <alignment horizontal="center" vertical="center" wrapText="1"/>
      <protection hidden="1"/>
    </xf>
    <xf numFmtId="0" fontId="10" fillId="7" borderId="3" xfId="0" applyFont="1" applyFill="1" applyBorder="1" applyAlignment="1" applyProtection="1">
      <alignment horizontal="center" vertical="center"/>
      <protection hidden="1"/>
    </xf>
    <xf numFmtId="9" fontId="10" fillId="7" borderId="3" xfId="0" applyNumberFormat="1" applyFont="1" applyFill="1" applyBorder="1" applyAlignment="1" applyProtection="1">
      <alignment horizontal="center" vertical="center" wrapText="1"/>
      <protection hidden="1"/>
    </xf>
    <xf numFmtId="0" fontId="15" fillId="8" borderId="18" xfId="0" applyFont="1" applyFill="1" applyBorder="1" applyAlignment="1" applyProtection="1">
      <alignment horizontal="center" vertical="center"/>
      <protection hidden="1"/>
    </xf>
    <xf numFmtId="0" fontId="15" fillId="8" borderId="1" xfId="0" applyFont="1" applyFill="1" applyBorder="1" applyAlignment="1" applyProtection="1">
      <alignment vertical="center"/>
      <protection hidden="1"/>
    </xf>
    <xf numFmtId="0" fontId="15" fillId="8" borderId="2" xfId="0" applyFont="1" applyFill="1" applyBorder="1" applyAlignment="1" applyProtection="1">
      <alignment vertical="center"/>
      <protection hidden="1"/>
    </xf>
    <xf numFmtId="9" fontId="10" fillId="7" borderId="18" xfId="0" applyNumberFormat="1" applyFont="1" applyFill="1" applyBorder="1" applyAlignment="1" applyProtection="1">
      <alignment horizontal="right" vertical="center"/>
      <protection hidden="1"/>
    </xf>
    <xf numFmtId="0" fontId="15" fillId="8" borderId="23" xfId="0" applyFont="1" applyFill="1" applyBorder="1" applyAlignment="1" applyProtection="1">
      <alignment horizontal="center" vertical="center"/>
      <protection hidden="1"/>
    </xf>
    <xf numFmtId="176" fontId="15" fillId="8" borderId="0" xfId="2" applyNumberFormat="1" applyFont="1" applyFill="1" applyBorder="1" applyAlignment="1" applyProtection="1">
      <alignment vertical="center"/>
      <protection hidden="1"/>
    </xf>
    <xf numFmtId="0" fontId="15" fillId="8" borderId="17" xfId="0" applyFont="1" applyFill="1" applyBorder="1" applyAlignment="1" applyProtection="1">
      <alignment horizontal="center" vertical="center"/>
      <protection hidden="1"/>
    </xf>
    <xf numFmtId="0" fontId="15" fillId="8" borderId="22" xfId="0" applyFont="1" applyFill="1" applyBorder="1" applyAlignment="1" applyProtection="1">
      <alignment horizontal="center" vertical="center"/>
      <protection hidden="1"/>
    </xf>
    <xf numFmtId="10" fontId="10" fillId="7" borderId="21" xfId="0" applyNumberFormat="1" applyFont="1" applyFill="1" applyBorder="1" applyAlignment="1" applyProtection="1">
      <alignment vertical="center" wrapText="1"/>
      <protection hidden="1"/>
    </xf>
    <xf numFmtId="0" fontId="15" fillId="8" borderId="0" xfId="0" applyFont="1" applyFill="1" applyBorder="1" applyAlignment="1" applyProtection="1">
      <alignment horizontal="center" vertical="center"/>
      <protection hidden="1"/>
    </xf>
    <xf numFmtId="9" fontId="15" fillId="8" borderId="0" xfId="0" applyNumberFormat="1" applyFont="1" applyFill="1" applyBorder="1" applyAlignment="1" applyProtection="1">
      <alignment horizontal="center" vertical="center"/>
      <protection hidden="1"/>
    </xf>
    <xf numFmtId="176" fontId="15" fillId="8" borderId="0" xfId="2" applyNumberFormat="1" applyFont="1" applyFill="1" applyBorder="1" applyAlignment="1" applyProtection="1">
      <alignment horizontal="center" vertical="center"/>
      <protection hidden="1"/>
    </xf>
    <xf numFmtId="0" fontId="10" fillId="0" borderId="17" xfId="0" applyFont="1" applyFill="1" applyBorder="1" applyAlignment="1" applyProtection="1">
      <alignment horizontal="center" vertical="center"/>
      <protection hidden="1"/>
    </xf>
    <xf numFmtId="176" fontId="10" fillId="7" borderId="17" xfId="2" applyNumberFormat="1" applyFont="1" applyFill="1" applyBorder="1" applyAlignment="1" applyProtection="1">
      <alignment horizontal="center" vertical="center"/>
      <protection hidden="1"/>
    </xf>
    <xf numFmtId="0" fontId="15" fillId="8" borderId="19" xfId="0" applyFont="1" applyFill="1" applyBorder="1" applyAlignment="1" applyProtection="1">
      <alignment vertical="center"/>
      <protection hidden="1"/>
    </xf>
    <xf numFmtId="10" fontId="10" fillId="7" borderId="24" xfId="0" applyNumberFormat="1" applyFont="1" applyFill="1" applyBorder="1" applyAlignment="1" applyProtection="1">
      <alignment vertical="center" wrapText="1"/>
      <protection hidden="1"/>
    </xf>
    <xf numFmtId="9" fontId="10" fillId="7" borderId="18" xfId="2" applyFont="1" applyFill="1" applyBorder="1" applyAlignment="1" applyProtection="1">
      <alignment horizontal="right" vertical="center"/>
      <protection hidden="1"/>
    </xf>
    <xf numFmtId="0" fontId="10" fillId="7" borderId="20" xfId="0" applyFont="1" applyFill="1" applyBorder="1" applyAlignment="1" applyProtection="1">
      <alignment vertical="center"/>
      <protection hidden="1"/>
    </xf>
    <xf numFmtId="0" fontId="15" fillId="8" borderId="20" xfId="0" applyFont="1" applyFill="1" applyBorder="1" applyAlignment="1" applyProtection="1">
      <alignment vertical="center"/>
      <protection hidden="1"/>
    </xf>
    <xf numFmtId="0" fontId="15" fillId="8" borderId="0" xfId="0" applyFont="1" applyFill="1" applyBorder="1" applyAlignment="1" applyProtection="1">
      <alignment horizontal="left" vertical="center"/>
      <protection hidden="1"/>
    </xf>
    <xf numFmtId="0" fontId="15" fillId="8" borderId="20" xfId="0" applyFont="1" applyFill="1" applyBorder="1" applyAlignment="1" applyProtection="1">
      <alignment horizontal="center" vertical="center"/>
      <protection hidden="1"/>
    </xf>
    <xf numFmtId="0" fontId="10" fillId="7" borderId="19" xfId="0" applyFont="1" applyFill="1" applyBorder="1" applyAlignment="1" applyProtection="1">
      <alignmen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vertical="center" wrapText="1"/>
      <protection hidden="1"/>
    </xf>
    <xf numFmtId="9" fontId="0" fillId="0" borderId="0" xfId="0" applyNumberFormat="1" applyAlignment="1" applyProtection="1">
      <alignment horizontal="center" vertical="center" wrapText="1"/>
      <protection hidden="1"/>
    </xf>
    <xf numFmtId="0" fontId="0" fillId="0" borderId="0" xfId="0" applyAlignment="1" applyProtection="1">
      <alignment vertical="center" wrapText="1"/>
      <protection hidden="1"/>
    </xf>
    <xf numFmtId="9" fontId="0" fillId="0" borderId="0" xfId="2" applyFont="1" applyAlignment="1" applyProtection="1">
      <alignment vertical="center" wrapText="1"/>
      <protection hidden="1"/>
    </xf>
    <xf numFmtId="0" fontId="27" fillId="7" borderId="0" xfId="0" applyFont="1" applyFill="1" applyBorder="1" applyAlignment="1" applyProtection="1">
      <alignment vertical="center" wrapText="1"/>
      <protection hidden="1"/>
    </xf>
    <xf numFmtId="0" fontId="10" fillId="7" borderId="0" xfId="0" applyFont="1" applyFill="1" applyBorder="1" applyAlignment="1" applyProtection="1">
      <alignment vertical="center"/>
      <protection hidden="1"/>
    </xf>
    <xf numFmtId="0" fontId="10" fillId="7" borderId="0" xfId="0" applyFont="1" applyFill="1" applyBorder="1" applyAlignment="1" applyProtection="1">
      <alignment vertical="center" wrapText="1"/>
      <protection hidden="1"/>
    </xf>
    <xf numFmtId="9" fontId="10" fillId="7" borderId="0" xfId="2" applyFont="1" applyFill="1" applyBorder="1" applyAlignment="1" applyProtection="1">
      <alignment vertical="center" wrapText="1"/>
      <protection hidden="1"/>
    </xf>
    <xf numFmtId="0" fontId="10" fillId="7" borderId="15" xfId="0" applyFont="1" applyFill="1" applyBorder="1" applyAlignment="1" applyProtection="1">
      <alignment vertical="center"/>
      <protection hidden="1"/>
    </xf>
    <xf numFmtId="0" fontId="10" fillId="7" borderId="16" xfId="0" applyFont="1" applyFill="1" applyBorder="1" applyAlignment="1" applyProtection="1">
      <alignment vertical="center"/>
      <protection hidden="1"/>
    </xf>
    <xf numFmtId="0" fontId="10" fillId="7" borderId="14" xfId="0" applyFont="1" applyFill="1" applyBorder="1" applyAlignment="1" applyProtection="1">
      <alignment vertical="center"/>
      <protection hidden="1"/>
    </xf>
    <xf numFmtId="10" fontId="10" fillId="7" borderId="3" xfId="0" applyNumberFormat="1" applyFont="1" applyFill="1" applyBorder="1" applyAlignment="1" applyProtection="1">
      <alignment horizontal="center" vertical="center" wrapText="1"/>
      <protection hidden="1"/>
    </xf>
    <xf numFmtId="9" fontId="10" fillId="7" borderId="3" xfId="2" applyFont="1" applyFill="1" applyBorder="1" applyAlignment="1" applyProtection="1">
      <alignment horizontal="center" vertical="center" wrapText="1"/>
      <protection hidden="1"/>
    </xf>
    <xf numFmtId="0" fontId="10" fillId="0" borderId="3" xfId="0" applyFont="1" applyFill="1" applyBorder="1" applyAlignment="1" applyProtection="1">
      <alignment horizontal="center" vertical="center" wrapText="1"/>
      <protection hidden="1"/>
    </xf>
    <xf numFmtId="0" fontId="10" fillId="0" borderId="3" xfId="0" applyFont="1" applyFill="1" applyBorder="1" applyAlignment="1" applyProtection="1">
      <alignment horizontal="center" vertical="center"/>
      <protection hidden="1"/>
    </xf>
    <xf numFmtId="9" fontId="10" fillId="0" borderId="3" xfId="2" applyFont="1" applyFill="1" applyBorder="1" applyAlignment="1" applyProtection="1">
      <alignment horizontal="center" vertical="center" wrapText="1"/>
      <protection hidden="1"/>
    </xf>
    <xf numFmtId="10" fontId="10" fillId="0" borderId="3" xfId="0" applyNumberFormat="1" applyFont="1" applyFill="1" applyBorder="1" applyAlignment="1" applyProtection="1">
      <alignment horizontal="center" vertical="center" wrapText="1"/>
      <protection hidden="1"/>
    </xf>
    <xf numFmtId="0" fontId="10" fillId="15" borderId="19" xfId="0" applyFont="1" applyFill="1" applyBorder="1" applyAlignment="1" applyProtection="1">
      <alignment vertical="center"/>
      <protection hidden="1"/>
    </xf>
    <xf numFmtId="177" fontId="10" fillId="0" borderId="17" xfId="0" applyNumberFormat="1" applyFont="1" applyFill="1" applyBorder="1" applyAlignment="1" applyProtection="1">
      <alignment horizontal="center" vertical="center"/>
      <protection hidden="1"/>
    </xf>
    <xf numFmtId="0" fontId="10" fillId="15" borderId="20" xfId="0" applyFont="1" applyFill="1" applyBorder="1" applyAlignment="1" applyProtection="1">
      <alignment horizontal="center" vertical="center"/>
      <protection hidden="1"/>
    </xf>
    <xf numFmtId="0" fontId="10" fillId="7" borderId="1" xfId="0" applyFont="1" applyFill="1" applyBorder="1" applyAlignment="1" applyProtection="1">
      <alignment vertical="center" wrapText="1"/>
      <protection hidden="1"/>
    </xf>
    <xf numFmtId="0" fontId="10" fillId="7" borderId="2" xfId="0" applyFont="1" applyFill="1" applyBorder="1" applyAlignment="1" applyProtection="1">
      <alignment vertical="center" wrapText="1"/>
      <protection hidden="1"/>
    </xf>
    <xf numFmtId="9" fontId="10" fillId="7" borderId="2" xfId="2" applyFont="1" applyFill="1" applyBorder="1" applyAlignment="1" applyProtection="1">
      <alignment vertical="center" wrapText="1"/>
      <protection hidden="1"/>
    </xf>
    <xf numFmtId="9" fontId="10" fillId="7" borderId="0" xfId="2" applyFont="1" applyFill="1" applyBorder="1" applyAlignment="1" applyProtection="1">
      <alignment vertical="center"/>
      <protection hidden="1"/>
    </xf>
    <xf numFmtId="0" fontId="0" fillId="0" borderId="0" xfId="0" applyAlignment="1" applyProtection="1">
      <alignment horizontal="left" vertical="center" wrapText="1"/>
      <protection hidden="1"/>
    </xf>
    <xf numFmtId="9" fontId="0" fillId="0" borderId="0" xfId="2" applyFont="1" applyAlignment="1" applyProtection="1">
      <alignment horizontal="left" vertical="center" wrapText="1"/>
      <protection hidden="1"/>
    </xf>
    <xf numFmtId="0" fontId="10" fillId="15" borderId="70" xfId="0" applyFont="1" applyFill="1" applyBorder="1" applyAlignment="1" applyProtection="1">
      <alignment horizontal="center" vertical="center"/>
      <protection hidden="1"/>
    </xf>
    <xf numFmtId="0" fontId="10" fillId="7" borderId="44" xfId="0" applyFont="1" applyFill="1" applyBorder="1" applyAlignment="1" applyProtection="1">
      <alignment horizontal="center" vertical="center"/>
      <protection hidden="1"/>
    </xf>
    <xf numFmtId="0" fontId="10" fillId="7" borderId="69" xfId="0" applyFont="1" applyFill="1" applyBorder="1" applyAlignment="1" applyProtection="1">
      <alignment horizontal="center" vertical="center"/>
      <protection hidden="1"/>
    </xf>
    <xf numFmtId="0" fontId="16" fillId="7" borderId="3" xfId="0" applyFont="1" applyFill="1" applyBorder="1" applyAlignment="1" applyProtection="1">
      <alignment horizontal="center" vertical="center"/>
      <protection hidden="1"/>
    </xf>
    <xf numFmtId="0" fontId="16" fillId="7" borderId="68" xfId="0" applyFont="1" applyFill="1" applyBorder="1" applyAlignment="1" applyProtection="1">
      <alignment horizontal="center" vertical="center"/>
      <protection hidden="1"/>
    </xf>
    <xf numFmtId="0" fontId="17" fillId="7" borderId="66" xfId="0" applyFont="1" applyFill="1" applyBorder="1" applyAlignment="1" applyProtection="1">
      <alignment horizontal="center" vertical="center"/>
      <protection hidden="1"/>
    </xf>
    <xf numFmtId="0" fontId="17" fillId="7" borderId="67" xfId="0" applyFont="1" applyFill="1" applyBorder="1" applyAlignment="1" applyProtection="1">
      <alignment horizontal="center" vertical="center"/>
      <protection hidden="1"/>
    </xf>
    <xf numFmtId="0" fontId="10" fillId="10" borderId="3" xfId="0" applyFont="1" applyFill="1" applyBorder="1" applyAlignment="1" applyProtection="1">
      <alignment horizontal="center" vertical="center"/>
      <protection hidden="1"/>
    </xf>
    <xf numFmtId="0" fontId="10" fillId="10" borderId="68" xfId="0" applyFont="1" applyFill="1" applyBorder="1" applyAlignment="1" applyProtection="1">
      <alignment horizontal="center" vertical="center"/>
      <protection hidden="1"/>
    </xf>
    <xf numFmtId="0" fontId="10" fillId="7" borderId="68" xfId="0" applyFont="1" applyFill="1" applyBorder="1" applyAlignment="1" applyProtection="1">
      <alignment horizontal="center" vertical="center"/>
      <protection hidden="1"/>
    </xf>
    <xf numFmtId="9" fontId="10" fillId="0" borderId="3" xfId="0" applyNumberFormat="1" applyFont="1" applyFill="1" applyBorder="1" applyAlignment="1" applyProtection="1">
      <alignment horizontal="center" vertical="center"/>
      <protection hidden="1"/>
    </xf>
    <xf numFmtId="9" fontId="10" fillId="0" borderId="68" xfId="0" applyNumberFormat="1" applyFont="1" applyFill="1" applyBorder="1" applyAlignment="1" applyProtection="1">
      <alignment horizontal="center" vertical="center"/>
      <protection hidden="1"/>
    </xf>
    <xf numFmtId="0" fontId="50" fillId="0" borderId="0" xfId="0" applyFont="1" applyAlignment="1" applyProtection="1">
      <alignment vertical="center"/>
      <protection hidden="1"/>
    </xf>
    <xf numFmtId="0" fontId="0" fillId="20" borderId="66" xfId="0" applyFill="1" applyBorder="1" applyAlignment="1" applyProtection="1">
      <alignment horizontal="center" vertical="center"/>
      <protection hidden="1"/>
    </xf>
    <xf numFmtId="0" fontId="0" fillId="20" borderId="44" xfId="0" applyFill="1" applyBorder="1" applyAlignment="1" applyProtection="1">
      <alignment horizontal="center" vertical="center"/>
      <protection hidden="1"/>
    </xf>
    <xf numFmtId="0" fontId="0" fillId="20" borderId="41" xfId="0" applyFill="1" applyBorder="1" applyAlignment="1" applyProtection="1">
      <alignment horizontal="center" vertical="center"/>
      <protection hidden="1"/>
    </xf>
    <xf numFmtId="0" fontId="0" fillId="10" borderId="66" xfId="0" applyFill="1" applyBorder="1" applyAlignment="1" applyProtection="1">
      <alignment horizontal="center" vertical="center"/>
      <protection hidden="1"/>
    </xf>
    <xf numFmtId="0" fontId="0" fillId="10" borderId="44" xfId="0" applyFill="1" applyBorder="1" applyAlignment="1" applyProtection="1">
      <alignment horizontal="center" vertical="center"/>
      <protection hidden="1"/>
    </xf>
    <xf numFmtId="0" fontId="0" fillId="10" borderId="67" xfId="0" applyFill="1" applyBorder="1" applyAlignment="1" applyProtection="1">
      <alignment horizontal="center" vertical="center"/>
      <protection hidden="1"/>
    </xf>
    <xf numFmtId="0" fontId="0" fillId="10" borderId="69" xfId="0" applyFill="1" applyBorder="1" applyAlignment="1" applyProtection="1">
      <alignment horizontal="center" vertical="center"/>
      <protection hidden="1"/>
    </xf>
    <xf numFmtId="0" fontId="12" fillId="17" borderId="1" xfId="0" applyFont="1" applyFill="1" applyBorder="1" applyAlignment="1" applyProtection="1">
      <alignment horizontal="center" vertical="center"/>
      <protection locked="0"/>
    </xf>
    <xf numFmtId="0" fontId="12" fillId="19" borderId="1" xfId="0" applyFont="1" applyFill="1" applyBorder="1" applyAlignment="1" applyProtection="1">
      <alignment horizontal="center" vertical="center"/>
      <protection locked="0"/>
    </xf>
    <xf numFmtId="0" fontId="12" fillId="17" borderId="3" xfId="0" applyFont="1" applyFill="1" applyBorder="1" applyAlignment="1" applyProtection="1">
      <alignment horizontal="center" vertical="center"/>
      <protection locked="0"/>
    </xf>
    <xf numFmtId="0" fontId="12" fillId="17" borderId="3" xfId="0" applyNumberFormat="1" applyFont="1" applyFill="1" applyBorder="1" applyAlignment="1" applyProtection="1">
      <alignment horizontal="center" vertical="center"/>
      <protection locked="0"/>
    </xf>
    <xf numFmtId="9" fontId="12" fillId="17" borderId="3" xfId="2" applyFont="1" applyFill="1" applyBorder="1" applyAlignment="1" applyProtection="1">
      <alignment horizontal="center" vertical="center"/>
      <protection locked="0"/>
    </xf>
    <xf numFmtId="10" fontId="12" fillId="17" borderId="3" xfId="0" applyNumberFormat="1" applyFont="1" applyFill="1" applyBorder="1" applyAlignment="1" applyProtection="1">
      <alignment horizontal="center" vertical="center"/>
      <protection locked="0"/>
    </xf>
    <xf numFmtId="0" fontId="12" fillId="19" borderId="3" xfId="0" applyFont="1" applyFill="1" applyBorder="1" applyAlignment="1" applyProtection="1">
      <alignment horizontal="center" vertical="center"/>
      <protection locked="0"/>
    </xf>
    <xf numFmtId="0" fontId="12" fillId="19" borderId="3" xfId="0" applyNumberFormat="1" applyFont="1" applyFill="1" applyBorder="1" applyAlignment="1" applyProtection="1">
      <alignment horizontal="center" vertical="center"/>
      <protection locked="0"/>
    </xf>
    <xf numFmtId="9" fontId="12" fillId="19" borderId="3" xfId="2" applyFont="1" applyFill="1" applyBorder="1" applyAlignment="1" applyProtection="1">
      <alignment horizontal="center" vertical="center"/>
      <protection locked="0"/>
    </xf>
    <xf numFmtId="10" fontId="12" fillId="19" borderId="3" xfId="0" applyNumberFormat="1" applyFont="1" applyFill="1" applyBorder="1" applyAlignment="1" applyProtection="1">
      <alignment horizontal="center" vertical="center"/>
      <protection locked="0"/>
    </xf>
    <xf numFmtId="0" fontId="0" fillId="19" borderId="62" xfId="0" applyFill="1" applyBorder="1" applyAlignment="1" applyProtection="1">
      <alignment horizontal="center" vertical="center"/>
      <protection locked="0"/>
    </xf>
    <xf numFmtId="0" fontId="0" fillId="19" borderId="57" xfId="0" applyFill="1" applyBorder="1" applyAlignment="1" applyProtection="1">
      <alignment horizontal="center" vertical="center"/>
      <protection locked="0"/>
    </xf>
    <xf numFmtId="0" fontId="0" fillId="17" borderId="62" xfId="0" applyFill="1" applyBorder="1" applyAlignment="1" applyProtection="1">
      <alignment horizontal="center" vertical="center"/>
      <protection locked="0"/>
    </xf>
    <xf numFmtId="0" fontId="0" fillId="17" borderId="57" xfId="0" applyFill="1" applyBorder="1" applyAlignment="1" applyProtection="1">
      <alignment horizontal="center" vertical="center"/>
      <protection locked="0"/>
    </xf>
    <xf numFmtId="0" fontId="0" fillId="19" borderId="64" xfId="0" applyFill="1" applyBorder="1" applyAlignment="1" applyProtection="1">
      <alignment horizontal="center" vertical="center"/>
      <protection locked="0"/>
    </xf>
    <xf numFmtId="0" fontId="0" fillId="19" borderId="58" xfId="0" applyFill="1" applyBorder="1" applyAlignment="1" applyProtection="1">
      <alignment horizontal="center" vertical="center"/>
      <protection locked="0"/>
    </xf>
    <xf numFmtId="9" fontId="0" fillId="17" borderId="3" xfId="0" applyNumberFormat="1" applyFill="1" applyBorder="1" applyAlignment="1" applyProtection="1">
      <alignment horizontal="center" vertical="center"/>
      <protection locked="0"/>
    </xf>
    <xf numFmtId="0" fontId="0" fillId="17" borderId="3" xfId="0" applyFill="1" applyBorder="1" applyAlignment="1" applyProtection="1">
      <alignment horizontal="left" vertical="center"/>
      <protection locked="0"/>
    </xf>
    <xf numFmtId="0" fontId="0" fillId="17" borderId="44" xfId="0" applyFill="1" applyBorder="1" applyAlignment="1" applyProtection="1">
      <alignment horizontal="left" vertical="center"/>
      <protection locked="0"/>
    </xf>
    <xf numFmtId="9" fontId="0" fillId="19" borderId="3" xfId="0" applyNumberFormat="1" applyFill="1" applyBorder="1" applyAlignment="1" applyProtection="1">
      <alignment horizontal="center" vertical="center"/>
      <protection locked="0"/>
    </xf>
    <xf numFmtId="0" fontId="0" fillId="19" borderId="3" xfId="0" applyFill="1" applyBorder="1" applyAlignment="1" applyProtection="1">
      <alignment horizontal="left" vertical="center"/>
      <protection locked="0"/>
    </xf>
    <xf numFmtId="0" fontId="0" fillId="19" borderId="44" xfId="0" applyFill="1" applyBorder="1" applyAlignment="1" applyProtection="1">
      <alignment horizontal="left" vertical="center"/>
      <protection locked="0"/>
    </xf>
    <xf numFmtId="9" fontId="0" fillId="19" borderId="68" xfId="0" applyNumberFormat="1" applyFill="1" applyBorder="1" applyAlignment="1" applyProtection="1">
      <alignment horizontal="center" vertical="center"/>
      <protection locked="0"/>
    </xf>
    <xf numFmtId="0" fontId="0" fillId="19" borderId="68" xfId="0" applyFill="1" applyBorder="1" applyAlignment="1" applyProtection="1">
      <alignment horizontal="left" vertical="center"/>
      <protection locked="0"/>
    </xf>
    <xf numFmtId="0" fontId="0" fillId="19" borderId="69" xfId="0" applyFill="1" applyBorder="1" applyAlignment="1" applyProtection="1">
      <alignment horizontal="left" vertical="center"/>
      <protection locked="0"/>
    </xf>
    <xf numFmtId="0" fontId="0" fillId="19" borderId="16" xfId="0" applyFill="1" applyBorder="1" applyAlignment="1" applyProtection="1">
      <alignment horizontal="center" vertical="center"/>
      <protection locked="0"/>
    </xf>
    <xf numFmtId="0" fontId="0" fillId="19" borderId="7" xfId="0" applyFill="1" applyBorder="1" applyAlignment="1" applyProtection="1">
      <alignment horizontal="center" vertical="center"/>
      <protection locked="0"/>
    </xf>
    <xf numFmtId="0" fontId="0" fillId="17" borderId="16" xfId="0" applyFill="1" applyBorder="1" applyAlignment="1" applyProtection="1">
      <alignment horizontal="center" vertical="center"/>
      <protection locked="0"/>
    </xf>
    <xf numFmtId="0" fontId="0" fillId="17" borderId="7" xfId="0" applyFill="1" applyBorder="1" applyAlignment="1" applyProtection="1">
      <alignment horizontal="center" vertical="center"/>
      <protection locked="0"/>
    </xf>
    <xf numFmtId="0" fontId="0" fillId="19" borderId="4" xfId="0" applyFill="1" applyBorder="1" applyAlignment="1" applyProtection="1">
      <alignment horizontal="center" vertical="center"/>
      <protection locked="0"/>
    </xf>
    <xf numFmtId="0" fontId="0" fillId="19" borderId="3" xfId="0" applyFill="1" applyBorder="1" applyAlignment="1" applyProtection="1">
      <alignment horizontal="center" vertical="center"/>
      <protection locked="0"/>
    </xf>
    <xf numFmtId="0" fontId="0" fillId="17" borderId="47" xfId="0" applyFill="1" applyBorder="1" applyAlignment="1" applyProtection="1">
      <alignment horizontal="center" vertical="center"/>
      <protection locked="0"/>
    </xf>
    <xf numFmtId="0" fontId="0" fillId="17" borderId="48" xfId="0" applyFill="1" applyBorder="1" applyAlignment="1" applyProtection="1">
      <alignment horizontal="center" vertical="center"/>
      <protection locked="0"/>
    </xf>
    <xf numFmtId="0" fontId="0" fillId="19" borderId="63" xfId="0" applyFill="1" applyBorder="1" applyAlignment="1" applyProtection="1">
      <alignment horizontal="center" vertical="center"/>
      <protection locked="0"/>
    </xf>
    <xf numFmtId="0" fontId="0" fillId="19" borderId="55" xfId="0" applyFill="1" applyBorder="1" applyAlignment="1" applyProtection="1">
      <alignment horizontal="center" vertical="center"/>
      <protection locked="0"/>
    </xf>
    <xf numFmtId="0" fontId="0" fillId="17" borderId="54" xfId="0" applyFill="1" applyBorder="1" applyAlignment="1" applyProtection="1">
      <alignment horizontal="center" vertical="center"/>
      <protection locked="0"/>
    </xf>
    <xf numFmtId="0" fontId="0" fillId="17" borderId="56" xfId="0" applyFill="1" applyBorder="1" applyAlignment="1" applyProtection="1">
      <alignment horizontal="center" vertical="center"/>
      <protection locked="0"/>
    </xf>
    <xf numFmtId="0" fontId="0" fillId="17" borderId="45" xfId="0" applyFill="1" applyBorder="1" applyAlignment="1" applyProtection="1">
      <alignment horizontal="center" vertical="center"/>
      <protection locked="0"/>
    </xf>
    <xf numFmtId="0" fontId="16" fillId="17" borderId="3" xfId="0" applyFont="1" applyFill="1" applyBorder="1" applyAlignment="1" applyProtection="1">
      <alignment horizontal="center" vertical="center"/>
      <protection locked="0"/>
    </xf>
    <xf numFmtId="0" fontId="16" fillId="17" borderId="68" xfId="0" applyFont="1" applyFill="1" applyBorder="1" applyAlignment="1" applyProtection="1">
      <alignment horizontal="center" vertical="center"/>
      <protection locked="0"/>
    </xf>
    <xf numFmtId="0" fontId="17" fillId="17" borderId="66" xfId="0" applyFont="1" applyFill="1" applyBorder="1" applyAlignment="1" applyProtection="1">
      <alignment horizontal="center" vertical="center"/>
      <protection locked="0"/>
    </xf>
    <xf numFmtId="0" fontId="10" fillId="17" borderId="3" xfId="0" applyFont="1" applyFill="1" applyBorder="1" applyAlignment="1" applyProtection="1">
      <alignment horizontal="center" vertical="center"/>
      <protection locked="0"/>
    </xf>
    <xf numFmtId="0" fontId="17" fillId="17" borderId="67" xfId="0" applyFont="1" applyFill="1" applyBorder="1" applyAlignment="1" applyProtection="1">
      <alignment horizontal="center" vertical="center"/>
      <protection locked="0"/>
    </xf>
    <xf numFmtId="0" fontId="10" fillId="17" borderId="68" xfId="0" applyFont="1" applyFill="1" applyBorder="1" applyAlignment="1" applyProtection="1">
      <alignment horizontal="center" vertical="center"/>
      <protection locked="0"/>
    </xf>
    <xf numFmtId="0" fontId="10" fillId="17" borderId="44" xfId="0" applyFont="1" applyFill="1" applyBorder="1" applyAlignment="1" applyProtection="1">
      <alignment horizontal="center" vertical="center"/>
      <protection locked="0"/>
    </xf>
    <xf numFmtId="0" fontId="10" fillId="17" borderId="69" xfId="0" applyFont="1" applyFill="1" applyBorder="1" applyAlignment="1" applyProtection="1">
      <alignment horizontal="center" vertical="center"/>
      <protection locked="0"/>
    </xf>
    <xf numFmtId="0" fontId="10" fillId="17" borderId="66" xfId="0" applyFont="1" applyFill="1" applyBorder="1" applyAlignment="1" applyProtection="1">
      <alignment horizontal="center" vertical="center"/>
      <protection locked="0"/>
    </xf>
    <xf numFmtId="10" fontId="10" fillId="17" borderId="3" xfId="0" applyNumberFormat="1" applyFont="1" applyFill="1" applyBorder="1" applyAlignment="1" applyProtection="1">
      <alignment horizontal="center" vertical="center"/>
      <protection locked="0"/>
    </xf>
    <xf numFmtId="9" fontId="10" fillId="17" borderId="3" xfId="0" applyNumberFormat="1" applyFont="1" applyFill="1" applyBorder="1" applyAlignment="1" applyProtection="1">
      <alignment horizontal="center" vertical="center"/>
      <protection locked="0"/>
    </xf>
    <xf numFmtId="0" fontId="10" fillId="17" borderId="67" xfId="0" applyFont="1" applyFill="1" applyBorder="1" applyAlignment="1" applyProtection="1">
      <alignment horizontal="center" vertical="center"/>
      <protection locked="0"/>
    </xf>
    <xf numFmtId="10" fontId="10" fillId="17" borderId="68" xfId="0" applyNumberFormat="1" applyFont="1" applyFill="1" applyBorder="1" applyAlignment="1" applyProtection="1">
      <alignment horizontal="center" vertical="center"/>
      <protection locked="0"/>
    </xf>
    <xf numFmtId="0" fontId="46" fillId="3" borderId="31" xfId="0" applyFont="1" applyFill="1" applyBorder="1" applyAlignment="1">
      <alignment vertical="center"/>
    </xf>
    <xf numFmtId="0" fontId="6" fillId="3" borderId="31" xfId="0" applyFont="1" applyFill="1" applyBorder="1" applyAlignment="1">
      <alignment vertical="center"/>
    </xf>
    <xf numFmtId="0" fontId="6" fillId="3" borderId="32" xfId="0" applyFont="1" applyFill="1" applyBorder="1" applyAlignment="1">
      <alignment vertical="center"/>
    </xf>
    <xf numFmtId="0" fontId="6" fillId="3" borderId="33" xfId="0" applyFont="1" applyFill="1" applyBorder="1" applyAlignment="1">
      <alignment vertical="center"/>
    </xf>
    <xf numFmtId="0" fontId="6" fillId="3" borderId="0" xfId="0" applyFont="1" applyFill="1" applyBorder="1" applyAlignment="1">
      <alignment vertical="center"/>
    </xf>
    <xf numFmtId="0" fontId="6" fillId="3" borderId="34" xfId="0" applyFont="1" applyFill="1" applyBorder="1" applyAlignment="1">
      <alignment vertical="center"/>
    </xf>
    <xf numFmtId="0" fontId="6" fillId="3" borderId="35" xfId="0" applyFont="1" applyFill="1" applyBorder="1" applyAlignment="1">
      <alignment vertical="center"/>
    </xf>
    <xf numFmtId="0" fontId="6" fillId="3" borderId="8" xfId="0" applyFont="1" applyFill="1" applyBorder="1" applyAlignment="1">
      <alignment vertical="center"/>
    </xf>
    <xf numFmtId="0" fontId="6" fillId="3" borderId="27" xfId="0" applyFont="1" applyFill="1" applyBorder="1" applyAlignment="1">
      <alignment vertical="center"/>
    </xf>
    <xf numFmtId="0" fontId="27" fillId="7" borderId="0" xfId="0" applyFont="1" applyFill="1" applyBorder="1" applyAlignment="1">
      <alignment vertical="center"/>
    </xf>
    <xf numFmtId="0" fontId="54" fillId="3" borderId="30" xfId="0" applyFont="1" applyFill="1" applyBorder="1" applyAlignment="1">
      <alignment vertical="center"/>
    </xf>
    <xf numFmtId="0" fontId="6" fillId="3" borderId="30" xfId="0" applyFont="1" applyFill="1" applyBorder="1" applyAlignment="1">
      <alignment vertical="center"/>
    </xf>
    <xf numFmtId="0" fontId="40" fillId="0" borderId="0" xfId="0" applyFont="1" applyBorder="1"/>
    <xf numFmtId="0" fontId="42" fillId="0" borderId="8" xfId="0" applyFont="1" applyBorder="1"/>
    <xf numFmtId="0" fontId="46" fillId="3" borderId="0" xfId="0" applyFont="1" applyFill="1" applyBorder="1" applyAlignment="1">
      <alignment vertical="center"/>
    </xf>
    <xf numFmtId="0" fontId="47" fillId="3" borderId="0" xfId="0" applyFont="1" applyFill="1" applyBorder="1" applyAlignment="1">
      <alignment vertical="center"/>
    </xf>
    <xf numFmtId="0" fontId="39" fillId="0" borderId="0" xfId="0" applyFont="1" applyBorder="1"/>
    <xf numFmtId="0" fontId="54" fillId="3" borderId="33" xfId="0" applyFont="1" applyFill="1" applyBorder="1" applyAlignment="1">
      <alignment vertical="center"/>
    </xf>
    <xf numFmtId="9" fontId="16" fillId="0" borderId="3" xfId="0" applyNumberFormat="1" applyFont="1" applyFill="1" applyBorder="1" applyAlignment="1" applyProtection="1">
      <alignment horizontal="center" vertical="center"/>
      <protection hidden="1"/>
    </xf>
    <xf numFmtId="9" fontId="16" fillId="0" borderId="68" xfId="0" applyNumberFormat="1" applyFont="1" applyFill="1" applyBorder="1" applyAlignment="1" applyProtection="1">
      <alignment horizontal="center" vertical="center"/>
      <protection hidden="1"/>
    </xf>
    <xf numFmtId="9" fontId="16" fillId="0" borderId="3" xfId="2" applyFont="1" applyFill="1" applyBorder="1" applyAlignment="1" applyProtection="1">
      <alignment horizontal="center" vertical="center"/>
      <protection hidden="1"/>
    </xf>
    <xf numFmtId="177" fontId="25" fillId="22" borderId="3" xfId="0" applyNumberFormat="1" applyFont="1" applyFill="1" applyBorder="1" applyAlignment="1" applyProtection="1">
      <alignment vertical="center"/>
      <protection hidden="1"/>
    </xf>
    <xf numFmtId="0" fontId="25" fillId="21" borderId="3" xfId="0" applyFont="1" applyFill="1" applyBorder="1" applyAlignment="1" applyProtection="1">
      <alignment vertical="center"/>
      <protection hidden="1"/>
    </xf>
    <xf numFmtId="177" fontId="25" fillId="22" borderId="3" xfId="0" applyNumberFormat="1" applyFont="1" applyFill="1" applyBorder="1" applyAlignment="1" applyProtection="1">
      <alignment vertical="center" wrapText="1"/>
      <protection hidden="1"/>
    </xf>
    <xf numFmtId="0" fontId="16" fillId="7" borderId="3" xfId="0" applyFont="1" applyFill="1" applyBorder="1" applyAlignment="1" applyProtection="1">
      <alignment vertical="top"/>
      <protection hidden="1"/>
    </xf>
    <xf numFmtId="0" fontId="25" fillId="0" borderId="3" xfId="0" applyFont="1" applyFill="1" applyBorder="1" applyAlignment="1" applyProtection="1">
      <alignment vertical="center"/>
      <protection hidden="1"/>
    </xf>
    <xf numFmtId="0" fontId="16" fillId="0" borderId="3" xfId="0" applyFont="1" applyFill="1" applyBorder="1" applyAlignment="1" applyProtection="1">
      <alignment vertical="top"/>
      <protection hidden="1"/>
    </xf>
    <xf numFmtId="0" fontId="16" fillId="0" borderId="3" xfId="0" applyFont="1" applyFill="1" applyBorder="1" applyAlignment="1" applyProtection="1">
      <alignment vertical="center"/>
      <protection hidden="1"/>
    </xf>
    <xf numFmtId="177" fontId="26" fillId="0" borderId="3" xfId="0" applyNumberFormat="1" applyFont="1" applyFill="1" applyBorder="1" applyAlignment="1" applyProtection="1">
      <alignment horizontal="left" vertical="center"/>
      <protection hidden="1"/>
    </xf>
    <xf numFmtId="0" fontId="0" fillId="0" borderId="0" xfId="0" applyAlignment="1" applyProtection="1">
      <alignment vertical="center"/>
      <protection locked="0"/>
    </xf>
    <xf numFmtId="0" fontId="3" fillId="3" borderId="0" xfId="0" applyFont="1" applyFill="1" applyAlignment="1" applyProtection="1">
      <alignment horizontal="right"/>
      <protection locked="0"/>
    </xf>
    <xf numFmtId="0" fontId="3" fillId="3" borderId="0" xfId="0" applyFont="1" applyFill="1" applyAlignment="1" applyProtection="1">
      <alignment horizontal="left"/>
      <protection locked="0"/>
    </xf>
    <xf numFmtId="0" fontId="0" fillId="0" borderId="0" xfId="0" applyAlignment="1" applyProtection="1">
      <alignment horizontal="center" vertical="center"/>
      <protection locked="0"/>
    </xf>
    <xf numFmtId="0" fontId="0" fillId="0" borderId="0" xfId="0" applyProtection="1">
      <protection locked="0"/>
    </xf>
    <xf numFmtId="0" fontId="7" fillId="0" borderId="53"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40" xfId="0" applyFont="1" applyBorder="1" applyAlignment="1" applyProtection="1">
      <alignment vertical="center"/>
      <protection locked="0"/>
    </xf>
    <xf numFmtId="0" fontId="7" fillId="0" borderId="39"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0" fillId="16" borderId="42" xfId="0" applyFill="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4" xfId="0" applyBorder="1" applyAlignment="1" applyProtection="1">
      <alignment horizontal="center" vertical="center"/>
      <protection locked="0"/>
    </xf>
    <xf numFmtId="0" fontId="10" fillId="0" borderId="66"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0" fillId="0" borderId="55" xfId="0" applyFill="1" applyBorder="1" applyAlignment="1" applyProtection="1">
      <alignment horizontal="center" vertical="center"/>
      <protection locked="0"/>
    </xf>
    <xf numFmtId="0" fontId="10" fillId="0" borderId="67" xfId="0" applyFont="1" applyBorder="1" applyAlignment="1" applyProtection="1">
      <alignment horizontal="center" vertical="center"/>
      <protection locked="0"/>
    </xf>
    <xf numFmtId="0" fontId="0" fillId="0" borderId="0" xfId="0" applyFont="1" applyFill="1" applyAlignment="1" applyProtection="1">
      <alignment horizontal="center" vertical="center"/>
      <protection locked="0"/>
    </xf>
    <xf numFmtId="0" fontId="0" fillId="0" borderId="0" xfId="0" applyFont="1" applyFill="1" applyAlignment="1" applyProtection="1">
      <alignment vertical="center"/>
      <protection locked="0"/>
    </xf>
    <xf numFmtId="0" fontId="6" fillId="3" borderId="0" xfId="0" applyFont="1" applyFill="1" applyAlignment="1" applyProtection="1">
      <alignment vertical="center"/>
      <protection locked="0"/>
    </xf>
    <xf numFmtId="0" fontId="6" fillId="0" borderId="0" xfId="0" applyFont="1" applyFill="1" applyAlignment="1" applyProtection="1">
      <alignment vertical="center"/>
      <protection locked="0"/>
    </xf>
    <xf numFmtId="0" fontId="0" fillId="0" borderId="0" xfId="0" applyFill="1" applyAlignment="1" applyProtection="1">
      <alignment vertical="center"/>
      <protection locked="0"/>
    </xf>
    <xf numFmtId="0" fontId="12" fillId="3" borderId="0" xfId="0" applyFont="1" applyFill="1" applyBorder="1" applyAlignment="1" applyProtection="1">
      <alignment vertical="center"/>
      <protection locked="0"/>
    </xf>
    <xf numFmtId="0" fontId="12" fillId="3" borderId="3" xfId="0" applyFont="1" applyFill="1" applyBorder="1" applyAlignment="1" applyProtection="1">
      <alignment horizontal="center" vertical="center"/>
      <protection locked="0"/>
    </xf>
    <xf numFmtId="10" fontId="12" fillId="3" borderId="3" xfId="0" applyNumberFormat="1" applyFont="1" applyFill="1" applyBorder="1" applyAlignment="1" applyProtection="1">
      <alignment horizontal="center" vertical="center"/>
      <protection locked="0"/>
    </xf>
    <xf numFmtId="0" fontId="12" fillId="3" borderId="1" xfId="0" applyFont="1" applyFill="1" applyBorder="1" applyAlignment="1" applyProtection="1">
      <alignment horizontal="center" vertical="center"/>
      <protection locked="0"/>
    </xf>
    <xf numFmtId="0" fontId="48" fillId="10" borderId="88" xfId="0" applyFont="1" applyFill="1" applyBorder="1" applyAlignment="1" applyProtection="1">
      <alignment horizontal="center" vertical="center"/>
      <protection locked="0"/>
    </xf>
    <xf numFmtId="0" fontId="48" fillId="10" borderId="41" xfId="0" applyFont="1" applyFill="1" applyBorder="1" applyAlignment="1" applyProtection="1">
      <alignment horizontal="center" vertical="center"/>
      <protection locked="0"/>
    </xf>
    <xf numFmtId="9" fontId="12" fillId="3" borderId="0" xfId="2" applyFont="1" applyFill="1" applyBorder="1" applyAlignment="1" applyProtection="1">
      <alignment vertical="center"/>
      <protection locked="0"/>
    </xf>
    <xf numFmtId="9" fontId="12" fillId="3" borderId="3" xfId="2"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9" fontId="12" fillId="3" borderId="0" xfId="2" applyFont="1" applyFill="1" applyBorder="1" applyAlignment="1" applyProtection="1">
      <alignment horizontal="center" vertical="center"/>
      <protection locked="0"/>
    </xf>
    <xf numFmtId="0" fontId="12" fillId="3" borderId="0" xfId="0" applyFont="1" applyFill="1" applyAlignment="1" applyProtection="1">
      <alignment horizontal="center" vertical="center"/>
      <protection locked="0"/>
    </xf>
    <xf numFmtId="9" fontId="12" fillId="3" borderId="0" xfId="2" applyFont="1" applyFill="1" applyAlignment="1" applyProtection="1">
      <alignment horizontal="center" vertical="center"/>
      <protection locked="0"/>
    </xf>
    <xf numFmtId="0" fontId="56" fillId="0" borderId="0" xfId="0" applyFont="1" applyAlignment="1">
      <alignment vertical="center"/>
    </xf>
    <xf numFmtId="0" fontId="56" fillId="0" borderId="0" xfId="0" applyFont="1" applyAlignment="1" applyProtection="1">
      <alignment vertical="center"/>
      <protection locked="0"/>
    </xf>
    <xf numFmtId="0" fontId="0" fillId="0" borderId="0" xfId="0" applyFont="1" applyAlignment="1" applyProtection="1">
      <alignment vertical="center"/>
      <protection hidden="1"/>
    </xf>
    <xf numFmtId="0" fontId="57" fillId="0" borderId="0" xfId="0" applyFont="1" applyAlignment="1" applyProtection="1">
      <alignment vertical="center"/>
      <protection hidden="1"/>
    </xf>
    <xf numFmtId="9" fontId="57" fillId="0" borderId="0" xfId="2" applyFont="1" applyAlignment="1" applyProtection="1">
      <protection hidden="1"/>
    </xf>
    <xf numFmtId="9" fontId="57" fillId="0" borderId="0" xfId="2" applyFont="1" applyAlignment="1" applyProtection="1">
      <alignment vertical="center"/>
      <protection hidden="1"/>
    </xf>
    <xf numFmtId="0" fontId="0" fillId="0" borderId="0" xfId="0" applyFont="1" applyAlignment="1" applyProtection="1">
      <alignment vertical="center"/>
      <protection locked="0"/>
    </xf>
    <xf numFmtId="0" fontId="0" fillId="0" borderId="0" xfId="0" applyFont="1" applyAlignment="1" applyProtection="1">
      <alignment horizontal="center" vertical="center"/>
      <protection locked="0"/>
    </xf>
    <xf numFmtId="0" fontId="0" fillId="0" borderId="0" xfId="0" applyFont="1" applyProtection="1">
      <protection locked="0"/>
    </xf>
    <xf numFmtId="0" fontId="57" fillId="0" borderId="0" xfId="0" applyFont="1" applyProtection="1">
      <protection hidden="1"/>
    </xf>
    <xf numFmtId="0" fontId="58" fillId="0" borderId="0" xfId="0" applyFont="1" applyFill="1" applyAlignment="1" applyProtection="1">
      <alignment vertical="center"/>
      <protection locked="0"/>
    </xf>
    <xf numFmtId="0" fontId="27" fillId="0" borderId="0" xfId="0" applyFont="1" applyBorder="1" applyAlignment="1" applyProtection="1">
      <alignment horizontal="center" vertical="center"/>
      <protection locked="0"/>
    </xf>
    <xf numFmtId="9" fontId="57" fillId="0" borderId="0" xfId="0" applyNumberFormat="1" applyFont="1" applyAlignment="1" applyProtection="1">
      <alignment vertical="center"/>
      <protection hidden="1"/>
    </xf>
    <xf numFmtId="0" fontId="58" fillId="0" borderId="0" xfId="0" applyFont="1" applyAlignment="1" applyProtection="1">
      <alignment horizontal="right" vertical="center"/>
      <protection hidden="1"/>
    </xf>
    <xf numFmtId="0" fontId="57" fillId="0" borderId="0" xfId="0" quotePrefix="1" applyFont="1" applyAlignment="1" applyProtection="1">
      <alignment vertical="center"/>
      <protection hidden="1"/>
    </xf>
    <xf numFmtId="177" fontId="0" fillId="0" borderId="0" xfId="0" applyNumberFormat="1" applyAlignment="1">
      <alignment vertical="center"/>
    </xf>
    <xf numFmtId="0" fontId="32" fillId="0" borderId="39" xfId="0" applyFont="1" applyBorder="1" applyAlignment="1">
      <alignment horizontal="center" vertical="center" wrapText="1"/>
    </xf>
    <xf numFmtId="0" fontId="32" fillId="0" borderId="44"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66" xfId="0" applyFont="1" applyBorder="1" applyAlignment="1">
      <alignment horizontal="center" vertical="center" wrapText="1"/>
    </xf>
    <xf numFmtId="0" fontId="37" fillId="0" borderId="40" xfId="0" applyFont="1" applyBorder="1" applyAlignment="1">
      <alignment horizontal="center" vertical="center" wrapText="1"/>
    </xf>
    <xf numFmtId="0" fontId="37" fillId="0" borderId="3" xfId="0" applyFont="1" applyBorder="1" applyAlignment="1">
      <alignment horizontal="center" vertical="center" wrapText="1"/>
    </xf>
    <xf numFmtId="0" fontId="37" fillId="0" borderId="39" xfId="0" applyFont="1" applyBorder="1" applyAlignment="1">
      <alignment horizontal="center" vertical="center" wrapText="1"/>
    </xf>
    <xf numFmtId="0" fontId="37" fillId="0" borderId="44" xfId="0" applyFont="1" applyBorder="1" applyAlignment="1">
      <alignment horizontal="center" vertical="center" wrapText="1"/>
    </xf>
    <xf numFmtId="0" fontId="34" fillId="0" borderId="68" xfId="0" applyFont="1" applyBorder="1" applyAlignment="1">
      <alignment horizontal="center" vertical="center" wrapText="1"/>
    </xf>
    <xf numFmtId="0" fontId="34" fillId="0" borderId="69" xfId="0" applyFont="1" applyBorder="1" applyAlignment="1">
      <alignment horizontal="center" vertical="center" wrapText="1"/>
    </xf>
    <xf numFmtId="0" fontId="32" fillId="0" borderId="40" xfId="0" applyFont="1" applyBorder="1" applyAlignment="1">
      <alignment horizontal="center" vertical="center" wrapText="1"/>
    </xf>
    <xf numFmtId="0" fontId="32" fillId="0" borderId="78" xfId="0" applyFont="1" applyBorder="1" applyAlignment="1">
      <alignment horizontal="center" vertical="center" wrapText="1"/>
    </xf>
    <xf numFmtId="0" fontId="32" fillId="0" borderId="81" xfId="0" applyFont="1" applyBorder="1" applyAlignment="1">
      <alignment horizontal="center" vertical="center" wrapText="1"/>
    </xf>
    <xf numFmtId="0" fontId="32" fillId="0" borderId="80" xfId="0" applyFont="1" applyBorder="1" applyAlignment="1">
      <alignment horizontal="center" vertical="center" wrapText="1"/>
    </xf>
    <xf numFmtId="0" fontId="32" fillId="0" borderId="83" xfId="0" applyFont="1" applyBorder="1" applyAlignment="1">
      <alignment horizontal="center" vertical="center" wrapText="1"/>
    </xf>
    <xf numFmtId="0" fontId="32" fillId="0" borderId="38" xfId="0" applyFont="1" applyBorder="1" applyAlignment="1">
      <alignment horizontal="center" vertical="center" wrapText="1"/>
    </xf>
    <xf numFmtId="0" fontId="32" fillId="0" borderId="66" xfId="0" applyFont="1" applyBorder="1" applyAlignment="1">
      <alignment horizontal="center" vertical="center" wrapText="1"/>
    </xf>
    <xf numFmtId="0" fontId="32" fillId="0" borderId="3" xfId="0" applyFont="1" applyBorder="1" applyAlignment="1">
      <alignment horizontal="center" vertical="center" wrapText="1"/>
    </xf>
    <xf numFmtId="0" fontId="36" fillId="0" borderId="83" xfId="0" applyFont="1" applyBorder="1" applyAlignment="1">
      <alignment horizontal="center" vertical="center" wrapText="1"/>
    </xf>
    <xf numFmtId="0" fontId="36" fillId="0" borderId="86" xfId="0" applyFont="1" applyBorder="1" applyAlignment="1">
      <alignment horizontal="center" vertical="center" wrapText="1"/>
    </xf>
    <xf numFmtId="0" fontId="32" fillId="12" borderId="88" xfId="0" applyFont="1" applyFill="1" applyBorder="1" applyAlignment="1">
      <alignment horizontal="center" vertical="center" wrapText="1"/>
    </xf>
    <xf numFmtId="0" fontId="32" fillId="12" borderId="25" xfId="0" applyFont="1" applyFill="1" applyBorder="1" applyAlignment="1">
      <alignment horizontal="center" vertical="center" wrapText="1"/>
    </xf>
    <xf numFmtId="9" fontId="34" fillId="12" borderId="3" xfId="2" applyFont="1" applyFill="1" applyBorder="1" applyAlignment="1">
      <alignment horizontal="center" vertical="center"/>
    </xf>
    <xf numFmtId="9" fontId="34" fillId="12" borderId="68" xfId="2" applyFont="1" applyFill="1" applyBorder="1" applyAlignment="1">
      <alignment horizontal="center" vertical="center"/>
    </xf>
    <xf numFmtId="9" fontId="34" fillId="12" borderId="44" xfId="2" applyFont="1" applyFill="1" applyBorder="1" applyAlignment="1">
      <alignment horizontal="center" vertical="center"/>
    </xf>
    <xf numFmtId="9" fontId="34" fillId="12" borderId="69" xfId="2" applyFont="1" applyFill="1" applyBorder="1" applyAlignment="1">
      <alignment horizontal="center" vertical="center"/>
    </xf>
    <xf numFmtId="0" fontId="32" fillId="0" borderId="84" xfId="0" applyFont="1" applyBorder="1" applyAlignment="1">
      <alignment horizontal="center" vertical="center" wrapText="1"/>
    </xf>
    <xf numFmtId="0" fontId="36" fillId="0" borderId="82" xfId="0" applyFont="1" applyBorder="1" applyAlignment="1">
      <alignment horizontal="center" vertical="center" wrapText="1"/>
    </xf>
    <xf numFmtId="0" fontId="36" fillId="0" borderId="85" xfId="0" applyFont="1" applyBorder="1" applyAlignment="1">
      <alignment horizontal="center" vertical="center" wrapText="1"/>
    </xf>
    <xf numFmtId="0" fontId="32" fillId="0" borderId="79" xfId="0" applyFont="1" applyBorder="1" applyAlignment="1">
      <alignment horizontal="center" vertical="center" wrapText="1"/>
    </xf>
    <xf numFmtId="0" fontId="32" fillId="0" borderId="82" xfId="0" applyFont="1" applyBorder="1" applyAlignment="1">
      <alignment horizontal="center" vertical="center" wrapText="1"/>
    </xf>
    <xf numFmtId="9" fontId="36" fillId="0" borderId="82" xfId="0" applyNumberFormat="1" applyFont="1" applyBorder="1" applyAlignment="1">
      <alignment horizontal="center" vertical="center" wrapText="1"/>
    </xf>
    <xf numFmtId="9" fontId="36" fillId="0" borderId="85" xfId="0" applyNumberFormat="1" applyFont="1" applyBorder="1" applyAlignment="1">
      <alignment horizontal="center" vertical="center" wrapText="1"/>
    </xf>
    <xf numFmtId="9" fontId="36" fillId="0" borderId="83" xfId="0" applyNumberFormat="1" applyFont="1" applyBorder="1" applyAlignment="1">
      <alignment horizontal="center" vertical="center" wrapText="1"/>
    </xf>
    <xf numFmtId="9" fontId="36" fillId="0" borderId="86" xfId="0" applyNumberFormat="1" applyFont="1" applyBorder="1" applyAlignment="1">
      <alignment horizontal="center" vertical="center" wrapText="1"/>
    </xf>
    <xf numFmtId="0" fontId="55" fillId="3" borderId="15" xfId="0" applyFont="1" applyFill="1" applyBorder="1" applyAlignment="1">
      <alignment horizontal="center" vertical="center"/>
    </xf>
    <xf numFmtId="0" fontId="6" fillId="4" borderId="1"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6" fillId="3" borderId="3" xfId="0" applyFont="1" applyFill="1" applyBorder="1" applyAlignment="1">
      <alignment vertical="top" wrapText="1"/>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7" fillId="3" borderId="3" xfId="0" applyFont="1" applyFill="1" applyBorder="1" applyAlignment="1">
      <alignment horizontal="center" vertical="top" wrapText="1"/>
    </xf>
    <xf numFmtId="0" fontId="7" fillId="3" borderId="1" xfId="0" applyFont="1" applyFill="1" applyBorder="1" applyAlignment="1">
      <alignment horizontal="center" vertical="top" wrapText="1"/>
    </xf>
    <xf numFmtId="0" fontId="0" fillId="0" borderId="40"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0" xfId="0" applyFont="1" applyBorder="1" applyAlignment="1" applyProtection="1">
      <alignment horizontal="center" vertical="center"/>
      <protection locked="0"/>
    </xf>
    <xf numFmtId="0" fontId="31" fillId="0" borderId="72" xfId="0" applyFont="1" applyBorder="1" applyAlignment="1" applyProtection="1">
      <alignment horizontal="center" vertical="center" shrinkToFit="1"/>
      <protection locked="0"/>
    </xf>
    <xf numFmtId="0" fontId="31" fillId="0" borderId="73" xfId="0" applyFont="1" applyBorder="1" applyAlignment="1" applyProtection="1">
      <alignment horizontal="center" vertical="center" shrinkToFit="1"/>
      <protection locked="0"/>
    </xf>
    <xf numFmtId="0" fontId="31" fillId="0" borderId="64" xfId="0" applyFont="1" applyBorder="1" applyAlignment="1" applyProtection="1">
      <alignment horizontal="center" vertical="center" shrinkToFit="1"/>
      <protection locked="0"/>
    </xf>
    <xf numFmtId="0" fontId="31" fillId="0" borderId="61" xfId="0" applyFont="1" applyBorder="1" applyAlignment="1" applyProtection="1">
      <alignment horizontal="center" vertical="center" shrinkToFit="1"/>
      <protection locked="0"/>
    </xf>
    <xf numFmtId="0" fontId="0" fillId="0" borderId="39" xfId="0" applyBorder="1" applyAlignment="1" applyProtection="1">
      <alignment horizontal="center" vertical="center"/>
      <protection locked="0"/>
    </xf>
    <xf numFmtId="0" fontId="31" fillId="0" borderId="51" xfId="0" applyFont="1" applyBorder="1" applyAlignment="1" applyProtection="1">
      <alignment horizontal="center" vertical="center" wrapText="1"/>
      <protection locked="0"/>
    </xf>
    <xf numFmtId="0" fontId="31" fillId="0" borderId="52" xfId="0" applyFont="1" applyBorder="1" applyAlignment="1" applyProtection="1">
      <alignment horizontal="center" vertical="center" wrapText="1"/>
      <protection locked="0"/>
    </xf>
    <xf numFmtId="0" fontId="0" fillId="0" borderId="53" xfId="0" applyBorder="1" applyAlignment="1" applyProtection="1">
      <alignment horizontal="center" vertical="center"/>
      <protection locked="0"/>
    </xf>
    <xf numFmtId="0" fontId="0" fillId="0" borderId="59" xfId="0" applyBorder="1" applyAlignment="1" applyProtection="1">
      <alignment horizontal="center" vertical="center"/>
      <protection locked="0"/>
    </xf>
    <xf numFmtId="0" fontId="3" fillId="3" borderId="0" xfId="0" applyFont="1" applyFill="1" applyAlignment="1" applyProtection="1">
      <alignment horizontal="center"/>
      <protection hidden="1"/>
    </xf>
    <xf numFmtId="0" fontId="7" fillId="0" borderId="54" xfId="0" applyFont="1" applyBorder="1" applyAlignment="1" applyProtection="1">
      <alignment horizontal="center" vertical="center"/>
      <protection locked="0"/>
    </xf>
    <xf numFmtId="0" fontId="7" fillId="0" borderId="60" xfId="0" applyFont="1" applyBorder="1" applyAlignment="1" applyProtection="1">
      <alignment horizontal="center" vertical="center"/>
      <protection locked="0"/>
    </xf>
    <xf numFmtId="0" fontId="30" fillId="0" borderId="51" xfId="0" applyFont="1" applyBorder="1" applyAlignment="1" applyProtection="1">
      <alignment horizontal="center" vertical="center" wrapText="1"/>
      <protection locked="0"/>
    </xf>
    <xf numFmtId="0" fontId="30" fillId="0" borderId="50" xfId="0" applyFont="1" applyBorder="1" applyAlignment="1" applyProtection="1">
      <alignment horizontal="center" vertical="center" wrapText="1"/>
      <protection locked="0"/>
    </xf>
    <xf numFmtId="0" fontId="30" fillId="0" borderId="52" xfId="0" applyFont="1" applyBorder="1" applyAlignment="1" applyProtection="1">
      <alignment horizontal="center" vertical="center" wrapText="1"/>
      <protection locked="0"/>
    </xf>
    <xf numFmtId="0" fontId="7" fillId="0" borderId="41"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0" fillId="0" borderId="33"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4" xfId="0" applyBorder="1" applyAlignment="1" applyProtection="1">
      <alignment horizontal="center"/>
      <protection locked="0"/>
    </xf>
    <xf numFmtId="0" fontId="48" fillId="10" borderId="39" xfId="0" applyFont="1" applyFill="1" applyBorder="1" applyAlignment="1" applyProtection="1">
      <alignment horizontal="center" vertical="center"/>
      <protection locked="0"/>
    </xf>
    <xf numFmtId="0" fontId="48" fillId="10" borderId="44" xfId="0" applyFont="1" applyFill="1" applyBorder="1" applyAlignment="1" applyProtection="1">
      <alignment horizontal="center" vertical="center"/>
      <protection locked="0"/>
    </xf>
    <xf numFmtId="0" fontId="48" fillId="10" borderId="89" xfId="0" applyFont="1" applyFill="1" applyBorder="1" applyAlignment="1" applyProtection="1">
      <alignment horizontal="center" vertical="center"/>
      <protection locked="0"/>
    </xf>
    <xf numFmtId="0" fontId="48" fillId="10" borderId="90" xfId="0" applyFont="1" applyFill="1" applyBorder="1" applyAlignment="1" applyProtection="1">
      <alignment horizontal="center" vertical="center"/>
      <protection locked="0"/>
    </xf>
    <xf numFmtId="0" fontId="12" fillId="0" borderId="38" xfId="0" applyFont="1" applyBorder="1" applyAlignment="1" applyProtection="1">
      <alignment horizontal="center" vertical="center" wrapText="1"/>
      <protection locked="0"/>
    </xf>
    <xf numFmtId="0" fontId="12" fillId="0" borderId="66" xfId="0" applyFont="1" applyBorder="1" applyAlignment="1" applyProtection="1">
      <alignment horizontal="center" vertical="center" wrapText="1"/>
      <protection locked="0"/>
    </xf>
    <xf numFmtId="0" fontId="8" fillId="5" borderId="29" xfId="0" applyFont="1" applyFill="1" applyBorder="1" applyAlignment="1" applyProtection="1">
      <alignment horizontal="center" vertical="center"/>
      <protection locked="0"/>
    </xf>
    <xf numFmtId="0" fontId="8" fillId="5" borderId="0" xfId="0" applyFont="1" applyFill="1" applyBorder="1" applyAlignment="1" applyProtection="1">
      <alignment horizontal="center" vertical="center"/>
      <protection locked="0"/>
    </xf>
    <xf numFmtId="0" fontId="3" fillId="0" borderId="8" xfId="0" applyFont="1" applyFill="1" applyBorder="1" applyAlignment="1">
      <alignment horizontal="center"/>
    </xf>
    <xf numFmtId="0" fontId="18" fillId="7" borderId="66" xfId="0" applyFont="1" applyFill="1" applyBorder="1" applyAlignment="1">
      <alignment horizontal="left" vertical="center"/>
    </xf>
    <xf numFmtId="0" fontId="18" fillId="7" borderId="3" xfId="0" applyFont="1" applyFill="1" applyBorder="1" applyAlignment="1">
      <alignment horizontal="left" vertical="center"/>
    </xf>
    <xf numFmtId="0" fontId="18" fillId="7" borderId="44" xfId="0" applyFont="1" applyFill="1" applyBorder="1" applyAlignment="1">
      <alignment horizontal="left" vertical="center"/>
    </xf>
    <xf numFmtId="0" fontId="13" fillId="18" borderId="53" xfId="0" applyFont="1" applyFill="1" applyBorder="1" applyAlignment="1">
      <alignment horizontal="center" vertical="center"/>
    </xf>
    <xf numFmtId="0" fontId="13" fillId="18" borderId="71" xfId="0" applyFont="1" applyFill="1" applyBorder="1" applyAlignment="1">
      <alignment horizontal="center" vertical="center"/>
    </xf>
    <xf numFmtId="0" fontId="13" fillId="18" borderId="59" xfId="0" applyFont="1" applyFill="1" applyBorder="1" applyAlignment="1">
      <alignment horizontal="center" vertical="center"/>
    </xf>
    <xf numFmtId="0" fontId="13" fillId="18" borderId="30" xfId="0" applyFont="1" applyFill="1" applyBorder="1" applyAlignment="1">
      <alignment horizontal="center" vertical="center"/>
    </xf>
    <xf numFmtId="0" fontId="13" fillId="18" borderId="31" xfId="0" applyFont="1" applyFill="1" applyBorder="1" applyAlignment="1">
      <alignment horizontal="center" vertical="center"/>
    </xf>
    <xf numFmtId="0" fontId="13" fillId="18" borderId="32" xfId="0" applyFont="1" applyFill="1" applyBorder="1" applyAlignment="1">
      <alignment horizontal="center" vertical="center"/>
    </xf>
    <xf numFmtId="0" fontId="13" fillId="7" borderId="38" xfId="0" applyFont="1" applyFill="1" applyBorder="1" applyAlignment="1">
      <alignment horizontal="center" vertical="center"/>
    </xf>
    <xf numFmtId="0" fontId="13" fillId="7" borderId="40" xfId="0" applyFont="1" applyFill="1" applyBorder="1" applyAlignment="1">
      <alignment horizontal="center" vertical="center"/>
    </xf>
    <xf numFmtId="0" fontId="13" fillId="7" borderId="39" xfId="0" applyFont="1" applyFill="1" applyBorder="1" applyAlignment="1">
      <alignment horizontal="center" vertical="center"/>
    </xf>
    <xf numFmtId="0" fontId="13" fillId="6" borderId="12" xfId="0" applyFont="1" applyFill="1" applyBorder="1" applyAlignment="1" applyProtection="1">
      <alignment horizontal="center" vertical="center"/>
      <protection hidden="1"/>
    </xf>
    <xf numFmtId="0" fontId="13" fillId="6" borderId="9" xfId="0" applyFont="1" applyFill="1" applyBorder="1" applyAlignment="1" applyProtection="1">
      <alignment horizontal="center" vertical="center"/>
      <protection hidden="1"/>
    </xf>
    <xf numFmtId="0" fontId="13" fillId="6" borderId="13" xfId="0" applyFont="1" applyFill="1" applyBorder="1" applyAlignment="1" applyProtection="1">
      <alignment horizontal="center" vertical="center"/>
      <protection hidden="1"/>
    </xf>
    <xf numFmtId="0" fontId="13" fillId="6" borderId="14" xfId="0" applyFont="1" applyFill="1" applyBorder="1" applyAlignment="1" applyProtection="1">
      <alignment horizontal="center" vertical="center"/>
      <protection hidden="1"/>
    </xf>
    <xf numFmtId="0" fontId="13" fillId="6" borderId="15" xfId="0" applyFont="1" applyFill="1" applyBorder="1" applyAlignment="1" applyProtection="1">
      <alignment horizontal="center" vertical="center"/>
      <protection hidden="1"/>
    </xf>
    <xf numFmtId="0" fontId="13" fillId="6" borderId="16" xfId="0" applyFont="1" applyFill="1" applyBorder="1" applyAlignment="1" applyProtection="1">
      <alignment horizontal="center" vertical="center"/>
      <protection hidden="1"/>
    </xf>
    <xf numFmtId="0" fontId="27" fillId="7" borderId="15" xfId="0" applyFont="1" applyFill="1" applyBorder="1" applyAlignment="1" applyProtection="1">
      <alignment horizontal="center" vertical="center"/>
      <protection hidden="1"/>
    </xf>
    <xf numFmtId="0" fontId="27" fillId="7" borderId="1" xfId="0" applyFont="1" applyFill="1" applyBorder="1" applyAlignment="1" applyProtection="1">
      <alignment horizontal="center" vertical="center"/>
      <protection hidden="1"/>
    </xf>
    <xf numFmtId="0" fontId="27" fillId="7" borderId="2" xfId="0" applyFont="1" applyFill="1" applyBorder="1" applyAlignment="1" applyProtection="1">
      <alignment horizontal="center" vertical="center"/>
      <protection hidden="1"/>
    </xf>
    <xf numFmtId="0" fontId="27" fillId="7" borderId="4" xfId="0" applyFont="1" applyFill="1" applyBorder="1" applyAlignment="1" applyProtection="1">
      <alignment horizontal="center" vertical="center"/>
      <protection hidden="1"/>
    </xf>
    <xf numFmtId="0" fontId="10" fillId="7" borderId="5" xfId="0" applyFont="1" applyFill="1" applyBorder="1" applyAlignment="1" applyProtection="1">
      <alignment horizontal="center" vertical="center" wrapText="1"/>
      <protection hidden="1"/>
    </xf>
    <xf numFmtId="0" fontId="10" fillId="7" borderId="7" xfId="0" applyFont="1" applyFill="1" applyBorder="1" applyAlignment="1" applyProtection="1">
      <alignment horizontal="center" vertical="center" wrapText="1"/>
      <protection hidden="1"/>
    </xf>
    <xf numFmtId="0" fontId="10" fillId="7" borderId="6" xfId="0" applyFont="1" applyFill="1" applyBorder="1" applyAlignment="1" applyProtection="1">
      <alignment horizontal="center" vertical="center" wrapText="1"/>
      <protection hidden="1"/>
    </xf>
    <xf numFmtId="0" fontId="10" fillId="7" borderId="1" xfId="0" applyFont="1" applyFill="1" applyBorder="1" applyAlignment="1" applyProtection="1">
      <alignment horizontal="center" vertical="center" wrapText="1"/>
      <protection hidden="1"/>
    </xf>
    <xf numFmtId="0" fontId="10" fillId="7" borderId="2" xfId="0" applyFont="1" applyFill="1" applyBorder="1" applyAlignment="1" applyProtection="1">
      <alignment horizontal="center" vertical="center" wrapText="1"/>
      <protection hidden="1"/>
    </xf>
    <xf numFmtId="0" fontId="10" fillId="7" borderId="4" xfId="0" applyFont="1" applyFill="1" applyBorder="1" applyAlignment="1" applyProtection="1">
      <alignment horizontal="center" vertical="center" wrapText="1"/>
      <protection hidden="1"/>
    </xf>
    <xf numFmtId="0" fontId="10" fillId="7" borderId="28" xfId="0" applyFont="1" applyFill="1" applyBorder="1" applyAlignment="1" applyProtection="1">
      <alignment horizontal="center" vertical="center"/>
      <protection hidden="1"/>
    </xf>
    <xf numFmtId="0" fontId="10" fillId="7" borderId="22" xfId="0" applyFont="1" applyFill="1" applyBorder="1" applyAlignment="1" applyProtection="1">
      <alignment horizontal="center" vertical="center"/>
      <protection hidden="1"/>
    </xf>
    <xf numFmtId="10" fontId="10" fillId="7" borderId="21" xfId="0" applyNumberFormat="1" applyFont="1" applyFill="1" applyBorder="1" applyAlignment="1" applyProtection="1">
      <alignment horizontal="right" vertical="center" wrapText="1"/>
      <protection hidden="1"/>
    </xf>
    <xf numFmtId="10" fontId="10" fillId="7" borderId="24" xfId="0" applyNumberFormat="1" applyFont="1" applyFill="1" applyBorder="1" applyAlignment="1" applyProtection="1">
      <alignment horizontal="right" vertical="center" wrapText="1"/>
      <protection hidden="1"/>
    </xf>
    <xf numFmtId="10" fontId="10" fillId="7" borderId="22" xfId="0" applyNumberFormat="1" applyFont="1" applyFill="1" applyBorder="1" applyAlignment="1" applyProtection="1">
      <alignment horizontal="right" vertical="center" wrapText="1"/>
      <protection hidden="1"/>
    </xf>
    <xf numFmtId="0" fontId="10" fillId="7" borderId="1" xfId="0" applyFont="1" applyFill="1" applyBorder="1" applyAlignment="1" applyProtection="1">
      <alignment horizontal="center" vertical="center"/>
      <protection hidden="1"/>
    </xf>
    <xf numFmtId="0" fontId="10" fillId="7" borderId="2" xfId="0" applyFont="1" applyFill="1" applyBorder="1" applyAlignment="1" applyProtection="1">
      <alignment horizontal="center" vertical="center"/>
      <protection hidden="1"/>
    </xf>
    <xf numFmtId="0" fontId="10" fillId="7" borderId="4" xfId="0" applyFont="1" applyFill="1" applyBorder="1" applyAlignment="1" applyProtection="1">
      <alignment horizontal="center" vertical="center"/>
      <protection hidden="1"/>
    </xf>
    <xf numFmtId="0" fontId="10" fillId="7" borderId="21" xfId="0" applyFont="1" applyFill="1" applyBorder="1" applyAlignment="1" applyProtection="1">
      <alignment horizontal="right" vertical="center"/>
      <protection hidden="1"/>
    </xf>
    <xf numFmtId="0" fontId="10" fillId="7" borderId="24" xfId="0" applyFont="1" applyFill="1" applyBorder="1" applyAlignment="1" applyProtection="1">
      <alignment horizontal="right" vertical="center"/>
      <protection hidden="1"/>
    </xf>
    <xf numFmtId="0" fontId="10" fillId="7" borderId="22" xfId="0" applyFont="1" applyFill="1" applyBorder="1" applyAlignment="1" applyProtection="1">
      <alignment horizontal="right" vertical="center"/>
      <protection hidden="1"/>
    </xf>
    <xf numFmtId="0" fontId="0" fillId="0" borderId="21"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22" xfId="0" applyBorder="1" applyAlignment="1" applyProtection="1">
      <alignment horizontal="center" vertical="center" wrapText="1"/>
      <protection hidden="1"/>
    </xf>
    <xf numFmtId="0" fontId="15" fillId="8" borderId="15" xfId="0" applyFont="1" applyFill="1" applyBorder="1" applyAlignment="1" applyProtection="1">
      <alignment horizontal="center" vertical="center"/>
      <protection hidden="1"/>
    </xf>
    <xf numFmtId="0" fontId="15" fillId="8" borderId="1" xfId="0" applyFont="1" applyFill="1" applyBorder="1" applyAlignment="1" applyProtection="1">
      <alignment horizontal="center" vertical="center"/>
      <protection hidden="1"/>
    </xf>
    <xf numFmtId="0" fontId="15" fillId="8" borderId="2" xfId="0" applyFont="1" applyFill="1" applyBorder="1" applyAlignment="1" applyProtection="1">
      <alignment horizontal="center" vertical="center"/>
      <protection hidden="1"/>
    </xf>
    <xf numFmtId="0" fontId="15" fillId="8" borderId="4" xfId="0" applyFont="1" applyFill="1" applyBorder="1" applyAlignment="1" applyProtection="1">
      <alignment horizontal="center" vertical="center"/>
      <protection hidden="1"/>
    </xf>
    <xf numFmtId="0" fontId="15" fillId="8" borderId="5" xfId="0" applyFont="1" applyFill="1" applyBorder="1" applyAlignment="1" applyProtection="1">
      <alignment horizontal="center" vertical="center"/>
      <protection hidden="1"/>
    </xf>
    <xf numFmtId="0" fontId="15" fillId="8" borderId="7" xfId="0" applyFont="1" applyFill="1" applyBorder="1" applyAlignment="1" applyProtection="1">
      <alignment horizontal="center" vertical="center"/>
      <protection hidden="1"/>
    </xf>
    <xf numFmtId="0" fontId="15" fillId="8" borderId="6" xfId="0" applyFont="1" applyFill="1" applyBorder="1" applyAlignment="1" applyProtection="1">
      <alignment horizontal="center" vertical="center"/>
      <protection hidden="1"/>
    </xf>
    <xf numFmtId="0" fontId="15" fillId="8" borderId="21" xfId="0" applyFont="1" applyFill="1" applyBorder="1" applyAlignment="1" applyProtection="1">
      <alignment horizontal="right" vertical="center"/>
      <protection hidden="1"/>
    </xf>
    <xf numFmtId="0" fontId="15" fillId="8" borderId="24" xfId="0" applyFont="1" applyFill="1" applyBorder="1" applyAlignment="1" applyProtection="1">
      <alignment horizontal="right" vertical="center"/>
      <protection hidden="1"/>
    </xf>
    <xf numFmtId="0" fontId="15" fillId="8" borderId="22" xfId="0" applyFont="1" applyFill="1" applyBorder="1" applyAlignment="1" applyProtection="1">
      <alignment horizontal="right" vertical="center"/>
      <protection hidden="1"/>
    </xf>
    <xf numFmtId="10" fontId="10" fillId="7" borderId="21" xfId="0" applyNumberFormat="1" applyFont="1" applyFill="1" applyBorder="1" applyAlignment="1" applyProtection="1">
      <alignment horizontal="center" vertical="center" wrapText="1"/>
      <protection hidden="1"/>
    </xf>
    <xf numFmtId="10" fontId="10" fillId="7" borderId="24" xfId="0" applyNumberFormat="1" applyFont="1" applyFill="1" applyBorder="1" applyAlignment="1" applyProtection="1">
      <alignment horizontal="center" vertical="center" wrapText="1"/>
      <protection hidden="1"/>
    </xf>
    <xf numFmtId="10" fontId="10" fillId="7" borderId="22" xfId="0" applyNumberFormat="1" applyFont="1" applyFill="1" applyBorder="1" applyAlignment="1" applyProtection="1">
      <alignment horizontal="center" vertical="center" wrapText="1"/>
      <protection hidden="1"/>
    </xf>
    <xf numFmtId="0" fontId="13" fillId="9" borderId="12" xfId="0" applyFont="1" applyFill="1" applyBorder="1" applyAlignment="1" applyProtection="1">
      <alignment horizontal="center" vertical="center"/>
      <protection hidden="1"/>
    </xf>
    <xf numFmtId="0" fontId="13" fillId="9" borderId="9" xfId="0" applyFont="1" applyFill="1" applyBorder="1" applyAlignment="1" applyProtection="1">
      <alignment horizontal="center" vertical="center"/>
      <protection hidden="1"/>
    </xf>
    <xf numFmtId="0" fontId="13" fillId="9" borderId="13" xfId="0" applyFont="1" applyFill="1" applyBorder="1" applyAlignment="1" applyProtection="1">
      <alignment horizontal="center" vertical="center"/>
      <protection hidden="1"/>
    </xf>
    <xf numFmtId="0" fontId="13" fillId="9" borderId="14" xfId="0" applyFont="1" applyFill="1" applyBorder="1" applyAlignment="1" applyProtection="1">
      <alignment horizontal="center" vertical="center"/>
      <protection hidden="1"/>
    </xf>
    <xf numFmtId="0" fontId="13" fillId="9" borderId="15" xfId="0" applyFont="1" applyFill="1" applyBorder="1" applyAlignment="1" applyProtection="1">
      <alignment horizontal="center" vertical="center"/>
      <protection hidden="1"/>
    </xf>
    <xf numFmtId="0" fontId="13" fillId="9" borderId="16" xfId="0" applyFont="1" applyFill="1" applyBorder="1" applyAlignment="1" applyProtection="1">
      <alignment horizontal="center" vertical="center"/>
      <protection hidden="1"/>
    </xf>
    <xf numFmtId="0" fontId="19" fillId="8" borderId="15" xfId="0" applyFont="1" applyFill="1" applyBorder="1" applyAlignment="1" applyProtection="1">
      <alignment horizontal="center" vertical="center"/>
      <protection hidden="1"/>
    </xf>
    <xf numFmtId="0" fontId="21" fillId="6" borderId="12" xfId="0" applyFont="1" applyFill="1" applyBorder="1" applyAlignment="1" applyProtection="1">
      <alignment horizontal="center" vertical="center"/>
      <protection hidden="1"/>
    </xf>
    <xf numFmtId="0" fontId="21" fillId="6" borderId="9" xfId="0" applyFont="1" applyFill="1" applyBorder="1" applyAlignment="1" applyProtection="1">
      <alignment horizontal="center" vertical="center"/>
      <protection hidden="1"/>
    </xf>
    <xf numFmtId="0" fontId="21" fillId="6" borderId="13" xfId="0" applyFont="1" applyFill="1" applyBorder="1" applyAlignment="1" applyProtection="1">
      <alignment horizontal="center" vertical="center"/>
      <protection hidden="1"/>
    </xf>
    <xf numFmtId="0" fontId="21" fillId="6" borderId="14" xfId="0" applyFont="1" applyFill="1" applyBorder="1" applyAlignment="1" applyProtection="1">
      <alignment horizontal="center" vertical="center"/>
      <protection hidden="1"/>
    </xf>
    <xf numFmtId="0" fontId="21" fillId="6" borderId="15" xfId="0" applyFont="1" applyFill="1" applyBorder="1" applyAlignment="1" applyProtection="1">
      <alignment horizontal="center" vertical="center"/>
      <protection hidden="1"/>
    </xf>
    <xf numFmtId="0" fontId="21" fillId="6" borderId="16" xfId="0" applyFont="1" applyFill="1" applyBorder="1" applyAlignment="1" applyProtection="1">
      <alignment horizontal="center" vertical="center"/>
      <protection hidden="1"/>
    </xf>
    <xf numFmtId="0" fontId="13" fillId="9" borderId="1" xfId="0" applyFont="1" applyFill="1" applyBorder="1" applyAlignment="1" applyProtection="1">
      <alignment horizontal="center" vertical="center"/>
      <protection hidden="1"/>
    </xf>
    <xf numFmtId="0" fontId="13" fillId="9" borderId="2" xfId="0" applyFont="1" applyFill="1" applyBorder="1" applyAlignment="1" applyProtection="1">
      <alignment horizontal="center" vertical="center"/>
      <protection hidden="1"/>
    </xf>
    <xf numFmtId="0" fontId="13" fillId="9" borderId="4" xfId="0" applyFont="1" applyFill="1" applyBorder="1" applyAlignment="1" applyProtection="1">
      <alignment horizontal="center" vertical="center"/>
      <protection hidden="1"/>
    </xf>
    <xf numFmtId="0" fontId="25" fillId="0" borderId="0" xfId="0" applyFont="1" applyFill="1" applyBorder="1" applyAlignment="1" applyProtection="1">
      <alignment horizontal="left" vertical="center" wrapText="1"/>
      <protection hidden="1"/>
    </xf>
    <xf numFmtId="0" fontId="25" fillId="7" borderId="9" xfId="0" applyFont="1" applyFill="1" applyBorder="1" applyAlignment="1" applyProtection="1">
      <alignment horizontal="center" vertical="center" wrapText="1"/>
      <protection hidden="1"/>
    </xf>
    <xf numFmtId="0" fontId="21" fillId="14" borderId="28" xfId="1" applyFont="1" applyBorder="1" applyAlignment="1" applyProtection="1">
      <alignment horizontal="center" vertical="center"/>
      <protection hidden="1"/>
    </xf>
    <xf numFmtId="0" fontId="21" fillId="14" borderId="24" xfId="1" applyFont="1" applyBorder="1" applyAlignment="1" applyProtection="1">
      <alignment horizontal="center" vertical="center"/>
      <protection hidden="1"/>
    </xf>
    <xf numFmtId="0" fontId="21" fillId="14" borderId="19" xfId="1" applyFont="1" applyBorder="1" applyAlignment="1" applyProtection="1">
      <alignment horizontal="center" vertical="center"/>
      <protection hidden="1"/>
    </xf>
    <xf numFmtId="0" fontId="13" fillId="9" borderId="29" xfId="0" applyFont="1" applyFill="1" applyBorder="1" applyAlignment="1" applyProtection="1">
      <alignment horizontal="center" vertical="center"/>
      <protection hidden="1"/>
    </xf>
    <xf numFmtId="0" fontId="13" fillId="9" borderId="0" xfId="0" applyFont="1" applyFill="1" applyBorder="1" applyAlignment="1" applyProtection="1">
      <alignment horizontal="center" vertical="center"/>
      <protection hidden="1"/>
    </xf>
    <xf numFmtId="0" fontId="13" fillId="9" borderId="36" xfId="0" applyFont="1" applyFill="1" applyBorder="1" applyAlignment="1" applyProtection="1">
      <alignment horizontal="center" vertical="center"/>
      <protection hidden="1"/>
    </xf>
    <xf numFmtId="0" fontId="8" fillId="7" borderId="3" xfId="0" applyFont="1" applyFill="1" applyBorder="1" applyAlignment="1" applyProtection="1">
      <alignment horizontal="left" vertical="center"/>
      <protection hidden="1"/>
    </xf>
    <xf numFmtId="0" fontId="8" fillId="7" borderId="1" xfId="0" applyFont="1" applyFill="1" applyBorder="1" applyAlignment="1" applyProtection="1">
      <alignment horizontal="left" vertical="center"/>
      <protection hidden="1"/>
    </xf>
    <xf numFmtId="0" fontId="8" fillId="7" borderId="2" xfId="0" applyFont="1" applyFill="1" applyBorder="1" applyAlignment="1" applyProtection="1">
      <alignment horizontal="left" vertical="center"/>
      <protection hidden="1"/>
    </xf>
    <xf numFmtId="0" fontId="8" fillId="7" borderId="4" xfId="0" applyFont="1" applyFill="1" applyBorder="1" applyAlignment="1" applyProtection="1">
      <alignment horizontal="left" vertical="center"/>
      <protection hidden="1"/>
    </xf>
    <xf numFmtId="0" fontId="21" fillId="13" borderId="29" xfId="0" applyFont="1" applyFill="1" applyBorder="1" applyAlignment="1" applyProtection="1">
      <alignment horizontal="center" vertical="center"/>
      <protection hidden="1"/>
    </xf>
    <xf numFmtId="0" fontId="21" fillId="13" borderId="0" xfId="0" applyFont="1" applyFill="1" applyBorder="1" applyAlignment="1" applyProtection="1">
      <alignment horizontal="center" vertical="center"/>
      <protection hidden="1"/>
    </xf>
    <xf numFmtId="0" fontId="22" fillId="7" borderId="0" xfId="0" applyFont="1" applyFill="1" applyAlignment="1" applyProtection="1">
      <alignment horizontal="center" vertical="center"/>
      <protection hidden="1"/>
    </xf>
    <xf numFmtId="0" fontId="0" fillId="0" borderId="0" xfId="0" applyAlignment="1" applyProtection="1">
      <alignment horizontal="center" vertical="center"/>
      <protection hidden="1"/>
    </xf>
  </cellXfs>
  <cellStyles count="3">
    <cellStyle name="20% - 着色 1" xfId="1" builtinId="30"/>
    <cellStyle name="百分比" xfId="2" builtinId="5"/>
    <cellStyle name="常规" xfId="0" builtinId="0"/>
  </cellStyles>
  <dxfs count="2">
    <dxf>
      <font>
        <b/>
        <i val="0"/>
        <strike val="0"/>
      </font>
      <fill>
        <patternFill>
          <bgColor rgb="FF66FF33"/>
        </patternFill>
      </fill>
    </dxf>
    <dxf>
      <font>
        <b/>
        <i/>
      </font>
      <fill>
        <patternFill>
          <bgColor rgb="FFFF0000"/>
        </patternFill>
      </fill>
    </dxf>
  </dxfs>
  <tableStyles count="0" defaultTableStyle="TableStyleMedium2" defaultPivotStyle="PivotStyleMedium9"/>
  <colors>
    <mruColors>
      <color rgb="FF66FF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theme" Target="theme/theme1.xml"/>
  <Relationship Id="rId12" Type="http://schemas.openxmlformats.org/officeDocument/2006/relationships/styles" Target="styles.xml"/>
  <Relationship Id="rId13" Type="http://schemas.openxmlformats.org/officeDocument/2006/relationships/sharedStrings" Target="sharedStrings.xml"/>
  <Relationship Id="rId14"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'T6-T8 XX风险计量表'!$AD$6</c:f>
              <c:strCache>
                <c:ptCount val="1"/>
                <c:pt idx="0">
                  <c:v>期限</c:v>
                </c:pt>
              </c:strCache>
            </c:strRef>
          </c:tx>
          <c:spPr>
            <a:solidFill>
              <a:schemeClr val="accent1"/>
            </a:solidFill>
            <a:ln>
              <a:noFill/>
            </a:ln>
            <a:effectLst/>
          </c:spPr>
          <c:invertIfNegative val="0"/>
          <c:dLbls>
            <c:delete val="1"/>
          </c:dLbls>
          <c:val>
            <c:numRef>
              <c:f>'T6-T8 XX风险计量表'!$AD$7:$AD$12</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0-FB90-4D92-8406-0F19A627E0C7}"/>
            </c:ext>
          </c:extLst>
        </c:ser>
        <c:ser>
          <c:idx val="1"/>
          <c:order val="1"/>
          <c:tx>
            <c:strRef>
              <c:f>'T6-T8 XX风险计量表'!$AE$6</c:f>
              <c:strCache>
                <c:ptCount val="1"/>
                <c:pt idx="0">
                  <c:v>操作风险</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XX风险计量表'!$AE$7:$AE$12</c:f>
              <c:numCache>
                <c:formatCode>General</c:formatCode>
                <c:ptCount val="6"/>
                <c:pt idx="0">
                  <c:v>1616.3999999999999</c:v>
                </c:pt>
                <c:pt idx="1">
                  <c:v>0</c:v>
                </c:pt>
                <c:pt idx="2">
                  <c:v>0</c:v>
                </c:pt>
                <c:pt idx="3">
                  <c:v>0</c:v>
                </c:pt>
                <c:pt idx="4">
                  <c:v>0</c:v>
                </c:pt>
                <c:pt idx="5">
                  <c:v>0</c:v>
                </c:pt>
              </c:numCache>
            </c:numRef>
          </c:val>
          <c:extLst>
            <c:ext xmlns:c16="http://schemas.microsoft.com/office/drawing/2014/chart" uri="{C3380CC4-5D6E-409C-BE32-E72D297353CC}">
              <c16:uniqueId val="{00000001-FB90-4D92-8406-0F19A627E0C7}"/>
            </c:ext>
          </c:extLst>
        </c:ser>
        <c:ser>
          <c:idx val="2"/>
          <c:order val="2"/>
          <c:tx>
            <c:strRef>
              <c:f>'T6-T8 XX风险计量表'!$AF$6</c:f>
              <c:strCache>
                <c:ptCount val="1"/>
                <c:pt idx="0">
                  <c:v>信用风险</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XX风险计量表'!$AF$7:$AF$12</c:f>
              <c:numCache>
                <c:formatCode>General</c:formatCode>
                <c:ptCount val="6"/>
                <c:pt idx="0">
                  <c:v>8150.2199999999993</c:v>
                </c:pt>
                <c:pt idx="1">
                  <c:v>7531.0199999999995</c:v>
                </c:pt>
                <c:pt idx="2">
                  <c:v>10171.02</c:v>
                </c:pt>
                <c:pt idx="3">
                  <c:v>10171.02</c:v>
                </c:pt>
                <c:pt idx="4">
                  <c:v>7531.0199999999995</c:v>
                </c:pt>
                <c:pt idx="5">
                  <c:v>0</c:v>
                </c:pt>
              </c:numCache>
            </c:numRef>
          </c:val>
          <c:extLst>
            <c:ext xmlns:c16="http://schemas.microsoft.com/office/drawing/2014/chart" uri="{C3380CC4-5D6E-409C-BE32-E72D297353CC}">
              <c16:uniqueId val="{00000002-FB90-4D92-8406-0F19A627E0C7}"/>
            </c:ext>
          </c:extLst>
        </c:ser>
        <c:ser>
          <c:idx val="3"/>
          <c:order val="3"/>
          <c:tx>
            <c:strRef>
              <c:f>'T6-T8 XX风险计量表'!$AG$6</c:f>
              <c:strCache>
                <c:ptCount val="1"/>
                <c:pt idx="0">
                  <c:v>市场风险</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XX风险计量表'!$AG$7:$AG$12</c:f>
              <c:numCache>
                <c:formatCode>General</c:formatCode>
                <c:ptCount val="6"/>
                <c:pt idx="0">
                  <c:v>4549.8</c:v>
                </c:pt>
                <c:pt idx="1">
                  <c:v>3000</c:v>
                </c:pt>
                <c:pt idx="2">
                  <c:v>2400</c:v>
                </c:pt>
                <c:pt idx="3">
                  <c:v>1800</c:v>
                </c:pt>
                <c:pt idx="4">
                  <c:v>1200</c:v>
                </c:pt>
                <c:pt idx="5">
                  <c:v>0</c:v>
                </c:pt>
              </c:numCache>
            </c:numRef>
          </c:val>
          <c:extLst>
            <c:ext xmlns:c16="http://schemas.microsoft.com/office/drawing/2014/chart" uri="{C3380CC4-5D6E-409C-BE32-E72D297353CC}">
              <c16:uniqueId val="{00000003-FB90-4D92-8406-0F19A627E0C7}"/>
            </c:ext>
          </c:extLst>
        </c:ser>
        <c:ser>
          <c:idx val="4"/>
          <c:order val="4"/>
          <c:tx>
            <c:strRef>
              <c:f>'T6-T8 XX风险计量表'!$AH$6</c:f>
              <c:strCache>
                <c:ptCount val="1"/>
                <c:pt idx="0">
                  <c:v>投融资风险</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XX风险计量表'!$AH$7:$AH$12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B90-4D92-8406-0F19A627E0C7}"/>
            </c:ext>
          </c:extLst>
        </c:ser>
        <c:dLbls>
          <c:dLblPos val="ctr"/>
          <c:showLegendKey val="0"/>
          <c:showVal val="1"/>
          <c:showCatName val="0"/>
          <c:showSerName val="0"/>
          <c:showPercent val="0"/>
          <c:showBubbleSize val="0"/>
        </c:dLbls>
        <c:gapWidth val="79"/>
        <c:overlap val="100"/>
        <c:axId val="438843416"/>
        <c:axId val="438843808"/>
      </c:barChart>
      <c:catAx>
        <c:axId val="438843416"/>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all" spc="120" normalizeH="0" baseline="0">
                <a:solidFill>
                  <a:schemeClr val="tx1">
                    <a:lumMod val="65000"/>
                    <a:lumOff val="35000"/>
                  </a:schemeClr>
                </a:solidFill>
                <a:latin typeface="+mn-lt"/>
                <a:ea typeface="+mn-ea"/>
                <a:cs typeface="+mn-cs"/>
              </a:defRPr>
            </a:pPr>
            <a:endParaRPr lang="zh-CN"/>
          </a:p>
        </c:txPr>
        <c:crossAx val="438843808"/>
        <c:crosses val="autoZero"/>
        <c:auto val="1"/>
        <c:lblAlgn val="ctr"/>
        <c:lblOffset val="100"/>
        <c:noMultiLvlLbl val="0"/>
      </c:catAx>
      <c:valAx>
        <c:axId val="438843808"/>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zh-CN"/>
          </a:p>
        </c:txPr>
        <c:crossAx val="438843416"/>
        <c:crosses val="autoZero"/>
        <c:crossBetween val="between"/>
      </c:valAx>
      <c:spPr>
        <a:solidFill>
          <a:schemeClr val="accent5">
            <a:lumMod val="20000"/>
            <a:lumOff val="80000"/>
          </a:schemeClr>
        </a:solid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sz="1800"/>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15</xdr:col>
      <xdr:colOff>694764</xdr:colOff>
      <xdr:row>8</xdr:row>
      <xdr:rowOff>47625</xdr:rowOff>
    </xdr:from>
    <xdr:to>
      <xdr:col>26</xdr:col>
      <xdr:colOff>67124</xdr:colOff>
      <xdr:row>31</xdr:row>
      <xdr:rowOff>100853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drawing" Target="../drawings/drawing1.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tint="0.39997558519241921"/>
  </sheetPr>
  <dimension ref="B1:X60"/>
  <sheetViews>
    <sheetView zoomScale="80" zoomScaleNormal="80" workbookViewId="0">
      <selection activeCell="I6" sqref="I6"/>
    </sheetView>
  </sheetViews>
  <sheetFormatPr defaultColWidth="9" defaultRowHeight="14.4" x14ac:dyDescent="0.25"/>
  <cols>
    <col min="1" max="1" customWidth="true" style="1" width="2.21875" collapsed="true"/>
    <col min="2" max="2" customWidth="true" style="1" width="4.77734375" collapsed="true"/>
    <col min="3" max="3" customWidth="true" style="1" width="24.0" collapsed="true"/>
    <col min="4" max="5" customWidth="true" style="1" width="6.21875" collapsed="true"/>
    <col min="6" max="7" customWidth="true" style="1" width="6.33203125" collapsed="true"/>
    <col min="8" max="9" customWidth="true" style="1" width="6.6640625" collapsed="true"/>
    <col min="10" max="10" customWidth="true" style="1" width="6.21875" collapsed="true"/>
    <col min="11" max="11" customWidth="true" style="1" width="6.77734375" collapsed="true"/>
    <col min="12" max="12" customWidth="true" style="1" width="2.6640625" collapsed="true"/>
    <col min="13" max="13" customWidth="true" style="1" width="5.109375" collapsed="true"/>
    <col min="14" max="14" customWidth="true" style="1" width="13.88671875" collapsed="true"/>
    <col min="15" max="15" customWidth="true" style="1" width="6.33203125" collapsed="true"/>
    <col min="16" max="16" customWidth="true" style="1" width="6.77734375" collapsed="true"/>
    <col min="17" max="17" customWidth="true" style="1" width="6.33203125" collapsed="true"/>
    <col min="18" max="18" customWidth="true" style="1" width="4.44140625" collapsed="true"/>
    <col min="19" max="23" customWidth="true" style="1" width="5.109375" collapsed="true"/>
    <col min="24" max="256" style="1" width="9.0" collapsed="true"/>
    <col min="257" max="257" customWidth="true" style="1" width="4.77734375" collapsed="true"/>
    <col min="258" max="258" customWidth="true" style="1" width="32.77734375" collapsed="true"/>
    <col min="259" max="260" customWidth="true" style="1" width="6.21875" collapsed="true"/>
    <col min="261" max="262" customWidth="true" style="1" width="6.33203125" collapsed="true"/>
    <col min="263" max="264" customWidth="true" style="1" width="6.6640625" collapsed="true"/>
    <col min="265" max="265" customWidth="true" style="1" width="6.21875" collapsed="true"/>
    <col min="266" max="266" customWidth="true" style="1" width="6.33203125" collapsed="true"/>
    <col min="267" max="512" style="1" width="9.0" collapsed="true"/>
    <col min="513" max="513" customWidth="true" style="1" width="4.77734375" collapsed="true"/>
    <col min="514" max="514" customWidth="true" style="1" width="32.77734375" collapsed="true"/>
    <col min="515" max="516" customWidth="true" style="1" width="6.21875" collapsed="true"/>
    <col min="517" max="518" customWidth="true" style="1" width="6.33203125" collapsed="true"/>
    <col min="519" max="520" customWidth="true" style="1" width="6.6640625" collapsed="true"/>
    <col min="521" max="521" customWidth="true" style="1" width="6.21875" collapsed="true"/>
    <col min="522" max="522" customWidth="true" style="1" width="6.33203125" collapsed="true"/>
    <col min="523" max="768" style="1" width="9.0" collapsed="true"/>
    <col min="769" max="769" customWidth="true" style="1" width="4.77734375" collapsed="true"/>
    <col min="770" max="770" customWidth="true" style="1" width="32.77734375" collapsed="true"/>
    <col min="771" max="772" customWidth="true" style="1" width="6.21875" collapsed="true"/>
    <col min="773" max="774" customWidth="true" style="1" width="6.33203125" collapsed="true"/>
    <col min="775" max="776" customWidth="true" style="1" width="6.6640625" collapsed="true"/>
    <col min="777" max="777" customWidth="true" style="1" width="6.21875" collapsed="true"/>
    <col min="778" max="778" customWidth="true" style="1" width="6.33203125" collapsed="true"/>
    <col min="779" max="1024" style="1" width="9.0" collapsed="true"/>
    <col min="1025" max="1025" customWidth="true" style="1" width="4.77734375" collapsed="true"/>
    <col min="1026" max="1026" customWidth="true" style="1" width="32.77734375" collapsed="true"/>
    <col min="1027" max="1028" customWidth="true" style="1" width="6.21875" collapsed="true"/>
    <col min="1029" max="1030" customWidth="true" style="1" width="6.33203125" collapsed="true"/>
    <col min="1031" max="1032" customWidth="true" style="1" width="6.6640625" collapsed="true"/>
    <col min="1033" max="1033" customWidth="true" style="1" width="6.21875" collapsed="true"/>
    <col min="1034" max="1034" customWidth="true" style="1" width="6.33203125" collapsed="true"/>
    <col min="1035" max="1280" style="1" width="9.0" collapsed="true"/>
    <col min="1281" max="1281" customWidth="true" style="1" width="4.77734375" collapsed="true"/>
    <col min="1282" max="1282" customWidth="true" style="1" width="32.77734375" collapsed="true"/>
    <col min="1283" max="1284" customWidth="true" style="1" width="6.21875" collapsed="true"/>
    <col min="1285" max="1286" customWidth="true" style="1" width="6.33203125" collapsed="true"/>
    <col min="1287" max="1288" customWidth="true" style="1" width="6.6640625" collapsed="true"/>
    <col min="1289" max="1289" customWidth="true" style="1" width="6.21875" collapsed="true"/>
    <col min="1290" max="1290" customWidth="true" style="1" width="6.33203125" collapsed="true"/>
    <col min="1291" max="1536" style="1" width="9.0" collapsed="true"/>
    <col min="1537" max="1537" customWidth="true" style="1" width="4.77734375" collapsed="true"/>
    <col min="1538" max="1538" customWidth="true" style="1" width="32.77734375" collapsed="true"/>
    <col min="1539" max="1540" customWidth="true" style="1" width="6.21875" collapsed="true"/>
    <col min="1541" max="1542" customWidth="true" style="1" width="6.33203125" collapsed="true"/>
    <col min="1543" max="1544" customWidth="true" style="1" width="6.6640625" collapsed="true"/>
    <col min="1545" max="1545" customWidth="true" style="1" width="6.21875" collapsed="true"/>
    <col min="1546" max="1546" customWidth="true" style="1" width="6.33203125" collapsed="true"/>
    <col min="1547" max="1792" style="1" width="9.0" collapsed="true"/>
    <col min="1793" max="1793" customWidth="true" style="1" width="4.77734375" collapsed="true"/>
    <col min="1794" max="1794" customWidth="true" style="1" width="32.77734375" collapsed="true"/>
    <col min="1795" max="1796" customWidth="true" style="1" width="6.21875" collapsed="true"/>
    <col min="1797" max="1798" customWidth="true" style="1" width="6.33203125" collapsed="true"/>
    <col min="1799" max="1800" customWidth="true" style="1" width="6.6640625" collapsed="true"/>
    <col min="1801" max="1801" customWidth="true" style="1" width="6.21875" collapsed="true"/>
    <col min="1802" max="1802" customWidth="true" style="1" width="6.33203125" collapsed="true"/>
    <col min="1803" max="2048" style="1" width="9.0" collapsed="true"/>
    <col min="2049" max="2049" customWidth="true" style="1" width="4.77734375" collapsed="true"/>
    <col min="2050" max="2050" customWidth="true" style="1" width="32.77734375" collapsed="true"/>
    <col min="2051" max="2052" customWidth="true" style="1" width="6.21875" collapsed="true"/>
    <col min="2053" max="2054" customWidth="true" style="1" width="6.33203125" collapsed="true"/>
    <col min="2055" max="2056" customWidth="true" style="1" width="6.6640625" collapsed="true"/>
    <col min="2057" max="2057" customWidth="true" style="1" width="6.21875" collapsed="true"/>
    <col min="2058" max="2058" customWidth="true" style="1" width="6.33203125" collapsed="true"/>
    <col min="2059" max="2304" style="1" width="9.0" collapsed="true"/>
    <col min="2305" max="2305" customWidth="true" style="1" width="4.77734375" collapsed="true"/>
    <col min="2306" max="2306" customWidth="true" style="1" width="32.77734375" collapsed="true"/>
    <col min="2307" max="2308" customWidth="true" style="1" width="6.21875" collapsed="true"/>
    <col min="2309" max="2310" customWidth="true" style="1" width="6.33203125" collapsed="true"/>
    <col min="2311" max="2312" customWidth="true" style="1" width="6.6640625" collapsed="true"/>
    <col min="2313" max="2313" customWidth="true" style="1" width="6.21875" collapsed="true"/>
    <col min="2314" max="2314" customWidth="true" style="1" width="6.33203125" collapsed="true"/>
    <col min="2315" max="2560" style="1" width="9.0" collapsed="true"/>
    <col min="2561" max="2561" customWidth="true" style="1" width="4.77734375" collapsed="true"/>
    <col min="2562" max="2562" customWidth="true" style="1" width="32.77734375" collapsed="true"/>
    <col min="2563" max="2564" customWidth="true" style="1" width="6.21875" collapsed="true"/>
    <col min="2565" max="2566" customWidth="true" style="1" width="6.33203125" collapsed="true"/>
    <col min="2567" max="2568" customWidth="true" style="1" width="6.6640625" collapsed="true"/>
    <col min="2569" max="2569" customWidth="true" style="1" width="6.21875" collapsed="true"/>
    <col min="2570" max="2570" customWidth="true" style="1" width="6.33203125" collapsed="true"/>
    <col min="2571" max="2816" style="1" width="9.0" collapsed="true"/>
    <col min="2817" max="2817" customWidth="true" style="1" width="4.77734375" collapsed="true"/>
    <col min="2818" max="2818" customWidth="true" style="1" width="32.77734375" collapsed="true"/>
    <col min="2819" max="2820" customWidth="true" style="1" width="6.21875" collapsed="true"/>
    <col min="2821" max="2822" customWidth="true" style="1" width="6.33203125" collapsed="true"/>
    <col min="2823" max="2824" customWidth="true" style="1" width="6.6640625" collapsed="true"/>
    <col min="2825" max="2825" customWidth="true" style="1" width="6.21875" collapsed="true"/>
    <col min="2826" max="2826" customWidth="true" style="1" width="6.33203125" collapsed="true"/>
    <col min="2827" max="3072" style="1" width="9.0" collapsed="true"/>
    <col min="3073" max="3073" customWidth="true" style="1" width="4.77734375" collapsed="true"/>
    <col min="3074" max="3074" customWidth="true" style="1" width="32.77734375" collapsed="true"/>
    <col min="3075" max="3076" customWidth="true" style="1" width="6.21875" collapsed="true"/>
    <col min="3077" max="3078" customWidth="true" style="1" width="6.33203125" collapsed="true"/>
    <col min="3079" max="3080" customWidth="true" style="1" width="6.6640625" collapsed="true"/>
    <col min="3081" max="3081" customWidth="true" style="1" width="6.21875" collapsed="true"/>
    <col min="3082" max="3082" customWidth="true" style="1" width="6.33203125" collapsed="true"/>
    <col min="3083" max="3328" style="1" width="9.0" collapsed="true"/>
    <col min="3329" max="3329" customWidth="true" style="1" width="4.77734375" collapsed="true"/>
    <col min="3330" max="3330" customWidth="true" style="1" width="32.77734375" collapsed="true"/>
    <col min="3331" max="3332" customWidth="true" style="1" width="6.21875" collapsed="true"/>
    <col min="3333" max="3334" customWidth="true" style="1" width="6.33203125" collapsed="true"/>
    <col min="3335" max="3336" customWidth="true" style="1" width="6.6640625" collapsed="true"/>
    <col min="3337" max="3337" customWidth="true" style="1" width="6.21875" collapsed="true"/>
    <col min="3338" max="3338" customWidth="true" style="1" width="6.33203125" collapsed="true"/>
    <col min="3339" max="3584" style="1" width="9.0" collapsed="true"/>
    <col min="3585" max="3585" customWidth="true" style="1" width="4.77734375" collapsed="true"/>
    <col min="3586" max="3586" customWidth="true" style="1" width="32.77734375" collapsed="true"/>
    <col min="3587" max="3588" customWidth="true" style="1" width="6.21875" collapsed="true"/>
    <col min="3589" max="3590" customWidth="true" style="1" width="6.33203125" collapsed="true"/>
    <col min="3591" max="3592" customWidth="true" style="1" width="6.6640625" collapsed="true"/>
    <col min="3593" max="3593" customWidth="true" style="1" width="6.21875" collapsed="true"/>
    <col min="3594" max="3594" customWidth="true" style="1" width="6.33203125" collapsed="true"/>
    <col min="3595" max="3840" style="1" width="9.0" collapsed="true"/>
    <col min="3841" max="3841" customWidth="true" style="1" width="4.77734375" collapsed="true"/>
    <col min="3842" max="3842" customWidth="true" style="1" width="32.77734375" collapsed="true"/>
    <col min="3843" max="3844" customWidth="true" style="1" width="6.21875" collapsed="true"/>
    <col min="3845" max="3846" customWidth="true" style="1" width="6.33203125" collapsed="true"/>
    <col min="3847" max="3848" customWidth="true" style="1" width="6.6640625" collapsed="true"/>
    <col min="3849" max="3849" customWidth="true" style="1" width="6.21875" collapsed="true"/>
    <col min="3850" max="3850" customWidth="true" style="1" width="6.33203125" collapsed="true"/>
    <col min="3851" max="4096" style="1" width="9.0" collapsed="true"/>
    <col min="4097" max="4097" customWidth="true" style="1" width="4.77734375" collapsed="true"/>
    <col min="4098" max="4098" customWidth="true" style="1" width="32.77734375" collapsed="true"/>
    <col min="4099" max="4100" customWidth="true" style="1" width="6.21875" collapsed="true"/>
    <col min="4101" max="4102" customWidth="true" style="1" width="6.33203125" collapsed="true"/>
    <col min="4103" max="4104" customWidth="true" style="1" width="6.6640625" collapsed="true"/>
    <col min="4105" max="4105" customWidth="true" style="1" width="6.21875" collapsed="true"/>
    <col min="4106" max="4106" customWidth="true" style="1" width="6.33203125" collapsed="true"/>
    <col min="4107" max="4352" style="1" width="9.0" collapsed="true"/>
    <col min="4353" max="4353" customWidth="true" style="1" width="4.77734375" collapsed="true"/>
    <col min="4354" max="4354" customWidth="true" style="1" width="32.77734375" collapsed="true"/>
    <col min="4355" max="4356" customWidth="true" style="1" width="6.21875" collapsed="true"/>
    <col min="4357" max="4358" customWidth="true" style="1" width="6.33203125" collapsed="true"/>
    <col min="4359" max="4360" customWidth="true" style="1" width="6.6640625" collapsed="true"/>
    <col min="4361" max="4361" customWidth="true" style="1" width="6.21875" collapsed="true"/>
    <col min="4362" max="4362" customWidth="true" style="1" width="6.33203125" collapsed="true"/>
    <col min="4363" max="4608" style="1" width="9.0" collapsed="true"/>
    <col min="4609" max="4609" customWidth="true" style="1" width="4.77734375" collapsed="true"/>
    <col min="4610" max="4610" customWidth="true" style="1" width="32.77734375" collapsed="true"/>
    <col min="4611" max="4612" customWidth="true" style="1" width="6.21875" collapsed="true"/>
    <col min="4613" max="4614" customWidth="true" style="1" width="6.33203125" collapsed="true"/>
    <col min="4615" max="4616" customWidth="true" style="1" width="6.6640625" collapsed="true"/>
    <col min="4617" max="4617" customWidth="true" style="1" width="6.21875" collapsed="true"/>
    <col min="4618" max="4618" customWidth="true" style="1" width="6.33203125" collapsed="true"/>
    <col min="4619" max="4864" style="1" width="9.0" collapsed="true"/>
    <col min="4865" max="4865" customWidth="true" style="1" width="4.77734375" collapsed="true"/>
    <col min="4866" max="4866" customWidth="true" style="1" width="32.77734375" collapsed="true"/>
    <col min="4867" max="4868" customWidth="true" style="1" width="6.21875" collapsed="true"/>
    <col min="4869" max="4870" customWidth="true" style="1" width="6.33203125" collapsed="true"/>
    <col min="4871" max="4872" customWidth="true" style="1" width="6.6640625" collapsed="true"/>
    <col min="4873" max="4873" customWidth="true" style="1" width="6.21875" collapsed="true"/>
    <col min="4874" max="4874" customWidth="true" style="1" width="6.33203125" collapsed="true"/>
    <col min="4875" max="5120" style="1" width="9.0" collapsed="true"/>
    <col min="5121" max="5121" customWidth="true" style="1" width="4.77734375" collapsed="true"/>
    <col min="5122" max="5122" customWidth="true" style="1" width="32.77734375" collapsed="true"/>
    <col min="5123" max="5124" customWidth="true" style="1" width="6.21875" collapsed="true"/>
    <col min="5125" max="5126" customWidth="true" style="1" width="6.33203125" collapsed="true"/>
    <col min="5127" max="5128" customWidth="true" style="1" width="6.6640625" collapsed="true"/>
    <col min="5129" max="5129" customWidth="true" style="1" width="6.21875" collapsed="true"/>
    <col min="5130" max="5130" customWidth="true" style="1" width="6.33203125" collapsed="true"/>
    <col min="5131" max="5376" style="1" width="9.0" collapsed="true"/>
    <col min="5377" max="5377" customWidth="true" style="1" width="4.77734375" collapsed="true"/>
    <col min="5378" max="5378" customWidth="true" style="1" width="32.77734375" collapsed="true"/>
    <col min="5379" max="5380" customWidth="true" style="1" width="6.21875" collapsed="true"/>
    <col min="5381" max="5382" customWidth="true" style="1" width="6.33203125" collapsed="true"/>
    <col min="5383" max="5384" customWidth="true" style="1" width="6.6640625" collapsed="true"/>
    <col min="5385" max="5385" customWidth="true" style="1" width="6.21875" collapsed="true"/>
    <col min="5386" max="5386" customWidth="true" style="1" width="6.33203125" collapsed="true"/>
    <col min="5387" max="5632" style="1" width="9.0" collapsed="true"/>
    <col min="5633" max="5633" customWidth="true" style="1" width="4.77734375" collapsed="true"/>
    <col min="5634" max="5634" customWidth="true" style="1" width="32.77734375" collapsed="true"/>
    <col min="5635" max="5636" customWidth="true" style="1" width="6.21875" collapsed="true"/>
    <col min="5637" max="5638" customWidth="true" style="1" width="6.33203125" collapsed="true"/>
    <col min="5639" max="5640" customWidth="true" style="1" width="6.6640625" collapsed="true"/>
    <col min="5641" max="5641" customWidth="true" style="1" width="6.21875" collapsed="true"/>
    <col min="5642" max="5642" customWidth="true" style="1" width="6.33203125" collapsed="true"/>
    <col min="5643" max="5888" style="1" width="9.0" collapsed="true"/>
    <col min="5889" max="5889" customWidth="true" style="1" width="4.77734375" collapsed="true"/>
    <col min="5890" max="5890" customWidth="true" style="1" width="32.77734375" collapsed="true"/>
    <col min="5891" max="5892" customWidth="true" style="1" width="6.21875" collapsed="true"/>
    <col min="5893" max="5894" customWidth="true" style="1" width="6.33203125" collapsed="true"/>
    <col min="5895" max="5896" customWidth="true" style="1" width="6.6640625" collapsed="true"/>
    <col min="5897" max="5897" customWidth="true" style="1" width="6.21875" collapsed="true"/>
    <col min="5898" max="5898" customWidth="true" style="1" width="6.33203125" collapsed="true"/>
    <col min="5899" max="6144" style="1" width="9.0" collapsed="true"/>
    <col min="6145" max="6145" customWidth="true" style="1" width="4.77734375" collapsed="true"/>
    <col min="6146" max="6146" customWidth="true" style="1" width="32.77734375" collapsed="true"/>
    <col min="6147" max="6148" customWidth="true" style="1" width="6.21875" collapsed="true"/>
    <col min="6149" max="6150" customWidth="true" style="1" width="6.33203125" collapsed="true"/>
    <col min="6151" max="6152" customWidth="true" style="1" width="6.6640625" collapsed="true"/>
    <col min="6153" max="6153" customWidth="true" style="1" width="6.21875" collapsed="true"/>
    <col min="6154" max="6154" customWidth="true" style="1" width="6.33203125" collapsed="true"/>
    <col min="6155" max="6400" style="1" width="9.0" collapsed="true"/>
    <col min="6401" max="6401" customWidth="true" style="1" width="4.77734375" collapsed="true"/>
    <col min="6402" max="6402" customWidth="true" style="1" width="32.77734375" collapsed="true"/>
    <col min="6403" max="6404" customWidth="true" style="1" width="6.21875" collapsed="true"/>
    <col min="6405" max="6406" customWidth="true" style="1" width="6.33203125" collapsed="true"/>
    <col min="6407" max="6408" customWidth="true" style="1" width="6.6640625" collapsed="true"/>
    <col min="6409" max="6409" customWidth="true" style="1" width="6.21875" collapsed="true"/>
    <col min="6410" max="6410" customWidth="true" style="1" width="6.33203125" collapsed="true"/>
    <col min="6411" max="6656" style="1" width="9.0" collapsed="true"/>
    <col min="6657" max="6657" customWidth="true" style="1" width="4.77734375" collapsed="true"/>
    <col min="6658" max="6658" customWidth="true" style="1" width="32.77734375" collapsed="true"/>
    <col min="6659" max="6660" customWidth="true" style="1" width="6.21875" collapsed="true"/>
    <col min="6661" max="6662" customWidth="true" style="1" width="6.33203125" collapsed="true"/>
    <col min="6663" max="6664" customWidth="true" style="1" width="6.6640625" collapsed="true"/>
    <col min="6665" max="6665" customWidth="true" style="1" width="6.21875" collapsed="true"/>
    <col min="6666" max="6666" customWidth="true" style="1" width="6.33203125" collapsed="true"/>
    <col min="6667" max="6912" style="1" width="9.0" collapsed="true"/>
    <col min="6913" max="6913" customWidth="true" style="1" width="4.77734375" collapsed="true"/>
    <col min="6914" max="6914" customWidth="true" style="1" width="32.77734375" collapsed="true"/>
    <col min="6915" max="6916" customWidth="true" style="1" width="6.21875" collapsed="true"/>
    <col min="6917" max="6918" customWidth="true" style="1" width="6.33203125" collapsed="true"/>
    <col min="6919" max="6920" customWidth="true" style="1" width="6.6640625" collapsed="true"/>
    <col min="6921" max="6921" customWidth="true" style="1" width="6.21875" collapsed="true"/>
    <col min="6922" max="6922" customWidth="true" style="1" width="6.33203125" collapsed="true"/>
    <col min="6923" max="7168" style="1" width="9.0" collapsed="true"/>
    <col min="7169" max="7169" customWidth="true" style="1" width="4.77734375" collapsed="true"/>
    <col min="7170" max="7170" customWidth="true" style="1" width="32.77734375" collapsed="true"/>
    <col min="7171" max="7172" customWidth="true" style="1" width="6.21875" collapsed="true"/>
    <col min="7173" max="7174" customWidth="true" style="1" width="6.33203125" collapsed="true"/>
    <col min="7175" max="7176" customWidth="true" style="1" width="6.6640625" collapsed="true"/>
    <col min="7177" max="7177" customWidth="true" style="1" width="6.21875" collapsed="true"/>
    <col min="7178" max="7178" customWidth="true" style="1" width="6.33203125" collapsed="true"/>
    <col min="7179" max="7424" style="1" width="9.0" collapsed="true"/>
    <col min="7425" max="7425" customWidth="true" style="1" width="4.77734375" collapsed="true"/>
    <col min="7426" max="7426" customWidth="true" style="1" width="32.77734375" collapsed="true"/>
    <col min="7427" max="7428" customWidth="true" style="1" width="6.21875" collapsed="true"/>
    <col min="7429" max="7430" customWidth="true" style="1" width="6.33203125" collapsed="true"/>
    <col min="7431" max="7432" customWidth="true" style="1" width="6.6640625" collapsed="true"/>
    <col min="7433" max="7433" customWidth="true" style="1" width="6.21875" collapsed="true"/>
    <col min="7434" max="7434" customWidth="true" style="1" width="6.33203125" collapsed="true"/>
    <col min="7435" max="7680" style="1" width="9.0" collapsed="true"/>
    <col min="7681" max="7681" customWidth="true" style="1" width="4.77734375" collapsed="true"/>
    <col min="7682" max="7682" customWidth="true" style="1" width="32.77734375" collapsed="true"/>
    <col min="7683" max="7684" customWidth="true" style="1" width="6.21875" collapsed="true"/>
    <col min="7685" max="7686" customWidth="true" style="1" width="6.33203125" collapsed="true"/>
    <col min="7687" max="7688" customWidth="true" style="1" width="6.6640625" collapsed="true"/>
    <col min="7689" max="7689" customWidth="true" style="1" width="6.21875" collapsed="true"/>
    <col min="7690" max="7690" customWidth="true" style="1" width="6.33203125" collapsed="true"/>
    <col min="7691" max="7936" style="1" width="9.0" collapsed="true"/>
    <col min="7937" max="7937" customWidth="true" style="1" width="4.77734375" collapsed="true"/>
    <col min="7938" max="7938" customWidth="true" style="1" width="32.77734375" collapsed="true"/>
    <col min="7939" max="7940" customWidth="true" style="1" width="6.21875" collapsed="true"/>
    <col min="7941" max="7942" customWidth="true" style="1" width="6.33203125" collapsed="true"/>
    <col min="7943" max="7944" customWidth="true" style="1" width="6.6640625" collapsed="true"/>
    <col min="7945" max="7945" customWidth="true" style="1" width="6.21875" collapsed="true"/>
    <col min="7946" max="7946" customWidth="true" style="1" width="6.33203125" collapsed="true"/>
    <col min="7947" max="8192" style="1" width="9.0" collapsed="true"/>
    <col min="8193" max="8193" customWidth="true" style="1" width="4.77734375" collapsed="true"/>
    <col min="8194" max="8194" customWidth="true" style="1" width="32.77734375" collapsed="true"/>
    <col min="8195" max="8196" customWidth="true" style="1" width="6.21875" collapsed="true"/>
    <col min="8197" max="8198" customWidth="true" style="1" width="6.33203125" collapsed="true"/>
    <col min="8199" max="8200" customWidth="true" style="1" width="6.6640625" collapsed="true"/>
    <col min="8201" max="8201" customWidth="true" style="1" width="6.21875" collapsed="true"/>
    <col min="8202" max="8202" customWidth="true" style="1" width="6.33203125" collapsed="true"/>
    <col min="8203" max="8448" style="1" width="9.0" collapsed="true"/>
    <col min="8449" max="8449" customWidth="true" style="1" width="4.77734375" collapsed="true"/>
    <col min="8450" max="8450" customWidth="true" style="1" width="32.77734375" collapsed="true"/>
    <col min="8451" max="8452" customWidth="true" style="1" width="6.21875" collapsed="true"/>
    <col min="8453" max="8454" customWidth="true" style="1" width="6.33203125" collapsed="true"/>
    <col min="8455" max="8456" customWidth="true" style="1" width="6.6640625" collapsed="true"/>
    <col min="8457" max="8457" customWidth="true" style="1" width="6.21875" collapsed="true"/>
    <col min="8458" max="8458" customWidth="true" style="1" width="6.33203125" collapsed="true"/>
    <col min="8459" max="8704" style="1" width="9.0" collapsed="true"/>
    <col min="8705" max="8705" customWidth="true" style="1" width="4.77734375" collapsed="true"/>
    <col min="8706" max="8706" customWidth="true" style="1" width="32.77734375" collapsed="true"/>
    <col min="8707" max="8708" customWidth="true" style="1" width="6.21875" collapsed="true"/>
    <col min="8709" max="8710" customWidth="true" style="1" width="6.33203125" collapsed="true"/>
    <col min="8711" max="8712" customWidth="true" style="1" width="6.6640625" collapsed="true"/>
    <col min="8713" max="8713" customWidth="true" style="1" width="6.21875" collapsed="true"/>
    <col min="8714" max="8714" customWidth="true" style="1" width="6.33203125" collapsed="true"/>
    <col min="8715" max="8960" style="1" width="9.0" collapsed="true"/>
    <col min="8961" max="8961" customWidth="true" style="1" width="4.77734375" collapsed="true"/>
    <col min="8962" max="8962" customWidth="true" style="1" width="32.77734375" collapsed="true"/>
    <col min="8963" max="8964" customWidth="true" style="1" width="6.21875" collapsed="true"/>
    <col min="8965" max="8966" customWidth="true" style="1" width="6.33203125" collapsed="true"/>
    <col min="8967" max="8968" customWidth="true" style="1" width="6.6640625" collapsed="true"/>
    <col min="8969" max="8969" customWidth="true" style="1" width="6.21875" collapsed="true"/>
    <col min="8970" max="8970" customWidth="true" style="1" width="6.33203125" collapsed="true"/>
    <col min="8971" max="9216" style="1" width="9.0" collapsed="true"/>
    <col min="9217" max="9217" customWidth="true" style="1" width="4.77734375" collapsed="true"/>
    <col min="9218" max="9218" customWidth="true" style="1" width="32.77734375" collapsed="true"/>
    <col min="9219" max="9220" customWidth="true" style="1" width="6.21875" collapsed="true"/>
    <col min="9221" max="9222" customWidth="true" style="1" width="6.33203125" collapsed="true"/>
    <col min="9223" max="9224" customWidth="true" style="1" width="6.6640625" collapsed="true"/>
    <col min="9225" max="9225" customWidth="true" style="1" width="6.21875" collapsed="true"/>
    <col min="9226" max="9226" customWidth="true" style="1" width="6.33203125" collapsed="true"/>
    <col min="9227" max="9472" style="1" width="9.0" collapsed="true"/>
    <col min="9473" max="9473" customWidth="true" style="1" width="4.77734375" collapsed="true"/>
    <col min="9474" max="9474" customWidth="true" style="1" width="32.77734375" collapsed="true"/>
    <col min="9475" max="9476" customWidth="true" style="1" width="6.21875" collapsed="true"/>
    <col min="9477" max="9478" customWidth="true" style="1" width="6.33203125" collapsed="true"/>
    <col min="9479" max="9480" customWidth="true" style="1" width="6.6640625" collapsed="true"/>
    <col min="9481" max="9481" customWidth="true" style="1" width="6.21875" collapsed="true"/>
    <col min="9482" max="9482" customWidth="true" style="1" width="6.33203125" collapsed="true"/>
    <col min="9483" max="9728" style="1" width="9.0" collapsed="true"/>
    <col min="9729" max="9729" customWidth="true" style="1" width="4.77734375" collapsed="true"/>
    <col min="9730" max="9730" customWidth="true" style="1" width="32.77734375" collapsed="true"/>
    <col min="9731" max="9732" customWidth="true" style="1" width="6.21875" collapsed="true"/>
    <col min="9733" max="9734" customWidth="true" style="1" width="6.33203125" collapsed="true"/>
    <col min="9735" max="9736" customWidth="true" style="1" width="6.6640625" collapsed="true"/>
    <col min="9737" max="9737" customWidth="true" style="1" width="6.21875" collapsed="true"/>
    <col min="9738" max="9738" customWidth="true" style="1" width="6.33203125" collapsed="true"/>
    <col min="9739" max="9984" style="1" width="9.0" collapsed="true"/>
    <col min="9985" max="9985" customWidth="true" style="1" width="4.77734375" collapsed="true"/>
    <col min="9986" max="9986" customWidth="true" style="1" width="32.77734375" collapsed="true"/>
    <col min="9987" max="9988" customWidth="true" style="1" width="6.21875" collapsed="true"/>
    <col min="9989" max="9990" customWidth="true" style="1" width="6.33203125" collapsed="true"/>
    <col min="9991" max="9992" customWidth="true" style="1" width="6.6640625" collapsed="true"/>
    <col min="9993" max="9993" customWidth="true" style="1" width="6.21875" collapsed="true"/>
    <col min="9994" max="9994" customWidth="true" style="1" width="6.33203125" collapsed="true"/>
    <col min="9995" max="10240" style="1" width="9.0" collapsed="true"/>
    <col min="10241" max="10241" customWidth="true" style="1" width="4.77734375" collapsed="true"/>
    <col min="10242" max="10242" customWidth="true" style="1" width="32.77734375" collapsed="true"/>
    <col min="10243" max="10244" customWidth="true" style="1" width="6.21875" collapsed="true"/>
    <col min="10245" max="10246" customWidth="true" style="1" width="6.33203125" collapsed="true"/>
    <col min="10247" max="10248" customWidth="true" style="1" width="6.6640625" collapsed="true"/>
    <col min="10249" max="10249" customWidth="true" style="1" width="6.21875" collapsed="true"/>
    <col min="10250" max="10250" customWidth="true" style="1" width="6.33203125" collapsed="true"/>
    <col min="10251" max="10496" style="1" width="9.0" collapsed="true"/>
    <col min="10497" max="10497" customWidth="true" style="1" width="4.77734375" collapsed="true"/>
    <col min="10498" max="10498" customWidth="true" style="1" width="32.77734375" collapsed="true"/>
    <col min="10499" max="10500" customWidth="true" style="1" width="6.21875" collapsed="true"/>
    <col min="10501" max="10502" customWidth="true" style="1" width="6.33203125" collapsed="true"/>
    <col min="10503" max="10504" customWidth="true" style="1" width="6.6640625" collapsed="true"/>
    <col min="10505" max="10505" customWidth="true" style="1" width="6.21875" collapsed="true"/>
    <col min="10506" max="10506" customWidth="true" style="1" width="6.33203125" collapsed="true"/>
    <col min="10507" max="10752" style="1" width="9.0" collapsed="true"/>
    <col min="10753" max="10753" customWidth="true" style="1" width="4.77734375" collapsed="true"/>
    <col min="10754" max="10754" customWidth="true" style="1" width="32.77734375" collapsed="true"/>
    <col min="10755" max="10756" customWidth="true" style="1" width="6.21875" collapsed="true"/>
    <col min="10757" max="10758" customWidth="true" style="1" width="6.33203125" collapsed="true"/>
    <col min="10759" max="10760" customWidth="true" style="1" width="6.6640625" collapsed="true"/>
    <col min="10761" max="10761" customWidth="true" style="1" width="6.21875" collapsed="true"/>
    <col min="10762" max="10762" customWidth="true" style="1" width="6.33203125" collapsed="true"/>
    <col min="10763" max="11008" style="1" width="9.0" collapsed="true"/>
    <col min="11009" max="11009" customWidth="true" style="1" width="4.77734375" collapsed="true"/>
    <col min="11010" max="11010" customWidth="true" style="1" width="32.77734375" collapsed="true"/>
    <col min="11011" max="11012" customWidth="true" style="1" width="6.21875" collapsed="true"/>
    <col min="11013" max="11014" customWidth="true" style="1" width="6.33203125" collapsed="true"/>
    <col min="11015" max="11016" customWidth="true" style="1" width="6.6640625" collapsed="true"/>
    <col min="11017" max="11017" customWidth="true" style="1" width="6.21875" collapsed="true"/>
    <col min="11018" max="11018" customWidth="true" style="1" width="6.33203125" collapsed="true"/>
    <col min="11019" max="11264" style="1" width="9.0" collapsed="true"/>
    <col min="11265" max="11265" customWidth="true" style="1" width="4.77734375" collapsed="true"/>
    <col min="11266" max="11266" customWidth="true" style="1" width="32.77734375" collapsed="true"/>
    <col min="11267" max="11268" customWidth="true" style="1" width="6.21875" collapsed="true"/>
    <col min="11269" max="11270" customWidth="true" style="1" width="6.33203125" collapsed="true"/>
    <col min="11271" max="11272" customWidth="true" style="1" width="6.6640625" collapsed="true"/>
    <col min="11273" max="11273" customWidth="true" style="1" width="6.21875" collapsed="true"/>
    <col min="11274" max="11274" customWidth="true" style="1" width="6.33203125" collapsed="true"/>
    <col min="11275" max="11520" style="1" width="9.0" collapsed="true"/>
    <col min="11521" max="11521" customWidth="true" style="1" width="4.77734375" collapsed="true"/>
    <col min="11522" max="11522" customWidth="true" style="1" width="32.77734375" collapsed="true"/>
    <col min="11523" max="11524" customWidth="true" style="1" width="6.21875" collapsed="true"/>
    <col min="11525" max="11526" customWidth="true" style="1" width="6.33203125" collapsed="true"/>
    <col min="11527" max="11528" customWidth="true" style="1" width="6.6640625" collapsed="true"/>
    <col min="11529" max="11529" customWidth="true" style="1" width="6.21875" collapsed="true"/>
    <col min="11530" max="11530" customWidth="true" style="1" width="6.33203125" collapsed="true"/>
    <col min="11531" max="11776" style="1" width="9.0" collapsed="true"/>
    <col min="11777" max="11777" customWidth="true" style="1" width="4.77734375" collapsed="true"/>
    <col min="11778" max="11778" customWidth="true" style="1" width="32.77734375" collapsed="true"/>
    <col min="11779" max="11780" customWidth="true" style="1" width="6.21875" collapsed="true"/>
    <col min="11781" max="11782" customWidth="true" style="1" width="6.33203125" collapsed="true"/>
    <col min="11783" max="11784" customWidth="true" style="1" width="6.6640625" collapsed="true"/>
    <col min="11785" max="11785" customWidth="true" style="1" width="6.21875" collapsed="true"/>
    <col min="11786" max="11786" customWidth="true" style="1" width="6.33203125" collapsed="true"/>
    <col min="11787" max="12032" style="1" width="9.0" collapsed="true"/>
    <col min="12033" max="12033" customWidth="true" style="1" width="4.77734375" collapsed="true"/>
    <col min="12034" max="12034" customWidth="true" style="1" width="32.77734375" collapsed="true"/>
    <col min="12035" max="12036" customWidth="true" style="1" width="6.21875" collapsed="true"/>
    <col min="12037" max="12038" customWidth="true" style="1" width="6.33203125" collapsed="true"/>
    <col min="12039" max="12040" customWidth="true" style="1" width="6.6640625" collapsed="true"/>
    <col min="12041" max="12041" customWidth="true" style="1" width="6.21875" collapsed="true"/>
    <col min="12042" max="12042" customWidth="true" style="1" width="6.33203125" collapsed="true"/>
    <col min="12043" max="12288" style="1" width="9.0" collapsed="true"/>
    <col min="12289" max="12289" customWidth="true" style="1" width="4.77734375" collapsed="true"/>
    <col min="12290" max="12290" customWidth="true" style="1" width="32.77734375" collapsed="true"/>
    <col min="12291" max="12292" customWidth="true" style="1" width="6.21875" collapsed="true"/>
    <col min="12293" max="12294" customWidth="true" style="1" width="6.33203125" collapsed="true"/>
    <col min="12295" max="12296" customWidth="true" style="1" width="6.6640625" collapsed="true"/>
    <col min="12297" max="12297" customWidth="true" style="1" width="6.21875" collapsed="true"/>
    <col min="12298" max="12298" customWidth="true" style="1" width="6.33203125" collapsed="true"/>
    <col min="12299" max="12544" style="1" width="9.0" collapsed="true"/>
    <col min="12545" max="12545" customWidth="true" style="1" width="4.77734375" collapsed="true"/>
    <col min="12546" max="12546" customWidth="true" style="1" width="32.77734375" collapsed="true"/>
    <col min="12547" max="12548" customWidth="true" style="1" width="6.21875" collapsed="true"/>
    <col min="12549" max="12550" customWidth="true" style="1" width="6.33203125" collapsed="true"/>
    <col min="12551" max="12552" customWidth="true" style="1" width="6.6640625" collapsed="true"/>
    <col min="12553" max="12553" customWidth="true" style="1" width="6.21875" collapsed="true"/>
    <col min="12554" max="12554" customWidth="true" style="1" width="6.33203125" collapsed="true"/>
    <col min="12555" max="12800" style="1" width="9.0" collapsed="true"/>
    <col min="12801" max="12801" customWidth="true" style="1" width="4.77734375" collapsed="true"/>
    <col min="12802" max="12802" customWidth="true" style="1" width="32.77734375" collapsed="true"/>
    <col min="12803" max="12804" customWidth="true" style="1" width="6.21875" collapsed="true"/>
    <col min="12805" max="12806" customWidth="true" style="1" width="6.33203125" collapsed="true"/>
    <col min="12807" max="12808" customWidth="true" style="1" width="6.6640625" collapsed="true"/>
    <col min="12809" max="12809" customWidth="true" style="1" width="6.21875" collapsed="true"/>
    <col min="12810" max="12810" customWidth="true" style="1" width="6.33203125" collapsed="true"/>
    <col min="12811" max="13056" style="1" width="9.0" collapsed="true"/>
    <col min="13057" max="13057" customWidth="true" style="1" width="4.77734375" collapsed="true"/>
    <col min="13058" max="13058" customWidth="true" style="1" width="32.77734375" collapsed="true"/>
    <col min="13059" max="13060" customWidth="true" style="1" width="6.21875" collapsed="true"/>
    <col min="13061" max="13062" customWidth="true" style="1" width="6.33203125" collapsed="true"/>
    <col min="13063" max="13064" customWidth="true" style="1" width="6.6640625" collapsed="true"/>
    <col min="13065" max="13065" customWidth="true" style="1" width="6.21875" collapsed="true"/>
    <col min="13066" max="13066" customWidth="true" style="1" width="6.33203125" collapsed="true"/>
    <col min="13067" max="13312" style="1" width="9.0" collapsed="true"/>
    <col min="13313" max="13313" customWidth="true" style="1" width="4.77734375" collapsed="true"/>
    <col min="13314" max="13314" customWidth="true" style="1" width="32.77734375" collapsed="true"/>
    <col min="13315" max="13316" customWidth="true" style="1" width="6.21875" collapsed="true"/>
    <col min="13317" max="13318" customWidth="true" style="1" width="6.33203125" collapsed="true"/>
    <col min="13319" max="13320" customWidth="true" style="1" width="6.6640625" collapsed="true"/>
    <col min="13321" max="13321" customWidth="true" style="1" width="6.21875" collapsed="true"/>
    <col min="13322" max="13322" customWidth="true" style="1" width="6.33203125" collapsed="true"/>
    <col min="13323" max="13568" style="1" width="9.0" collapsed="true"/>
    <col min="13569" max="13569" customWidth="true" style="1" width="4.77734375" collapsed="true"/>
    <col min="13570" max="13570" customWidth="true" style="1" width="32.77734375" collapsed="true"/>
    <col min="13571" max="13572" customWidth="true" style="1" width="6.21875" collapsed="true"/>
    <col min="13573" max="13574" customWidth="true" style="1" width="6.33203125" collapsed="true"/>
    <col min="13575" max="13576" customWidth="true" style="1" width="6.6640625" collapsed="true"/>
    <col min="13577" max="13577" customWidth="true" style="1" width="6.21875" collapsed="true"/>
    <col min="13578" max="13578" customWidth="true" style="1" width="6.33203125" collapsed="true"/>
    <col min="13579" max="13824" style="1" width="9.0" collapsed="true"/>
    <col min="13825" max="13825" customWidth="true" style="1" width="4.77734375" collapsed="true"/>
    <col min="13826" max="13826" customWidth="true" style="1" width="32.77734375" collapsed="true"/>
    <col min="13827" max="13828" customWidth="true" style="1" width="6.21875" collapsed="true"/>
    <col min="13829" max="13830" customWidth="true" style="1" width="6.33203125" collapsed="true"/>
    <col min="13831" max="13832" customWidth="true" style="1" width="6.6640625" collapsed="true"/>
    <col min="13833" max="13833" customWidth="true" style="1" width="6.21875" collapsed="true"/>
    <col min="13834" max="13834" customWidth="true" style="1" width="6.33203125" collapsed="true"/>
    <col min="13835" max="14080" style="1" width="9.0" collapsed="true"/>
    <col min="14081" max="14081" customWidth="true" style="1" width="4.77734375" collapsed="true"/>
    <col min="14082" max="14082" customWidth="true" style="1" width="32.77734375" collapsed="true"/>
    <col min="14083" max="14084" customWidth="true" style="1" width="6.21875" collapsed="true"/>
    <col min="14085" max="14086" customWidth="true" style="1" width="6.33203125" collapsed="true"/>
    <col min="14087" max="14088" customWidth="true" style="1" width="6.6640625" collapsed="true"/>
    <col min="14089" max="14089" customWidth="true" style="1" width="6.21875" collapsed="true"/>
    <col min="14090" max="14090" customWidth="true" style="1" width="6.33203125" collapsed="true"/>
    <col min="14091" max="14336" style="1" width="9.0" collapsed="true"/>
    <col min="14337" max="14337" customWidth="true" style="1" width="4.77734375" collapsed="true"/>
    <col min="14338" max="14338" customWidth="true" style="1" width="32.77734375" collapsed="true"/>
    <col min="14339" max="14340" customWidth="true" style="1" width="6.21875" collapsed="true"/>
    <col min="14341" max="14342" customWidth="true" style="1" width="6.33203125" collapsed="true"/>
    <col min="14343" max="14344" customWidth="true" style="1" width="6.6640625" collapsed="true"/>
    <col min="14345" max="14345" customWidth="true" style="1" width="6.21875" collapsed="true"/>
    <col min="14346" max="14346" customWidth="true" style="1" width="6.33203125" collapsed="true"/>
    <col min="14347" max="14592" style="1" width="9.0" collapsed="true"/>
    <col min="14593" max="14593" customWidth="true" style="1" width="4.77734375" collapsed="true"/>
    <col min="14594" max="14594" customWidth="true" style="1" width="32.77734375" collapsed="true"/>
    <col min="14595" max="14596" customWidth="true" style="1" width="6.21875" collapsed="true"/>
    <col min="14597" max="14598" customWidth="true" style="1" width="6.33203125" collapsed="true"/>
    <col min="14599" max="14600" customWidth="true" style="1" width="6.6640625" collapsed="true"/>
    <col min="14601" max="14601" customWidth="true" style="1" width="6.21875" collapsed="true"/>
    <col min="14602" max="14602" customWidth="true" style="1" width="6.33203125" collapsed="true"/>
    <col min="14603" max="14848" style="1" width="9.0" collapsed="true"/>
    <col min="14849" max="14849" customWidth="true" style="1" width="4.77734375" collapsed="true"/>
    <col min="14850" max="14850" customWidth="true" style="1" width="32.77734375" collapsed="true"/>
    <col min="14851" max="14852" customWidth="true" style="1" width="6.21875" collapsed="true"/>
    <col min="14853" max="14854" customWidth="true" style="1" width="6.33203125" collapsed="true"/>
    <col min="14855" max="14856" customWidth="true" style="1" width="6.6640625" collapsed="true"/>
    <col min="14857" max="14857" customWidth="true" style="1" width="6.21875" collapsed="true"/>
    <col min="14858" max="14858" customWidth="true" style="1" width="6.33203125" collapsed="true"/>
    <col min="14859" max="15104" style="1" width="9.0" collapsed="true"/>
    <col min="15105" max="15105" customWidth="true" style="1" width="4.77734375" collapsed="true"/>
    <col min="15106" max="15106" customWidth="true" style="1" width="32.77734375" collapsed="true"/>
    <col min="15107" max="15108" customWidth="true" style="1" width="6.21875" collapsed="true"/>
    <col min="15109" max="15110" customWidth="true" style="1" width="6.33203125" collapsed="true"/>
    <col min="15111" max="15112" customWidth="true" style="1" width="6.6640625" collapsed="true"/>
    <col min="15113" max="15113" customWidth="true" style="1" width="6.21875" collapsed="true"/>
    <col min="15114" max="15114" customWidth="true" style="1" width="6.33203125" collapsed="true"/>
    <col min="15115" max="15360" style="1" width="9.0" collapsed="true"/>
    <col min="15361" max="15361" customWidth="true" style="1" width="4.77734375" collapsed="true"/>
    <col min="15362" max="15362" customWidth="true" style="1" width="32.77734375" collapsed="true"/>
    <col min="15363" max="15364" customWidth="true" style="1" width="6.21875" collapsed="true"/>
    <col min="15365" max="15366" customWidth="true" style="1" width="6.33203125" collapsed="true"/>
    <col min="15367" max="15368" customWidth="true" style="1" width="6.6640625" collapsed="true"/>
    <col min="15369" max="15369" customWidth="true" style="1" width="6.21875" collapsed="true"/>
    <col min="15370" max="15370" customWidth="true" style="1" width="6.33203125" collapsed="true"/>
    <col min="15371" max="15616" style="1" width="9.0" collapsed="true"/>
    <col min="15617" max="15617" customWidth="true" style="1" width="4.77734375" collapsed="true"/>
    <col min="15618" max="15618" customWidth="true" style="1" width="32.77734375" collapsed="true"/>
    <col min="15619" max="15620" customWidth="true" style="1" width="6.21875" collapsed="true"/>
    <col min="15621" max="15622" customWidth="true" style="1" width="6.33203125" collapsed="true"/>
    <col min="15623" max="15624" customWidth="true" style="1" width="6.6640625" collapsed="true"/>
    <col min="15625" max="15625" customWidth="true" style="1" width="6.21875" collapsed="true"/>
    <col min="15626" max="15626" customWidth="true" style="1" width="6.33203125" collapsed="true"/>
    <col min="15627" max="15872" style="1" width="9.0" collapsed="true"/>
    <col min="15873" max="15873" customWidth="true" style="1" width="4.77734375" collapsed="true"/>
    <col min="15874" max="15874" customWidth="true" style="1" width="32.77734375" collapsed="true"/>
    <col min="15875" max="15876" customWidth="true" style="1" width="6.21875" collapsed="true"/>
    <col min="15877" max="15878" customWidth="true" style="1" width="6.33203125" collapsed="true"/>
    <col min="15879" max="15880" customWidth="true" style="1" width="6.6640625" collapsed="true"/>
    <col min="15881" max="15881" customWidth="true" style="1" width="6.21875" collapsed="true"/>
    <col min="15882" max="15882" customWidth="true" style="1" width="6.33203125" collapsed="true"/>
    <col min="15883" max="16128" style="1" width="9.0" collapsed="true"/>
    <col min="16129" max="16129" customWidth="true" style="1" width="4.77734375" collapsed="true"/>
    <col min="16130" max="16130" customWidth="true" style="1" width="32.77734375" collapsed="true"/>
    <col min="16131" max="16132" customWidth="true" style="1" width="6.21875" collapsed="true"/>
    <col min="16133" max="16134" customWidth="true" style="1" width="6.33203125" collapsed="true"/>
    <col min="16135" max="16136" customWidth="true" style="1" width="6.6640625" collapsed="true"/>
    <col min="16137" max="16137" customWidth="true" style="1" width="6.21875" collapsed="true"/>
    <col min="16138" max="16138" customWidth="true" style="1" width="6.33203125" collapsed="true"/>
    <col min="16139" max="16384" style="1" width="9.0" collapsed="true"/>
  </cols>
  <sheetData>
    <row r="1" spans="2:24" ht="23.4" x14ac:dyDescent="0.5">
      <c r="C1" s="18" t="s">
        <v>350</v>
      </c>
      <c r="D1" s="414" t="s">
        <v>651</v>
      </c>
      <c r="E1" s="414"/>
      <c r="F1" s="414"/>
      <c r="G1" s="18" t="s">
        <v>584</v>
      </c>
    </row>
    <row r="2" spans="2:24" ht="24" thickBot="1" x14ac:dyDescent="0.3">
      <c r="B2" s="421" t="s">
        <v>669</v>
      </c>
      <c r="C2" s="422"/>
      <c r="D2" s="422"/>
      <c r="E2" s="422"/>
      <c r="F2" s="422"/>
      <c r="G2" s="422"/>
      <c r="H2" s="422"/>
      <c r="I2" s="422"/>
      <c r="J2" s="422"/>
      <c r="K2" s="422"/>
      <c r="M2" s="10" t="s">
        <v>500</v>
      </c>
      <c r="N2" s="10"/>
      <c r="O2" s="10"/>
      <c r="P2" s="10"/>
      <c r="Q2" s="10"/>
      <c r="R2" s="10"/>
      <c r="S2" s="10"/>
      <c r="T2" s="10"/>
      <c r="U2" s="10"/>
      <c r="V2" s="10"/>
      <c r="W2" s="10"/>
      <c r="X2" s="10"/>
    </row>
    <row r="3" spans="2:24" ht="17.399999999999999" x14ac:dyDescent="0.25">
      <c r="B3" s="2"/>
      <c r="C3" s="2" t="s">
        <v>0</v>
      </c>
      <c r="D3" s="3" t="s">
        <v>1</v>
      </c>
      <c r="E3" s="3" t="s">
        <v>2</v>
      </c>
      <c r="F3" s="3" t="s">
        <v>3</v>
      </c>
      <c r="G3" s="3" t="s">
        <v>4</v>
      </c>
      <c r="H3" s="3" t="s">
        <v>5</v>
      </c>
      <c r="I3" s="3" t="s">
        <v>6</v>
      </c>
      <c r="J3" s="3" t="s">
        <v>7</v>
      </c>
      <c r="K3" s="3" t="s">
        <v>8</v>
      </c>
      <c r="M3" s="309" t="s">
        <v>501</v>
      </c>
      <c r="N3" s="299"/>
      <c r="O3" s="300"/>
      <c r="P3" s="300"/>
      <c r="Q3" s="300"/>
      <c r="R3" s="300"/>
      <c r="S3" s="300"/>
      <c r="T3" s="300"/>
      <c r="U3" s="300"/>
      <c r="V3" s="300"/>
      <c r="W3" s="300"/>
      <c r="X3" s="301"/>
    </row>
    <row r="4" spans="2:24" ht="16.2" x14ac:dyDescent="0.25">
      <c r="B4" s="415" t="s">
        <v>9</v>
      </c>
      <c r="C4" s="416"/>
      <c r="D4" s="416"/>
      <c r="E4" s="416"/>
      <c r="F4" s="416"/>
      <c r="G4" s="416"/>
      <c r="H4" s="416"/>
      <c r="I4" s="416"/>
      <c r="J4" s="416"/>
      <c r="K4" s="417"/>
      <c r="M4" s="316"/>
      <c r="N4" s="308" t="s">
        <v>582</v>
      </c>
      <c r="P4" s="303"/>
      <c r="Q4" s="303"/>
      <c r="R4" s="303"/>
      <c r="S4" s="303"/>
      <c r="T4" s="303"/>
      <c r="U4" s="303"/>
      <c r="V4" s="303"/>
      <c r="W4" s="303"/>
      <c r="X4" s="304"/>
    </row>
    <row r="5" spans="2:24" ht="14.25" customHeight="1" x14ac:dyDescent="0.25">
      <c r="B5" s="423"/>
      <c r="C5" s="2" t="s">
        <v>10</v>
      </c>
      <c r="D5" s="3"/>
      <c r="E5" s="3"/>
      <c r="F5" s="3"/>
      <c r="G5" s="3"/>
      <c r="H5" s="3"/>
      <c r="I5" s="3"/>
      <c r="J5" s="3"/>
      <c r="K5" s="3"/>
      <c r="M5" s="302"/>
      <c r="N5" s="308" t="s">
        <v>583</v>
      </c>
      <c r="P5" s="303"/>
      <c r="Q5" s="303"/>
      <c r="R5" s="303"/>
      <c r="S5" s="303"/>
      <c r="T5" s="303"/>
      <c r="U5" s="303"/>
      <c r="V5" s="303"/>
      <c r="W5" s="303"/>
      <c r="X5" s="304"/>
    </row>
    <row r="6" spans="2:24" ht="13.5" customHeight="1" thickBot="1" x14ac:dyDescent="0.3">
      <c r="B6" s="423"/>
      <c r="C6" s="2" t="s">
        <v>11</v>
      </c>
      <c r="D6" s="3"/>
      <c r="E6" s="3"/>
      <c r="F6" s="3"/>
      <c r="G6" s="3"/>
      <c r="H6" s="3"/>
      <c r="I6" s="3"/>
      <c r="J6" s="3"/>
      <c r="K6" s="3"/>
      <c r="M6" s="302"/>
      <c r="N6" s="303"/>
      <c r="O6" s="303"/>
      <c r="P6" s="303"/>
      <c r="Q6" s="303"/>
      <c r="R6" s="303"/>
      <c r="S6" s="303"/>
      <c r="T6" s="303"/>
      <c r="U6" s="303"/>
      <c r="V6" s="303"/>
      <c r="W6" s="303"/>
      <c r="X6" s="304"/>
    </row>
    <row r="7" spans="2:24" ht="15.75" customHeight="1" x14ac:dyDescent="0.25">
      <c r="B7" s="423"/>
      <c r="C7" s="2" t="s">
        <v>12</v>
      </c>
      <c r="D7" s="3"/>
      <c r="E7" s="3"/>
      <c r="F7" s="3"/>
      <c r="G7" s="3"/>
      <c r="H7" s="3"/>
      <c r="I7" s="3"/>
      <c r="J7" s="3"/>
      <c r="K7" s="3"/>
      <c r="M7" s="302"/>
      <c r="N7" s="390" t="s">
        <v>502</v>
      </c>
      <c r="O7" s="408" t="s">
        <v>503</v>
      </c>
      <c r="P7" s="392" t="s">
        <v>504</v>
      </c>
      <c r="Q7" s="303"/>
      <c r="R7" s="34" t="s">
        <v>56</v>
      </c>
      <c r="S7" s="35" t="s">
        <v>506</v>
      </c>
      <c r="T7" s="35" t="s">
        <v>507</v>
      </c>
      <c r="U7" s="35" t="s">
        <v>508</v>
      </c>
      <c r="V7" s="35" t="s">
        <v>509</v>
      </c>
      <c r="W7" s="36" t="s">
        <v>510</v>
      </c>
      <c r="X7" s="304"/>
    </row>
    <row r="8" spans="2:24" ht="15.75" customHeight="1" x14ac:dyDescent="0.25">
      <c r="B8" s="423"/>
      <c r="C8" s="2" t="s">
        <v>13</v>
      </c>
      <c r="D8" s="3"/>
      <c r="E8" s="3"/>
      <c r="F8" s="3"/>
      <c r="G8" s="3"/>
      <c r="H8" s="3"/>
      <c r="I8" s="3"/>
      <c r="J8" s="3"/>
      <c r="K8" s="3"/>
      <c r="M8" s="302"/>
      <c r="N8" s="391"/>
      <c r="O8" s="409"/>
      <c r="P8" s="393"/>
      <c r="Q8" s="303"/>
      <c r="R8" s="391" t="s">
        <v>511</v>
      </c>
      <c r="S8" s="406">
        <v>1</v>
      </c>
      <c r="T8" s="406">
        <v>1.1000000000000001</v>
      </c>
      <c r="U8" s="406">
        <v>1.2</v>
      </c>
      <c r="V8" s="406">
        <v>1.3</v>
      </c>
      <c r="W8" s="397">
        <v>1.4</v>
      </c>
      <c r="X8" s="304"/>
    </row>
    <row r="9" spans="2:24" ht="16.5" customHeight="1" thickBot="1" x14ac:dyDescent="0.3">
      <c r="B9" s="423"/>
      <c r="C9" s="2" t="s">
        <v>14</v>
      </c>
      <c r="D9" s="3"/>
      <c r="E9" s="3"/>
      <c r="F9" s="3"/>
      <c r="G9" s="3"/>
      <c r="H9" s="3"/>
      <c r="I9" s="3"/>
      <c r="J9" s="3"/>
      <c r="K9" s="3"/>
      <c r="M9" s="302"/>
      <c r="N9" s="31" t="s">
        <v>505</v>
      </c>
      <c r="O9" s="32">
        <v>1</v>
      </c>
      <c r="P9" s="33">
        <v>2</v>
      </c>
      <c r="Q9" s="303"/>
      <c r="R9" s="405"/>
      <c r="S9" s="407"/>
      <c r="T9" s="407"/>
      <c r="U9" s="407"/>
      <c r="V9" s="407"/>
      <c r="W9" s="398"/>
      <c r="X9" s="304"/>
    </row>
    <row r="10" spans="2:24" ht="14.25" customHeight="1" thickBot="1" x14ac:dyDescent="0.3">
      <c r="B10" s="423"/>
      <c r="C10" s="2" t="s">
        <v>15</v>
      </c>
      <c r="D10" s="3"/>
      <c r="E10" s="3"/>
      <c r="F10" s="3"/>
      <c r="G10" s="3"/>
      <c r="H10" s="3"/>
      <c r="I10" s="3"/>
      <c r="J10" s="3"/>
      <c r="K10" s="3"/>
      <c r="M10" s="302"/>
      <c r="N10" s="303"/>
      <c r="O10" s="303"/>
      <c r="P10" s="303"/>
      <c r="Q10" s="303"/>
      <c r="R10" s="303"/>
      <c r="S10" s="303"/>
      <c r="T10" s="303"/>
      <c r="U10" s="303"/>
      <c r="V10" s="303"/>
      <c r="W10" s="303"/>
      <c r="X10" s="304"/>
    </row>
    <row r="11" spans="2:24" ht="16.5" customHeight="1" thickBot="1" x14ac:dyDescent="0.3">
      <c r="B11" s="423"/>
      <c r="C11" s="2" t="s">
        <v>16</v>
      </c>
      <c r="D11" s="3"/>
      <c r="E11" s="3"/>
      <c r="F11" s="3"/>
      <c r="G11" s="3"/>
      <c r="H11" s="3"/>
      <c r="I11" s="3"/>
      <c r="J11" s="3"/>
      <c r="K11" s="3"/>
      <c r="M11" s="302"/>
      <c r="N11" s="27" t="s">
        <v>512</v>
      </c>
      <c r="O11" s="29" t="s">
        <v>494</v>
      </c>
      <c r="P11" s="29" t="s">
        <v>513</v>
      </c>
      <c r="Q11" s="29" t="s">
        <v>514</v>
      </c>
      <c r="R11" s="29" t="s">
        <v>515</v>
      </c>
      <c r="S11" s="29" t="s">
        <v>516</v>
      </c>
      <c r="T11" s="29" t="s">
        <v>517</v>
      </c>
      <c r="U11" s="29" t="s">
        <v>518</v>
      </c>
      <c r="V11" s="303"/>
      <c r="W11" s="303"/>
      <c r="X11" s="304"/>
    </row>
    <row r="12" spans="2:24" ht="14.25" customHeight="1" thickBot="1" x14ac:dyDescent="0.3">
      <c r="B12" s="423"/>
      <c r="C12" s="2" t="s">
        <v>17</v>
      </c>
      <c r="D12" s="3"/>
      <c r="E12" s="3"/>
      <c r="F12" s="3"/>
      <c r="G12" s="3"/>
      <c r="H12" s="3"/>
      <c r="I12" s="3"/>
      <c r="J12" s="3"/>
      <c r="K12" s="3"/>
      <c r="M12" s="302"/>
      <c r="N12" s="28" t="s">
        <v>519</v>
      </c>
      <c r="O12" s="30">
        <v>0.3</v>
      </c>
      <c r="P12" s="30">
        <v>0.4</v>
      </c>
      <c r="Q12" s="30">
        <v>0.5</v>
      </c>
      <c r="R12" s="30">
        <v>0.6</v>
      </c>
      <c r="S12" s="30">
        <v>0.7</v>
      </c>
      <c r="T12" s="30">
        <v>0.8</v>
      </c>
      <c r="U12" s="30">
        <v>0.9</v>
      </c>
      <c r="V12" s="303"/>
      <c r="W12" s="303"/>
      <c r="X12" s="304"/>
    </row>
    <row r="13" spans="2:24" ht="18" customHeight="1" thickBot="1" x14ac:dyDescent="0.3">
      <c r="B13" s="424"/>
      <c r="C13" s="425"/>
      <c r="D13" s="425"/>
      <c r="E13" s="425"/>
      <c r="F13" s="425"/>
      <c r="G13" s="425"/>
      <c r="H13" s="425"/>
      <c r="I13" s="425"/>
      <c r="J13" s="425"/>
      <c r="K13" s="426"/>
      <c r="M13" s="302"/>
      <c r="N13" s="303"/>
      <c r="O13" s="303"/>
      <c r="P13" s="303"/>
      <c r="Q13" s="303"/>
      <c r="R13" s="303"/>
      <c r="S13" s="303"/>
      <c r="T13" s="303"/>
      <c r="U13" s="303"/>
      <c r="V13" s="303"/>
      <c r="W13" s="303"/>
      <c r="X13" s="304"/>
    </row>
    <row r="14" spans="2:24" ht="14.25" customHeight="1" x14ac:dyDescent="0.25">
      <c r="B14" s="415" t="s">
        <v>18</v>
      </c>
      <c r="C14" s="416"/>
      <c r="D14" s="416"/>
      <c r="E14" s="416"/>
      <c r="F14" s="416"/>
      <c r="G14" s="416"/>
      <c r="H14" s="416"/>
      <c r="I14" s="416"/>
      <c r="J14" s="416"/>
      <c r="K14" s="417"/>
      <c r="M14" s="302"/>
      <c r="N14" s="390" t="s">
        <v>520</v>
      </c>
      <c r="O14" s="408" t="s">
        <v>521</v>
      </c>
      <c r="P14" s="392" t="s">
        <v>522</v>
      </c>
      <c r="Q14" s="303"/>
      <c r="R14" s="303"/>
      <c r="S14" s="303"/>
      <c r="T14" s="303"/>
      <c r="U14" s="303"/>
      <c r="V14" s="303"/>
      <c r="W14" s="303"/>
      <c r="X14" s="304"/>
    </row>
    <row r="15" spans="2:24" x14ac:dyDescent="0.25">
      <c r="B15" s="2">
        <v>1</v>
      </c>
      <c r="C15" s="2" t="s">
        <v>19</v>
      </c>
      <c r="D15" s="3"/>
      <c r="E15" s="3"/>
      <c r="F15" s="3"/>
      <c r="G15" s="3"/>
      <c r="H15" s="3"/>
      <c r="I15" s="3"/>
      <c r="J15" s="3"/>
      <c r="K15" s="3"/>
      <c r="M15" s="302"/>
      <c r="N15" s="391"/>
      <c r="O15" s="409"/>
      <c r="P15" s="393"/>
      <c r="Q15" s="303"/>
      <c r="R15" s="303"/>
      <c r="S15" s="303"/>
      <c r="T15" s="303"/>
      <c r="U15" s="303"/>
      <c r="V15" s="303"/>
      <c r="W15" s="303"/>
      <c r="X15" s="304"/>
    </row>
    <row r="16" spans="2:24" x14ac:dyDescent="0.25">
      <c r="B16" s="2">
        <v>2</v>
      </c>
      <c r="C16" s="2" t="s">
        <v>20</v>
      </c>
      <c r="D16" s="3"/>
      <c r="E16" s="3"/>
      <c r="F16" s="3"/>
      <c r="G16" s="3"/>
      <c r="H16" s="3"/>
      <c r="I16" s="3"/>
      <c r="J16" s="3"/>
      <c r="K16" s="3"/>
      <c r="M16" s="302"/>
      <c r="N16" s="391" t="s">
        <v>523</v>
      </c>
      <c r="O16" s="410">
        <v>1</v>
      </c>
      <c r="P16" s="412">
        <v>0.5</v>
      </c>
      <c r="Q16" s="303"/>
      <c r="R16" s="303"/>
      <c r="S16" s="303"/>
      <c r="T16" s="303"/>
      <c r="U16" s="303"/>
      <c r="V16" s="303"/>
      <c r="W16" s="303"/>
      <c r="X16" s="304"/>
    </row>
    <row r="17" spans="2:24" ht="15" thickBot="1" x14ac:dyDescent="0.3">
      <c r="B17" s="2">
        <v>3</v>
      </c>
      <c r="C17" s="2" t="s">
        <v>21</v>
      </c>
      <c r="D17" s="3"/>
      <c r="E17" s="3"/>
      <c r="F17" s="3"/>
      <c r="G17" s="3"/>
      <c r="H17" s="3"/>
      <c r="I17" s="3"/>
      <c r="J17" s="3"/>
      <c r="K17" s="3"/>
      <c r="M17" s="302"/>
      <c r="N17" s="405"/>
      <c r="O17" s="411"/>
      <c r="P17" s="413"/>
      <c r="Q17" s="303"/>
      <c r="R17" s="303"/>
      <c r="S17" s="303"/>
      <c r="T17" s="303"/>
      <c r="U17" s="303"/>
      <c r="V17" s="303"/>
      <c r="W17" s="303"/>
      <c r="X17" s="304"/>
    </row>
    <row r="18" spans="2:24" x14ac:dyDescent="0.25">
      <c r="B18" s="2">
        <v>4</v>
      </c>
      <c r="C18" s="2" t="s">
        <v>22</v>
      </c>
      <c r="D18" s="3"/>
      <c r="E18" s="3"/>
      <c r="F18" s="3"/>
      <c r="G18" s="3"/>
      <c r="H18" s="3"/>
      <c r="I18" s="3"/>
      <c r="J18" s="3"/>
      <c r="K18" s="3"/>
      <c r="M18" s="302"/>
      <c r="N18" s="303"/>
      <c r="O18" s="303"/>
      <c r="P18" s="303"/>
      <c r="Q18" s="303"/>
      <c r="R18" s="303"/>
      <c r="S18" s="303"/>
      <c r="T18" s="303"/>
      <c r="U18" s="303"/>
      <c r="V18" s="303"/>
      <c r="W18" s="303"/>
      <c r="X18" s="304"/>
    </row>
    <row r="19" spans="2:24" ht="17.399999999999999" x14ac:dyDescent="0.25">
      <c r="B19" s="2">
        <v>5</v>
      </c>
      <c r="C19" s="2" t="s">
        <v>23</v>
      </c>
      <c r="D19" s="3"/>
      <c r="E19" s="3"/>
      <c r="F19" s="3"/>
      <c r="G19" s="3"/>
      <c r="H19" s="3"/>
      <c r="I19" s="3"/>
      <c r="J19" s="3"/>
      <c r="K19" s="3"/>
      <c r="M19" s="302"/>
      <c r="N19" s="17" t="s">
        <v>230</v>
      </c>
      <c r="O19" s="303"/>
      <c r="P19" s="303"/>
      <c r="Q19" s="303"/>
      <c r="R19" s="303"/>
      <c r="S19" s="303"/>
      <c r="T19" s="303"/>
      <c r="U19" s="303"/>
      <c r="V19" s="303"/>
      <c r="W19" s="303"/>
      <c r="X19" s="304"/>
    </row>
    <row r="20" spans="2:24" ht="15" thickBot="1" x14ac:dyDescent="0.3">
      <c r="B20" s="2">
        <v>6</v>
      </c>
      <c r="C20" s="2" t="s">
        <v>24</v>
      </c>
      <c r="D20" s="3"/>
      <c r="E20" s="3"/>
      <c r="F20" s="3"/>
      <c r="G20" s="3"/>
      <c r="H20" s="3"/>
      <c r="I20" s="3"/>
      <c r="J20" s="3"/>
      <c r="K20" s="3"/>
      <c r="M20" s="302"/>
      <c r="N20" s="303"/>
      <c r="O20" s="303"/>
      <c r="P20" s="303"/>
      <c r="Q20" s="303"/>
      <c r="R20" s="303"/>
      <c r="S20" s="303"/>
      <c r="T20" s="303"/>
      <c r="U20" s="303"/>
      <c r="V20" s="303"/>
      <c r="W20" s="303"/>
      <c r="X20" s="304"/>
    </row>
    <row r="21" spans="2:24" ht="15" x14ac:dyDescent="0.25">
      <c r="B21" s="2">
        <v>7</v>
      </c>
      <c r="C21" s="2" t="s">
        <v>25</v>
      </c>
      <c r="D21" s="3"/>
      <c r="E21" s="3"/>
      <c r="F21" s="3"/>
      <c r="G21" s="3"/>
      <c r="H21" s="3"/>
      <c r="I21" s="3"/>
      <c r="J21" s="3"/>
      <c r="K21" s="3"/>
      <c r="M21" s="302"/>
      <c r="N21" s="39" t="s">
        <v>56</v>
      </c>
      <c r="O21" s="37" t="s">
        <v>506</v>
      </c>
      <c r="P21" s="37" t="s">
        <v>507</v>
      </c>
      <c r="Q21" s="37" t="s">
        <v>508</v>
      </c>
      <c r="R21" s="37" t="s">
        <v>509</v>
      </c>
      <c r="S21" s="38" t="s">
        <v>510</v>
      </c>
      <c r="T21" s="303"/>
      <c r="U21" s="303"/>
      <c r="V21" s="303"/>
      <c r="W21" s="303"/>
      <c r="X21" s="304"/>
    </row>
    <row r="22" spans="2:24" x14ac:dyDescent="0.25">
      <c r="B22" s="2">
        <v>8</v>
      </c>
      <c r="C22" s="2" t="s">
        <v>26</v>
      </c>
      <c r="D22" s="3"/>
      <c r="E22" s="3"/>
      <c r="F22" s="3"/>
      <c r="G22" s="3"/>
      <c r="H22" s="3"/>
      <c r="I22" s="3"/>
      <c r="J22" s="3"/>
      <c r="K22" s="3"/>
      <c r="M22" s="302"/>
      <c r="N22" s="399" t="s">
        <v>524</v>
      </c>
      <c r="O22" s="401">
        <v>0.2</v>
      </c>
      <c r="P22" s="401">
        <v>0.3</v>
      </c>
      <c r="Q22" s="401">
        <v>0.4</v>
      </c>
      <c r="R22" s="401">
        <v>0.5</v>
      </c>
      <c r="S22" s="403">
        <v>0.6</v>
      </c>
      <c r="T22" s="303"/>
      <c r="U22" s="303"/>
      <c r="V22" s="303"/>
      <c r="W22" s="303"/>
      <c r="X22" s="304"/>
    </row>
    <row r="23" spans="2:24" ht="15" thickBot="1" x14ac:dyDescent="0.3">
      <c r="B23" s="2">
        <v>9</v>
      </c>
      <c r="C23" s="2" t="s">
        <v>27</v>
      </c>
      <c r="D23" s="3"/>
      <c r="E23" s="3"/>
      <c r="F23" s="3"/>
      <c r="G23" s="3"/>
      <c r="H23" s="3"/>
      <c r="I23" s="3"/>
      <c r="J23" s="3"/>
      <c r="K23" s="3"/>
      <c r="M23" s="302"/>
      <c r="N23" s="400"/>
      <c r="O23" s="402"/>
      <c r="P23" s="402"/>
      <c r="Q23" s="402"/>
      <c r="R23" s="402"/>
      <c r="S23" s="404"/>
      <c r="T23" s="303"/>
      <c r="U23" s="303"/>
      <c r="V23" s="303"/>
      <c r="W23" s="303"/>
      <c r="X23" s="304"/>
    </row>
    <row r="24" spans="2:24" x14ac:dyDescent="0.25">
      <c r="B24" s="2">
        <v>10</v>
      </c>
      <c r="C24" s="2" t="s">
        <v>28</v>
      </c>
      <c r="D24" s="3"/>
      <c r="E24" s="3"/>
      <c r="F24" s="3"/>
      <c r="G24" s="3"/>
      <c r="H24" s="3"/>
      <c r="I24" s="3"/>
      <c r="J24" s="3"/>
      <c r="K24" s="3"/>
      <c r="M24" s="302"/>
      <c r="N24" s="303"/>
      <c r="O24" s="303"/>
      <c r="P24" s="303"/>
      <c r="Q24" s="303"/>
      <c r="R24" s="303"/>
      <c r="S24" s="303"/>
      <c r="T24" s="303"/>
      <c r="U24" s="303"/>
      <c r="V24" s="303"/>
      <c r="W24" s="303"/>
      <c r="X24" s="304"/>
    </row>
    <row r="25" spans="2:24" ht="17.399999999999999" x14ac:dyDescent="0.25">
      <c r="B25" s="2">
        <v>11</v>
      </c>
      <c r="C25" s="2" t="s">
        <v>29</v>
      </c>
      <c r="D25" s="3"/>
      <c r="E25" s="3"/>
      <c r="F25" s="3"/>
      <c r="G25" s="3"/>
      <c r="H25" s="3"/>
      <c r="I25" s="3"/>
      <c r="J25" s="3"/>
      <c r="K25" s="3"/>
      <c r="M25" s="302"/>
      <c r="N25" s="17" t="s">
        <v>529</v>
      </c>
      <c r="O25" s="303"/>
      <c r="P25" s="303"/>
      <c r="Q25" s="303"/>
      <c r="R25" s="303"/>
      <c r="S25" s="303"/>
      <c r="T25" s="303"/>
      <c r="U25" s="303"/>
      <c r="V25" s="303"/>
      <c r="W25" s="303"/>
      <c r="X25" s="304"/>
    </row>
    <row r="26" spans="2:24" ht="16.5" customHeight="1" thickBot="1" x14ac:dyDescent="0.3">
      <c r="B26" s="427" t="s">
        <v>30</v>
      </c>
      <c r="C26" s="428"/>
      <c r="D26" s="4"/>
      <c r="E26" s="3"/>
      <c r="F26" s="3"/>
      <c r="G26" s="3"/>
      <c r="H26" s="3"/>
      <c r="I26" s="3"/>
      <c r="J26" s="5"/>
      <c r="K26" s="4"/>
      <c r="M26" s="302"/>
      <c r="N26" s="303"/>
      <c r="O26" s="303"/>
      <c r="P26" s="303"/>
      <c r="Q26" s="303"/>
      <c r="R26" s="303"/>
      <c r="S26" s="303"/>
      <c r="T26" s="303"/>
      <c r="U26" s="303"/>
      <c r="V26" s="303"/>
      <c r="W26" s="303"/>
      <c r="X26" s="304"/>
    </row>
    <row r="27" spans="2:24" x14ac:dyDescent="0.25">
      <c r="B27" s="2">
        <v>12</v>
      </c>
      <c r="C27" s="2" t="s">
        <v>31</v>
      </c>
      <c r="D27" s="3"/>
      <c r="E27" s="3"/>
      <c r="F27" s="3"/>
      <c r="G27" s="3"/>
      <c r="H27" s="3"/>
      <c r="I27" s="3"/>
      <c r="J27" s="3"/>
      <c r="K27" s="3"/>
      <c r="M27" s="302"/>
      <c r="N27" s="390" t="s">
        <v>525</v>
      </c>
      <c r="O27" s="392" t="s">
        <v>527</v>
      </c>
      <c r="P27" s="303"/>
      <c r="Q27" s="303"/>
      <c r="R27" s="303"/>
      <c r="S27" s="303"/>
      <c r="T27" s="303"/>
      <c r="U27" s="303"/>
      <c r="V27" s="303"/>
      <c r="W27" s="303"/>
      <c r="X27" s="304"/>
    </row>
    <row r="28" spans="2:24" x14ac:dyDescent="0.25">
      <c r="B28" s="2">
        <v>13</v>
      </c>
      <c r="C28" s="2" t="s">
        <v>32</v>
      </c>
      <c r="D28" s="3"/>
      <c r="E28" s="3"/>
      <c r="F28" s="3"/>
      <c r="G28" s="3"/>
      <c r="H28" s="3"/>
      <c r="I28" s="3"/>
      <c r="J28" s="3"/>
      <c r="K28" s="3"/>
      <c r="M28" s="302"/>
      <c r="N28" s="391"/>
      <c r="O28" s="393" t="s">
        <v>198</v>
      </c>
      <c r="P28" s="303"/>
      <c r="Q28" s="303"/>
      <c r="R28" s="303"/>
      <c r="S28" s="303"/>
      <c r="T28" s="303"/>
      <c r="U28" s="303"/>
      <c r="V28" s="303"/>
      <c r="W28" s="303"/>
      <c r="X28" s="304"/>
    </row>
    <row r="29" spans="2:24" ht="15.6" x14ac:dyDescent="0.25">
      <c r="B29" s="2">
        <v>14</v>
      </c>
      <c r="C29" s="2" t="s">
        <v>33</v>
      </c>
      <c r="D29" s="3"/>
      <c r="E29" s="3"/>
      <c r="F29" s="3"/>
      <c r="G29" s="3"/>
      <c r="H29" s="3"/>
      <c r="I29" s="3"/>
      <c r="J29" s="3"/>
      <c r="K29" s="3"/>
      <c r="M29" s="302"/>
      <c r="N29" s="59" t="s">
        <v>405</v>
      </c>
      <c r="O29" s="60">
        <v>0.12</v>
      </c>
      <c r="P29" s="303"/>
      <c r="Q29" s="303"/>
      <c r="R29" s="303"/>
      <c r="S29" s="303"/>
      <c r="T29" s="303"/>
      <c r="U29" s="303"/>
      <c r="V29" s="303"/>
      <c r="W29" s="303"/>
      <c r="X29" s="304"/>
    </row>
    <row r="30" spans="2:24" ht="16.2" thickBot="1" x14ac:dyDescent="0.3">
      <c r="B30" s="2">
        <v>15</v>
      </c>
      <c r="C30" s="2" t="s">
        <v>34</v>
      </c>
      <c r="D30" s="3"/>
      <c r="E30" s="3"/>
      <c r="F30" s="3"/>
      <c r="G30" s="3"/>
      <c r="H30" s="3"/>
      <c r="I30" s="3"/>
      <c r="J30" s="3"/>
      <c r="K30" s="3"/>
      <c r="M30" s="302"/>
      <c r="N30" s="62" t="s">
        <v>526</v>
      </c>
      <c r="O30" s="61">
        <v>0.18</v>
      </c>
      <c r="P30" s="303"/>
      <c r="Q30" s="303"/>
      <c r="R30" s="303"/>
      <c r="S30" s="303"/>
      <c r="T30" s="303"/>
      <c r="U30" s="303"/>
      <c r="V30" s="303"/>
      <c r="W30" s="303"/>
      <c r="X30" s="304"/>
    </row>
    <row r="31" spans="2:24" ht="29.4" thickBot="1" x14ac:dyDescent="0.3">
      <c r="B31" s="2">
        <v>16</v>
      </c>
      <c r="C31" s="2" t="s">
        <v>35</v>
      </c>
      <c r="D31" s="3"/>
      <c r="E31" s="3"/>
      <c r="F31" s="3"/>
      <c r="G31" s="3"/>
      <c r="H31" s="3"/>
      <c r="I31" s="3"/>
      <c r="J31" s="3"/>
      <c r="K31" s="3"/>
      <c r="M31" s="305"/>
      <c r="N31" s="306"/>
      <c r="O31" s="306"/>
      <c r="P31" s="306"/>
      <c r="Q31" s="306"/>
      <c r="R31" s="306"/>
      <c r="S31" s="306"/>
      <c r="T31" s="306"/>
      <c r="U31" s="306"/>
      <c r="V31" s="306"/>
      <c r="W31" s="306"/>
      <c r="X31" s="307"/>
    </row>
    <row r="32" spans="2:24" ht="18" thickBot="1" x14ac:dyDescent="0.3">
      <c r="B32" s="2">
        <v>17</v>
      </c>
      <c r="C32" s="2" t="s">
        <v>36</v>
      </c>
      <c r="D32" s="3"/>
      <c r="E32" s="3"/>
      <c r="F32" s="3"/>
      <c r="G32" s="3"/>
      <c r="H32" s="3"/>
      <c r="I32" s="3"/>
      <c r="J32" s="3"/>
      <c r="K32" s="3"/>
      <c r="M32" s="310"/>
      <c r="N32" s="299" t="s">
        <v>548</v>
      </c>
      <c r="O32" s="300"/>
      <c r="P32" s="300"/>
      <c r="Q32" s="300"/>
      <c r="R32" s="300"/>
      <c r="S32" s="300"/>
      <c r="T32" s="299" t="s">
        <v>556</v>
      </c>
      <c r="U32" s="300"/>
      <c r="V32" s="300"/>
      <c r="W32" s="300"/>
      <c r="X32" s="301"/>
    </row>
    <row r="33" spans="2:24" x14ac:dyDescent="0.25">
      <c r="B33" s="2">
        <v>18</v>
      </c>
      <c r="C33" s="2" t="s">
        <v>37</v>
      </c>
      <c r="D33" s="3"/>
      <c r="E33" s="3"/>
      <c r="F33" s="3"/>
      <c r="G33" s="3"/>
      <c r="H33" s="3"/>
      <c r="I33" s="3"/>
      <c r="J33" s="3"/>
      <c r="K33" s="3"/>
      <c r="M33" s="302"/>
      <c r="N33" s="394" t="s">
        <v>530</v>
      </c>
      <c r="O33" s="389" t="s">
        <v>531</v>
      </c>
      <c r="P33" s="389" t="s">
        <v>532</v>
      </c>
      <c r="Q33" s="379" t="s">
        <v>533</v>
      </c>
      <c r="R33" s="303"/>
      <c r="S33" s="303"/>
      <c r="T33" s="381" t="s">
        <v>540</v>
      </c>
      <c r="U33" s="383" t="s">
        <v>541</v>
      </c>
      <c r="V33" s="385" t="s">
        <v>542</v>
      </c>
      <c r="W33" s="303"/>
      <c r="X33" s="304"/>
    </row>
    <row r="34" spans="2:24" x14ac:dyDescent="0.25">
      <c r="B34" s="6"/>
      <c r="D34" s="7"/>
      <c r="E34" s="7"/>
      <c r="F34" s="7"/>
      <c r="G34" s="7"/>
      <c r="H34" s="7"/>
      <c r="I34" s="7"/>
      <c r="J34" s="7"/>
      <c r="K34" s="8"/>
      <c r="M34" s="302"/>
      <c r="N34" s="395"/>
      <c r="O34" s="396"/>
      <c r="P34" s="396"/>
      <c r="Q34" s="380"/>
      <c r="R34" s="303"/>
      <c r="S34" s="303"/>
      <c r="T34" s="382"/>
      <c r="U34" s="384"/>
      <c r="V34" s="386"/>
      <c r="W34" s="303"/>
      <c r="X34" s="304"/>
    </row>
    <row r="35" spans="2:24" x14ac:dyDescent="0.25">
      <c r="B35" s="415" t="s">
        <v>38</v>
      </c>
      <c r="C35" s="416"/>
      <c r="D35" s="416"/>
      <c r="E35" s="416"/>
      <c r="F35" s="416"/>
      <c r="G35" s="416"/>
      <c r="H35" s="416"/>
      <c r="I35" s="416"/>
      <c r="J35" s="416"/>
      <c r="K35" s="417"/>
      <c r="M35" s="302"/>
      <c r="N35" s="63" t="s">
        <v>534</v>
      </c>
      <c r="O35" s="41" t="s">
        <v>535</v>
      </c>
      <c r="P35" s="41" t="s">
        <v>536</v>
      </c>
      <c r="Q35" s="42" t="s">
        <v>537</v>
      </c>
      <c r="R35" s="303"/>
      <c r="S35" s="303"/>
      <c r="T35" s="44" t="s">
        <v>398</v>
      </c>
      <c r="U35" s="45" t="s">
        <v>543</v>
      </c>
      <c r="V35" s="46" t="s">
        <v>543</v>
      </c>
      <c r="W35" s="303"/>
      <c r="X35" s="304"/>
    </row>
    <row r="36" spans="2:24" ht="28.8" x14ac:dyDescent="0.25">
      <c r="B36" s="418"/>
      <c r="C36" s="1" t="s">
        <v>39</v>
      </c>
      <c r="D36" s="3"/>
      <c r="E36" s="3"/>
      <c r="F36" s="3"/>
      <c r="G36" s="3"/>
      <c r="H36" s="3"/>
      <c r="I36" s="3"/>
      <c r="J36" s="3"/>
      <c r="K36" s="3"/>
      <c r="M36" s="302"/>
      <c r="N36" s="63" t="s">
        <v>538</v>
      </c>
      <c r="O36" s="41"/>
      <c r="P36" s="41" t="s">
        <v>536</v>
      </c>
      <c r="Q36" s="42" t="s">
        <v>537</v>
      </c>
      <c r="R36" s="303"/>
      <c r="S36" s="303"/>
      <c r="T36" s="44" t="s">
        <v>400</v>
      </c>
      <c r="U36" s="45" t="s">
        <v>544</v>
      </c>
      <c r="V36" s="46" t="s">
        <v>545</v>
      </c>
      <c r="W36" s="303"/>
      <c r="X36" s="304"/>
    </row>
    <row r="37" spans="2:24" ht="29.4" thickBot="1" x14ac:dyDescent="0.3">
      <c r="B37" s="419"/>
      <c r="C37" s="2" t="s">
        <v>40</v>
      </c>
      <c r="D37" s="3"/>
      <c r="E37" s="3"/>
      <c r="F37" s="3"/>
      <c r="G37" s="3"/>
      <c r="H37" s="3"/>
      <c r="I37" s="3"/>
      <c r="J37" s="3"/>
      <c r="K37" s="3"/>
      <c r="M37" s="302"/>
      <c r="N37" s="43" t="s">
        <v>539</v>
      </c>
      <c r="O37" s="64"/>
      <c r="P37" s="64" t="s">
        <v>536</v>
      </c>
      <c r="Q37" s="65" t="s">
        <v>537</v>
      </c>
      <c r="R37" s="303"/>
      <c r="S37" s="303"/>
      <c r="T37" s="47" t="s">
        <v>546</v>
      </c>
      <c r="U37" s="48" t="s">
        <v>544</v>
      </c>
      <c r="V37" s="49" t="s">
        <v>547</v>
      </c>
      <c r="W37" s="303"/>
      <c r="X37" s="304"/>
    </row>
    <row r="38" spans="2:24" x14ac:dyDescent="0.25">
      <c r="B38" s="419"/>
      <c r="C38" s="2" t="s">
        <v>41</v>
      </c>
      <c r="D38" s="3"/>
      <c r="E38" s="3"/>
      <c r="F38" s="3"/>
      <c r="G38" s="3"/>
      <c r="H38" s="3"/>
      <c r="I38" s="3"/>
      <c r="J38" s="3"/>
      <c r="K38" s="3"/>
      <c r="M38" s="302"/>
      <c r="N38" s="303"/>
      <c r="O38" s="303"/>
      <c r="P38" s="303"/>
      <c r="Q38" s="303"/>
      <c r="R38" s="303"/>
      <c r="S38" s="303"/>
      <c r="T38" s="303"/>
      <c r="U38" s="303"/>
      <c r="V38" s="303"/>
      <c r="W38" s="303"/>
      <c r="X38" s="304"/>
    </row>
    <row r="39" spans="2:24" ht="16.2" x14ac:dyDescent="0.3">
      <c r="B39" s="419"/>
      <c r="C39" s="2" t="s">
        <v>42</v>
      </c>
      <c r="D39" s="3"/>
      <c r="E39" s="3"/>
      <c r="F39" s="3"/>
      <c r="G39" s="3"/>
      <c r="H39" s="3"/>
      <c r="I39" s="3"/>
      <c r="J39" s="3"/>
      <c r="K39" s="3"/>
      <c r="M39" s="302"/>
      <c r="N39" s="311" t="s">
        <v>549</v>
      </c>
      <c r="O39" s="303"/>
      <c r="P39" s="303"/>
      <c r="Q39" s="303"/>
      <c r="R39" s="303"/>
      <c r="S39" s="303"/>
      <c r="T39" s="303"/>
      <c r="U39" s="303"/>
      <c r="V39" s="303"/>
      <c r="W39" s="303"/>
      <c r="X39" s="304"/>
    </row>
    <row r="40" spans="2:24" ht="16.8" thickBot="1" x14ac:dyDescent="0.35">
      <c r="B40" s="420"/>
      <c r="C40" s="2" t="s">
        <v>43</v>
      </c>
      <c r="D40" s="3"/>
      <c r="E40" s="3"/>
      <c r="F40" s="3"/>
      <c r="G40" s="3"/>
      <c r="H40" s="3"/>
      <c r="I40" s="3"/>
      <c r="J40" s="3"/>
      <c r="K40" s="3"/>
      <c r="M40" s="305"/>
      <c r="N40" s="312" t="s">
        <v>550</v>
      </c>
      <c r="O40" s="306"/>
      <c r="P40" s="306"/>
      <c r="Q40" s="306"/>
      <c r="R40" s="306"/>
      <c r="S40" s="306"/>
      <c r="T40" s="306"/>
      <c r="U40" s="306"/>
      <c r="V40" s="306"/>
      <c r="W40" s="306"/>
      <c r="X40" s="307"/>
    </row>
    <row r="41" spans="2:24" x14ac:dyDescent="0.25">
      <c r="B41" s="9" t="s">
        <v>44</v>
      </c>
      <c r="C41" s="9"/>
      <c r="M41" s="310"/>
      <c r="N41" s="300"/>
      <c r="O41" s="300"/>
      <c r="P41" s="300"/>
      <c r="Q41" s="300"/>
      <c r="R41" s="300"/>
      <c r="S41" s="300"/>
      <c r="T41" s="300"/>
      <c r="U41" s="300"/>
      <c r="V41" s="300"/>
      <c r="W41" s="300"/>
      <c r="X41" s="301"/>
    </row>
    <row r="42" spans="2:24" ht="30.75" customHeight="1" thickBot="1" x14ac:dyDescent="0.3">
      <c r="B42" s="9"/>
      <c r="C42" s="9"/>
      <c r="M42" s="302"/>
      <c r="N42" s="313" t="s">
        <v>555</v>
      </c>
      <c r="O42" s="303"/>
      <c r="P42" s="303"/>
      <c r="Q42" s="303"/>
      <c r="R42" s="303"/>
      <c r="S42" s="303"/>
      <c r="T42" s="303"/>
      <c r="U42" s="303"/>
      <c r="V42" s="303"/>
      <c r="W42" s="303"/>
      <c r="X42" s="304"/>
    </row>
    <row r="43" spans="2:24" ht="34.5" customHeight="1" thickBot="1" x14ac:dyDescent="0.3">
      <c r="M43" s="302"/>
      <c r="N43" s="50" t="s">
        <v>551</v>
      </c>
      <c r="O43" s="51" t="s">
        <v>403</v>
      </c>
      <c r="P43" s="51" t="s">
        <v>405</v>
      </c>
      <c r="Q43" s="303"/>
      <c r="R43" s="303"/>
      <c r="S43" s="303"/>
      <c r="T43" s="303"/>
      <c r="U43" s="303"/>
      <c r="V43" s="303"/>
      <c r="W43" s="303"/>
      <c r="X43" s="304"/>
    </row>
    <row r="44" spans="2:24" ht="43.8" thickBot="1" x14ac:dyDescent="0.3">
      <c r="M44" s="302"/>
      <c r="N44" s="52" t="s">
        <v>552</v>
      </c>
      <c r="O44" s="40" t="s">
        <v>553</v>
      </c>
      <c r="P44" s="40" t="s">
        <v>554</v>
      </c>
      <c r="Q44" s="303"/>
      <c r="R44" s="303"/>
      <c r="S44" s="303"/>
      <c r="T44" s="303"/>
      <c r="U44" s="303"/>
      <c r="V44" s="303"/>
      <c r="W44" s="303"/>
      <c r="X44" s="304"/>
    </row>
    <row r="45" spans="2:24" ht="15.6" x14ac:dyDescent="0.25">
      <c r="M45" s="302"/>
      <c r="N45" s="314" t="s">
        <v>557</v>
      </c>
      <c r="O45" s="303"/>
      <c r="P45" s="303"/>
      <c r="Q45" s="303"/>
      <c r="R45" s="303"/>
      <c r="S45" s="303"/>
      <c r="T45" s="303"/>
      <c r="U45" s="303"/>
      <c r="V45" s="303"/>
      <c r="W45" s="303"/>
      <c r="X45" s="304"/>
    </row>
    <row r="46" spans="2:24" ht="16.8" thickBot="1" x14ac:dyDescent="0.35">
      <c r="M46" s="305"/>
      <c r="N46" s="312" t="s">
        <v>558</v>
      </c>
      <c r="O46" s="306"/>
      <c r="P46" s="306"/>
      <c r="Q46" s="306"/>
      <c r="R46" s="306"/>
      <c r="S46" s="306"/>
      <c r="T46" s="306"/>
      <c r="U46" s="306"/>
      <c r="V46" s="306"/>
      <c r="W46" s="306"/>
      <c r="X46" s="307"/>
    </row>
    <row r="47" spans="2:24" x14ac:dyDescent="0.25">
      <c r="M47" s="310"/>
      <c r="N47" s="300"/>
      <c r="O47" s="300"/>
      <c r="P47" s="300"/>
      <c r="Q47" s="300"/>
      <c r="R47" s="300"/>
      <c r="S47" s="300"/>
      <c r="T47" s="300"/>
      <c r="U47" s="300"/>
      <c r="V47" s="300"/>
      <c r="W47" s="300"/>
      <c r="X47" s="301"/>
    </row>
    <row r="48" spans="2:24" ht="17.25" customHeight="1" x14ac:dyDescent="0.25">
      <c r="M48" s="302"/>
      <c r="N48" s="313" t="s">
        <v>571</v>
      </c>
      <c r="O48" s="303"/>
      <c r="P48" s="303"/>
      <c r="Q48" s="303"/>
      <c r="R48" s="303"/>
      <c r="S48" s="303"/>
      <c r="T48" s="303"/>
      <c r="U48" s="303"/>
      <c r="V48" s="303"/>
      <c r="W48" s="303"/>
      <c r="X48" s="304"/>
    </row>
    <row r="49" spans="13:24" ht="17.25" customHeight="1" x14ac:dyDescent="0.25">
      <c r="M49" s="302"/>
      <c r="N49" s="315" t="s">
        <v>568</v>
      </c>
      <c r="O49" s="303"/>
      <c r="P49" s="303"/>
      <c r="Q49" s="303"/>
      <c r="R49" s="303"/>
      <c r="S49" s="303"/>
      <c r="T49" s="303"/>
      <c r="U49" s="303"/>
      <c r="V49" s="303"/>
      <c r="W49" s="303"/>
      <c r="X49" s="304"/>
    </row>
    <row r="50" spans="13:24" ht="17.25" customHeight="1" x14ac:dyDescent="0.25">
      <c r="M50" s="302"/>
      <c r="N50" s="315" t="s">
        <v>569</v>
      </c>
      <c r="O50" s="303"/>
      <c r="P50" s="303"/>
      <c r="Q50" s="303"/>
      <c r="R50" s="303"/>
      <c r="S50" s="303"/>
      <c r="T50" s="303"/>
      <c r="U50" s="303"/>
      <c r="V50" s="303"/>
      <c r="W50" s="303"/>
      <c r="X50" s="304"/>
    </row>
    <row r="51" spans="13:24" ht="15" thickBot="1" x14ac:dyDescent="0.3">
      <c r="M51" s="302"/>
      <c r="N51" s="315" t="s">
        <v>570</v>
      </c>
      <c r="O51" s="303"/>
      <c r="P51" s="303"/>
      <c r="Q51" s="303"/>
      <c r="R51" s="303"/>
      <c r="S51" s="303"/>
      <c r="T51" s="303"/>
      <c r="U51" s="303"/>
      <c r="V51" s="303"/>
      <c r="W51" s="303"/>
      <c r="X51" s="304"/>
    </row>
    <row r="52" spans="13:24" ht="15" thickBot="1" x14ac:dyDescent="0.3">
      <c r="M52" s="302"/>
      <c r="N52" s="27" t="s">
        <v>512</v>
      </c>
      <c r="O52" s="29" t="s">
        <v>494</v>
      </c>
      <c r="P52" s="29" t="s">
        <v>559</v>
      </c>
      <c r="Q52" s="29" t="s">
        <v>560</v>
      </c>
      <c r="R52" s="29" t="s">
        <v>515</v>
      </c>
      <c r="S52" s="29" t="s">
        <v>516</v>
      </c>
      <c r="T52" s="29" t="s">
        <v>561</v>
      </c>
      <c r="U52" s="29" t="s">
        <v>518</v>
      </c>
      <c r="V52" s="303"/>
      <c r="W52" s="303"/>
      <c r="X52" s="304"/>
    </row>
    <row r="53" spans="13:24" ht="17.25" customHeight="1" thickBot="1" x14ac:dyDescent="0.3">
      <c r="M53" s="302"/>
      <c r="N53" s="28" t="s">
        <v>562</v>
      </c>
      <c r="O53" s="53">
        <v>0.8</v>
      </c>
      <c r="P53" s="53">
        <v>0.75</v>
      </c>
      <c r="Q53" s="53">
        <v>0.7</v>
      </c>
      <c r="R53" s="53">
        <v>0.65</v>
      </c>
      <c r="S53" s="53">
        <v>0.6</v>
      </c>
      <c r="T53" s="53">
        <v>0.55000000000000004</v>
      </c>
      <c r="U53" s="53">
        <v>0.5</v>
      </c>
      <c r="V53" s="303"/>
      <c r="W53" s="303"/>
      <c r="X53" s="304"/>
    </row>
    <row r="54" spans="13:24" x14ac:dyDescent="0.25">
      <c r="M54" s="302"/>
      <c r="N54" s="56"/>
      <c r="O54" s="57"/>
      <c r="P54" s="57"/>
      <c r="Q54" s="57"/>
      <c r="R54" s="57"/>
      <c r="S54" s="57"/>
      <c r="T54" s="57"/>
      <c r="U54" s="57"/>
      <c r="V54" s="303"/>
      <c r="W54" s="303"/>
      <c r="X54" s="304"/>
    </row>
    <row r="55" spans="13:24" ht="18" thickBot="1" x14ac:dyDescent="0.3">
      <c r="M55" s="302"/>
      <c r="N55" s="313" t="s">
        <v>572</v>
      </c>
      <c r="O55" s="57"/>
      <c r="P55" s="57"/>
      <c r="Q55" s="57"/>
      <c r="R55" s="57"/>
      <c r="S55" s="57"/>
      <c r="T55" s="57"/>
      <c r="U55" s="57"/>
      <c r="V55" s="303"/>
      <c r="W55" s="303"/>
      <c r="X55" s="304"/>
    </row>
    <row r="56" spans="13:24" ht="20.25" customHeight="1" x14ac:dyDescent="0.25">
      <c r="M56" s="302"/>
      <c r="N56" s="54" t="s">
        <v>63</v>
      </c>
      <c r="O56" s="389" t="s">
        <v>495</v>
      </c>
      <c r="P56" s="389"/>
      <c r="Q56" s="389" t="s">
        <v>565</v>
      </c>
      <c r="R56" s="389"/>
      <c r="S56" s="389" t="s">
        <v>485</v>
      </c>
      <c r="T56" s="389"/>
      <c r="U56" s="379"/>
      <c r="V56" s="303"/>
      <c r="W56" s="303"/>
      <c r="X56" s="304"/>
    </row>
    <row r="57" spans="13:24" ht="37.5" customHeight="1" thickBot="1" x14ac:dyDescent="0.3">
      <c r="M57" s="302"/>
      <c r="N57" s="55" t="s">
        <v>563</v>
      </c>
      <c r="O57" s="387" t="s">
        <v>564</v>
      </c>
      <c r="P57" s="387"/>
      <c r="Q57" s="387" t="s">
        <v>566</v>
      </c>
      <c r="R57" s="387"/>
      <c r="S57" s="387" t="s">
        <v>567</v>
      </c>
      <c r="T57" s="387"/>
      <c r="U57" s="388"/>
      <c r="V57" s="303"/>
      <c r="W57" s="303"/>
      <c r="X57" s="304"/>
    </row>
    <row r="58" spans="13:24" ht="14.25" customHeight="1" thickBot="1" x14ac:dyDescent="0.3">
      <c r="M58" s="305"/>
      <c r="N58" s="306"/>
      <c r="O58" s="306"/>
      <c r="P58" s="306"/>
      <c r="Q58" s="306"/>
      <c r="R58" s="306"/>
      <c r="S58" s="306"/>
      <c r="T58" s="306"/>
      <c r="U58" s="306"/>
      <c r="V58" s="306"/>
      <c r="W58" s="306"/>
      <c r="X58" s="307"/>
    </row>
    <row r="59" spans="13:24" ht="16.5" customHeight="1" x14ac:dyDescent="0.25"/>
    <row r="60" spans="13:24" ht="16.5" customHeight="1" x14ac:dyDescent="0.25"/>
  </sheetData>
  <mergeCells count="45">
    <mergeCell ref="D1:F1"/>
    <mergeCell ref="B35:K35"/>
    <mergeCell ref="B36:B40"/>
    <mergeCell ref="B2:K2"/>
    <mergeCell ref="B4:K4"/>
    <mergeCell ref="B5:B12"/>
    <mergeCell ref="B13:K13"/>
    <mergeCell ref="B14:K14"/>
    <mergeCell ref="B26:C26"/>
    <mergeCell ref="O16:O17"/>
    <mergeCell ref="P16:P17"/>
    <mergeCell ref="N7:N8"/>
    <mergeCell ref="O7:O8"/>
    <mergeCell ref="P7:P8"/>
    <mergeCell ref="W8:W9"/>
    <mergeCell ref="N22:N23"/>
    <mergeCell ref="O22:O23"/>
    <mergeCell ref="P22:P23"/>
    <mergeCell ref="Q22:Q23"/>
    <mergeCell ref="R22:R23"/>
    <mergeCell ref="S22:S23"/>
    <mergeCell ref="R8:R9"/>
    <mergeCell ref="S8:S9"/>
    <mergeCell ref="T8:T9"/>
    <mergeCell ref="U8:U9"/>
    <mergeCell ref="V8:V9"/>
    <mergeCell ref="N14:N15"/>
    <mergeCell ref="O14:O15"/>
    <mergeCell ref="P14:P15"/>
    <mergeCell ref="N16:N17"/>
    <mergeCell ref="N27:N28"/>
    <mergeCell ref="O27:O28"/>
    <mergeCell ref="N33:N34"/>
    <mergeCell ref="O33:O34"/>
    <mergeCell ref="P33:P34"/>
    <mergeCell ref="Q33:Q34"/>
    <mergeCell ref="T33:T34"/>
    <mergeCell ref="U33:U34"/>
    <mergeCell ref="V33:V34"/>
    <mergeCell ref="O57:P57"/>
    <mergeCell ref="Q57:R57"/>
    <mergeCell ref="S57:U57"/>
    <mergeCell ref="S56:U56"/>
    <mergeCell ref="Q56:R56"/>
    <mergeCell ref="O56:P56"/>
  </mergeCells>
  <phoneticPr fontId="1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tint="0.39997558519241921"/>
  </sheetPr>
  <dimension ref="B1:T43"/>
  <sheetViews>
    <sheetView zoomScale="80" zoomScaleNormal="80" workbookViewId="0">
      <selection activeCell="B3" sqref="B3:T3"/>
    </sheetView>
  </sheetViews>
  <sheetFormatPr defaultColWidth="8.77734375" defaultRowHeight="14.4" x14ac:dyDescent="0.25"/>
  <cols>
    <col min="1" max="1" customWidth="true" style="66" width="3.21875" collapsed="true"/>
    <col min="2" max="2" customWidth="true" style="66" width="4.6640625" collapsed="true"/>
    <col min="3" max="3" customWidth="true" style="66" width="13.44140625" collapsed="true"/>
    <col min="4" max="4" customWidth="true" style="66" width="9.21875" collapsed="true"/>
    <col min="5" max="5" customWidth="true" style="66" width="4.77734375" collapsed="true"/>
    <col min="6" max="6" customWidth="true" style="66" width="6.44140625" collapsed="true"/>
    <col min="7" max="7" customWidth="true" style="66" width="4.6640625" collapsed="true"/>
    <col min="8" max="8" customWidth="true" style="66" width="13.44140625" collapsed="true"/>
    <col min="9" max="9" customWidth="true" style="66" width="9.21875" collapsed="true"/>
    <col min="10" max="10" customWidth="true" style="66" width="4.77734375" collapsed="true"/>
    <col min="11" max="11" customWidth="true" style="66" width="5.77734375" collapsed="true"/>
    <col min="12" max="12" customWidth="true" style="66" width="4.6640625" collapsed="true"/>
    <col min="13" max="13" customWidth="true" style="66" width="13.33203125" collapsed="true"/>
    <col min="14" max="14" bestFit="true" customWidth="true" style="66" width="10.88671875" collapsed="true"/>
    <col min="15" max="15" customWidth="true" style="66" width="4.6640625" collapsed="true"/>
    <col min="16" max="16" customWidth="true" style="66" width="6.109375" collapsed="true"/>
    <col min="17" max="17" customWidth="true" style="66" width="4.77734375" collapsed="true"/>
    <col min="18" max="18" customWidth="true" style="66" width="13.44140625" collapsed="true"/>
    <col min="19" max="19" bestFit="true" customWidth="true" style="66" width="10.88671875" collapsed="true"/>
    <col min="20" max="20" customWidth="true" style="66" width="4.6640625" collapsed="true"/>
    <col min="21" max="21" customWidth="true" style="66" width="6.109375" collapsed="true"/>
    <col min="22" max="16384" style="66" width="8.77734375" collapsed="true"/>
  </cols>
  <sheetData>
    <row r="1" spans="2:20" ht="23.4" x14ac:dyDescent="0.5">
      <c r="D1" s="67"/>
      <c r="J1" s="67" t="s">
        <v>350</v>
      </c>
      <c r="K1" s="68" t="str">
        <f>T0登记表!K1</f>
        <v>abc</v>
      </c>
    </row>
    <row r="2" spans="2:20" ht="27.75" customHeight="1" x14ac:dyDescent="0.25">
      <c r="B2" s="547" t="s">
        <v>320</v>
      </c>
      <c r="C2" s="548"/>
      <c r="D2" s="548"/>
      <c r="E2" s="548"/>
      <c r="F2" s="548"/>
      <c r="G2" s="548"/>
      <c r="H2" s="548"/>
      <c r="I2" s="548"/>
      <c r="J2" s="548"/>
      <c r="K2" s="548"/>
      <c r="L2" s="548"/>
      <c r="M2" s="548"/>
      <c r="N2" s="548"/>
      <c r="O2" s="548"/>
      <c r="P2" s="548"/>
      <c r="Q2" s="548"/>
      <c r="R2" s="548"/>
      <c r="S2" s="548"/>
      <c r="T2" s="548"/>
    </row>
    <row r="3" spans="2:20" ht="17.399999999999999" x14ac:dyDescent="0.25">
      <c r="B3" s="549" t="s">
        <v>321</v>
      </c>
      <c r="C3" s="549"/>
      <c r="D3" s="549"/>
      <c r="E3" s="549"/>
      <c r="F3" s="549"/>
      <c r="G3" s="549"/>
      <c r="H3" s="549"/>
      <c r="I3" s="549"/>
      <c r="J3" s="549"/>
      <c r="K3" s="549"/>
      <c r="L3" s="549"/>
      <c r="M3" s="549"/>
      <c r="N3" s="549"/>
      <c r="O3" s="549"/>
      <c r="P3" s="549"/>
      <c r="Q3" s="549"/>
      <c r="R3" s="549"/>
      <c r="S3" s="549"/>
      <c r="T3" s="549"/>
    </row>
    <row r="4" spans="2:20" ht="17.399999999999999" x14ac:dyDescent="0.25">
      <c r="B4" s="549" t="s">
        <v>322</v>
      </c>
      <c r="C4" s="549"/>
      <c r="D4" s="549"/>
      <c r="E4" s="549"/>
      <c r="F4" s="549"/>
      <c r="G4" s="549"/>
      <c r="H4" s="549"/>
      <c r="I4" s="549"/>
      <c r="J4" s="549"/>
      <c r="K4" s="549"/>
      <c r="L4" s="549"/>
      <c r="M4" s="549"/>
      <c r="N4" s="549"/>
      <c r="O4" s="549"/>
      <c r="P4" s="549"/>
      <c r="Q4" s="549"/>
      <c r="R4" s="549"/>
      <c r="S4" s="549"/>
      <c r="T4" s="549"/>
    </row>
    <row r="5" spans="2:20" ht="2.25" customHeight="1" thickBot="1" x14ac:dyDescent="0.3">
      <c r="B5" s="69"/>
      <c r="C5" s="69"/>
      <c r="D5" s="69"/>
      <c r="E5" s="69"/>
      <c r="F5" s="70"/>
      <c r="G5" s="69"/>
      <c r="H5" s="69"/>
      <c r="I5" s="69"/>
      <c r="J5" s="69"/>
    </row>
    <row r="6" spans="2:20" ht="17.399999999999999" x14ac:dyDescent="0.25">
      <c r="B6" s="71"/>
      <c r="C6" s="72"/>
      <c r="D6" s="72"/>
      <c r="E6" s="73"/>
      <c r="F6" s="70"/>
      <c r="G6" s="71"/>
      <c r="H6" s="72"/>
      <c r="I6" s="72"/>
      <c r="J6" s="73"/>
      <c r="L6" s="71"/>
      <c r="M6" s="72"/>
      <c r="N6" s="72"/>
      <c r="O6" s="73"/>
      <c r="P6" s="70"/>
      <c r="Q6" s="71"/>
      <c r="R6" s="72"/>
      <c r="S6" s="72"/>
      <c r="T6" s="73"/>
    </row>
    <row r="7" spans="2:20" ht="17.399999999999999" x14ac:dyDescent="0.25">
      <c r="B7" s="74"/>
      <c r="C7" s="75" t="s">
        <v>85</v>
      </c>
      <c r="D7" s="76"/>
      <c r="E7" s="77"/>
      <c r="F7" s="70"/>
      <c r="G7" s="74"/>
      <c r="H7" s="75" t="s">
        <v>101</v>
      </c>
      <c r="I7" s="76"/>
      <c r="J7" s="77"/>
      <c r="L7" s="74"/>
      <c r="M7" s="75" t="s">
        <v>103</v>
      </c>
      <c r="N7" s="76"/>
      <c r="O7" s="77"/>
      <c r="P7" s="70"/>
      <c r="Q7" s="74"/>
      <c r="R7" s="75" t="s">
        <v>108</v>
      </c>
      <c r="S7" s="76"/>
      <c r="T7" s="77"/>
    </row>
    <row r="8" spans="2:20" ht="17.399999999999999" x14ac:dyDescent="0.25">
      <c r="B8" s="74"/>
      <c r="C8" s="75" t="s">
        <v>323</v>
      </c>
      <c r="D8" s="76"/>
      <c r="E8" s="77"/>
      <c r="F8" s="70"/>
      <c r="G8" s="74"/>
      <c r="H8" s="75" t="s">
        <v>323</v>
      </c>
      <c r="I8" s="76"/>
      <c r="J8" s="77"/>
      <c r="L8" s="74"/>
      <c r="M8" s="75" t="s">
        <v>323</v>
      </c>
      <c r="N8" s="76"/>
      <c r="O8" s="77"/>
      <c r="P8" s="70"/>
      <c r="Q8" s="74"/>
      <c r="R8" s="75" t="s">
        <v>323</v>
      </c>
      <c r="S8" s="76"/>
      <c r="T8" s="77"/>
    </row>
    <row r="9" spans="2:20" ht="17.399999999999999" x14ac:dyDescent="0.25">
      <c r="B9" s="74"/>
      <c r="C9" s="78" t="s">
        <v>324</v>
      </c>
      <c r="D9" s="79">
        <f>'T6-T8 XX风险计量表'!M16</f>
        <v>8150.2199999999993</v>
      </c>
      <c r="E9" s="77"/>
      <c r="F9" s="70"/>
      <c r="G9" s="74"/>
      <c r="H9" s="78" t="s">
        <v>324</v>
      </c>
      <c r="I9" s="79">
        <f>'T6-T8 XX风险计量表'!M25</f>
        <v>7531.0199999999995</v>
      </c>
      <c r="J9" s="77"/>
      <c r="L9" s="74"/>
      <c r="M9" s="78" t="s">
        <v>324</v>
      </c>
      <c r="N9" s="79">
        <f>'T6-T8 XX风险计量表'!M34</f>
        <v>10171.02</v>
      </c>
      <c r="O9" s="77"/>
      <c r="P9" s="70"/>
      <c r="Q9" s="74"/>
      <c r="R9" s="78" t="s">
        <v>460</v>
      </c>
      <c r="S9" s="79">
        <f>'T6-T8 XX风险计量表'!M43</f>
        <v>10171.02</v>
      </c>
      <c r="T9" s="77"/>
    </row>
    <row r="10" spans="2:20" ht="17.399999999999999" x14ac:dyDescent="0.25">
      <c r="B10" s="74"/>
      <c r="C10" s="78" t="s">
        <v>325</v>
      </c>
      <c r="D10" s="79">
        <f>'T6-T8 XX风险计量表'!D16</f>
        <v>1616.3999999999999</v>
      </c>
      <c r="E10" s="77"/>
      <c r="F10" s="70"/>
      <c r="G10" s="74"/>
      <c r="H10" s="78" t="s">
        <v>325</v>
      </c>
      <c r="I10" s="79">
        <f>'T6-T8 XX风险计量表'!D25</f>
        <v>0</v>
      </c>
      <c r="J10" s="77"/>
      <c r="L10" s="74"/>
      <c r="M10" s="78" t="s">
        <v>325</v>
      </c>
      <c r="N10" s="79">
        <f>'T6-T8 XX风险计量表'!D34</f>
        <v>0</v>
      </c>
      <c r="O10" s="77"/>
      <c r="P10" s="70"/>
      <c r="Q10" s="74"/>
      <c r="R10" s="78" t="s">
        <v>461</v>
      </c>
      <c r="S10" s="79">
        <f>'T6-T8 XX风险计量表'!D43</f>
        <v>0</v>
      </c>
      <c r="T10" s="77"/>
    </row>
    <row r="11" spans="2:20" ht="17.399999999999999" x14ac:dyDescent="0.25">
      <c r="B11" s="74"/>
      <c r="C11" s="78" t="s">
        <v>326</v>
      </c>
      <c r="D11" s="79">
        <f>'T6-T8 XX风险计量表'!W15</f>
        <v>4549.8</v>
      </c>
      <c r="E11" s="77"/>
      <c r="F11" s="70"/>
      <c r="G11" s="74"/>
      <c r="H11" s="78" t="s">
        <v>326</v>
      </c>
      <c r="I11" s="79">
        <f>'T6-T8 XX风险计量表'!W25</f>
        <v>3000</v>
      </c>
      <c r="J11" s="77"/>
      <c r="L11" s="74"/>
      <c r="M11" s="78" t="s">
        <v>326</v>
      </c>
      <c r="N11" s="79">
        <f>'T6-T8 XX风险计量表'!W35</f>
        <v>2400</v>
      </c>
      <c r="O11" s="77"/>
      <c r="P11" s="70"/>
      <c r="Q11" s="74"/>
      <c r="R11" s="78" t="s">
        <v>462</v>
      </c>
      <c r="S11" s="79">
        <f>'T6-T8 XX风险计量表'!W45</f>
        <v>1800</v>
      </c>
      <c r="T11" s="77"/>
    </row>
    <row r="12" spans="2:20" ht="17.399999999999999" x14ac:dyDescent="0.25">
      <c r="B12" s="74"/>
      <c r="C12" s="550"/>
      <c r="D12" s="550"/>
      <c r="E12" s="77"/>
      <c r="F12" s="70"/>
      <c r="G12" s="74"/>
      <c r="H12" s="550"/>
      <c r="I12" s="550"/>
      <c r="J12" s="77"/>
      <c r="L12" s="74"/>
      <c r="M12" s="550"/>
      <c r="N12" s="550"/>
      <c r="O12" s="77"/>
      <c r="P12" s="70"/>
      <c r="Q12" s="74"/>
      <c r="R12" s="550"/>
      <c r="S12" s="550"/>
      <c r="T12" s="77"/>
    </row>
    <row r="13" spans="2:20" ht="17.399999999999999" x14ac:dyDescent="0.25">
      <c r="B13" s="74"/>
      <c r="C13" s="75" t="s">
        <v>327</v>
      </c>
      <c r="D13" s="76"/>
      <c r="E13" s="77"/>
      <c r="F13" s="70"/>
      <c r="G13" s="74"/>
      <c r="H13" s="75" t="s">
        <v>328</v>
      </c>
      <c r="I13" s="76"/>
      <c r="J13" s="77"/>
      <c r="L13" s="74"/>
      <c r="M13" s="75" t="s">
        <v>328</v>
      </c>
      <c r="N13" s="76"/>
      <c r="O13" s="77"/>
      <c r="P13" s="70"/>
      <c r="Q13" s="74"/>
      <c r="R13" s="75" t="s">
        <v>339</v>
      </c>
      <c r="S13" s="76"/>
      <c r="T13" s="77"/>
    </row>
    <row r="14" spans="2:20" ht="17.399999999999999" x14ac:dyDescent="0.25">
      <c r="B14" s="74"/>
      <c r="C14" s="78" t="s">
        <v>329</v>
      </c>
      <c r="D14" s="79">
        <f>'T3-T4'!Z5</f>
        <v>0</v>
      </c>
      <c r="E14" s="77"/>
      <c r="F14" s="70"/>
      <c r="G14" s="74"/>
      <c r="H14" s="78" t="s">
        <v>330</v>
      </c>
      <c r="I14" s="79">
        <f>SUM('T3-T4'!Z5:Z6)</f>
        <v>0</v>
      </c>
      <c r="J14" s="77"/>
      <c r="L14" s="74"/>
      <c r="M14" s="78" t="s">
        <v>340</v>
      </c>
      <c r="N14" s="79">
        <f>SUM('T3-T4'!Z6:Z7)</f>
        <v>0</v>
      </c>
      <c r="O14" s="77"/>
      <c r="P14" s="70"/>
      <c r="Q14" s="74"/>
      <c r="R14" s="78" t="s">
        <v>463</v>
      </c>
      <c r="S14" s="79">
        <f>SUM('T3-T4'!Z7:Z8)</f>
        <v>0</v>
      </c>
      <c r="T14" s="77"/>
    </row>
    <row r="15" spans="2:20" ht="17.399999999999999" x14ac:dyDescent="0.25">
      <c r="B15" s="74"/>
      <c r="C15" s="76"/>
      <c r="D15" s="76"/>
      <c r="E15" s="77"/>
      <c r="F15" s="70"/>
      <c r="G15" s="74"/>
      <c r="H15" s="78"/>
      <c r="I15" s="76"/>
      <c r="J15" s="77"/>
      <c r="L15" s="74"/>
      <c r="M15" s="78"/>
      <c r="N15" s="76"/>
      <c r="O15" s="77"/>
      <c r="P15" s="70"/>
      <c r="Q15" s="74"/>
      <c r="R15" s="78"/>
      <c r="S15" s="76"/>
      <c r="T15" s="77"/>
    </row>
    <row r="16" spans="2:20" s="85" customFormat="1" ht="18" thickBot="1" x14ac:dyDescent="0.3">
      <c r="B16" s="80"/>
      <c r="C16" s="81" t="s">
        <v>331</v>
      </c>
      <c r="D16" s="82">
        <f>D14+D11+D10+D9</f>
        <v>14316.419999999998</v>
      </c>
      <c r="E16" s="83"/>
      <c r="F16" s="84"/>
      <c r="G16" s="80"/>
      <c r="H16" s="81" t="s">
        <v>331</v>
      </c>
      <c r="I16" s="82">
        <f>I14+I11+I10+I9</f>
        <v>10531.02</v>
      </c>
      <c r="J16" s="83"/>
      <c r="L16" s="80"/>
      <c r="M16" s="81" t="s">
        <v>331</v>
      </c>
      <c r="N16" s="82">
        <f>N14+N11+N10+N9</f>
        <v>12571.02</v>
      </c>
      <c r="O16" s="83"/>
      <c r="P16" s="84"/>
      <c r="Q16" s="80"/>
      <c r="R16" s="81" t="s">
        <v>331</v>
      </c>
      <c r="S16" s="82">
        <f>S14+S11+S10+S9</f>
        <v>11971.02</v>
      </c>
      <c r="T16" s="83"/>
    </row>
    <row r="17" spans="2:20" ht="18" thickTop="1" x14ac:dyDescent="0.25">
      <c r="B17" s="74"/>
      <c r="C17" s="76"/>
      <c r="D17" s="76"/>
      <c r="E17" s="77"/>
      <c r="F17" s="70"/>
      <c r="G17" s="74"/>
      <c r="H17" s="76"/>
      <c r="I17" s="76"/>
      <c r="J17" s="77"/>
      <c r="L17" s="74"/>
      <c r="M17" s="76"/>
      <c r="N17" s="76"/>
      <c r="O17" s="77"/>
      <c r="P17" s="70"/>
      <c r="Q17" s="74"/>
      <c r="R17" s="78"/>
      <c r="S17" s="76"/>
      <c r="T17" s="77"/>
    </row>
    <row r="18" spans="2:20" ht="17.399999999999999" x14ac:dyDescent="0.25">
      <c r="B18" s="74"/>
      <c r="C18" s="75" t="s">
        <v>332</v>
      </c>
      <c r="D18" s="76"/>
      <c r="E18" s="77"/>
      <c r="F18" s="70"/>
      <c r="G18" s="74"/>
      <c r="H18" s="75" t="s">
        <v>333</v>
      </c>
      <c r="I18" s="76"/>
      <c r="J18" s="77"/>
      <c r="L18" s="74"/>
      <c r="M18" s="75" t="s">
        <v>333</v>
      </c>
      <c r="N18" s="76"/>
      <c r="O18" s="77"/>
      <c r="P18" s="70"/>
      <c r="Q18" s="74"/>
      <c r="R18" s="75" t="s">
        <v>333</v>
      </c>
      <c r="S18" s="76"/>
      <c r="T18" s="77"/>
    </row>
    <row r="19" spans="2:20" ht="17.399999999999999" x14ac:dyDescent="0.25">
      <c r="B19" s="74"/>
      <c r="C19" s="78" t="s">
        <v>334</v>
      </c>
      <c r="D19" s="86">
        <f>D16/10</f>
        <v>1431.6419999999998</v>
      </c>
      <c r="E19" s="77"/>
      <c r="F19" s="70"/>
      <c r="G19" s="74"/>
      <c r="H19" s="78" t="s">
        <v>334</v>
      </c>
      <c r="I19" s="86">
        <f>I16/10</f>
        <v>1053.1020000000001</v>
      </c>
      <c r="J19" s="77"/>
      <c r="L19" s="74"/>
      <c r="M19" s="78" t="s">
        <v>454</v>
      </c>
      <c r="N19" s="86">
        <f>N16/10</f>
        <v>1257.1020000000001</v>
      </c>
      <c r="O19" s="77"/>
      <c r="P19" s="70"/>
      <c r="Q19" s="74"/>
      <c r="R19" s="78" t="s">
        <v>454</v>
      </c>
      <c r="S19" s="86">
        <f>S16/10</f>
        <v>1197.1020000000001</v>
      </c>
      <c r="T19" s="77"/>
    </row>
    <row r="20" spans="2:20" ht="17.399999999999999" x14ac:dyDescent="0.25">
      <c r="B20" s="74"/>
      <c r="C20" s="78" t="s">
        <v>335</v>
      </c>
      <c r="D20" s="91">
        <f>IF(D16=0,"",T11资产负债表!G30/D16)</f>
        <v>2.3671085369107647</v>
      </c>
      <c r="E20" s="77"/>
      <c r="F20" s="70"/>
      <c r="G20" s="74"/>
      <c r="H20" s="78" t="s">
        <v>336</v>
      </c>
      <c r="I20" s="91">
        <f>IF(I16=0,"",T11资产负债表!N14/I16)</f>
        <v>1.965827621635891</v>
      </c>
      <c r="J20" s="77"/>
      <c r="L20" s="74"/>
      <c r="M20" s="78" t="s">
        <v>455</v>
      </c>
      <c r="N20" s="91">
        <f>IF(N16=0,"",T11资产负债表!G30/N16)</f>
        <v>2.695765339646266</v>
      </c>
      <c r="O20" s="77"/>
      <c r="P20" s="70"/>
      <c r="Q20" s="74"/>
      <c r="R20" s="78" t="s">
        <v>455</v>
      </c>
      <c r="S20" s="91">
        <f>IF(S16=0,"",T11资产负债表!N30/S16)</f>
        <v>3.9673745428543268</v>
      </c>
      <c r="T20" s="77"/>
    </row>
    <row r="21" spans="2:20" ht="17.399999999999999" x14ac:dyDescent="0.25">
      <c r="B21" s="74"/>
      <c r="C21" s="78" t="s">
        <v>337</v>
      </c>
      <c r="D21" s="90" t="str">
        <f>IF(T11资产负债表!G5=0,"",T11资产负债表!D5/T11资产负债表!G5)</f>
        <v/>
      </c>
      <c r="E21" s="77"/>
      <c r="F21" s="70"/>
      <c r="G21" s="74"/>
      <c r="H21" s="78" t="s">
        <v>453</v>
      </c>
      <c r="I21" s="90" t="str">
        <f>IF(T11资产负债表!N5=0,"",T11资产负债表!K5/T11资产负债表!N5)</f>
        <v/>
      </c>
      <c r="J21" s="77"/>
      <c r="L21" s="74"/>
      <c r="M21" s="78" t="s">
        <v>456</v>
      </c>
      <c r="N21" s="90" t="str">
        <f>IF(T11资产负债表!G21=0,"",T11资产负债表!D21/T11资产负债表!G21)</f>
        <v/>
      </c>
      <c r="O21" s="77"/>
      <c r="P21" s="70"/>
      <c r="Q21" s="74"/>
      <c r="R21" s="78" t="s">
        <v>453</v>
      </c>
      <c r="S21" s="90" t="str">
        <f>IF(T11资产负债表!N21=0,"",T11资产负债表!K21/T11资产负债表!N21)</f>
        <v/>
      </c>
      <c r="T21" s="77"/>
    </row>
    <row r="22" spans="2:20" ht="17.399999999999999" x14ac:dyDescent="0.25">
      <c r="B22" s="74"/>
      <c r="C22" s="78" t="s">
        <v>338</v>
      </c>
      <c r="D22" s="86" t="str">
        <f>IF(T10损益表!$C$20=T0登记表!$D$14,T0登记表!$T$67,T0登记表!$D$14/T10损益表!$C$20)</f>
        <v>∞</v>
      </c>
      <c r="E22" s="77"/>
      <c r="F22" s="70"/>
      <c r="G22" s="74"/>
      <c r="H22" s="78" t="s">
        <v>338</v>
      </c>
      <c r="I22" s="86" t="str">
        <f>IF(T10损益表!$D$20=T0登记表!$E$14,T0登记表!$T$67,T0登记表!$E$14/T10损益表!$D$20)</f>
        <v>∞</v>
      </c>
      <c r="J22" s="77"/>
      <c r="L22" s="74"/>
      <c r="M22" s="78" t="s">
        <v>457</v>
      </c>
      <c r="N22" s="86" t="str">
        <f>IF(T10损益表!$E$20=T0登记表!$F$14,T0登记表!$T$67,T0登记表!$F$14/T10损益表!$E$20)</f>
        <v>∞</v>
      </c>
      <c r="O22" s="77"/>
      <c r="P22" s="70"/>
      <c r="Q22" s="74"/>
      <c r="R22" s="78" t="s">
        <v>459</v>
      </c>
      <c r="S22" s="86" t="str">
        <f>IF(T10损益表!$F$20=T0登记表!$G$14,T0登记表!$T$67,T0登记表!$G$14/T10损益表!$F$20)</f>
        <v>∞</v>
      </c>
      <c r="T22" s="77"/>
    </row>
    <row r="23" spans="2:20" ht="18" thickBot="1" x14ac:dyDescent="0.3">
      <c r="B23" s="87"/>
      <c r="C23" s="88"/>
      <c r="D23" s="88"/>
      <c r="E23" s="89"/>
      <c r="F23" s="70"/>
      <c r="G23" s="87"/>
      <c r="H23" s="88"/>
      <c r="I23" s="88"/>
      <c r="J23" s="89"/>
      <c r="L23" s="87"/>
      <c r="M23" s="88"/>
      <c r="N23" s="88"/>
      <c r="O23" s="89"/>
      <c r="P23" s="70"/>
      <c r="Q23" s="87"/>
      <c r="R23" s="88"/>
      <c r="S23" s="88"/>
      <c r="T23" s="89"/>
    </row>
    <row r="24" spans="2:20" ht="18" thickBot="1" x14ac:dyDescent="0.3">
      <c r="B24" s="76"/>
      <c r="C24" s="76"/>
      <c r="D24" s="76"/>
      <c r="E24" s="76"/>
      <c r="F24" s="70"/>
      <c r="G24" s="76"/>
      <c r="H24" s="76"/>
      <c r="I24" s="76"/>
      <c r="J24" s="76"/>
      <c r="L24" s="76"/>
      <c r="M24" s="76"/>
      <c r="N24" s="76"/>
      <c r="O24" s="76"/>
      <c r="P24" s="70"/>
      <c r="Q24" s="76"/>
      <c r="R24" s="76"/>
      <c r="S24" s="76"/>
      <c r="T24" s="76"/>
    </row>
    <row r="25" spans="2:20" ht="16.5" customHeight="1" x14ac:dyDescent="0.25">
      <c r="B25" s="71"/>
      <c r="C25" s="72"/>
      <c r="D25" s="72"/>
      <c r="E25" s="73"/>
      <c r="F25" s="70"/>
      <c r="G25" s="71"/>
      <c r="H25" s="72"/>
      <c r="I25" s="72"/>
      <c r="J25" s="73"/>
      <c r="K25" s="69"/>
      <c r="L25" s="71"/>
      <c r="M25" s="72"/>
      <c r="N25" s="72"/>
      <c r="O25" s="73"/>
      <c r="P25" s="70"/>
      <c r="Q25" s="71"/>
      <c r="R25" s="72"/>
      <c r="S25" s="72"/>
      <c r="T25" s="73"/>
    </row>
    <row r="26" spans="2:20" ht="16.5" customHeight="1" x14ac:dyDescent="0.25">
      <c r="B26" s="74"/>
      <c r="C26" s="75" t="s">
        <v>113</v>
      </c>
      <c r="D26" s="76"/>
      <c r="E26" s="77"/>
      <c r="F26" s="70"/>
      <c r="G26" s="74"/>
      <c r="H26" s="75" t="s">
        <v>341</v>
      </c>
      <c r="I26" s="76"/>
      <c r="J26" s="77"/>
      <c r="L26" s="74"/>
      <c r="M26" s="75" t="s">
        <v>348</v>
      </c>
      <c r="N26" s="76"/>
      <c r="O26" s="77"/>
      <c r="P26" s="70"/>
      <c r="Q26" s="74"/>
      <c r="R26" s="75" t="s">
        <v>125</v>
      </c>
      <c r="S26" s="76"/>
      <c r="T26" s="77"/>
    </row>
    <row r="27" spans="2:20" ht="17.399999999999999" x14ac:dyDescent="0.25">
      <c r="B27" s="74"/>
      <c r="C27" s="75" t="s">
        <v>342</v>
      </c>
      <c r="D27" s="76"/>
      <c r="E27" s="77"/>
      <c r="F27" s="70"/>
      <c r="G27" s="74"/>
      <c r="H27" s="75" t="s">
        <v>343</v>
      </c>
      <c r="I27" s="76"/>
      <c r="J27" s="77"/>
      <c r="L27" s="74"/>
      <c r="M27" s="75" t="s">
        <v>323</v>
      </c>
      <c r="N27" s="76"/>
      <c r="O27" s="77"/>
      <c r="P27" s="70"/>
      <c r="Q27" s="74"/>
      <c r="R27" s="75" t="s">
        <v>323</v>
      </c>
      <c r="S27" s="76"/>
      <c r="T27" s="77"/>
    </row>
    <row r="28" spans="2:20" ht="17.399999999999999" x14ac:dyDescent="0.25">
      <c r="B28" s="74"/>
      <c r="C28" s="78" t="s">
        <v>464</v>
      </c>
      <c r="D28" s="79">
        <f>'T6-T8 XX风险计量表'!M52</f>
        <v>7531.0199999999995</v>
      </c>
      <c r="E28" s="77"/>
      <c r="F28" s="70"/>
      <c r="G28" s="74"/>
      <c r="H28" s="78" t="s">
        <v>464</v>
      </c>
      <c r="I28" s="79">
        <f>'T6-T8 XX风险计量表'!M61</f>
        <v>0</v>
      </c>
      <c r="J28" s="77"/>
      <c r="L28" s="74"/>
      <c r="M28" s="78" t="s">
        <v>464</v>
      </c>
      <c r="N28" s="79">
        <f>'T6-T8 XX风险计量表'!M70</f>
        <v>0</v>
      </c>
      <c r="O28" s="77"/>
      <c r="P28" s="70"/>
      <c r="Q28" s="74"/>
      <c r="R28" s="78" t="s">
        <v>344</v>
      </c>
      <c r="S28" s="79">
        <f>'T6-T8 XX风险计量表'!M79</f>
        <v>0</v>
      </c>
      <c r="T28" s="77"/>
    </row>
    <row r="29" spans="2:20" ht="17.399999999999999" x14ac:dyDescent="0.25">
      <c r="B29" s="74"/>
      <c r="C29" s="78" t="s">
        <v>465</v>
      </c>
      <c r="D29" s="79">
        <f>'T6-T8 XX风险计量表'!D52</f>
        <v>0</v>
      </c>
      <c r="E29" s="77"/>
      <c r="F29" s="70"/>
      <c r="G29" s="74"/>
      <c r="H29" s="78" t="s">
        <v>465</v>
      </c>
      <c r="I29" s="79">
        <f>'T6-T8 XX风险计量表'!D61</f>
        <v>0</v>
      </c>
      <c r="J29" s="77"/>
      <c r="L29" s="74"/>
      <c r="M29" s="78" t="s">
        <v>465</v>
      </c>
      <c r="N29" s="79">
        <f>'T6-T8 XX风险计量表'!D70</f>
        <v>0</v>
      </c>
      <c r="O29" s="77"/>
      <c r="P29" s="70"/>
      <c r="Q29" s="74"/>
      <c r="R29" s="78" t="s">
        <v>325</v>
      </c>
      <c r="S29" s="79">
        <f>'T6-T8 XX风险计量表'!D79</f>
        <v>0</v>
      </c>
      <c r="T29" s="77"/>
    </row>
    <row r="30" spans="2:20" ht="17.399999999999999" x14ac:dyDescent="0.25">
      <c r="B30" s="74"/>
      <c r="C30" s="78" t="s">
        <v>466</v>
      </c>
      <c r="D30" s="79">
        <f>'T6-T8 XX风险计量表'!W55</f>
        <v>1200</v>
      </c>
      <c r="E30" s="77"/>
      <c r="F30" s="70"/>
      <c r="G30" s="74"/>
      <c r="H30" s="78" t="s">
        <v>466</v>
      </c>
      <c r="I30" s="79">
        <f>'T6-T8 XX风险计量表'!W65</f>
        <v>0</v>
      </c>
      <c r="J30" s="77"/>
      <c r="L30" s="74"/>
      <c r="M30" s="78" t="s">
        <v>466</v>
      </c>
      <c r="N30" s="79">
        <f>'T6-T8 XX风险计量表'!W75</f>
        <v>0</v>
      </c>
      <c r="O30" s="77"/>
      <c r="P30" s="70"/>
      <c r="Q30" s="74"/>
      <c r="R30" s="78" t="s">
        <v>326</v>
      </c>
      <c r="S30" s="79">
        <f>'T6-T8 XX风险计量表'!W85</f>
        <v>0</v>
      </c>
      <c r="T30" s="77"/>
    </row>
    <row r="31" spans="2:20" ht="17.399999999999999" x14ac:dyDescent="0.25">
      <c r="B31" s="74"/>
      <c r="C31" s="550"/>
      <c r="D31" s="550"/>
      <c r="E31" s="77"/>
      <c r="F31" s="70"/>
      <c r="G31" s="74"/>
      <c r="H31" s="550"/>
      <c r="I31" s="550"/>
      <c r="J31" s="77"/>
      <c r="L31" s="74"/>
      <c r="M31" s="550"/>
      <c r="N31" s="550"/>
      <c r="O31" s="77"/>
      <c r="P31" s="70"/>
      <c r="Q31" s="74"/>
      <c r="R31" s="550"/>
      <c r="S31" s="550"/>
      <c r="T31" s="77"/>
    </row>
    <row r="32" spans="2:20" ht="17.399999999999999" x14ac:dyDescent="0.25">
      <c r="B32" s="74"/>
      <c r="C32" s="75" t="s">
        <v>345</v>
      </c>
      <c r="D32" s="76"/>
      <c r="E32" s="77"/>
      <c r="F32" s="70"/>
      <c r="G32" s="74"/>
      <c r="H32" s="75" t="s">
        <v>345</v>
      </c>
      <c r="I32" s="76"/>
      <c r="J32" s="77"/>
      <c r="L32" s="74"/>
      <c r="M32" s="75" t="s">
        <v>345</v>
      </c>
      <c r="N32" s="76"/>
      <c r="O32" s="77"/>
      <c r="P32" s="70"/>
      <c r="Q32" s="74"/>
      <c r="R32" s="75" t="s">
        <v>349</v>
      </c>
      <c r="S32" s="76"/>
      <c r="T32" s="77"/>
    </row>
    <row r="33" spans="2:20" ht="17.399999999999999" x14ac:dyDescent="0.25">
      <c r="B33" s="74"/>
      <c r="C33" s="78" t="s">
        <v>469</v>
      </c>
      <c r="D33" s="79">
        <f>SUM('T3-T4'!Z8:Z9)</f>
        <v>0</v>
      </c>
      <c r="E33" s="77"/>
      <c r="F33" s="70"/>
      <c r="G33" s="74"/>
      <c r="H33" s="78" t="s">
        <v>471</v>
      </c>
      <c r="I33" s="79">
        <f>SUM('T3-T4'!Z9:Z10)</f>
        <v>0</v>
      </c>
      <c r="J33" s="77"/>
      <c r="L33" s="74"/>
      <c r="M33" s="78" t="s">
        <v>473</v>
      </c>
      <c r="N33" s="79">
        <f>SUM('T3-T4'!Z10:Z11)</f>
        <v>0</v>
      </c>
      <c r="O33" s="77"/>
      <c r="P33" s="70"/>
      <c r="Q33" s="74"/>
      <c r="R33" s="78" t="s">
        <v>473</v>
      </c>
      <c r="S33" s="79">
        <f>SUM('T3-T4'!Z11:Z12)</f>
        <v>0</v>
      </c>
      <c r="T33" s="77"/>
    </row>
    <row r="34" spans="2:20" ht="17.399999999999999" x14ac:dyDescent="0.25">
      <c r="B34" s="74"/>
      <c r="C34" s="76"/>
      <c r="D34" s="76"/>
      <c r="E34" s="77"/>
      <c r="F34" s="70"/>
      <c r="G34" s="74"/>
      <c r="H34" s="76"/>
      <c r="I34" s="76"/>
      <c r="J34" s="77"/>
      <c r="L34" s="74"/>
      <c r="M34" s="76"/>
      <c r="N34" s="76"/>
      <c r="O34" s="77"/>
      <c r="P34" s="70"/>
      <c r="Q34" s="74"/>
      <c r="R34" s="76"/>
      <c r="S34" s="76"/>
      <c r="T34" s="77"/>
    </row>
    <row r="35" spans="2:20" s="85" customFormat="1" ht="18" thickBot="1" x14ac:dyDescent="0.3">
      <c r="B35" s="80"/>
      <c r="C35" s="81" t="s">
        <v>470</v>
      </c>
      <c r="D35" s="82">
        <f>D33+D30+D29+D28</f>
        <v>8731.02</v>
      </c>
      <c r="E35" s="83"/>
      <c r="F35" s="84"/>
      <c r="G35" s="80"/>
      <c r="H35" s="81" t="s">
        <v>472</v>
      </c>
      <c r="I35" s="82">
        <f>I33+I30+I29+I28</f>
        <v>0</v>
      </c>
      <c r="J35" s="83"/>
      <c r="L35" s="80"/>
      <c r="M35" s="81" t="s">
        <v>470</v>
      </c>
      <c r="N35" s="82">
        <f>N33+N30+N29+N28</f>
        <v>0</v>
      </c>
      <c r="O35" s="83"/>
      <c r="P35" s="84"/>
      <c r="Q35" s="80"/>
      <c r="R35" s="81" t="s">
        <v>474</v>
      </c>
      <c r="S35" s="82">
        <f>S33+S30+S29+S28</f>
        <v>0</v>
      </c>
      <c r="T35" s="83"/>
    </row>
    <row r="36" spans="2:20" ht="18" thickTop="1" x14ac:dyDescent="0.25">
      <c r="B36" s="74"/>
      <c r="C36" s="76"/>
      <c r="D36" s="76"/>
      <c r="E36" s="77"/>
      <c r="F36" s="70"/>
      <c r="G36" s="74"/>
      <c r="H36" s="76"/>
      <c r="I36" s="76"/>
      <c r="J36" s="77"/>
      <c r="L36" s="74"/>
      <c r="M36" s="76"/>
      <c r="N36" s="76"/>
      <c r="O36" s="77"/>
      <c r="P36" s="70"/>
      <c r="Q36" s="74"/>
      <c r="R36" s="76"/>
      <c r="S36" s="76"/>
      <c r="T36" s="77"/>
    </row>
    <row r="37" spans="2:20" ht="17.399999999999999" x14ac:dyDescent="0.25">
      <c r="B37" s="74"/>
      <c r="C37" s="75" t="s">
        <v>346</v>
      </c>
      <c r="D37" s="76"/>
      <c r="E37" s="77"/>
      <c r="F37" s="70"/>
      <c r="G37" s="74"/>
      <c r="H37" s="75" t="s">
        <v>346</v>
      </c>
      <c r="I37" s="76"/>
      <c r="J37" s="77"/>
      <c r="L37" s="74"/>
      <c r="M37" s="75" t="s">
        <v>346</v>
      </c>
      <c r="N37" s="76"/>
      <c r="O37" s="77"/>
      <c r="P37" s="70"/>
      <c r="Q37" s="74"/>
      <c r="R37" s="75" t="s">
        <v>346</v>
      </c>
      <c r="S37" s="76"/>
      <c r="T37" s="77"/>
    </row>
    <row r="38" spans="2:20" ht="17.399999999999999" x14ac:dyDescent="0.25">
      <c r="B38" s="74"/>
      <c r="C38" s="78" t="s">
        <v>454</v>
      </c>
      <c r="D38" s="86">
        <f>D35/10</f>
        <v>873.10200000000009</v>
      </c>
      <c r="E38" s="77"/>
      <c r="F38" s="70"/>
      <c r="G38" s="74"/>
      <c r="H38" s="78" t="s">
        <v>454</v>
      </c>
      <c r="I38" s="86">
        <f>I35/10</f>
        <v>0</v>
      </c>
      <c r="J38" s="77"/>
      <c r="L38" s="74"/>
      <c r="M38" s="78" t="s">
        <v>454</v>
      </c>
      <c r="N38" s="86">
        <f>N35/10</f>
        <v>0</v>
      </c>
      <c r="O38" s="77"/>
      <c r="P38" s="70"/>
      <c r="Q38" s="74"/>
      <c r="R38" s="78" t="s">
        <v>454</v>
      </c>
      <c r="S38" s="86">
        <f>S35/10</f>
        <v>0</v>
      </c>
      <c r="T38" s="77"/>
    </row>
    <row r="39" spans="2:20" ht="17.399999999999999" x14ac:dyDescent="0.25">
      <c r="B39" s="74"/>
      <c r="C39" s="78" t="s">
        <v>455</v>
      </c>
      <c r="D39" s="91">
        <f>IF(D35=0,"",T11资产负债表!G46/D35)</f>
        <v>6.9223893657327551</v>
      </c>
      <c r="E39" s="77"/>
      <c r="F39" s="70"/>
      <c r="G39" s="74"/>
      <c r="H39" s="78" t="s">
        <v>455</v>
      </c>
      <c r="I39" s="91" t="str">
        <f>IF(I35=0,"",T11资产负债表!N46/I35)</f>
        <v/>
      </c>
      <c r="J39" s="77"/>
      <c r="L39" s="74"/>
      <c r="M39" s="78" t="s">
        <v>455</v>
      </c>
      <c r="N39" s="91" t="str">
        <f>IF(N35=0,"",T11资产负债表!G62/N35)</f>
        <v/>
      </c>
      <c r="O39" s="77"/>
      <c r="P39" s="70"/>
      <c r="Q39" s="74"/>
      <c r="R39" s="78" t="s">
        <v>455</v>
      </c>
      <c r="S39" s="91" t="str">
        <f>IF(S35=0,"",T11资产负债表!N62/S35)</f>
        <v/>
      </c>
      <c r="T39" s="77"/>
    </row>
    <row r="40" spans="2:20" ht="17.399999999999999" x14ac:dyDescent="0.25">
      <c r="B40" s="74"/>
      <c r="C40" s="78" t="s">
        <v>458</v>
      </c>
      <c r="D40" s="90" t="str">
        <f>IF(T11资产负债表!G37=0,"",T11资产负债表!D37/T11资产负债表!G37)</f>
        <v/>
      </c>
      <c r="E40" s="77"/>
      <c r="F40" s="70"/>
      <c r="G40" s="74"/>
      <c r="H40" s="78" t="s">
        <v>453</v>
      </c>
      <c r="I40" s="90" t="str">
        <f>IF(T11资产负债表!N37=0,"",T11资产负债表!K37/T11资产负债表!N37)</f>
        <v/>
      </c>
      <c r="J40" s="77"/>
      <c r="L40" s="74"/>
      <c r="M40" s="78" t="s">
        <v>456</v>
      </c>
      <c r="N40" s="90" t="str">
        <f>IF(T11资产负债表!G53=0,"",T11资产负债表!D53/T11资产负债表!G53)</f>
        <v/>
      </c>
      <c r="O40" s="77"/>
      <c r="P40" s="70"/>
      <c r="Q40" s="74"/>
      <c r="R40" s="78" t="s">
        <v>453</v>
      </c>
      <c r="S40" s="90" t="str">
        <f>IF(T11资产负债表!N53=0,"",T11资产负债表!K53/T11资产负债表!N53)</f>
        <v/>
      </c>
      <c r="T40" s="77"/>
    </row>
    <row r="41" spans="2:20" ht="17.399999999999999" x14ac:dyDescent="0.25">
      <c r="B41" s="74"/>
      <c r="C41" s="78" t="s">
        <v>347</v>
      </c>
      <c r="D41" s="86" t="str">
        <f>IF(T10损益表!$F$20=T0登记表!$G$14,T0登记表!$T$67,T0登记表!$G$14/T10损益表!$F$20)</f>
        <v>∞</v>
      </c>
      <c r="E41" s="77"/>
      <c r="F41" s="70"/>
      <c r="G41" s="74"/>
      <c r="H41" s="78" t="s">
        <v>467</v>
      </c>
      <c r="I41" s="86" t="str">
        <f>IF(T10损益表!$H$20=T0登记表!$I$14,T0登记表!$T$67,T0登记表!$I$14/T10损益表!$H$20)</f>
        <v>∞</v>
      </c>
      <c r="J41" s="77"/>
      <c r="L41" s="74"/>
      <c r="M41" s="78" t="s">
        <v>468</v>
      </c>
      <c r="N41" s="86" t="str">
        <f>IF(T10损益表!$I$20=T0登记表!$J$14,T0登记表!$T$67,T0登记表!$J$14/T10损益表!$I$20)</f>
        <v>∞</v>
      </c>
      <c r="O41" s="77"/>
      <c r="P41" s="70"/>
      <c r="Q41" s="74"/>
      <c r="R41" s="78" t="s">
        <v>468</v>
      </c>
      <c r="S41" s="86" t="str">
        <f>IF(T10损益表!$J$20=T0登记表!$K$14,T0登记表!$T$67,T0登记表!$K$14/T10损益表!$J$20)</f>
        <v>∞</v>
      </c>
      <c r="T41" s="77"/>
    </row>
    <row r="42" spans="2:20" ht="18" thickBot="1" x14ac:dyDescent="0.3">
      <c r="B42" s="87"/>
      <c r="C42" s="88"/>
      <c r="D42" s="88"/>
      <c r="E42" s="89"/>
      <c r="F42" s="70"/>
      <c r="G42" s="87"/>
      <c r="H42" s="88"/>
      <c r="I42" s="88"/>
      <c r="J42" s="89"/>
      <c r="L42" s="87"/>
      <c r="M42" s="88"/>
      <c r="N42" s="88"/>
      <c r="O42" s="89"/>
      <c r="P42" s="70"/>
      <c r="Q42" s="87"/>
      <c r="R42" s="88"/>
      <c r="S42" s="88"/>
      <c r="T42" s="89"/>
    </row>
    <row r="43" spans="2:20" ht="17.399999999999999" x14ac:dyDescent="0.25">
      <c r="B43" s="76"/>
      <c r="C43" s="76"/>
      <c r="D43" s="76"/>
      <c r="E43" s="76"/>
      <c r="F43" s="76"/>
      <c r="G43" s="76"/>
      <c r="H43" s="76"/>
      <c r="I43" s="76"/>
      <c r="J43" s="76"/>
    </row>
  </sheetData>
  <sheetProtection selectLockedCells="1"/>
  <mergeCells count="11">
    <mergeCell ref="B2:T2"/>
    <mergeCell ref="B3:T3"/>
    <mergeCell ref="B4:T4"/>
    <mergeCell ref="M31:N31"/>
    <mergeCell ref="R31:S31"/>
    <mergeCell ref="C12:D12"/>
    <mergeCell ref="H12:I12"/>
    <mergeCell ref="M12:N12"/>
    <mergeCell ref="R12:S12"/>
    <mergeCell ref="C31:D31"/>
    <mergeCell ref="H31:I31"/>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V68"/>
  <sheetViews>
    <sheetView tabSelected="1" topLeftCell="A25" zoomScale="85" zoomScaleNormal="85" workbookViewId="0">
      <selection activeCell="N30" sqref="N30"/>
    </sheetView>
  </sheetViews>
  <sheetFormatPr defaultColWidth="8.77734375" defaultRowHeight="14.4" x14ac:dyDescent="0.25"/>
  <cols>
    <col min="1" max="1" customWidth="true" style="328" width="3.77734375" collapsed="true"/>
    <col min="2" max="2" customWidth="true" style="328" width="10.33203125" collapsed="true"/>
    <col min="3" max="6" bestFit="true" customWidth="true" style="328" width="9.21875" collapsed="true"/>
    <col min="7" max="7" style="328" width="8.77734375" collapsed="true"/>
    <col min="8" max="8" bestFit="true" customWidth="true" style="328" width="11.0" collapsed="true"/>
    <col min="9" max="9" customWidth="true" style="328" width="9.6640625" collapsed="true"/>
    <col min="10" max="10" customWidth="true" style="328" width="8.77734375" collapsed="true"/>
    <col min="11" max="11" bestFit="true" customWidth="true" style="328" width="11.0" collapsed="true"/>
    <col min="12" max="13" customWidth="true" style="328" width="8.88671875" collapsed="true"/>
    <col min="14" max="14" customWidth="true" style="331" width="11.44140625" collapsed="true"/>
    <col min="15" max="16" bestFit="true" customWidth="true" style="331" width="9.44140625" collapsed="true"/>
    <col min="17" max="17" customWidth="true" style="331" width="9.33203125" collapsed="true"/>
    <col min="18" max="18" bestFit="true" customWidth="true" style="331" width="12.109375" collapsed="true"/>
    <col min="19" max="19" bestFit="true" customWidth="true" style="331" width="6.21875" collapsed="true"/>
    <col min="20" max="20" bestFit="true" customWidth="true" style="364" width="14.44140625" collapsed="true"/>
    <col min="21" max="21" customWidth="true" style="364" width="8.21875" collapsed="true"/>
    <col min="22" max="22" customWidth="true" style="328" width="8.77734375" collapsed="true"/>
    <col min="23" max="16384" style="328" width="8.77734375" collapsed="true"/>
  </cols>
  <sheetData>
    <row r="1" spans="2:21" ht="23.4" x14ac:dyDescent="0.5">
      <c r="J1" s="329" t="s">
        <v>350</v>
      </c>
      <c r="K1" s="444" t="str">
        <f>运营表!D1</f>
        <v>abc</v>
      </c>
      <c r="L1" s="444"/>
      <c r="M1" s="330" t="s">
        <v>585</v>
      </c>
      <c r="S1" s="332"/>
      <c r="T1" s="369"/>
      <c r="U1" s="369"/>
    </row>
    <row r="2" spans="2:21" ht="18" thickBot="1" x14ac:dyDescent="0.3">
      <c r="B2" s="461" t="s">
        <v>81</v>
      </c>
      <c r="C2" s="462"/>
      <c r="D2" s="462"/>
      <c r="E2" s="462"/>
      <c r="F2" s="462"/>
      <c r="G2" s="462"/>
      <c r="H2" s="462"/>
      <c r="I2" s="462"/>
      <c r="J2" s="462"/>
      <c r="K2" s="462"/>
      <c r="L2" s="462"/>
      <c r="M2" s="462"/>
      <c r="N2" s="462"/>
      <c r="O2" s="462"/>
      <c r="P2" s="462"/>
      <c r="Q2" s="462"/>
      <c r="R2" s="462"/>
      <c r="S2" s="332"/>
      <c r="T2" s="365" t="s">
        <v>385</v>
      </c>
      <c r="U2" s="366"/>
    </row>
    <row r="3" spans="2:21" ht="16.8" thickBot="1" x14ac:dyDescent="0.3">
      <c r="B3" s="442"/>
      <c r="C3" s="443"/>
      <c r="D3" s="333" t="s">
        <v>386</v>
      </c>
      <c r="E3" s="334" t="s">
        <v>387</v>
      </c>
      <c r="F3" s="334" t="s">
        <v>388</v>
      </c>
      <c r="G3" s="334" t="s">
        <v>389</v>
      </c>
      <c r="H3" s="334" t="s">
        <v>390</v>
      </c>
      <c r="I3" s="334" t="s">
        <v>391</v>
      </c>
      <c r="J3" s="335" t="s">
        <v>392</v>
      </c>
      <c r="K3" s="336" t="s">
        <v>393</v>
      </c>
      <c r="M3" s="432" t="s">
        <v>162</v>
      </c>
      <c r="N3" s="432"/>
      <c r="O3" s="432"/>
      <c r="P3" s="432"/>
      <c r="Q3" s="432"/>
      <c r="R3" s="432"/>
      <c r="S3" s="332"/>
      <c r="T3" s="366"/>
      <c r="U3" s="366"/>
    </row>
    <row r="4" spans="2:21" ht="17.25" customHeight="1" thickBot="1" x14ac:dyDescent="0.3">
      <c r="B4" s="445" t="s">
        <v>381</v>
      </c>
      <c r="C4" s="446"/>
      <c r="D4" s="285" t="n">
        <v>8000.0</v>
      </c>
      <c r="E4" s="280"/>
      <c r="F4" s="285"/>
      <c r="G4" s="280"/>
      <c r="H4" s="285"/>
      <c r="I4" s="280"/>
      <c r="J4" s="285"/>
      <c r="K4" s="280"/>
      <c r="M4" s="459" t="s">
        <v>45</v>
      </c>
      <c r="N4" s="429" t="s">
        <v>163</v>
      </c>
      <c r="O4" s="429" t="s">
        <v>164</v>
      </c>
      <c r="P4" s="429" t="s">
        <v>165</v>
      </c>
      <c r="Q4" s="429" t="s">
        <v>477</v>
      </c>
      <c r="R4" s="439"/>
      <c r="S4" s="332"/>
      <c r="T4" s="366" t="s">
        <v>423</v>
      </c>
      <c r="U4" s="366"/>
    </row>
    <row r="5" spans="2:21" ht="15" thickTop="1" x14ac:dyDescent="0.25">
      <c r="B5" s="447" t="s">
        <v>382</v>
      </c>
      <c r="C5" s="337"/>
      <c r="D5" s="338"/>
      <c r="E5" s="338"/>
      <c r="F5" s="338"/>
      <c r="G5" s="338"/>
      <c r="H5" s="338"/>
      <c r="I5" s="338"/>
      <c r="J5" s="338"/>
      <c r="K5" s="338"/>
      <c r="M5" s="460"/>
      <c r="N5" s="430"/>
      <c r="O5" s="430"/>
      <c r="P5" s="430"/>
      <c r="Q5" s="339" t="s">
        <v>475</v>
      </c>
      <c r="R5" s="340" t="s">
        <v>476</v>
      </c>
      <c r="S5" s="332"/>
      <c r="T5" s="366" t="s">
        <v>424</v>
      </c>
      <c r="U5" s="366"/>
    </row>
    <row r="6" spans="2:21" ht="15.6" x14ac:dyDescent="0.25">
      <c r="B6" s="448"/>
      <c r="C6" s="450" t="s">
        <v>418</v>
      </c>
      <c r="D6" s="273" t="s">
        <v>670</v>
      </c>
      <c r="E6" s="274"/>
      <c r="F6" s="273"/>
      <c r="G6" s="274"/>
      <c r="H6" s="273"/>
      <c r="I6" s="274"/>
      <c r="J6" s="273"/>
      <c r="K6" s="274"/>
      <c r="M6" s="341" t="s">
        <v>46</v>
      </c>
      <c r="N6" s="264" t="n">
        <v>0.009999999776482582</v>
      </c>
      <c r="O6" s="264"/>
      <c r="P6" s="264"/>
      <c r="Q6" s="265"/>
      <c r="R6" s="266"/>
      <c r="S6" s="332"/>
      <c r="T6" s="366"/>
      <c r="U6" s="366"/>
    </row>
    <row r="7" spans="2:21" ht="15.6" x14ac:dyDescent="0.25">
      <c r="B7" s="448"/>
      <c r="C7" s="451"/>
      <c r="D7" s="275"/>
      <c r="E7" s="276"/>
      <c r="F7" s="275"/>
      <c r="G7" s="276"/>
      <c r="H7" s="275"/>
      <c r="I7" s="276"/>
      <c r="J7" s="275"/>
      <c r="K7" s="276"/>
      <c r="M7" s="341" t="s">
        <v>47</v>
      </c>
      <c r="N7" s="267"/>
      <c r="O7" s="267" t="n">
        <v>0.03999999910593033</v>
      </c>
      <c r="P7" s="267"/>
      <c r="Q7" s="268"/>
      <c r="R7" s="269"/>
      <c r="S7" s="332"/>
      <c r="T7" s="366"/>
      <c r="U7" s="366"/>
    </row>
    <row r="8" spans="2:21" ht="15.6" x14ac:dyDescent="0.25">
      <c r="B8" s="448"/>
      <c r="C8" s="342" t="s">
        <v>383</v>
      </c>
      <c r="D8" s="277"/>
      <c r="E8" s="278"/>
      <c r="F8" s="277"/>
      <c r="G8" s="278"/>
      <c r="H8" s="277"/>
      <c r="I8" s="278"/>
      <c r="J8" s="277"/>
      <c r="K8" s="278"/>
      <c r="M8" s="341" t="s">
        <v>48</v>
      </c>
      <c r="N8" s="264"/>
      <c r="O8" s="264"/>
      <c r="P8" s="264" t="n">
        <v>0.03999999910593033</v>
      </c>
      <c r="Q8" s="265"/>
      <c r="R8" s="266"/>
      <c r="S8" s="332"/>
      <c r="T8" s="366" t="s">
        <v>396</v>
      </c>
      <c r="U8" s="366"/>
    </row>
    <row r="9" spans="2:21" ht="16.2" thickBot="1" x14ac:dyDescent="0.3">
      <c r="B9" s="449"/>
      <c r="C9" s="343" t="s">
        <v>419</v>
      </c>
      <c r="D9" s="279"/>
      <c r="E9" s="280"/>
      <c r="F9" s="279"/>
      <c r="G9" s="280"/>
      <c r="H9" s="279"/>
      <c r="I9" s="280"/>
      <c r="J9" s="279"/>
      <c r="K9" s="280"/>
      <c r="M9" s="341" t="s">
        <v>49</v>
      </c>
      <c r="N9" s="267"/>
      <c r="O9" s="267"/>
      <c r="P9" s="267"/>
      <c r="Q9" s="268" t="s">
        <v>671</v>
      </c>
      <c r="R9" s="269"/>
      <c r="S9" s="332"/>
      <c r="T9" s="365" t="s">
        <v>397</v>
      </c>
      <c r="U9" s="366"/>
    </row>
    <row r="10" spans="2:21" ht="16.2" thickTop="1" x14ac:dyDescent="0.25">
      <c r="B10" s="440" t="s">
        <v>384</v>
      </c>
      <c r="C10" s="337" t="s">
        <v>420</v>
      </c>
      <c r="D10" s="281" t="s">
        <v>385</v>
      </c>
      <c r="E10" s="282"/>
      <c r="F10" s="281"/>
      <c r="G10" s="282"/>
      <c r="H10" s="281"/>
      <c r="I10" s="282"/>
      <c r="J10" s="281"/>
      <c r="K10" s="282"/>
      <c r="M10" s="341" t="s">
        <v>50</v>
      </c>
      <c r="N10" s="264"/>
      <c r="O10" s="264"/>
      <c r="P10" s="264"/>
      <c r="Q10" s="265"/>
      <c r="R10" s="266" t="s">
        <v>478</v>
      </c>
      <c r="S10" s="332"/>
      <c r="T10" s="366"/>
      <c r="U10" s="366"/>
    </row>
    <row r="11" spans="2:21" ht="16.2" thickBot="1" x14ac:dyDescent="0.3">
      <c r="B11" s="441"/>
      <c r="C11" s="342" t="s">
        <v>421</v>
      </c>
      <c r="D11" s="283" t="s">
        <v>385</v>
      </c>
      <c r="E11" s="284"/>
      <c r="F11" s="283"/>
      <c r="G11" s="284"/>
      <c r="H11" s="283"/>
      <c r="I11" s="284"/>
      <c r="J11" s="283"/>
      <c r="K11" s="284"/>
      <c r="M11" s="341" t="s">
        <v>51</v>
      </c>
      <c r="N11" s="267"/>
      <c r="O11" s="267"/>
      <c r="P11" s="267"/>
      <c r="Q11" s="268"/>
      <c r="R11" s="269"/>
      <c r="S11" s="332"/>
      <c r="T11" s="366" t="s">
        <v>399</v>
      </c>
      <c r="U11" s="366"/>
    </row>
    <row r="12" spans="2:21" ht="17.25" customHeight="1" thickTop="1" thickBot="1" x14ac:dyDescent="0.3">
      <c r="B12" s="435" t="s">
        <v>486</v>
      </c>
      <c r="C12" s="436"/>
      <c r="D12" s="344" t="n">
        <v>250.0</v>
      </c>
      <c r="E12" s="344"/>
      <c r="F12" s="344"/>
      <c r="G12" s="344"/>
      <c r="H12" s="344"/>
      <c r="I12" s="344"/>
      <c r="J12" s="344"/>
      <c r="K12" s="344"/>
      <c r="M12" s="341" t="s">
        <v>52</v>
      </c>
      <c r="N12" s="264"/>
      <c r="O12" s="264"/>
      <c r="P12" s="264"/>
      <c r="Q12" s="265"/>
      <c r="R12" s="266"/>
      <c r="S12" s="332"/>
      <c r="T12" s="366" t="s">
        <v>401</v>
      </c>
      <c r="U12" s="366"/>
    </row>
    <row r="13" spans="2:21" ht="18" thickTop="1" thickBot="1" x14ac:dyDescent="0.3">
      <c r="B13" s="435" t="s">
        <v>487</v>
      </c>
      <c r="C13" s="436"/>
      <c r="D13" s="344" t="n">
        <v>120.0</v>
      </c>
      <c r="E13" s="344"/>
      <c r="F13" s="344"/>
      <c r="G13" s="344"/>
      <c r="H13" s="344"/>
      <c r="I13" s="344"/>
      <c r="J13" s="344"/>
      <c r="K13" s="344"/>
      <c r="M13" s="345" t="s">
        <v>53</v>
      </c>
      <c r="N13" s="270"/>
      <c r="O13" s="270"/>
      <c r="P13" s="270"/>
      <c r="Q13" s="271"/>
      <c r="R13" s="272"/>
      <c r="S13" s="332"/>
      <c r="T13" s="366" t="s">
        <v>402</v>
      </c>
      <c r="U13" s="366"/>
    </row>
    <row r="14" spans="2:21" ht="18.75" customHeight="1" thickTop="1" thickBot="1" x14ac:dyDescent="0.3">
      <c r="B14" s="435" t="s">
        <v>488</v>
      </c>
      <c r="C14" s="436"/>
      <c r="D14" s="258" t="n">
        <v>130.0</v>
      </c>
      <c r="E14" s="259"/>
      <c r="F14" s="258"/>
      <c r="G14" s="259"/>
      <c r="H14" s="258"/>
      <c r="I14" s="259"/>
      <c r="J14" s="258"/>
      <c r="K14" s="259"/>
      <c r="S14" s="332"/>
      <c r="T14" s="366"/>
      <c r="U14" s="366"/>
    </row>
    <row r="15" spans="2:21" ht="18.75" customHeight="1" thickTop="1" thickBot="1" x14ac:dyDescent="0.3">
      <c r="B15" s="435" t="s">
        <v>489</v>
      </c>
      <c r="C15" s="436"/>
      <c r="D15" s="260" t="n">
        <v>140.0</v>
      </c>
      <c r="E15" s="261"/>
      <c r="F15" s="260"/>
      <c r="G15" s="261"/>
      <c r="H15" s="260"/>
      <c r="I15" s="261"/>
      <c r="J15" s="260"/>
      <c r="K15" s="261"/>
      <c r="R15" s="346"/>
      <c r="S15" s="332"/>
      <c r="T15" s="366" t="s">
        <v>404</v>
      </c>
      <c r="U15" s="366"/>
    </row>
    <row r="16" spans="2:21" ht="18.75" customHeight="1" thickTop="1" thickBot="1" x14ac:dyDescent="0.3">
      <c r="B16" s="435" t="s">
        <v>490</v>
      </c>
      <c r="C16" s="436"/>
      <c r="D16" s="258" t="n">
        <v>150.0</v>
      </c>
      <c r="E16" s="259"/>
      <c r="F16" s="258"/>
      <c r="G16" s="259"/>
      <c r="H16" s="258"/>
      <c r="I16" s="259"/>
      <c r="J16" s="258"/>
      <c r="K16" s="259"/>
      <c r="L16" s="347"/>
      <c r="M16" s="347"/>
      <c r="N16" s="346"/>
      <c r="O16" s="346"/>
      <c r="P16" s="346"/>
      <c r="Q16" s="346"/>
      <c r="S16" s="332"/>
      <c r="T16" s="366" t="s">
        <v>406</v>
      </c>
      <c r="U16" s="366"/>
    </row>
    <row r="17" spans="1:22" ht="18" thickTop="1" thickBot="1" x14ac:dyDescent="0.3">
      <c r="B17" s="435" t="s">
        <v>491</v>
      </c>
      <c r="C17" s="436"/>
      <c r="D17" s="260"/>
      <c r="E17" s="261"/>
      <c r="F17" s="260"/>
      <c r="G17" s="261"/>
      <c r="H17" s="260"/>
      <c r="I17" s="261"/>
      <c r="J17" s="260"/>
      <c r="K17" s="261"/>
      <c r="S17" s="332"/>
      <c r="T17" s="366"/>
      <c r="U17" s="366"/>
    </row>
    <row r="18" spans="1:22" ht="18" thickTop="1" thickBot="1" x14ac:dyDescent="0.3">
      <c r="B18" s="437" t="s">
        <v>492</v>
      </c>
      <c r="C18" s="438"/>
      <c r="D18" s="262"/>
      <c r="E18" s="263"/>
      <c r="F18" s="262"/>
      <c r="G18" s="263"/>
      <c r="H18" s="262"/>
      <c r="I18" s="263"/>
      <c r="J18" s="262"/>
      <c r="K18" s="263"/>
      <c r="L18" s="369"/>
      <c r="M18" s="369"/>
      <c r="N18" s="370"/>
      <c r="O18" s="370"/>
      <c r="P18" s="370"/>
      <c r="Q18" s="370"/>
      <c r="R18" s="370"/>
      <c r="S18" s="371"/>
      <c r="T18" s="365">
        <v>1</v>
      </c>
      <c r="U18" s="372">
        <v>1</v>
      </c>
      <c r="V18" s="371"/>
    </row>
    <row r="19" spans="1:22" x14ac:dyDescent="0.25">
      <c r="B19" s="348" t="s">
        <v>422</v>
      </c>
      <c r="C19" s="348"/>
      <c r="D19" s="348"/>
      <c r="E19" s="348"/>
      <c r="F19" s="349"/>
      <c r="G19" s="349"/>
      <c r="H19" s="349"/>
      <c r="I19" s="373"/>
      <c r="J19" s="373"/>
      <c r="K19" s="373"/>
      <c r="L19" s="347"/>
      <c r="M19" s="347"/>
      <c r="N19" s="370"/>
      <c r="O19" s="370"/>
      <c r="P19" s="370"/>
      <c r="Q19" s="370"/>
      <c r="R19" s="370"/>
      <c r="S19" s="370"/>
      <c r="T19" s="365">
        <v>2</v>
      </c>
      <c r="U19" s="372">
        <v>1.1000000000000001</v>
      </c>
      <c r="V19" s="371"/>
    </row>
    <row r="20" spans="1:22" x14ac:dyDescent="0.25">
      <c r="A20" s="350"/>
      <c r="B20" s="348" t="s">
        <v>499</v>
      </c>
      <c r="C20" s="348"/>
      <c r="D20" s="348"/>
      <c r="E20" s="348"/>
      <c r="F20" s="349"/>
      <c r="G20" s="349"/>
      <c r="H20" s="349"/>
      <c r="I20" s="373"/>
      <c r="J20" s="373"/>
      <c r="K20" s="373"/>
      <c r="L20" s="373"/>
      <c r="M20" s="373"/>
      <c r="N20" s="370"/>
      <c r="O20" s="370"/>
      <c r="P20" s="370"/>
      <c r="Q20" s="370"/>
      <c r="R20" s="370"/>
      <c r="S20" s="370"/>
      <c r="T20" s="365">
        <v>3</v>
      </c>
      <c r="U20" s="372">
        <v>1.2</v>
      </c>
      <c r="V20" s="371"/>
    </row>
    <row r="21" spans="1:22" x14ac:dyDescent="0.25">
      <c r="B21" s="349"/>
      <c r="C21" s="349"/>
      <c r="D21" s="349"/>
      <c r="E21" s="349"/>
      <c r="F21" s="349"/>
      <c r="G21" s="349"/>
      <c r="H21" s="349"/>
      <c r="I21" s="373"/>
      <c r="J21" s="373"/>
      <c r="K21" s="373"/>
      <c r="L21" s="373"/>
      <c r="M21" s="373"/>
      <c r="N21" s="370"/>
      <c r="O21" s="370"/>
      <c r="P21" s="370"/>
      <c r="Q21" s="370"/>
      <c r="R21" s="370"/>
      <c r="S21" s="370"/>
      <c r="T21" s="365">
        <v>4</v>
      </c>
      <c r="U21" s="372">
        <v>1.3</v>
      </c>
      <c r="V21" s="371"/>
    </row>
    <row r="22" spans="1:22" ht="16.8" thickBot="1" x14ac:dyDescent="0.3">
      <c r="B22" s="431" t="s">
        <v>351</v>
      </c>
      <c r="C22" s="431"/>
      <c r="D22" s="431"/>
      <c r="E22" s="431"/>
      <c r="F22" s="431"/>
      <c r="G22" s="431"/>
      <c r="I22" s="433" t="s">
        <v>54</v>
      </c>
      <c r="J22" s="433"/>
      <c r="K22" s="433"/>
      <c r="L22" s="433"/>
      <c r="M22" s="433"/>
      <c r="N22" s="433"/>
      <c r="O22" s="433"/>
      <c r="P22" s="433"/>
      <c r="Q22" s="433"/>
      <c r="R22" s="434"/>
      <c r="S22" s="374"/>
      <c r="T22" s="365">
        <v>5</v>
      </c>
      <c r="U22" s="372">
        <v>1.4</v>
      </c>
      <c r="V22" s="371"/>
    </row>
    <row r="23" spans="1:22" ht="16.2" thickTop="1" x14ac:dyDescent="0.25">
      <c r="B23" s="351" t="s">
        <v>1</v>
      </c>
      <c r="C23" s="351"/>
      <c r="D23" s="351"/>
      <c r="I23" s="351" t="s">
        <v>663</v>
      </c>
      <c r="R23" s="457" t="s">
        <v>484</v>
      </c>
      <c r="S23" s="458"/>
      <c r="T23" s="365"/>
      <c r="U23" s="365"/>
      <c r="V23" s="455" t="s">
        <v>576</v>
      </c>
    </row>
    <row r="24" spans="1:22" ht="20.25" customHeight="1" x14ac:dyDescent="0.25">
      <c r="B24" s="352" t="s">
        <v>55</v>
      </c>
      <c r="C24" s="352" t="s">
        <v>56</v>
      </c>
      <c r="D24" s="353" t="s">
        <v>657</v>
      </c>
      <c r="E24" s="353" t="s">
        <v>658</v>
      </c>
      <c r="F24" s="353" t="s">
        <v>659</v>
      </c>
      <c r="G24" s="353" t="s">
        <v>661</v>
      </c>
      <c r="I24" s="352" t="s">
        <v>60</v>
      </c>
      <c r="J24" s="352" t="s">
        <v>664</v>
      </c>
      <c r="K24" s="352" t="s">
        <v>62</v>
      </c>
      <c r="L24" s="352" t="s">
        <v>63</v>
      </c>
      <c r="M24" s="352" t="s">
        <v>665</v>
      </c>
      <c r="N24" s="352" t="s">
        <v>666</v>
      </c>
      <c r="O24" s="353" t="s">
        <v>667</v>
      </c>
      <c r="P24" s="352" t="s">
        <v>69</v>
      </c>
      <c r="Q24" s="354" t="s">
        <v>82</v>
      </c>
      <c r="R24" s="355" t="s">
        <v>577</v>
      </c>
      <c r="S24" s="356" t="s">
        <v>578</v>
      </c>
      <c r="T24" s="365" t="s">
        <v>407</v>
      </c>
      <c r="U24" s="366"/>
      <c r="V24" s="456"/>
    </row>
    <row r="25" spans="1:22" ht="16.5" customHeight="1" x14ac:dyDescent="0.25">
      <c r="B25" s="250" t="n">
        <v>8980.0</v>
      </c>
      <c r="C25" s="251" t="n">
        <v>1.0</v>
      </c>
      <c r="D25" s="252"/>
      <c r="E25" s="253"/>
      <c r="F25" s="253"/>
      <c r="G25" s="253"/>
      <c r="I25" s="250" t="n">
        <v>6000.0</v>
      </c>
      <c r="J25" s="251" t="n">
        <v>2.0</v>
      </c>
      <c r="K25" s="252"/>
      <c r="L25" s="250"/>
      <c r="M25" s="250"/>
      <c r="N25" s="250" t="n">
        <v>6000.0</v>
      </c>
      <c r="O25" s="253" t="s">
        <v>673</v>
      </c>
      <c r="P25" s="19" t="str">
        <f>IF(OR(Q$6="",R$6="",M25=""),"",IF(AND(R$6="C及C以下",OR(M25=$T$34)),$T$38,IF(AND(R$6="B及B以下",OR(M25=$T$33,M25=$T$34)),$T$38,IF(AND(R$6="BB及BB以下",OR(M25=$T$33,M25=$T$34,M25=$T$32)),$T$38,IF(AND(R$6="BBB及BBB以下",OR(M25=$T$33,M25=$T$34,M25=$T$32,M25=$T$31)),$T$38,IF(AND(R$6="A及A以下",OR(M25=$T$33,M25=$T$34,M25=$T$32,M25=$T$31,M25=$T$30)),$T$38,IF(AND(Q$6="B及B以下",OR(M25=$T$33,M25=$T$34)),$T$37,IF(AND(Q$6="BB及BB以下",OR(M25=$T$33,M25=$T$34,M25=$T$32)),$T$37,IF(AND(Q$6="BBB及BBB以下",OR(M25=$T$33,M25=$T$34,M25=$T$32,M25=$T$31)),$T$37,IF(AND(Q$6="A及A以下",OR(M25=$T$33,M25=$T$34,M25=$T$32,M25=$T$31,M25=$T$30)),$T$37,IF(AND(Q$6="AA及AA以下",OR(M25=$T$33,M25=$T$34,M25=$T$32,M25=$T$31,M25=$T$30,M25=$T$29)),$T$37,$T$36)))))))))))</f>
        <v>正常</v>
      </c>
      <c r="Q25" s="248"/>
      <c r="R25" s="241">
        <f>IF(AND($P25=$T$38,$Q25=$R$24),IF($L25=$T$26,$I25*LOOKUP($M25,运营表!$O$52:$U$52,运营表!$O$53:$U$53),T0登记表!$N25),0)</f>
        <v>0</v>
      </c>
      <c r="S25" s="242">
        <f>IF(AND($P25=$T$38,$Q25=$S$24),IF($L25=$T$26,$I25*LOOKUP($M25,运营表!$O$52:$U$52,运营表!$O$53:$U$53)*90%,IF($L25=$T$25,T0登记表!$N25*80%,IF($L25=$T$24,T0登记表!$N25*70%,0))),0)</f>
        <v>0</v>
      </c>
      <c r="T25" s="366" t="s">
        <v>579</v>
      </c>
      <c r="U25" s="366"/>
      <c r="V25" s="243">
        <f>IF($I25=0,0,IF($L25=$T$26,$I25,IF($L25=$T$25,$I25-$N25/2,$I25-$N25))*IF($P25=$T$37,2,IF($P25=$T$36,1,0))*LOOKUP($J25,$T$18:$T$22,$U$18:$U$22)*IF($M25=$R$27,$U$28,IF($M25=$T$29,$U$29,IF($M25=$T$30,$U$30,IF($M25=$T$31,$U$31,IF($M25=$T$32,$U$32,IF($M25=$T$33,$U$33,$U$34)))))))</f>
        <v>7531.0199999999995</v>
      </c>
    </row>
    <row r="26" spans="1:22" ht="16.5" customHeight="1" x14ac:dyDescent="0.25">
      <c r="B26" s="254"/>
      <c r="C26" s="255"/>
      <c r="D26" s="256"/>
      <c r="E26" s="257"/>
      <c r="F26" s="257"/>
      <c r="G26" s="257"/>
      <c r="I26" s="254"/>
      <c r="J26" s="255"/>
      <c r="K26" s="256"/>
      <c r="L26" s="254"/>
      <c r="M26" s="254"/>
      <c r="N26" s="254"/>
      <c r="O26" s="257"/>
      <c r="P26" s="19" t="str">
        <f>IF(OR(Q$6="",R$6="",M26=""),"",IF(AND(R$6="C及C以下",OR(M26=$T$34)),$T$38,IF(AND(R$6="B及B以下",OR(M26=$T$33,M26=$T$34)),$T$38,IF(AND(R$6="BB及BB以下",OR(M26=$T$33,M26=$T$34,M26=$T$32)),$T$38,IF(AND(R$6="BBB及BBB以下",OR(M26=$T$33,M26=$T$34,M26=$T$32,M26=$T$31)),$T$38,IF(AND(R$6="A及A以下",OR(M26=$T$33,M26=$T$34,M26=$T$32,M26=$T$31,M26=$T$30)),$T$38,IF(AND(Q$6="B及B以下",OR(M26=$T$33,M26=$T$34)),$T$37,IF(AND(Q$6="BB及BB以下",OR(M26=$T$33,M26=$T$34,M26=$T$32)),$T$37,IF(AND(Q$6="BBB及BBB以下",OR(M26=$T$33,M26=$T$34,M26=$T$32,M26=$T$31)),$T$37,IF(AND(Q$6="A及A以下",OR(M26=$T$33,M26=$T$34,M26=$T$32,M26=$T$31,M26=$T$30)),$T$37,IF(AND(Q$6="AA及AA以下",OR(M26=$T$33,M26=$T$34,M26=$T$32,M26=$T$31,M26=$T$30,M26=$T$29)),$T$37,$T$36)))))))))))</f>
        <v>正常</v>
      </c>
      <c r="Q26" s="249"/>
      <c r="R26" s="244">
        <f>IF(AND($P26=$T$38,$Q26=$R$24),IF($L26=$T$26,$I26*LOOKUP($M26,运营表!$O$52:$U$52,运营表!$O$53:$U$53),T0登记表!$N26),0)</f>
        <v>0</v>
      </c>
      <c r="S26" s="242">
        <f>IF(AND($P26=$T$38,$Q26=$S$24),IF($L26=$T$26,$I26*LOOKUP($M26,运营表!$O$52:$U$52,运营表!$O$53:$U$53)*90%,IF($L26=$T$25,T0登记表!$N26*80%,IF($L26=$T$24,T0登记表!$N26*70%,0))),0)</f>
        <v>0</v>
      </c>
      <c r="T26" s="366" t="s">
        <v>408</v>
      </c>
      <c r="U26" s="366"/>
      <c r="V26" s="245">
        <f>IF($I26=0,0,IF($L26=$T$26,$I26,IF($L26=$T$25,$I26-$N26/2,$I26-$N26))*IF($P26=$T$37,2,IF($P26=$T$36,1,0))*LOOKUP($J26,$T$18:$T$22,$U$18:$U$22)*IF($M26=$R$27,$U$28,IF($M26=$T$29,$U$29,IF($M26=$T$30,$U$30,IF($M26=$T$31,$U$31,IF($M26=$T$32,$U$32,IF($M26=$T$33,$U$33,$U$34)))))))</f>
        <v>619.20000000000005</v>
      </c>
    </row>
    <row r="27" spans="1:22" ht="16.5" customHeight="1" x14ac:dyDescent="0.25">
      <c r="B27" s="351" t="s">
        <v>2</v>
      </c>
      <c r="C27" s="351"/>
      <c r="D27" s="357"/>
      <c r="I27" s="351" t="s">
        <v>668</v>
      </c>
      <c r="R27" s="452"/>
      <c r="S27" s="453"/>
      <c r="T27" s="453"/>
      <c r="U27" s="453"/>
      <c r="V27" s="454"/>
    </row>
    <row r="28" spans="1:22" ht="17.25" customHeight="1" x14ac:dyDescent="0.25">
      <c r="B28" s="352" t="s">
        <v>55</v>
      </c>
      <c r="C28" s="352" t="s">
        <v>56</v>
      </c>
      <c r="D28" s="358" t="s">
        <v>657</v>
      </c>
      <c r="E28" s="353" t="s">
        <v>66</v>
      </c>
      <c r="F28" s="353" t="s">
        <v>662</v>
      </c>
      <c r="G28" s="353" t="s">
        <v>660</v>
      </c>
      <c r="I28" s="352" t="s">
        <v>60</v>
      </c>
      <c r="J28" s="352" t="s">
        <v>664</v>
      </c>
      <c r="K28" s="352" t="s">
        <v>62</v>
      </c>
      <c r="L28" s="352" t="s">
        <v>63</v>
      </c>
      <c r="M28" s="352" t="s">
        <v>665</v>
      </c>
      <c r="N28" s="352" t="s">
        <v>666</v>
      </c>
      <c r="O28" s="353" t="s">
        <v>667</v>
      </c>
      <c r="P28" s="352" t="s">
        <v>65</v>
      </c>
      <c r="Q28" s="354" t="s">
        <v>82</v>
      </c>
      <c r="R28" s="452"/>
      <c r="S28" s="453"/>
      <c r="T28" s="453"/>
      <c r="U28" s="453"/>
      <c r="V28" s="454"/>
    </row>
    <row r="29" spans="1:22" ht="17.25" customHeight="1" x14ac:dyDescent="0.25">
      <c r="B29" s="250"/>
      <c r="C29" s="251"/>
      <c r="D29" s="252" t="n">
        <v>0.05000000074505806</v>
      </c>
      <c r="E29" s="253"/>
      <c r="F29" s="253"/>
      <c r="G29" s="253"/>
      <c r="I29" s="250"/>
      <c r="J29" s="251"/>
      <c r="K29" s="252"/>
      <c r="L29" s="250"/>
      <c r="M29" s="250"/>
      <c r="N29" s="250"/>
      <c r="O29" s="253"/>
      <c r="P29" s="19" t="str">
        <f>IF(OR(Q$7="",R$7="",M29=""),"",IF(AND(R$7="C及C以下",OR(M29=$T$34)),$T$38,IF(AND(R$7="B及B以下",OR(M29=$T$33,M29=$T$34)),$T$38,IF(AND(R$7="BB及BB以下",OR(M29=$T$33,M29=$T$34,M29=$T$32)),$T$38,IF(AND(R$7="BBB及BBB以下",OR(M29=$T$33,M29=$T$34,M29=$T$32,M29=$T$31)),$T$38,IF(AND(R$7="A及A以下",OR(M29=$T$33,M29=$T$34,M29=$T$32,M29=$T$31,M29=$T$30)),$T$38,IF(AND(Q$7="B及B以下",OR(M29=$T$33,M29=$T$34)),$T$37,IF(AND(Q$7="BB及BB以下",OR(M29=$T$33,M29=$T$34,M29=$T$32)),$T$37,IF(AND(Q$7="BBB及BBB以下",OR(M29=$T$33,M29=$T$34,M29=$T$32,M29=$T$31)),$T$37,IF(AND(Q$7="A及A以下",OR(M29=$T$33,M29=$T$34,M29=$T$32,M29=$T$31,M29=$T$30)),$T$37,IF(AND(Q$7="AA及AA以下",OR(M29=$T$33,M29=$T$34,M29=$T$32,M29=$T$31,M29=$T$30,M29=$T$29)),$T$37,$T$36)))))))))))</f>
        <v/>
      </c>
      <c r="Q29" s="248"/>
      <c r="R29" s="241">
        <f>IF(AND($P29=$T$38,$Q29=$R$24),IF($L29=$T$26,$I29*LOOKUP($M29,运营表!$O$52:$U$52,运营表!$O$53:$U$53),T0登记表!$N29),0)</f>
        <v>0</v>
      </c>
      <c r="S29" s="242">
        <f>IF(AND($P29=$T$38,$Q29=$S$24),IF($L29=$T$26,$I29*LOOKUP($M29,运营表!$O$52:$U$52,运营表!$O$53:$U$53)*90%,IF($L29=$T$25,T0登记表!$N29*80%,IF($L29=$T$24,T0登记表!$N29*70%,0))),0)</f>
        <v>0</v>
      </c>
      <c r="T29" s="365" t="s">
        <v>409</v>
      </c>
      <c r="U29" s="367">
        <v>0.4</v>
      </c>
      <c r="V29" s="243">
        <f>IF($I29=0,0,IF($L29=$T$26,$I29,IF($L29=$T$25,$I29-$N29/2,$I29-$N29))*IF($P29=$T$37,2,IF($P29=$T$36,1,0))*LOOKUP($J29,$T$18:$T$22,$U$18:$U$22)*IF($M29=$R$27,$U$28,IF($M29=$T$29,$U$29,IF($M29=$T$30,$U$30,IF($M29=$T$31,$U$31,IF($M29=$T$32,$U$32,IF($M29=$T$33,$U$33,$U$34)))))))</f>
        <v>0</v>
      </c>
    </row>
    <row r="30" spans="1:22" ht="16.5" customHeight="1" x14ac:dyDescent="0.25">
      <c r="B30" s="254"/>
      <c r="C30" s="255"/>
      <c r="D30" s="256"/>
      <c r="E30" s="257"/>
      <c r="F30" s="257"/>
      <c r="G30" s="257"/>
      <c r="I30" s="254"/>
      <c r="J30" s="255"/>
      <c r="K30" s="256"/>
      <c r="L30" s="254"/>
      <c r="M30" s="254"/>
      <c r="N30" s="254"/>
      <c r="O30" s="257"/>
      <c r="P30" s="19" t="str">
        <f>IF(OR(Q$7="",R$7="",M30=""),"",IF(AND(R$7="C及C以下",OR(M30=$T$34)),$T$38,IF(AND(R$7="B及B以下",OR(M30=$T$33,M30=$T$34)),$T$38,IF(AND(R$7="BB及BB以下",OR(M30=$T$33,M30=$T$34,M30=$T$32)),$T$38,IF(AND(R$7="BBB及BBB以下",OR(M30=$T$33,M30=$T$34,M30=$T$32,M30=$T$31)),$T$38,IF(AND(R$7="A及A以下",OR(M30=$T$33,M30=$T$34,M30=$T$32,M30=$T$31,M30=$T$30)),$T$38,IF(AND(Q$7="B及B以下",OR(M30=$T$33,M30=$T$34)),$T$37,IF(AND(Q$7="BB及BB以下",OR(M30=$T$33,M30=$T$34,M30=$T$32)),$T$37,IF(AND(Q$7="BBB及BBB以下",OR(M30=$T$33,M30=$T$34,M30=$T$32,M30=$T$31)),$T$37,IF(AND(Q$7="A及A以下",OR(M30=$T$33,M30=$T$34,M30=$T$32,M30=$T$31,M30=$T$30)),$T$37,IF(AND(Q$7="AA及AA以下",OR(M30=$T$33,M30=$T$34,M30=$T$32,M30=$T$31,M30=$T$30,M30=$T$29)),$T$37,$T$36)))))))))))</f>
        <v/>
      </c>
      <c r="Q30" s="249"/>
      <c r="R30" s="244">
        <f>IF(AND($P30=$T$38,$Q30=$R$24),IF($L30=$T$26,$I30*LOOKUP($M30,运营表!$O$52:$U$52,运营表!$O$53:$U$53),T0登记表!$N30),0)</f>
        <v>0</v>
      </c>
      <c r="S30" s="242">
        <f>IF(AND($P30=$T$38,$Q30=$S$24),IF($L30=$T$26,$I30*LOOKUP($M30,运营表!$O$52:$U$52,运营表!$O$53:$U$53)*90%,IF($L30=$T$25,T0登记表!$N30*80%,IF($L30=$T$24,T0登记表!$N30*70%,0))),0)</f>
        <v>0</v>
      </c>
      <c r="T30" s="366" t="s">
        <v>410</v>
      </c>
      <c r="U30" s="367">
        <v>0.5</v>
      </c>
      <c r="V30" s="245">
        <f>IF($I30=0,0,IF($L30=$T$26,$I30,IF($L30=$T$25,$I30-$N30/2,$I30-$N30))*IF($P30=$T$37,2,IF($P30=$T$36,1,0))*LOOKUP($J30,$T$18:$T$22,$U$18:$U$22)*IF($M30=$R$27,$U$28,IF($M30=$T$29,$U$29,IF($M30=$T$30,$U$30,IF($M30=$T$31,$U$31,IF($M30=$T$32,$U$32,IF($M30=$T$33,$U$33,$U$34)))))))</f>
        <v>0</v>
      </c>
    </row>
    <row r="31" spans="1:22" ht="17.25" customHeight="1" x14ac:dyDescent="0.25">
      <c r="B31" s="250"/>
      <c r="C31" s="251"/>
      <c r="D31" s="252"/>
      <c r="E31" s="253"/>
      <c r="F31" s="253"/>
      <c r="G31" s="253"/>
      <c r="I31" s="250"/>
      <c r="J31" s="251"/>
      <c r="K31" s="252"/>
      <c r="L31" s="250"/>
      <c r="M31" s="250"/>
      <c r="N31" s="250"/>
      <c r="O31" s="253"/>
      <c r="P31" s="19" t="str">
        <f>IF(OR(Q$7="",R$7="",M31=""),"",IF(AND(R$7="C及C以下",OR(M31=$T$34)),$T$38,IF(AND(R$7="B及B以下",OR(M31=$T$33,M31=$T$34)),$T$38,IF(AND(R$7="BB及BB以下",OR(M31=$T$33,M31=$T$34,M31=$T$32)),$T$38,IF(AND(R$7="BBB及BBB以下",OR(M31=$T$33,M31=$T$34,M31=$T$32,M31=$T$31)),$T$38,IF(AND(R$7="A及A以下",OR(M31=$T$33,M31=$T$34,M31=$T$32,M31=$T$31,M31=$T$30)),$T$38,IF(AND(Q$7="B及B以下",OR(M31=$T$33,M31=$T$34)),$T$37,IF(AND(Q$7="BB及BB以下",OR(M31=$T$33,M31=$T$34,M31=$T$32)),$T$37,IF(AND(Q$7="BBB及BBB以下",OR(M31=$T$33,M31=$T$34,M31=$T$32,M31=$T$31)),$T$37,IF(AND(Q$7="A及A以下",OR(M31=$T$33,M31=$T$34,M31=$T$32,M31=$T$31,M31=$T$30)),$T$37,IF(AND(Q$7="AA及AA以下",OR(M31=$T$33,M31=$T$34,M31=$T$32,M31=$T$31,M31=$T$30,M31=$T$29)),$T$37,$T$36)))))))))))</f>
        <v/>
      </c>
      <c r="Q31" s="248"/>
      <c r="R31" s="241">
        <f>IF(AND($P31=$T$38,$Q31=$R$24),IF($L31=$T$26,$I31*LOOKUP($M31,运营表!$O$52:$U$52,运营表!$O$53:$U$53),T0登记表!$N31),0)</f>
        <v>0</v>
      </c>
      <c r="S31" s="242">
        <f>IF(AND($P31=$T$38,$Q31=$S$24),IF($L31=$T$26,$I31*LOOKUP($M31,运营表!$O$52:$U$52,运营表!$O$53:$U$53)*90%,IF($L31=$T$25,T0登记表!$N31*80%,IF($L31=$T$24,T0登记表!$N31*70%,0))),0)</f>
        <v>0</v>
      </c>
      <c r="T31" s="366" t="s">
        <v>411</v>
      </c>
      <c r="U31" s="367">
        <v>0.6</v>
      </c>
      <c r="V31" s="243">
        <f>IF($I31=0,0,IF($L31=$T$26,$I31,IF($L31=$T$25,$I31-$N31/2,$I31-$N31))*IF($P31=$T$37,2,IF($P31=$T$36,1,0))*LOOKUP($J31,$T$18:$T$22,$U$18:$U$22)*IF($M31=$R$27,$U$28,IF($M31=$T$29,$U$29,IF($M31=$T$30,$U$30,IF($M31=$T$31,$U$31,IF($M31=$T$32,$U$32,IF($M31=$T$33,$U$33,$U$34)))))))</f>
        <v>0</v>
      </c>
    </row>
    <row r="32" spans="1:22" ht="17.25" customHeight="1" x14ac:dyDescent="0.25">
      <c r="B32" s="254"/>
      <c r="C32" s="255"/>
      <c r="D32" s="256"/>
      <c r="E32" s="257"/>
      <c r="F32" s="257"/>
      <c r="G32" s="257"/>
      <c r="I32" s="254"/>
      <c r="J32" s="255"/>
      <c r="K32" s="256"/>
      <c r="L32" s="254"/>
      <c r="M32" s="254"/>
      <c r="N32" s="254"/>
      <c r="O32" s="257"/>
      <c r="P32" s="19" t="str">
        <f>IF(OR(Q$7="",R$7="",M32=""),"",IF(AND(R$7="C及C以下",OR(M32=$T$34)),$T$38,IF(AND(R$7="B及B以下",OR(M32=$T$33,M32=$T$34)),$T$38,IF(AND(R$7="BB及BB以下",OR(M32=$T$33,M32=$T$34,M32=$T$32)),$T$38,IF(AND(R$7="BBB及BBB以下",OR(M32=$T$33,M32=$T$34,M32=$T$32,M32=$T$31)),$T$38,IF(AND(R$7="A及A以下",OR(M32=$T$33,M32=$T$34,M32=$T$32,M32=$T$31,M32=$T$30)),$T$38,IF(AND(Q$7="B及B以下",OR(M32=$T$33,M32=$T$34)),$T$37,IF(AND(Q$7="BB及BB以下",OR(M32=$T$33,M32=$T$34,M32=$T$32)),$T$37,IF(AND(Q$7="BBB及BBB以下",OR(M32=$T$33,M32=$T$34,M32=$T$32,M32=$T$31)),$T$37,IF(AND(Q$7="A及A以下",OR(M32=$T$33,M32=$T$34,M32=$T$32,M32=$T$31,M32=$T$30)),$T$37,IF(AND(Q$7="AA及AA以下",OR(M32=$T$33,M32=$T$34,M32=$T$32,M32=$T$31,M32=$T$30,M32=$T$29)),$T$37,$T$36)))))))))))</f>
        <v/>
      </c>
      <c r="Q32" s="249"/>
      <c r="R32" s="244">
        <f>IF(AND($P32=$T$38,$Q32=$R$24),IF($L32=$T$26,$I32*LOOKUP($M32,运营表!$O$52:$U$52,运营表!$O$53:$U$53),T0登记表!$N32),0)</f>
        <v>0</v>
      </c>
      <c r="S32" s="242">
        <f>IF(AND($P32=$T$38,$Q32=$S$24),IF($L32=$T$26,$I32*LOOKUP($M32,运营表!$O$52:$U$52,运营表!$O$53:$U$53)*90%,IF($L32=$T$25,T0登记表!$N32*80%,IF($L32=$T$24,T0登记表!$N32*70%,0))),0)</f>
        <v>0</v>
      </c>
      <c r="T32" s="366" t="s">
        <v>412</v>
      </c>
      <c r="U32" s="367">
        <v>0.7</v>
      </c>
      <c r="V32" s="245">
        <f>IF($I32=0,0,IF($L32=$T$26,$I32,IF($L32=$T$25,$I32-$N32/2,$I32-$N32))*IF($P32=$T$37,2,IF($P32=$T$36,1,0))*LOOKUP($J32,$T$18:$T$22,$U$18:$U$22)*IF($M32=$R$27,$U$28,IF($M32=$T$29,$U$29,IF($M32=$T$30,$U$30,IF($M32=$T$31,$U$31,IF($M32=$T$32,$U$32,IF($M32=$T$33,$U$33,$U$34)))))))</f>
        <v>0</v>
      </c>
    </row>
    <row r="33" spans="2:22" ht="17.25" customHeight="1" x14ac:dyDescent="0.25">
      <c r="B33" s="351" t="s">
        <v>3</v>
      </c>
      <c r="C33" s="351"/>
      <c r="D33" s="357"/>
      <c r="I33" s="351" t="s">
        <v>3</v>
      </c>
      <c r="R33" s="452"/>
      <c r="S33" s="453"/>
      <c r="T33" s="453" t="s">
        <v>413</v>
      </c>
      <c r="U33" s="453">
        <v>0.8</v>
      </c>
      <c r="V33" s="454"/>
    </row>
    <row r="34" spans="2:22" ht="15.6" x14ac:dyDescent="0.25">
      <c r="B34" s="352" t="s">
        <v>55</v>
      </c>
      <c r="C34" s="352" t="s">
        <v>56</v>
      </c>
      <c r="D34" s="358" t="s">
        <v>657</v>
      </c>
      <c r="E34" s="353" t="s">
        <v>66</v>
      </c>
      <c r="F34" s="353" t="s">
        <v>662</v>
      </c>
      <c r="G34" s="353" t="s">
        <v>660</v>
      </c>
      <c r="I34" s="352" t="s">
        <v>60</v>
      </c>
      <c r="J34" s="352" t="s">
        <v>75</v>
      </c>
      <c r="K34" s="352" t="s">
        <v>62</v>
      </c>
      <c r="L34" s="352" t="s">
        <v>63</v>
      </c>
      <c r="M34" s="352" t="s">
        <v>64</v>
      </c>
      <c r="N34" s="352" t="s">
        <v>68</v>
      </c>
      <c r="O34" s="353" t="s">
        <v>660</v>
      </c>
      <c r="P34" s="352" t="s">
        <v>69</v>
      </c>
      <c r="Q34" s="354" t="s">
        <v>82</v>
      </c>
      <c r="R34" s="452"/>
      <c r="S34" s="453"/>
      <c r="T34" s="453" t="s">
        <v>414</v>
      </c>
      <c r="U34" s="453">
        <v>0.9</v>
      </c>
      <c r="V34" s="454"/>
    </row>
    <row r="35" spans="2:22" ht="15.6" x14ac:dyDescent="0.25">
      <c r="B35" s="250"/>
      <c r="C35" s="251"/>
      <c r="D35" s="252"/>
      <c r="E35" s="253" t="s">
        <v>398</v>
      </c>
      <c r="F35" s="253"/>
      <c r="G35" s="253"/>
      <c r="I35" s="250" t="n">
        <v>6000.0</v>
      </c>
      <c r="J35" s="251" t="n">
        <v>2.0</v>
      </c>
      <c r="K35" s="252" t="n">
        <v>0.05000000074505806</v>
      </c>
      <c r="L35" s="250" t="s">
        <v>485</v>
      </c>
      <c r="M35" s="250" t="s">
        <v>559</v>
      </c>
      <c r="N35" s="250" t="n">
        <v>6000.0</v>
      </c>
      <c r="O35" s="253"/>
      <c r="P35" s="19" t="str">
        <f>IF(OR(Q$8="",R$8="",M35=""),"",IF(AND(R$8="C及C以下",OR(M35=$T$34)),$T$38,IF(AND(R$8="B及B以下",OR(M35=$T$33,M35=$T$34)),$T$38,IF(AND(R$8="BB及BB以下",OR(M35=$T$33,M35=$T$34,M35=$T$32)),$T$38,IF(AND(R$8="BBB及BBB以下",OR(M35=$T$33,M35=$T$34,M35=$T$32,M35=$T$31)),$T$38,IF(AND(R$8="A及A以下",OR(M35=$T$33,M35=$T$34,M35=$T$32,M35=$T$31,M35=$T$30)),$T$38,IF(AND(Q$8="B及B以下",OR(M35=$T$33,M35=$T$34)),$T$37,IF(AND(Q$8="BB及BB以下",OR(M35=$T$33,M35=$T$34,M35=$T$32)),$T$37,IF(AND(Q$8="BBB及BBB以下",OR(M35=$T$33,M35=$T$34,M35=$T$32,M35=$T$31)),$T$37,IF(AND(Q$8="A及A以下",OR(M35=$T$33,M35=$T$34,M35=$T$32,M35=$T$31,M35=$T$30)),$T$37,IF(AND(Q$8="AA及AA以下",OR(M35=$T$33,M35=$T$34,M35=$T$32,M35=$T$31,M35=$T$30,M35=$T$29)),$T$37,$T$36)))))))))))</f>
        <v>正常</v>
      </c>
      <c r="Q35" s="248"/>
      <c r="R35" s="241">
        <f>IF(AND($P35=$T$38,$Q35=$R$24),IF($L35=$T$26,$I35*LOOKUP($M35,运营表!$O$52:$U$52,运营表!$O$53:$U$53),T0登记表!$N35),0)</f>
        <v>0</v>
      </c>
      <c r="S35" s="242">
        <f>IF(AND($P35=$T$38,$Q35=$S$24),IF($L35=$T$26,$I35*LOOKUP($M35,运营表!$O$52:$U$52,运营表!$O$53:$U$53)*90%,IF($L35=$T$25,T0登记表!$N35*80%,IF($L35=$T$24,T0登记表!$N35*70%,0))),0)</f>
        <v>0</v>
      </c>
      <c r="T35" s="365"/>
      <c r="U35" s="365"/>
      <c r="V35" s="243">
        <f>IF($I35=0,0,IF($L35=$T$26,$I35,IF($L35=$T$25,$I35-$N35/2,$I35-$N35))*IF($P35=$T$37,2,IF($P35=$T$36,1,0))*LOOKUP($J35,$T$18:$T$22,$U$18:$U$22)*IF($M35=$R$27,$U$28,IF($M35=$T$29,$U$29,IF($M35=$T$30,$U$30,IF($M35=$T$31,$U$31,IF($M35=$T$32,$U$32,IF($M35=$T$33,$U$33,$U$34)))))))</f>
        <v>2640.0000000000005</v>
      </c>
    </row>
    <row r="36" spans="2:22" ht="15.6" x14ac:dyDescent="0.25">
      <c r="B36" s="254"/>
      <c r="C36" s="255"/>
      <c r="D36" s="256"/>
      <c r="E36" s="257"/>
      <c r="F36" s="257"/>
      <c r="G36" s="257"/>
      <c r="I36" s="254"/>
      <c r="J36" s="255"/>
      <c r="K36" s="256"/>
      <c r="L36" s="254"/>
      <c r="M36" s="254"/>
      <c r="N36" s="254"/>
      <c r="O36" s="257"/>
      <c r="P36" s="19" t="str">
        <f>IF(OR(Q$8="",R$8="",M36=""),"",IF(AND(R$8="C及C以下",OR(M36=$T$34)),$T$38,IF(AND(R$8="B及B以下",OR(M36=$T$33,M36=$T$34)),$T$38,IF(AND(R$8="BB及BB以下",OR(M36=$T$33,M36=$T$34,M36=$T$32)),$T$38,IF(AND(R$8="BBB及BBB以下",OR(M36=$T$33,M36=$T$34,M36=$T$32,M36=$T$31)),$T$38,IF(AND(R$8="A及A以下",OR(M36=$T$33,M36=$T$34,M36=$T$32,M36=$T$31,M36=$T$30)),$T$38,IF(AND(Q$8="B及B以下",OR(M36=$T$33,M36=$T$34)),$T$37,IF(AND(Q$8="BB及BB以下",OR(M36=$T$33,M36=$T$34,M36=$T$32)),$T$37,IF(AND(Q$8="BBB及BBB以下",OR(M36=$T$33,M36=$T$34,M36=$T$32,M36=$T$31)),$T$37,IF(AND(Q$8="A及A以下",OR(M36=$T$33,M36=$T$34,M36=$T$32,M36=$T$31,M36=$T$30)),$T$37,IF(AND(Q$8="AA及AA以下",OR(M36=$T$33,M36=$T$34,M36=$T$32,M36=$T$31,M36=$T$30,M36=$T$29)),$T$37,$T$36)))))))))))</f>
        <v/>
      </c>
      <c r="Q36" s="249"/>
      <c r="R36" s="244">
        <f>IF(AND($P36=$T$38,$Q36=$R$24),IF($L36=$T$26,$I36*LOOKUP($M36,运营表!$O$52:$U$52,运营表!$O$53:$U$53),T0登记表!$N36),0)</f>
        <v>0</v>
      </c>
      <c r="S36" s="242">
        <f>IF(AND($P36=$T$38,$Q36=$S$24),IF($L36=$T$26,$I36*LOOKUP($M36,运营表!$O$52:$U$52,运营表!$O$53:$U$53)*90%,IF($L36=$T$25,T0登记表!$N36*80%,IF($L36=$T$24,T0登记表!$N36*70%,0))),0)</f>
        <v>0</v>
      </c>
      <c r="T36" s="365" t="s">
        <v>574</v>
      </c>
      <c r="U36" s="366"/>
      <c r="V36" s="245">
        <f>IF($I36=0,0,IF($L36=$T$26,$I36,IF($L36=$T$25,$I36-$N36/2,$I36-$N36))*IF($P36=$T$37,2,IF($P36=$T$36,1,0))*LOOKUP($J36,$T$18:$T$22,$U$18:$U$22)*IF($M36=$R$27,$U$28,IF($M36=$T$29,$U$29,IF($M36=$T$30,$U$30,IF($M36=$T$31,$U$31,IF($M36=$T$32,$U$32,IF($M36=$T$33,$U$33,$U$34)))))))</f>
        <v>0</v>
      </c>
    </row>
    <row r="37" spans="2:22" ht="15.6" x14ac:dyDescent="0.25">
      <c r="B37" s="250"/>
      <c r="C37" s="251"/>
      <c r="D37" s="252"/>
      <c r="E37" s="253"/>
      <c r="F37" s="253"/>
      <c r="G37" s="253"/>
      <c r="I37" s="250"/>
      <c r="J37" s="251"/>
      <c r="K37" s="252"/>
      <c r="L37" s="250"/>
      <c r="M37" s="250"/>
      <c r="N37" s="250"/>
      <c r="O37" s="253"/>
      <c r="P37" s="19" t="str">
        <f>IF(OR(Q$8="",R$8="",M37=""),"",IF(AND(R$8="C及C以下",OR(M37=$T$34)),$T$38,IF(AND(R$8="B及B以下",OR(M37=$T$33,M37=$T$34)),$T$38,IF(AND(R$8="BB及BB以下",OR(M37=$T$33,M37=$T$34,M37=$T$32)),$T$38,IF(AND(R$8="BBB及BBB以下",OR(M37=$T$33,M37=$T$34,M37=$T$32,M37=$T$31)),$T$38,IF(AND(R$8="A及A以下",OR(M37=$T$33,M37=$T$34,M37=$T$32,M37=$T$31,M37=$T$30)),$T$38,IF(AND(Q$8="B及B以下",OR(M37=$T$33,M37=$T$34)),$T$37,IF(AND(Q$8="BB及BB以下",OR(M37=$T$33,M37=$T$34,M37=$T$32)),$T$37,IF(AND(Q$8="BBB及BBB以下",OR(M37=$T$33,M37=$T$34,M37=$T$32,M37=$T$31)),$T$37,IF(AND(Q$8="A及A以下",OR(M37=$T$33,M37=$T$34,M37=$T$32,M37=$T$31,M37=$T$30)),$T$37,IF(AND(Q$8="AA及AA以下",OR(M37=$T$33,M37=$T$34,M37=$T$32,M37=$T$31,M37=$T$30,M37=$T$29)),$T$37,$T$36)))))))))))</f>
        <v/>
      </c>
      <c r="Q37" s="248"/>
      <c r="R37" s="241">
        <f>IF(AND($P37=$T$38,$Q37=$R$24),IF($L37=$T$26,$I37*LOOKUP($M37,运营表!$O$52:$U$52,运营表!$O$53:$U$53),T0登记表!$N37),0)</f>
        <v>0</v>
      </c>
      <c r="S37" s="242">
        <f>IF(AND($P37=$T$38,$Q37=$S$24),IF($L37=$T$26,$I37*LOOKUP($M37,运营表!$O$52:$U$52,运营表!$O$53:$U$53)*90%,IF($L37=$T$25,T0登记表!$N37*80%,IF($L37=$T$24,T0登记表!$N37*70%,0))),0)</f>
        <v>0</v>
      </c>
      <c r="T37" s="366" t="s">
        <v>415</v>
      </c>
      <c r="U37" s="366"/>
      <c r="V37" s="245">
        <f>IF($I37=0,0,IF($L37=$T$26,$I37,IF($L37=$T$25,$I37-$N37/2,$I37-$N37))*IF($P37=$T$37,2,IF($P37=$T$36,1,0))*LOOKUP($J37,$T$18:$T$22,$U$18:$U$22)*IF($M37=$R$27,$U$28,IF($M37=$T$29,$U$29,IF($M37=$T$30,$U$30,IF($M37=$T$31,$U$31,IF($M37=$T$32,$U$32,IF($M37=$T$33,$U$33,$U$34)))))))</f>
        <v>0</v>
      </c>
    </row>
    <row r="38" spans="2:22" ht="15.6" x14ac:dyDescent="0.25">
      <c r="B38" s="254"/>
      <c r="C38" s="255"/>
      <c r="D38" s="256"/>
      <c r="E38" s="257"/>
      <c r="F38" s="257"/>
      <c r="G38" s="257"/>
      <c r="I38" s="254"/>
      <c r="J38" s="255"/>
      <c r="K38" s="256"/>
      <c r="L38" s="254"/>
      <c r="M38" s="254"/>
      <c r="N38" s="254"/>
      <c r="O38" s="257"/>
      <c r="P38" s="19" t="str">
        <f>IF(OR(Q$8="",R$8="",M38=""),"",IF(AND(R$8="C及C以下",OR(M38=$T$34)),$T$38,IF(AND(R$8="B及B以下",OR(M38=$T$33,M38=$T$34)),$T$38,IF(AND(R$8="BB及BB以下",OR(M38=$T$33,M38=$T$34,M38=$T$32)),$T$38,IF(AND(R$8="BBB及BBB以下",OR(M38=$T$33,M38=$T$34,M38=$T$32,M38=$T$31)),$T$38,IF(AND(R$8="A及A以下",OR(M38=$T$33,M38=$T$34,M38=$T$32,M38=$T$31,M38=$T$30)),$T$38,IF(AND(Q$8="B及B以下",OR(M38=$T$33,M38=$T$34)),$T$37,IF(AND(Q$8="BB及BB以下",OR(M38=$T$33,M38=$T$34,M38=$T$32)),$T$37,IF(AND(Q$8="BBB及BBB以下",OR(M38=$T$33,M38=$T$34,M38=$T$32,M38=$T$31)),$T$37,IF(AND(Q$8="A及A以下",OR(M38=$T$33,M38=$T$34,M38=$T$32,M38=$T$31,M38=$T$30)),$T$37,IF(AND(Q$8="AA及AA以下",OR(M38=$T$33,M38=$T$34,M38=$T$32,M38=$T$31,M38=$T$30,M38=$T$29)),$T$37,$T$36)))))))))))</f>
        <v/>
      </c>
      <c r="Q38" s="249"/>
      <c r="R38" s="244">
        <f>IF(AND($P38=$T$38,$Q38=$R$24),IF($L38=$T$26,$I38*LOOKUP($M38,运营表!$O$52:$U$52,运营表!$O$53:$U$53),T0登记表!$N38),0)</f>
        <v>0</v>
      </c>
      <c r="S38" s="242">
        <f>IF(AND($P38=$T$38,$Q38=$S$24),IF($L38=$T$26,$I38*LOOKUP($M38,运营表!$O$52:$U$52,运营表!$O$53:$U$53)*90%,IF($L38=$T$25,T0登记表!$N38*80%,IF($L38=$T$24,T0登记表!$N38*70%,0))),0)</f>
        <v>0</v>
      </c>
      <c r="T38" s="366" t="s">
        <v>575</v>
      </c>
      <c r="U38" s="366"/>
      <c r="V38" s="245">
        <f>IF($I38=0,0,IF($L38=$T$26,$I38,IF($L38=$T$25,$I38-$N38/2,$I38-$N38))*IF($P38=$T$37,2,IF($P38=$T$36,1,0))*LOOKUP($J38,$T$18:$T$22,$U$18:$U$22)*IF($M38=$R$27,$U$28,IF($M38=$T$29,$U$29,IF($M38=$T$30,$U$30,IF($M38=$T$31,$U$31,IF($M38=$T$32,$U$32,IF($M38=$T$33,$U$33,$U$34)))))))</f>
        <v>0</v>
      </c>
    </row>
    <row r="39" spans="2:22" ht="15.6" x14ac:dyDescent="0.25">
      <c r="B39" s="351" t="s">
        <v>4</v>
      </c>
      <c r="C39" s="359"/>
      <c r="D39" s="360"/>
      <c r="I39" s="351" t="s">
        <v>4</v>
      </c>
      <c r="R39" s="452"/>
      <c r="S39" s="453"/>
      <c r="T39" s="453"/>
      <c r="U39" s="453"/>
      <c r="V39" s="454"/>
    </row>
    <row r="40" spans="2:22" ht="15.6" x14ac:dyDescent="0.25">
      <c r="B40" s="352" t="s">
        <v>55</v>
      </c>
      <c r="C40" s="352" t="s">
        <v>56</v>
      </c>
      <c r="D40" s="358" t="s">
        <v>657</v>
      </c>
      <c r="E40" s="353" t="s">
        <v>66</v>
      </c>
      <c r="F40" s="353" t="s">
        <v>662</v>
      </c>
      <c r="G40" s="353" t="s">
        <v>660</v>
      </c>
      <c r="I40" s="352" t="s">
        <v>60</v>
      </c>
      <c r="J40" s="352" t="s">
        <v>75</v>
      </c>
      <c r="K40" s="352" t="s">
        <v>62</v>
      </c>
      <c r="L40" s="352" t="s">
        <v>63</v>
      </c>
      <c r="M40" s="352" t="s">
        <v>64</v>
      </c>
      <c r="N40" s="352" t="s">
        <v>68</v>
      </c>
      <c r="O40" s="353" t="s">
        <v>660</v>
      </c>
      <c r="P40" s="352" t="s">
        <v>65</v>
      </c>
      <c r="Q40" s="354" t="s">
        <v>82</v>
      </c>
      <c r="R40" s="452"/>
      <c r="S40" s="453"/>
      <c r="T40" s="453" t="s">
        <v>416</v>
      </c>
      <c r="U40" s="453"/>
      <c r="V40" s="454"/>
    </row>
    <row r="41" spans="2:22" ht="15.6" x14ac:dyDescent="0.25">
      <c r="B41" s="250"/>
      <c r="C41" s="251"/>
      <c r="D41" s="252"/>
      <c r="E41" s="253"/>
      <c r="F41" s="253"/>
      <c r="G41" s="253"/>
      <c r="I41" s="250"/>
      <c r="J41" s="251"/>
      <c r="K41" s="252"/>
      <c r="L41" s="250"/>
      <c r="M41" s="250"/>
      <c r="N41" s="250"/>
      <c r="O41" s="253"/>
      <c r="P41" s="19" t="str">
        <f>IF(OR(Q$9="",R$9="",M41=""),"",IF(AND(R$9="C及C以下",OR(M41=$T$34)),$T$38,IF(AND(R$9="B及B以下",OR(M41=$T$33,M41=$T$34)),$T$38,IF(AND(R$9="BB及BB以下",OR(M41=$T$33,M41=$T$34,M41=$T$32)),$T$38,IF(AND(R$9="BBB及BBB以下",OR(M41=$T$33,M41=$T$34,M41=$T$32,M41=$T$31)),$T$38,IF(AND(R$9="A及A以下",OR(M41=$T$33,M41=$T$34,M41=$T$32,M41=$T$31,M41=$T$30)),$T$38,IF(AND(Q$9="B及B以下",OR(M41=$T$33,M41=$T$34)),$T$37,IF(AND(Q$9="BB及BB以下",OR(M41=$T$33,M41=$T$34,M41=$T$32)),$T$37,IF(AND(Q$9="BBB及BBB以下",OR(M41=$T$33,M41=$T$34,M41=$T$32,M41=$T$31)),$T$37,IF(AND(Q$9="A及A以下",OR(M41=$T$33,M41=$T$34,M41=$T$32,M41=$T$31,M41=$T$30)),$T$37,IF(AND(Q$9="AA及AA以下",OR(M41=$T$33,M41=$T$34,M41=$T$32,M41=$T$31,M41=$T$30,M41=$T$29)),$T$37,$T$36)))))))))))</f>
        <v/>
      </c>
      <c r="Q41" s="248"/>
      <c r="R41" s="241">
        <f>IF(AND($P41=$T$38,$Q41=$R$24),IF($L41=$T$26,$I41*LOOKUP($M41,运营表!$O$52:$U$52,运营表!$O$53:$U$53),T0登记表!$N41),0)</f>
        <v>0</v>
      </c>
      <c r="S41" s="242">
        <f>IF(AND($P41=$T$38,$Q41=$S$24),IF($L41=$T$26,$I41*LOOKUP($M41,运营表!$O$52:$U$52,运营表!$O$53:$U$53)*90%,IF($L41=$T$25,T0登记表!$N41*80%,IF($L41=$T$24,T0登记表!$N41*70%,0))),0)</f>
        <v>0</v>
      </c>
      <c r="T41" s="365" t="s">
        <v>417</v>
      </c>
      <c r="U41" s="366"/>
      <c r="V41" s="243">
        <f>IF($I41=0,0,IF($L41=$T$26,$I41,IF($L41=$T$25,$I41-$N41/2,$I41-$N41))*IF($P41=$T$37,2,IF($P41=$T$36,1,0))*LOOKUP($J41,$T$18:$T$22,$U$18:$U$22)*IF($M41=$R$27,$U$28,IF($M41=$T$29,$U$29,IF($M41=$T$30,$U$30,IF($M41=$T$31,$U$31,IF($M41=$T$32,$U$32,IF($M41=$T$33,$U$33,$U$34)))))))</f>
        <v>0</v>
      </c>
    </row>
    <row r="42" spans="2:22" ht="15.6" x14ac:dyDescent="0.25">
      <c r="B42" s="254"/>
      <c r="C42" s="255"/>
      <c r="D42" s="256"/>
      <c r="E42" s="257"/>
      <c r="F42" s="257"/>
      <c r="G42" s="257"/>
      <c r="I42" s="254"/>
      <c r="J42" s="255"/>
      <c r="K42" s="256"/>
      <c r="L42" s="254"/>
      <c r="M42" s="254"/>
      <c r="N42" s="254"/>
      <c r="O42" s="257"/>
      <c r="P42" s="19" t="str">
        <f>IF(OR(Q$9="",R$9="",M42=""),"",IF(AND(R$9="C及C以下",OR(M42=$T$34)),$T$38,IF(AND(R$9="B及B以下",OR(M42=$T$33,M42=$T$34)),$T$38,IF(AND(R$9="BB及BB以下",OR(M42=$T$33,M42=$T$34,M42=$T$32)),$T$38,IF(AND(R$9="BBB及BBB以下",OR(M42=$T$33,M42=$T$34,M42=$T$32,M42=$T$31)),$T$38,IF(AND(R$9="A及A以下",OR(M42=$T$33,M42=$T$34,M42=$T$32,M42=$T$31,M42=$T$30)),$T$38,IF(AND(Q$9="B及B以下",OR(M42=$T$33,M42=$T$34)),$T$37,IF(AND(Q$9="BB及BB以下",OR(M42=$T$33,M42=$T$34,M42=$T$32)),$T$37,IF(AND(Q$9="BBB及BBB以下",OR(M42=$T$33,M42=$T$34,M42=$T$32,M42=$T$31)),$T$37,IF(AND(Q$9="A及A以下",OR(M42=$T$33,M42=$T$34,M42=$T$32,M42=$T$31,M42=$T$30)),$T$37,IF(AND(Q$9="AA及AA以下",OR(M42=$T$33,M42=$T$34,M42=$T$32,M42=$T$31,M42=$T$30,M42=$T$29)),$T$37,$T$36)))))))))))</f>
        <v/>
      </c>
      <c r="Q42" s="249"/>
      <c r="R42" s="244">
        <f>IF(AND($P42=$T$38,$Q42=$R$24),IF($L42=$T$26,$I42*LOOKUP($M42,运营表!$O$52:$U$52,运营表!$O$53:$U$53),T0登记表!$N42),0)</f>
        <v>0</v>
      </c>
      <c r="S42" s="242">
        <f>IF(AND($P42=$T$38,$Q42=$S$24),IF($L42=$T$26,$I42*LOOKUP($M42,运营表!$O$52:$U$52,运营表!$O$53:$U$53)*90%,IF($L42=$T$25,T0登记表!$N42*80%,IF($L42=$T$24,T0登记表!$N42*70%,0))),0)</f>
        <v>0</v>
      </c>
      <c r="T42" s="366"/>
      <c r="U42" s="366"/>
      <c r="V42" s="245">
        <f>IF($I42=0,0,IF($L42=$T$26,$I42,IF($L42=$T$25,$I42-$N42/2,$I42-$N42))*IF($P42=$T$37,2,IF($P42=$T$36,1,0))*LOOKUP($J42,$T$18:$T$22,$U$18:$U$22)*IF($M42=$R$27,$U$28,IF($M42=$T$29,$U$29,IF($M42=$T$30,$U$30,IF($M42=$T$31,$U$31,IF($M42=$T$32,$U$32,IF($M42=$T$33,$U$33,$U$34)))))))</f>
        <v>0</v>
      </c>
    </row>
    <row r="43" spans="2:22" ht="15.6" x14ac:dyDescent="0.25">
      <c r="B43" s="250"/>
      <c r="C43" s="251"/>
      <c r="D43" s="252"/>
      <c r="E43" s="253"/>
      <c r="F43" s="253"/>
      <c r="G43" s="253"/>
      <c r="I43" s="250"/>
      <c r="J43" s="251"/>
      <c r="K43" s="252"/>
      <c r="L43" s="250"/>
      <c r="M43" s="250"/>
      <c r="N43" s="250"/>
      <c r="O43" s="253"/>
      <c r="P43" s="19" t="str">
        <f>IF(OR(Q$9="",R$9="",M43=""),"",IF(AND(R$9="C及C以下",OR(M43=$T$34)),$T$38,IF(AND(R$9="B及B以下",OR(M43=$T$33,M43=$T$34)),$T$38,IF(AND(R$9="BB及BB以下",OR(M43=$T$33,M43=$T$34,M43=$T$32)),$T$38,IF(AND(R$9="BBB及BBB以下",OR(M43=$T$33,M43=$T$34,M43=$T$32,M43=$T$31)),$T$38,IF(AND(R$9="A及A以下",OR(M43=$T$33,M43=$T$34,M43=$T$32,M43=$T$31,M43=$T$30)),$T$38,IF(AND(Q$9="B及B以下",OR(M43=$T$33,M43=$T$34)),$T$37,IF(AND(Q$9="BB及BB以下",OR(M43=$T$33,M43=$T$34,M43=$T$32)),$T$37,IF(AND(Q$9="BBB及BBB以下",OR(M43=$T$33,M43=$T$34,M43=$T$32,M43=$T$31)),$T$37,IF(AND(Q$9="A及A以下",OR(M43=$T$33,M43=$T$34,M43=$T$32,M43=$T$31,M43=$T$30)),$T$37,IF(AND(Q$9="AA及AA以下",OR(M43=$T$33,M43=$T$34,M43=$T$32,M43=$T$31,M43=$T$30,M43=$T$29)),$T$37,$T$36)))))))))))</f>
        <v/>
      </c>
      <c r="Q43" s="248"/>
      <c r="R43" s="241">
        <f>IF(AND($P43=$T$38,$Q43=$R$24),IF($L43=$T$26,$I43*LOOKUP($M43,运营表!$O$52:$U$52,运营表!$O$53:$U$53),T0登记表!$N43),0)</f>
        <v>0</v>
      </c>
      <c r="S43" s="242">
        <f>IF(AND($P43=$T$38,$Q43=$S$24),IF($L43=$T$26,$I43*LOOKUP($M43,运营表!$O$52:$U$52,运营表!$O$53:$U$53)*90%,IF($L43=$T$25,T0登记表!$N43*80%,IF($L43=$T$24,T0登记表!$N43*70%,0))),0)</f>
        <v>0</v>
      </c>
      <c r="T43" s="366"/>
      <c r="U43" s="366"/>
      <c r="V43" s="245">
        <f>IF($I43=0,0,IF($L43=$T$26,$I43,IF($L43=$T$25,$I43-$N43/2,$I43-$N43))*IF($P43=$T$37,2,IF($P43=$T$36,1,0))*LOOKUP($J43,$T$18:$T$22,$U$18:$U$22)*IF($M43=$R$27,$U$28,IF($M43=$T$29,$U$29,IF($M43=$T$30,$U$30,IF($M43=$T$31,$U$31,IF($M43=$T$32,$U$32,IF($M43=$T$33,$U$33,$U$34)))))))</f>
        <v>0</v>
      </c>
    </row>
    <row r="44" spans="2:22" ht="15.6" x14ac:dyDescent="0.25">
      <c r="B44" s="254"/>
      <c r="C44" s="255"/>
      <c r="D44" s="256"/>
      <c r="E44" s="257"/>
      <c r="F44" s="257"/>
      <c r="G44" s="257"/>
      <c r="I44" s="254"/>
      <c r="J44" s="255"/>
      <c r="K44" s="256"/>
      <c r="L44" s="254"/>
      <c r="M44" s="254"/>
      <c r="N44" s="254"/>
      <c r="O44" s="257"/>
      <c r="P44" s="19" t="str">
        <f>IF(OR(Q$9="",R$9="",M44=""),"",IF(AND(R$9="C及C以下",OR(M44=$T$34)),$T$38,IF(AND(R$9="B及B以下",OR(M44=$T$33,M44=$T$34)),$T$38,IF(AND(R$9="BB及BB以下",OR(M44=$T$33,M44=$T$34,M44=$T$32)),$T$38,IF(AND(R$9="BBB及BBB以下",OR(M44=$T$33,M44=$T$34,M44=$T$32,M44=$T$31)),$T$38,IF(AND(R$9="A及A以下",OR(M44=$T$33,M44=$T$34,M44=$T$32,M44=$T$31,M44=$T$30)),$T$38,IF(AND(Q$9="B及B以下",OR(M44=$T$33,M44=$T$34)),$T$37,IF(AND(Q$9="BB及BB以下",OR(M44=$T$33,M44=$T$34,M44=$T$32)),$T$37,IF(AND(Q$9="BBB及BBB以下",OR(M44=$T$33,M44=$T$34,M44=$T$32,M44=$T$31)),$T$37,IF(AND(Q$9="A及A以下",OR(M44=$T$33,M44=$T$34,M44=$T$32,M44=$T$31,M44=$T$30)),$T$37,IF(AND(Q$9="AA及AA以下",OR(M44=$T$33,M44=$T$34,M44=$T$32,M44=$T$31,M44=$T$30,M44=$T$29)),$T$37,$T$36)))))))))))</f>
        <v/>
      </c>
      <c r="Q44" s="249"/>
      <c r="R44" s="244">
        <f>IF(AND($P44=$T$38,$Q44=$R$24),IF($L44=$T$26,$I44*LOOKUP($M44,运营表!$O$52:$U$52,运营表!$O$53:$U$53),T0登记表!$N44),0)</f>
        <v>0</v>
      </c>
      <c r="S44" s="242">
        <f>IF(AND($P44=$T$38,$Q44=$S$24),IF($L44=$T$26,$I44*LOOKUP($M44,运营表!$O$52:$U$52,运营表!$O$53:$U$53)*90%,IF($L44=$T$25,T0登记表!$N44*80%,IF($L44=$T$24,T0登记表!$N44*70%,0))),0)</f>
        <v>0</v>
      </c>
      <c r="T44" s="368">
        <v>-0.03</v>
      </c>
      <c r="U44" s="366"/>
      <c r="V44" s="245">
        <f>IF($I44=0,0,IF($L44=$T$26,$I44,IF($L44=$T$25,$I44-$N44/2,$I44-$N44))*IF($P44=$T$37,2,IF($P44=$T$36,1,0))*LOOKUP($J44,$T$18:$T$22,$U$18:$U$22)*IF($M44=$R$27,$U$28,IF($M44=$T$29,$U$29,IF($M44=$T$30,$U$30,IF($M44=$T$31,$U$31,IF($M44=$T$32,$U$32,IF($M44=$T$33,$U$33,$U$34)))))))</f>
        <v>0</v>
      </c>
    </row>
    <row r="45" spans="2:22" ht="15.6" x14ac:dyDescent="0.25">
      <c r="B45" s="351" t="s">
        <v>5</v>
      </c>
      <c r="C45" s="359"/>
      <c r="D45" s="360"/>
      <c r="I45" s="351" t="s">
        <v>5</v>
      </c>
      <c r="R45" s="452"/>
      <c r="S45" s="453"/>
      <c r="T45" s="453">
        <v>-0.02</v>
      </c>
      <c r="U45" s="453"/>
      <c r="V45" s="454"/>
    </row>
    <row r="46" spans="2:22" ht="15.6" x14ac:dyDescent="0.25">
      <c r="B46" s="352" t="s">
        <v>55</v>
      </c>
      <c r="C46" s="352" t="s">
        <v>56</v>
      </c>
      <c r="D46" s="358" t="s">
        <v>657</v>
      </c>
      <c r="E46" s="353" t="s">
        <v>66</v>
      </c>
      <c r="F46" s="353" t="s">
        <v>662</v>
      </c>
      <c r="G46" s="353" t="s">
        <v>660</v>
      </c>
      <c r="I46" s="352" t="s">
        <v>60</v>
      </c>
      <c r="J46" s="352" t="s">
        <v>75</v>
      </c>
      <c r="K46" s="352" t="s">
        <v>62</v>
      </c>
      <c r="L46" s="352" t="s">
        <v>63</v>
      </c>
      <c r="M46" s="352" t="s">
        <v>64</v>
      </c>
      <c r="N46" s="352" t="s">
        <v>68</v>
      </c>
      <c r="O46" s="353" t="s">
        <v>660</v>
      </c>
      <c r="P46" s="352" t="s">
        <v>69</v>
      </c>
      <c r="Q46" s="354" t="s">
        <v>82</v>
      </c>
      <c r="R46" s="452"/>
      <c r="S46" s="453"/>
      <c r="T46" s="453">
        <v>-0.01</v>
      </c>
      <c r="U46" s="453"/>
      <c r="V46" s="454"/>
    </row>
    <row r="47" spans="2:22" ht="15.6" x14ac:dyDescent="0.25">
      <c r="B47" s="250"/>
      <c r="C47" s="251"/>
      <c r="D47" s="252"/>
      <c r="E47" s="253"/>
      <c r="F47" s="253"/>
      <c r="G47" s="253"/>
      <c r="I47" s="250"/>
      <c r="J47" s="251"/>
      <c r="K47" s="252"/>
      <c r="L47" s="250"/>
      <c r="M47" s="250"/>
      <c r="N47" s="250"/>
      <c r="O47" s="253"/>
      <c r="P47" s="19" t="str">
        <f>IF(OR(Q$10="",R$10="",M47=""),"",IF(AND(R$10="C及C以下",OR(M47=$T$34)),$T$38,IF(AND(R$10="B及B以下",OR(M47=$T$33,M47=$T$34)),$T$38,IF(AND(R$10="BB及BB以下",OR(M47=$T$33,M47=$T$34,M47=$T$32)),$T$38,IF(AND(R$10="BBB及BBB以下",OR(M47=$T$33,M47=$T$34,M47=$T$32,M47=$T$31)),$T$38,IF(AND(R$10="A及A以下",OR(M47=$T$33,M47=$T$34,M47=$T$32,M47=$T$31,M47=$T$30)),$T$38,IF(AND(Q$10="B及B以下",OR(M47=$T$33,M47=$T$34)),$T$37,IF(AND(Q$10="BB及BB以下",OR(M47=$T$33,M47=$T$34,M47=$T$32)),$T$37,IF(AND(Q$10="BBB及BBB以下",OR(M47=$T$33,M47=$T$34,M47=$T$32,M47=$T$31)),$T$37,IF(AND(Q$10="A及A以下",OR(M47=$T$33,M47=$T$34,M47=$T$32,M47=$T$31,M47=$T$30)),$T$37,IF(AND(Q$10="AA及AA以下",OR(M47=$T$33,M47=$T$34,M47=$T$32,M47=$T$31,M47=$T$30,M47=$T$29)),$T$37,$T$36)))))))))))</f>
        <v/>
      </c>
      <c r="Q47" s="248"/>
      <c r="R47" s="241">
        <f>IF(AND($P47=$T$38,$Q47=$R$24),IF($L47=$T$26,$I47*LOOKUP($M47,运营表!$O$52:$U$52,运营表!$O$53:$U$53),T0登记表!$N47),0)</f>
        <v>0</v>
      </c>
      <c r="S47" s="242">
        <f>IF(AND($P47=$T$38,$Q47=$S$24),IF($L47=$T$26,$I47*LOOKUP($M47,运营表!$O$52:$U$52,运营表!$O$53:$U$53)*90%,IF($L47=$T$25,T0登记表!$N47*80%,IF($L47=$T$24,T0登记表!$N47*70%,0))),0)</f>
        <v>0</v>
      </c>
      <c r="T47" s="368">
        <v>0</v>
      </c>
      <c r="U47" s="366"/>
      <c r="V47" s="243">
        <f>IF($I47=0,0,IF($L47=$T$26,$I47,IF($L47=$T$25,$I47-$N47/2,$I47-$N47))*IF($P47=$T$37,2,IF($P47=$T$36,1,0))*LOOKUP($J47,$T$18:$T$22,$U$18:$U$22)*IF($M47=$R$27,$U$28,IF($M47=$T$29,$U$29,IF($M47=$T$30,$U$30,IF($M47=$T$31,$U$31,IF($M47=$T$32,$U$32,IF($M47=$T$33,$U$33,$U$34)))))))</f>
        <v>0</v>
      </c>
    </row>
    <row r="48" spans="2:22" ht="15.6" x14ac:dyDescent="0.25">
      <c r="B48" s="254"/>
      <c r="C48" s="255"/>
      <c r="D48" s="256"/>
      <c r="E48" s="257"/>
      <c r="F48" s="257"/>
      <c r="G48" s="257"/>
      <c r="I48" s="254"/>
      <c r="J48" s="255"/>
      <c r="K48" s="256"/>
      <c r="L48" s="254"/>
      <c r="M48" s="254"/>
      <c r="N48" s="254"/>
      <c r="O48" s="257"/>
      <c r="P48" s="19" t="str">
        <f>IF(OR(Q$10="",R$10="",M48=""),"",IF(AND(R$10="C及C以下",OR(M48=$T$34)),$T$38,IF(AND(R$10="B及B以下",OR(M48=$T$33,M48=$T$34)),$T$38,IF(AND(R$10="BB及BB以下",OR(M48=$T$33,M48=$T$34,M48=$T$32)),$T$38,IF(AND(R$10="BBB及BBB以下",OR(M48=$T$33,M48=$T$34,M48=$T$32,M48=$T$31)),$T$38,IF(AND(R$10="A及A以下",OR(M48=$T$33,M48=$T$34,M48=$T$32,M48=$T$31,M48=$T$30)),$T$38,IF(AND(Q$10="B及B以下",OR(M48=$T$33,M48=$T$34)),$T$37,IF(AND(Q$10="BB及BB以下",OR(M48=$T$33,M48=$T$34,M48=$T$32)),$T$37,IF(AND(Q$10="BBB及BBB以下",OR(M48=$T$33,M48=$T$34,M48=$T$32,M48=$T$31)),$T$37,IF(AND(Q$10="A及A以下",OR(M48=$T$33,M48=$T$34,M48=$T$32,M48=$T$31,M48=$T$30)),$T$37,IF(AND(Q$10="AA及AA以下",OR(M48=$T$33,M48=$T$34,M48=$T$32,M48=$T$31,M48=$T$30,M48=$T$29)),$T$37,$T$36)))))))))))</f>
        <v/>
      </c>
      <c r="Q48" s="249"/>
      <c r="R48" s="244">
        <f>IF(AND($P48=$T$38,$Q48=$R$24),IF($L48=$T$26,$I48*LOOKUP($M48,运营表!$O$52:$U$52,运营表!$O$53:$U$53),T0登记表!$N48),0)</f>
        <v>0</v>
      </c>
      <c r="S48" s="242">
        <f>IF(AND($P48=$T$38,$Q48=$S$24),IF($L48=$T$26,$I48*LOOKUP($M48,运营表!$O$52:$U$52,运营表!$O$53:$U$53)*90%,IF($L48=$T$25,T0登记表!$N48*80%,IF($L48=$T$24,T0登记表!$N48*70%,0))),0)</f>
        <v>0</v>
      </c>
      <c r="T48" s="368">
        <v>0.01</v>
      </c>
      <c r="U48" s="366"/>
      <c r="V48" s="245">
        <f>IF($I48=0,0,IF($L48=$T$26,$I48,IF($L48=$T$25,$I48-$N48/2,$I48-$N48))*IF($P48=$T$37,2,IF($P48=$T$36,1,0))*LOOKUP($J48,$T$18:$T$22,$U$18:$U$22)*IF($M48=$R$27,$U$28,IF($M48=$T$29,$U$29,IF($M48=$T$30,$U$30,IF($M48=$T$31,$U$31,IF($M48=$T$32,$U$32,IF($M48=$T$33,$U$33,$U$34)))))))</f>
        <v>0</v>
      </c>
    </row>
    <row r="49" spans="2:22" ht="15.6" x14ac:dyDescent="0.25">
      <c r="B49" s="250"/>
      <c r="C49" s="251"/>
      <c r="D49" s="252"/>
      <c r="E49" s="253"/>
      <c r="F49" s="253"/>
      <c r="G49" s="253"/>
      <c r="I49" s="250"/>
      <c r="J49" s="251"/>
      <c r="K49" s="252"/>
      <c r="L49" s="250"/>
      <c r="M49" s="250"/>
      <c r="N49" s="250"/>
      <c r="O49" s="253"/>
      <c r="P49" s="19" t="str">
        <f>IF(OR(Q$10="",R$10="",M49=""),"",IF(AND(R$10="C及C以下",OR(M49=$T$34)),$T$38,IF(AND(R$10="B及B以下",OR(M49=$T$33,M49=$T$34)),$T$38,IF(AND(R$10="BB及BB以下",OR(M49=$T$33,M49=$T$34,M49=$T$32)),$T$38,IF(AND(R$10="BBB及BBB以下",OR(M49=$T$33,M49=$T$34,M49=$T$32,M49=$T$31)),$T$38,IF(AND(R$10="A及A以下",OR(M49=$T$33,M49=$T$34,M49=$T$32,M49=$T$31,M49=$T$30)),$T$38,IF(AND(Q$10="B及B以下",OR(M49=$T$33,M49=$T$34)),$T$37,IF(AND(Q$10="BB及BB以下",OR(M49=$T$33,M49=$T$34,M49=$T$32)),$T$37,IF(AND(Q$10="BBB及BBB以下",OR(M49=$T$33,M49=$T$34,M49=$T$32,M49=$T$31)),$T$37,IF(AND(Q$10="A及A以下",OR(M49=$T$33,M49=$T$34,M49=$T$32,M49=$T$31,M49=$T$30)),$T$37,IF(AND(Q$10="AA及AA以下",OR(M49=$T$33,M49=$T$34,M49=$T$32,M49=$T$31,M49=$T$30,M49=$T$29)),$T$37,$T$36)))))))))))</f>
        <v/>
      </c>
      <c r="Q49" s="248"/>
      <c r="R49" s="241">
        <f>IF(AND($P49=$T$38,$Q49=$R$24),IF($L49=$T$26,$I49*LOOKUP($M49,运营表!$O$52:$U$52,运营表!$O$53:$U$53),T0登记表!$N49),0)</f>
        <v>0</v>
      </c>
      <c r="S49" s="242">
        <f>IF(AND($P49=$T$38,$Q49=$S$24),IF($L49=$T$26,$I49*LOOKUP($M49,运营表!$O$52:$U$52,运营表!$O$53:$U$53)*90%,IF($L49=$T$25,T0登记表!$N49*80%,IF($L49=$T$24,T0登记表!$N49*70%,0))),0)</f>
        <v>0</v>
      </c>
      <c r="T49" s="368">
        <v>0.02</v>
      </c>
      <c r="U49" s="366"/>
      <c r="V49" s="245">
        <f>IF($I49=0,0,IF($L49=$T$26,$I49,IF($L49=$T$25,$I49-$N49/2,$I49-$N49))*IF($P49=$T$37,2,IF($P49=$T$36,1,0))*LOOKUP($J49,$T$18:$T$22,$U$18:$U$22)*IF($M49=$R$27,$U$28,IF($M49=$T$29,$U$29,IF($M49=$T$30,$U$30,IF($M49=$T$31,$U$31,IF($M49=$T$32,$U$32,IF($M49=$T$33,$U$33,$U$34)))))))</f>
        <v>0</v>
      </c>
    </row>
    <row r="50" spans="2:22" ht="15.6" x14ac:dyDescent="0.25">
      <c r="B50" s="254"/>
      <c r="C50" s="255"/>
      <c r="D50" s="256"/>
      <c r="E50" s="257"/>
      <c r="F50" s="257"/>
      <c r="G50" s="257"/>
      <c r="I50" s="254"/>
      <c r="J50" s="255"/>
      <c r="K50" s="256"/>
      <c r="L50" s="254"/>
      <c r="M50" s="254"/>
      <c r="N50" s="254"/>
      <c r="O50" s="257"/>
      <c r="P50" s="19" t="str">
        <f>IF(OR(Q$10="",R$10="",M50=""),"",IF(AND(R$10="C及C以下",OR(M50=$T$34)),$T$38,IF(AND(R$10="B及B以下",OR(M50=$T$33,M50=$T$34)),$T$38,IF(AND(R$10="BB及BB以下",OR(M50=$T$33,M50=$T$34,M50=$T$32)),$T$38,IF(AND(R$10="BBB及BBB以下",OR(M50=$T$33,M50=$T$34,M50=$T$32,M50=$T$31)),$T$38,IF(AND(R$10="A及A以下",OR(M50=$T$33,M50=$T$34,M50=$T$32,M50=$T$31,M50=$T$30)),$T$38,IF(AND(Q$10="B及B以下",OR(M50=$T$33,M50=$T$34)),$T$37,IF(AND(Q$10="BB及BB以下",OR(M50=$T$33,M50=$T$34,M50=$T$32)),$T$37,IF(AND(Q$10="BBB及BBB以下",OR(M50=$T$33,M50=$T$34,M50=$T$32,M50=$T$31)),$T$37,IF(AND(Q$10="A及A以下",OR(M50=$T$33,M50=$T$34,M50=$T$32,M50=$T$31,M50=$T$30)),$T$37,IF(AND(Q$10="AA及AA以下",OR(M50=$T$33,M50=$T$34,M50=$T$32,M50=$T$31,M50=$T$30,M50=$T$29)),$T$37,$T$36)))))))))))</f>
        <v/>
      </c>
      <c r="Q50" s="249"/>
      <c r="R50" s="244">
        <f>IF(AND($P50=$T$38,$Q50=$R$24),IF($L50=$T$26,$I50*LOOKUP($M50,运营表!$O$52:$U$52,运营表!$O$53:$U$53),T0登记表!$N50),0)</f>
        <v>0</v>
      </c>
      <c r="S50" s="242">
        <f>IF(AND($P50=$T$38,$Q50=$S$24),IF($L50=$T$26,$I50*LOOKUP($M50,运营表!$O$52:$U$52,运营表!$O$53:$U$53)*90%,IF($L50=$T$25,T0登记表!$N50*80%,IF($L50=$T$24,T0登记表!$N50*70%,0))),0)</f>
        <v>0</v>
      </c>
      <c r="T50" s="368">
        <v>0.03</v>
      </c>
      <c r="U50" s="366"/>
      <c r="V50" s="245">
        <f>IF($I50=0,0,IF($L50=$T$26,$I50,IF($L50=$T$25,$I50-$N50/2,$I50-$N50))*IF($P50=$T$37,2,IF($P50=$T$36,1,0))*LOOKUP($J50,$T$18:$T$22,$U$18:$U$22)*IF($M50=$R$27,$U$28,IF($M50=$T$29,$U$29,IF($M50=$T$30,$U$30,IF($M50=$T$31,$U$31,IF($M50=$T$32,$U$32,IF($M50=$T$33,$U$33,$U$34)))))))</f>
        <v>0</v>
      </c>
    </row>
    <row r="51" spans="2:22" ht="15.6" x14ac:dyDescent="0.25">
      <c r="B51" s="359" t="s">
        <v>6</v>
      </c>
      <c r="C51" s="359"/>
      <c r="D51" s="360"/>
      <c r="I51" s="351" t="s">
        <v>71</v>
      </c>
      <c r="R51" s="452"/>
      <c r="S51" s="453"/>
      <c r="T51" s="453"/>
      <c r="U51" s="453"/>
      <c r="V51" s="454"/>
    </row>
    <row r="52" spans="2:22" ht="15.6" x14ac:dyDescent="0.25">
      <c r="B52" s="352" t="s">
        <v>55</v>
      </c>
      <c r="C52" s="352" t="s">
        <v>56</v>
      </c>
      <c r="D52" s="358" t="s">
        <v>57</v>
      </c>
      <c r="E52" s="353" t="s">
        <v>58</v>
      </c>
      <c r="F52" s="353" t="s">
        <v>67</v>
      </c>
      <c r="G52" s="353" t="s">
        <v>59</v>
      </c>
      <c r="I52" s="352" t="s">
        <v>60</v>
      </c>
      <c r="J52" s="352" t="s">
        <v>61</v>
      </c>
      <c r="K52" s="352" t="s">
        <v>62</v>
      </c>
      <c r="L52" s="352" t="s">
        <v>63</v>
      </c>
      <c r="M52" s="352" t="s">
        <v>70</v>
      </c>
      <c r="N52" s="352" t="s">
        <v>68</v>
      </c>
      <c r="O52" s="353" t="s">
        <v>59</v>
      </c>
      <c r="P52" s="352" t="s">
        <v>69</v>
      </c>
      <c r="Q52" s="354" t="s">
        <v>82</v>
      </c>
      <c r="R52" s="452"/>
      <c r="S52" s="453"/>
      <c r="T52" s="453" t="s">
        <v>478</v>
      </c>
      <c r="U52" s="453"/>
      <c r="V52" s="454"/>
    </row>
    <row r="53" spans="2:22" ht="15.6" x14ac:dyDescent="0.25">
      <c r="B53" s="250"/>
      <c r="C53" s="251"/>
      <c r="D53" s="252"/>
      <c r="E53" s="253"/>
      <c r="F53" s="253"/>
      <c r="G53" s="253"/>
      <c r="I53" s="250"/>
      <c r="J53" s="251"/>
      <c r="K53" s="252"/>
      <c r="L53" s="250"/>
      <c r="M53" s="250"/>
      <c r="N53" s="250"/>
      <c r="O53" s="253"/>
      <c r="P53" s="19" t="str">
        <f>IF(OR(Q$11="",R$11="",M53=""),"",IF(AND(R$11="C及C以下",OR(M53=$T$34)),$T$38,IF(AND(R$11="B及B以下",OR(M53=$T$33,M53=$T$34)),$T$38,IF(AND(R$11="BB及BB以下",OR(M53=$T$33,M53=$T$34,M53=$T$32)),$T$38,IF(AND(R$11="BBB及BBB以下",OR(M53=$T$33,M53=$T$34,M53=$T$32,M53=$T$31)),$T$38,IF(AND(R$11="A及A以下",OR(M53=$T$33,M53=$T$34,M53=$T$32,M53=$T$31,M53=$T$30)),$T$38,IF(AND(Q$11="B及B以下",OR(M53=$T$33,M53=$T$34)),$T$37,IF(AND(Q$11="BB及BB以下",OR(M53=$T$33,M53=$T$34,M53=$T$32)),$T$37,IF(AND(Q$11="BBB及BBB以下",OR(M53=$T$33,M53=$T$34,M53=$T$32,M53=$T$31)),$T$37,IF(AND(Q$11="A及A以下",OR(M53=$T$33,M53=$T$34,M53=$T$32,M53=$T$31,M53=$T$30)),$T$37,IF(AND(Q$11="AA及AA以下",OR(M53=$T$33,M53=$T$34,M53=$T$32,M53=$T$31,M53=$T$30,M53=$T$29)),$T$37,$T$36)))))))))))</f>
        <v/>
      </c>
      <c r="Q53" s="248"/>
      <c r="R53" s="241">
        <f>IF(AND($P53=$T$38,$Q53=$R$24),IF($L53=$T$26,$I53*LOOKUP($M53,运营表!$O$52:$U$52,运营表!$O$53:$U$53),T0登记表!$N53),0)</f>
        <v>0</v>
      </c>
      <c r="S53" s="242">
        <f>IF(AND($P53=$T$38,$Q53=$S$24),IF($L53=$T$26,$I53*LOOKUP($M53,运营表!$O$52:$U$52,运营表!$O$53:$U$53)*90%,IF($L53=$T$25,T0登记表!$N53*80%,IF($L53=$T$24,T0登记表!$N53*70%,0))),0)</f>
        <v>0</v>
      </c>
      <c r="T53" s="365" t="s">
        <v>479</v>
      </c>
      <c r="U53" s="366"/>
      <c r="V53" s="243">
        <f>IF($I53=0,0,IF($L53=$T$26,$I53,IF($L53=$T$25,$I53-$N53/2,$I53-$N53))*IF($P53=$T$37,2,IF($P53=$T$36,1,0))*LOOKUP($J53,$T$18:$T$22,$U$18:$U$22)*IF($M53=$R$27,$U$28,IF($M53=$T$29,$U$29,IF($M53=$T$30,$U$30,IF($M53=$T$31,$U$31,IF($M53=$T$32,$U$32,IF($M53=$T$33,$U$33,$U$34)))))))</f>
        <v>0</v>
      </c>
    </row>
    <row r="54" spans="2:22" ht="15.6" x14ac:dyDescent="0.25">
      <c r="B54" s="254"/>
      <c r="C54" s="255"/>
      <c r="D54" s="256"/>
      <c r="E54" s="257"/>
      <c r="F54" s="257"/>
      <c r="G54" s="257"/>
      <c r="I54" s="254"/>
      <c r="J54" s="255"/>
      <c r="K54" s="256"/>
      <c r="L54" s="254"/>
      <c r="M54" s="254"/>
      <c r="N54" s="254"/>
      <c r="O54" s="257"/>
      <c r="P54" s="19" t="str">
        <f>IF(OR(Q$11="",R$11="",M54=""),"",IF(AND(R$11="C及C以下",OR(M54=$T$34)),$T$38,IF(AND(R$11="B及B以下",OR(M54=$T$33,M54=$T$34)),$T$38,IF(AND(R$11="BB及BB以下",OR(M54=$T$33,M54=$T$34,M54=$T$32)),$T$38,IF(AND(R$11="BBB及BBB以下",OR(M54=$T$33,M54=$T$34,M54=$T$32,M54=$T$31)),$T$38,IF(AND(R$11="A及A以下",OR(M54=$T$33,M54=$T$34,M54=$T$32,M54=$T$31,M54=$T$30)),$T$38,IF(AND(Q$11="B及B以下",OR(M54=$T$33,M54=$T$34)),$T$37,IF(AND(Q$11="BB及BB以下",OR(M54=$T$33,M54=$T$34,M54=$T$32)),$T$37,IF(AND(Q$11="BBB及BBB以下",OR(M54=$T$33,M54=$T$34,M54=$T$32,M54=$T$31)),$T$37,IF(AND(Q$11="A及A以下",OR(M54=$T$33,M54=$T$34,M54=$T$32,M54=$T$31,M54=$T$30)),$T$37,IF(AND(Q$11="AA及AA以下",OR(M54=$T$33,M54=$T$34,M54=$T$32,M54=$T$31,M54=$T$30,M54=$T$29)),$T$37,$T$36)))))))))))</f>
        <v/>
      </c>
      <c r="Q54" s="249"/>
      <c r="R54" s="244">
        <f>IF(AND($P54=$T$38,$Q54=$R$24),IF($L54=$T$26,$I54*LOOKUP($M54,运营表!$O$52:$U$52,运营表!$O$53:$U$53),T0登记表!$N54),0)</f>
        <v>0</v>
      </c>
      <c r="S54" s="242">
        <f>IF(AND($P54=$T$38,$Q54=$S$24),IF($L54=$T$26,$I54*LOOKUP($M54,运营表!$O$52:$U$52,运营表!$O$53:$U$53)*90%,IF($L54=$T$25,T0登记表!$N54*80%,IF($L54=$T$24,T0登记表!$N54*70%,0))),0)</f>
        <v>0</v>
      </c>
      <c r="T54" s="366" t="s">
        <v>480</v>
      </c>
      <c r="U54" s="366"/>
      <c r="V54" s="245">
        <f>IF($I54=0,0,IF($L54=$T$26,$I54,IF($L54=$T$25,$I54-$N54/2,$I54-$N54))*IF($P54=$T$37,2,IF($P54=$T$36,1,0))*LOOKUP($J54,$T$18:$T$22,$U$18:$U$22)*IF($M54=$R$27,$U$28,IF($M54=$T$29,$U$29,IF($M54=$T$30,$U$30,IF($M54=$T$31,$U$31,IF($M54=$T$32,$U$32,IF($M54=$T$33,$U$33,$U$34)))))))</f>
        <v>0</v>
      </c>
    </row>
    <row r="55" spans="2:22" ht="15.6" x14ac:dyDescent="0.25">
      <c r="B55" s="250"/>
      <c r="C55" s="251"/>
      <c r="D55" s="252"/>
      <c r="E55" s="253"/>
      <c r="F55" s="253"/>
      <c r="G55" s="253"/>
      <c r="I55" s="250"/>
      <c r="J55" s="251"/>
      <c r="K55" s="252"/>
      <c r="L55" s="250"/>
      <c r="M55" s="250"/>
      <c r="N55" s="250"/>
      <c r="O55" s="253"/>
      <c r="P55" s="19" t="str">
        <f>IF(OR(Q$11="",R$11="",M55=""),"",IF(AND(R$11="C及C以下",OR(M55=$T$34)),$T$38,IF(AND(R$11="B及B以下",OR(M55=$T$33,M55=$T$34)),$T$38,IF(AND(R$11="BB及BB以下",OR(M55=$T$33,M55=$T$34,M55=$T$32)),$T$38,IF(AND(R$11="BBB及BBB以下",OR(M55=$T$33,M55=$T$34,M55=$T$32,M55=$T$31)),$T$38,IF(AND(R$11="A及A以下",OR(M55=$T$33,M55=$T$34,M55=$T$32,M55=$T$31,M55=$T$30)),$T$38,IF(AND(Q$11="B及B以下",OR(M55=$T$33,M55=$T$34)),$T$37,IF(AND(Q$11="BB及BB以下",OR(M55=$T$33,M55=$T$34,M55=$T$32)),$T$37,IF(AND(Q$11="BBB及BBB以下",OR(M55=$T$33,M55=$T$34,M55=$T$32,M55=$T$31)),$T$37,IF(AND(Q$11="A及A以下",OR(M55=$T$33,M55=$T$34,M55=$T$32,M55=$T$31,M55=$T$30)),$T$37,IF(AND(Q$11="AA及AA以下",OR(M55=$T$33,M55=$T$34,M55=$T$32,M55=$T$31,M55=$T$30,M55=$T$29)),$T$37,$T$36)))))))))))</f>
        <v/>
      </c>
      <c r="Q55" s="248"/>
      <c r="R55" s="241">
        <f>IF(AND($P55=$T$38,$Q55=$R$24),IF($L55=$T$26,$I55*LOOKUP($M55,运营表!$O$52:$U$52,运营表!$O$53:$U$53),T0登记表!$N55),0)</f>
        <v>0</v>
      </c>
      <c r="S55" s="242">
        <f>IF(AND($P55=$T$38,$Q55=$S$24),IF($L55=$T$26,$I55*LOOKUP($M55,运营表!$O$52:$U$52,运营表!$O$53:$U$53)*90%,IF($L55=$T$25,T0登记表!$N55*80%,IF($L55=$T$24,T0登记表!$N55*70%,0))),0)</f>
        <v>0</v>
      </c>
      <c r="T55" s="366" t="s">
        <v>481</v>
      </c>
      <c r="U55" s="366"/>
      <c r="V55" s="243">
        <f>IF($I55=0,0,IF($L55=$T$26,$I55,IF($L55=$T$25,$I55-$N55/2,$I55-$N55))*IF($P55=$T$37,2,IF($P55=$T$36,1,0))*LOOKUP($J55,$T$18:$T$22,$U$18:$U$22)*IF($M55=$R$27,$U$28,IF($M55=$T$29,$U$29,IF($M55=$T$30,$U$30,IF($M55=$T$31,$U$31,IF($M55=$T$32,$U$32,IF($M55=$T$33,$U$33,$U$34)))))))</f>
        <v>0</v>
      </c>
    </row>
    <row r="56" spans="2:22" ht="15.6" x14ac:dyDescent="0.25">
      <c r="B56" s="254"/>
      <c r="C56" s="255"/>
      <c r="D56" s="256"/>
      <c r="E56" s="257"/>
      <c r="F56" s="257"/>
      <c r="G56" s="257"/>
      <c r="I56" s="254"/>
      <c r="J56" s="255"/>
      <c r="K56" s="256"/>
      <c r="L56" s="254"/>
      <c r="M56" s="254"/>
      <c r="N56" s="254"/>
      <c r="O56" s="257"/>
      <c r="P56" s="19" t="str">
        <f>IF(OR(Q$11="",R$11="",M56=""),"",IF(AND(R$11="C及C以下",OR(M56=$T$34)),$T$38,IF(AND(R$11="B及B以下",OR(M56=$T$33,M56=$T$34)),$T$38,IF(AND(R$11="BB及BB以下",OR(M56=$T$33,M56=$T$34,M56=$T$32)),$T$38,IF(AND(R$11="BBB及BBB以下",OR(M56=$T$33,M56=$T$34,M56=$T$32,M56=$T$31)),$T$38,IF(AND(R$11="A及A以下",OR(M56=$T$33,M56=$T$34,M56=$T$32,M56=$T$31,M56=$T$30)),$T$38,IF(AND(Q$11="B及B以下",OR(M56=$T$33,M56=$T$34)),$T$37,IF(AND(Q$11="BB及BB以下",OR(M56=$T$33,M56=$T$34,M56=$T$32)),$T$37,IF(AND(Q$11="BBB及BBB以下",OR(M56=$T$33,M56=$T$34,M56=$T$32,M56=$T$31)),$T$37,IF(AND(Q$11="A及A以下",OR(M56=$T$33,M56=$T$34,M56=$T$32,M56=$T$31,M56=$T$30)),$T$37,IF(AND(Q$11="AA及AA以下",OR(M56=$T$33,M56=$T$34,M56=$T$32,M56=$T$31,M56=$T$30,M56=$T$29)),$T$37,$T$36)))))))))))</f>
        <v/>
      </c>
      <c r="Q56" s="249"/>
      <c r="R56" s="244">
        <f>IF(AND($P56=$T$38,$Q56=$R$24),IF($L56=$T$26,$I56*LOOKUP($M56,运营表!$O$52:$U$52,运营表!$O$53:$U$53),T0登记表!$N56),0)</f>
        <v>0</v>
      </c>
      <c r="S56" s="242">
        <f>IF(AND($P56=$T$38,$Q56=$S$24),IF($L56=$T$26,$I56*LOOKUP($M56,运营表!$O$52:$U$52,运营表!$O$53:$U$53)*90%,IF($L56=$T$25,T0登记表!$N56*80%,IF($L56=$T$24,T0登记表!$N56*70%,0))),0)</f>
        <v>0</v>
      </c>
      <c r="T56" s="366" t="s">
        <v>482</v>
      </c>
      <c r="U56" s="366"/>
      <c r="V56" s="245">
        <f>IF($I56=0,0,IF($L56=$T$26,$I56,IF($L56=$T$25,$I56-$N56/2,$I56-$N56))*IF($P56=$T$37,2,IF($P56=$T$36,1,0))*LOOKUP($J56,$T$18:$T$22,$U$18:$U$22)*IF($M56=$R$27,$U$28,IF($M56=$T$29,$U$29,IF($M56=$T$30,$U$30,IF($M56=$T$31,$U$31,IF($M56=$T$32,$U$32,IF($M56=$T$33,$U$33,$U$34)))))))</f>
        <v>0</v>
      </c>
    </row>
    <row r="57" spans="2:22" ht="15.6" x14ac:dyDescent="0.25">
      <c r="B57" s="359" t="s">
        <v>72</v>
      </c>
      <c r="C57" s="361"/>
      <c r="D57" s="362"/>
      <c r="I57" s="351" t="s">
        <v>72</v>
      </c>
      <c r="R57" s="452"/>
      <c r="S57" s="453"/>
      <c r="T57" s="453" t="s">
        <v>483</v>
      </c>
      <c r="U57" s="453"/>
      <c r="V57" s="454"/>
    </row>
    <row r="58" spans="2:22" ht="15.6" x14ac:dyDescent="0.25">
      <c r="B58" s="352" t="s">
        <v>55</v>
      </c>
      <c r="C58" s="352" t="s">
        <v>56</v>
      </c>
      <c r="D58" s="358" t="s">
        <v>57</v>
      </c>
      <c r="E58" s="353" t="s">
        <v>73</v>
      </c>
      <c r="F58" s="353" t="s">
        <v>74</v>
      </c>
      <c r="G58" s="353" t="s">
        <v>59</v>
      </c>
      <c r="I58" s="352" t="s">
        <v>60</v>
      </c>
      <c r="J58" s="352" t="s">
        <v>75</v>
      </c>
      <c r="K58" s="352" t="s">
        <v>62</v>
      </c>
      <c r="L58" s="352" t="s">
        <v>63</v>
      </c>
      <c r="M58" s="352" t="s">
        <v>64</v>
      </c>
      <c r="N58" s="352" t="s">
        <v>68</v>
      </c>
      <c r="O58" s="353" t="s">
        <v>59</v>
      </c>
      <c r="P58" s="352" t="s">
        <v>77</v>
      </c>
      <c r="Q58" s="354" t="s">
        <v>82</v>
      </c>
      <c r="R58" s="452"/>
      <c r="S58" s="453"/>
      <c r="T58" s="453"/>
      <c r="U58" s="453"/>
      <c r="V58" s="454"/>
    </row>
    <row r="59" spans="2:22" ht="15.6" x14ac:dyDescent="0.25">
      <c r="B59" s="250"/>
      <c r="C59" s="251"/>
      <c r="D59" s="252"/>
      <c r="E59" s="253"/>
      <c r="F59" s="253"/>
      <c r="G59" s="253"/>
      <c r="I59" s="250"/>
      <c r="J59" s="251"/>
      <c r="K59" s="252"/>
      <c r="L59" s="250"/>
      <c r="M59" s="250"/>
      <c r="N59" s="250"/>
      <c r="O59" s="253"/>
      <c r="P59" s="19" t="str">
        <f>IF(OR(Q$12="",R$12="",M59=""),"",IF(AND(R$12="C及C以下",OR(M59=$T$34)),$T$38,IF(AND(R$12="B及B以下",OR(M59=$T$33,M59=$T$34)),$T$38,IF(AND(R$12="BB及BB以下",OR(M59=$T$33,M59=$T$34,M59=$T$32)),$T$38,IF(AND(R$12="BBB及BBB以下",OR(M59=$T$33,M59=$T$34,M59=$T$32,M59=$T$31)),$T$38,IF(AND(R$12="A及A以下",OR(M59=$T$33,M59=$T$34,M59=$T$32,M59=$T$31,M59=$T$30)),$T$38,IF(AND(Q$12="B及B以下",OR(M59=$T$33,M59=$T$34)),$T$37,IF(AND(Q$12="BB及BB以下",OR(M59=$T$33,M59=$T$34,M59=$T$32)),$T$37,IF(AND(Q$12="BBB及BBB以下",OR(M59=$T$33,M59=$T$34,M59=$T$32,M59=$T$31)),$T$37,IF(AND(Q$12="A及A以下",OR(M59=$T$33,M59=$T$34,M59=$T$32,M59=$T$31,M59=$T$30)),$T$37,IF(AND(Q$12="AA及AA以下",OR(M59=$T$33,M59=$T$34,M59=$T$32,M59=$T$31,M59=$T$30,M59=$T$29)),$T$37,$T$36)))))))))))</f>
        <v/>
      </c>
      <c r="Q59" s="248"/>
      <c r="R59" s="241">
        <f>IF(AND($P59=$T$38,$Q59=$R$24),IF($L59=$T$26,$I59*LOOKUP($M59,运营表!$O$52:$U$52,运营表!$O$53:$U$53),T0登记表!$N59),0)</f>
        <v>0</v>
      </c>
      <c r="S59" s="242">
        <f>IF(AND($P59=$T$38,$Q59=$S$24),IF($L59=$T$26,$I59*LOOKUP($M59,运营表!$O$52:$U$52,运营表!$O$53:$U$53)*90%,IF($L59=$T$25,T0登记表!$N59*80%,IF($L59=$T$24,T0登记表!$N59*70%,0))),0)</f>
        <v>0</v>
      </c>
      <c r="T59" s="375">
        <v>0.8</v>
      </c>
      <c r="U59" s="366"/>
      <c r="V59" s="243">
        <f>IF($I59=0,0,IF($L59=$T$26,$I59,IF($L59=$T$25,$I59-$N59/2,$I59-$N59))*IF($P59=$T$37,2,IF($P59=$T$36,1,0))*LOOKUP($J59,$T$18:$T$22,$U$18:$U$22)*IF($M59=$R$27,$U$28,IF($M59=$T$29,$U$29,IF($M59=$T$30,$U$30,IF($M59=$T$31,$U$31,IF($M59=$T$32,$U$32,IF($M59=$T$33,$U$33,$U$34)))))))</f>
        <v>0</v>
      </c>
    </row>
    <row r="60" spans="2:22" ht="15.6" x14ac:dyDescent="0.25">
      <c r="B60" s="254"/>
      <c r="C60" s="255"/>
      <c r="D60" s="256"/>
      <c r="E60" s="257"/>
      <c r="F60" s="257"/>
      <c r="G60" s="257"/>
      <c r="I60" s="254"/>
      <c r="J60" s="255"/>
      <c r="K60" s="256"/>
      <c r="L60" s="254"/>
      <c r="M60" s="254"/>
      <c r="N60" s="254"/>
      <c r="O60" s="257"/>
      <c r="P60" s="19" t="str">
        <f>IF(OR(Q$12="",R$12="",M60=""),"",IF(AND(R$12="C及C以下",OR(M60=$T$34)),$T$38,IF(AND(R$12="B及B以下",OR(M60=$T$33,M60=$T$34)),$T$38,IF(AND(R$12="BB及BB以下",OR(M60=$T$33,M60=$T$34,M60=$T$32)),$T$38,IF(AND(R$12="BBB及BBB以下",OR(M60=$T$33,M60=$T$34,M60=$T$32,M60=$T$31)),$T$38,IF(AND(R$12="A及A以下",OR(M60=$T$33,M60=$T$34,M60=$T$32,M60=$T$31,M60=$T$30)),$T$38,IF(AND(Q$12="B及B以下",OR(M60=$T$33,M60=$T$34)),$T$37,IF(AND(Q$12="BB及BB以下",OR(M60=$T$33,M60=$T$34,M60=$T$32)),$T$37,IF(AND(Q$12="BBB及BBB以下",OR(M60=$T$33,M60=$T$34,M60=$T$32,M60=$T$31)),$T$37,IF(AND(Q$12="A及A以下",OR(M60=$T$33,M60=$T$34,M60=$T$32,M60=$T$31,M60=$T$30)),$T$37,IF(AND(Q$12="AA及AA以下",OR(M60=$T$33,M60=$T$34,M60=$T$32,M60=$T$31,M60=$T$30,M60=$T$29)),$T$37,$T$36)))))))))))</f>
        <v/>
      </c>
      <c r="Q60" s="249"/>
      <c r="R60" s="244">
        <f>IF(AND($P60=$T$38,$Q60=$R$24),IF($L60=$T$26,$I60*LOOKUP($M60,运营表!$O$52:$U$52,运营表!$O$53:$U$53),T0登记表!$N60),0)</f>
        <v>0</v>
      </c>
      <c r="S60" s="242">
        <f>IF(AND($P60=$T$38,$Q60=$S$24),IF($L60=$T$26,$I60*LOOKUP($M60,运营表!$O$52:$U$52,运营表!$O$53:$U$53)*90%,IF($L60=$T$25,T0登记表!$N60*80%,IF($L60=$T$24,T0登记表!$N60*70%,0))),0)</f>
        <v>0</v>
      </c>
      <c r="T60" s="375">
        <v>0.75</v>
      </c>
      <c r="U60" s="366"/>
      <c r="V60" s="245">
        <f>IF($I60=0,0,IF($L60=$T$26,$I60,IF($L60=$T$25,$I60-$N60/2,$I60-$N60))*IF($P60=$T$37,2,IF($P60=$T$36,1,0))*LOOKUP($J60,$T$18:$T$22,$U$18:$U$22)*IF($M60=$R$27,$U$28,IF($M60=$T$29,$U$29,IF($M60=$T$30,$U$30,IF($M60=$T$31,$U$31,IF($M60=$T$32,$U$32,IF($M60=$T$33,$U$33,$U$34)))))))</f>
        <v>0</v>
      </c>
    </row>
    <row r="61" spans="2:22" ht="15.6" x14ac:dyDescent="0.25">
      <c r="B61" s="250"/>
      <c r="C61" s="251"/>
      <c r="D61" s="252"/>
      <c r="E61" s="253"/>
      <c r="F61" s="253"/>
      <c r="G61" s="253"/>
      <c r="I61" s="250"/>
      <c r="J61" s="251"/>
      <c r="K61" s="252"/>
      <c r="L61" s="250"/>
      <c r="M61" s="250"/>
      <c r="N61" s="250"/>
      <c r="O61" s="253"/>
      <c r="P61" s="19" t="str">
        <f>IF(OR(Q$12="",R$12="",M61=""),"",IF(AND(R$12="C及C以下",OR(M61=$T$34)),$T$38,IF(AND(R$12="B及B以下",OR(M61=$T$33,M61=$T$34)),$T$38,IF(AND(R$12="BB及BB以下",OR(M61=$T$33,M61=$T$34,M61=$T$32)),$T$38,IF(AND(R$12="BBB及BBB以下",OR(M61=$T$33,M61=$T$34,M61=$T$32,M61=$T$31)),$T$38,IF(AND(R$12="A及A以下",OR(M61=$T$33,M61=$T$34,M61=$T$32,M61=$T$31,M61=$T$30)),$T$38,IF(AND(Q$12="B及B以下",OR(M61=$T$33,M61=$T$34)),$T$37,IF(AND(Q$12="BB及BB以下",OR(M61=$T$33,M61=$T$34,M61=$T$32)),$T$37,IF(AND(Q$12="BBB及BBB以下",OR(M61=$T$33,M61=$T$34,M61=$T$32,M61=$T$31)),$T$37,IF(AND(Q$12="A及A以下",OR(M61=$T$33,M61=$T$34,M61=$T$32,M61=$T$31,M61=$T$30)),$T$37,IF(AND(Q$12="AA及AA以下",OR(M61=$T$33,M61=$T$34,M61=$T$32,M61=$T$31,M61=$T$30,M61=$T$29)),$T$37,$T$36)))))))))))</f>
        <v/>
      </c>
      <c r="Q61" s="248"/>
      <c r="R61" s="241">
        <f>IF(AND($P61=$T$38,$Q61=$R$24),IF($L61=$T$26,$I61*LOOKUP($M61,运营表!$O$52:$U$52,运营表!$O$53:$U$53),T0登记表!$N61),0)</f>
        <v>0</v>
      </c>
      <c r="S61" s="242">
        <f>IF(AND($P61=$T$38,$Q61=$S$24),IF($L61=$T$26,$I61*LOOKUP($M61,运营表!$O$52:$U$52,运营表!$O$53:$U$53)*90%,IF($L61=$T$25,T0登记表!$N61*80%,IF($L61=$T$24,T0登记表!$N61*70%,0))),0)</f>
        <v>0</v>
      </c>
      <c r="T61" s="375">
        <v>0.7</v>
      </c>
      <c r="U61" s="366"/>
      <c r="V61" s="243">
        <f>IF($I61=0,0,IF($L61=$T$26,$I61,IF($L61=$T$25,$I61-$N61/2,$I61-$N61))*IF($P61=$T$37,2,IF($P61=$T$36,1,0))*LOOKUP($J61,$T$18:$T$22,$U$18:$U$22)*IF($M61=$R$27,$U$28,IF($M61=$T$29,$U$29,IF($M61=$T$30,$U$30,IF($M61=$T$31,$U$31,IF($M61=$T$32,$U$32,IF($M61=$T$33,$U$33,$U$34)))))))</f>
        <v>0</v>
      </c>
    </row>
    <row r="62" spans="2:22" ht="15.6" x14ac:dyDescent="0.25">
      <c r="B62" s="254"/>
      <c r="C62" s="255"/>
      <c r="D62" s="256"/>
      <c r="E62" s="257"/>
      <c r="F62" s="257"/>
      <c r="G62" s="257"/>
      <c r="I62" s="254"/>
      <c r="J62" s="255"/>
      <c r="K62" s="256"/>
      <c r="L62" s="254"/>
      <c r="M62" s="254"/>
      <c r="N62" s="254"/>
      <c r="O62" s="257"/>
      <c r="P62" s="19" t="str">
        <f>IF(OR(Q$12="",R$12="",M62=""),"",IF(AND(R$12="C及C以下",OR(M62=$T$34)),$T$38,IF(AND(R$12="B及B以下",OR(M62=$T$33,M62=$T$34)),$T$38,IF(AND(R$12="BB及BB以下",OR(M62=$T$33,M62=$T$34,M62=$T$32)),$T$38,IF(AND(R$12="BBB及BBB以下",OR(M62=$T$33,M62=$T$34,M62=$T$32,M62=$T$31)),$T$38,IF(AND(R$12="A及A以下",OR(M62=$T$33,M62=$T$34,M62=$T$32,M62=$T$31,M62=$T$30)),$T$38,IF(AND(Q$12="B及B以下",OR(M62=$T$33,M62=$T$34)),$T$37,IF(AND(Q$12="BB及BB以下",OR(M62=$T$33,M62=$T$34,M62=$T$32)),$T$37,IF(AND(Q$12="BBB及BBB以下",OR(M62=$T$33,M62=$T$34,M62=$T$32,M62=$T$31)),$T$37,IF(AND(Q$12="A及A以下",OR(M62=$T$33,M62=$T$34,M62=$T$32,M62=$T$31,M62=$T$30)),$T$37,IF(AND(Q$12="AA及AA以下",OR(M62=$T$33,M62=$T$34,M62=$T$32,M62=$T$31,M62=$T$30,M62=$T$29)),$T$37,$T$36)))))))))))</f>
        <v/>
      </c>
      <c r="Q62" s="249"/>
      <c r="R62" s="244">
        <f>IF(AND($P62=$T$38,$Q62=$R$24),IF($L62=$T$26,$I62*LOOKUP($M62,运营表!$O$52:$U$52,运营表!$O$53:$U$53),T0登记表!$N62),0)</f>
        <v>0</v>
      </c>
      <c r="S62" s="242">
        <f>IF(AND($P62=$T$38,$Q62=$S$24),IF($L62=$T$26,$I62*LOOKUP($M62,运营表!$O$52:$U$52,运营表!$O$53:$U$53)*90%,IF($L62=$T$25,T0登记表!$N62*80%,IF($L62=$T$24,T0登记表!$N62*70%,0))),0)</f>
        <v>0</v>
      </c>
      <c r="T62" s="375">
        <v>0.65</v>
      </c>
      <c r="U62" s="366"/>
      <c r="V62" s="245">
        <f>IF($I62=0,0,IF($L62=$T$26,$I62,IF($L62=$T$25,$I62-$N62/2,$I62-$N62))*IF($P62=$T$37,2,IF($P62=$T$36,1,0))*LOOKUP($J62,$T$18:$T$22,$U$18:$U$22)*IF($M62=$R$27,$U$28,IF($M62=$T$29,$U$29,IF($M62=$T$30,$U$30,IF($M62=$T$31,$U$31,IF($M62=$T$32,$U$32,IF($M62=$T$33,$U$33,$U$34)))))))</f>
        <v>0</v>
      </c>
    </row>
    <row r="63" spans="2:22" ht="15.6" x14ac:dyDescent="0.25">
      <c r="B63" s="359" t="s">
        <v>78</v>
      </c>
      <c r="C63" s="361"/>
      <c r="D63" s="362"/>
      <c r="I63" s="351" t="s">
        <v>78</v>
      </c>
      <c r="R63" s="452"/>
      <c r="S63" s="453"/>
      <c r="T63" s="453">
        <v>0.6</v>
      </c>
      <c r="U63" s="453"/>
      <c r="V63" s="454"/>
    </row>
    <row r="64" spans="2:22" ht="15.6" x14ac:dyDescent="0.25">
      <c r="B64" s="352" t="s">
        <v>55</v>
      </c>
      <c r="C64" s="352" t="s">
        <v>56</v>
      </c>
      <c r="D64" s="358" t="s">
        <v>57</v>
      </c>
      <c r="E64" s="353" t="s">
        <v>73</v>
      </c>
      <c r="F64" s="353" t="s">
        <v>74</v>
      </c>
      <c r="G64" s="353" t="s">
        <v>76</v>
      </c>
      <c r="I64" s="352" t="s">
        <v>60</v>
      </c>
      <c r="J64" s="352" t="s">
        <v>75</v>
      </c>
      <c r="K64" s="352" t="s">
        <v>62</v>
      </c>
      <c r="L64" s="352" t="s">
        <v>63</v>
      </c>
      <c r="M64" s="352" t="s">
        <v>79</v>
      </c>
      <c r="N64" s="352" t="s">
        <v>80</v>
      </c>
      <c r="O64" s="353" t="s">
        <v>76</v>
      </c>
      <c r="P64" s="352" t="s">
        <v>77</v>
      </c>
      <c r="Q64" s="354" t="s">
        <v>82</v>
      </c>
      <c r="R64" s="452"/>
      <c r="S64" s="453"/>
      <c r="T64" s="453">
        <v>0.55000000000000004</v>
      </c>
      <c r="U64" s="453"/>
      <c r="V64" s="454"/>
    </row>
    <row r="65" spans="2:22" ht="15.6" x14ac:dyDescent="0.25">
      <c r="B65" s="250"/>
      <c r="C65" s="251"/>
      <c r="D65" s="252"/>
      <c r="E65" s="253"/>
      <c r="F65" s="253" t="s">
        <v>672</v>
      </c>
      <c r="G65" s="253"/>
      <c r="I65" s="250"/>
      <c r="J65" s="251"/>
      <c r="K65" s="252"/>
      <c r="L65" s="250"/>
      <c r="M65" s="250"/>
      <c r="N65" s="250"/>
      <c r="O65" s="253" t="s">
        <v>673</v>
      </c>
      <c r="P65" s="19" t="str">
        <f>IF(OR(Q$13="",R$13="",M65=""),"",IF(AND(R$13="C及C以下",OR(M65=$T$34)),$T$38,IF(AND(R$13="B及B以下",OR(M65=$T$33,M65=$T$34)),$T$38,IF(AND(R$13="BB及BB以下",OR(M65=$T$33,M65=$T$34,M65=$T$32)),$T$38,IF(AND(R$13="BBB及BBB以下",OR(M65=$T$33,M65=$T$34,M65=$T$32,M65=$T$31)),$T$38,IF(AND(R$13="A及A以下",OR(M65=$T$33,M65=$T$34,M65=$T$32,M65=$T$31,M65=$T$30)),$T$38,IF(AND(Q$13="B及B以下",OR(M65=$T$33,M65=$T$34)),$T$37,IF(AND(Q$13="BB及BB以下",OR(M65=$T$33,M65=$T$34,M65=$T$32)),$T$37,IF(AND(Q$13="BBB及BBB以下",OR(M65=$T$33,M65=$T$34,M65=$T$32,M65=$T$31)),$T$37,IF(AND(Q$13="A及A以下",OR(M65=$T$33,M65=$T$34,M65=$T$32,M65=$T$31,M65=$T$30)),$T$37,IF(AND(Q$13="AA及AA以下",OR(M65=$T$33,M65=$T$34,M65=$T$32,M65=$T$31,M65=$T$30,M65=$T$29)),$T$37,$T$36)))))))))))</f>
        <v/>
      </c>
      <c r="Q65" s="248"/>
      <c r="R65" s="241">
        <f>IF(AND($P65=$T$38,$Q65=$R$24),IF($L65=$T$26,$I65*LOOKUP($M65,运营表!$O$52:$U$52,运营表!$O$53:$U$53),T0登记表!$N65),0)</f>
        <v>0</v>
      </c>
      <c r="S65" s="242">
        <f>IF(AND($P65=$T$38,$Q65=$S$24),IF($L65=$T$26,$I65*LOOKUP($M65,运营表!$O$52:$U$52,运营表!$O$53:$U$53)*90%,IF($L65=$T$25,T0登记表!$N65*80%,IF($L65=$T$24,T0登记表!$N65*70%,0))),0)</f>
        <v>0</v>
      </c>
      <c r="T65" s="375">
        <v>0.5</v>
      </c>
      <c r="U65" s="366"/>
      <c r="V65" s="243">
        <f>IF($I65=0,0,IF($L65=$T$26,$I65,IF($L65=$T$25,$I65-$N65/2,$I65-$N65))*IF($P65=$T$37,2,IF($P65=$T$36,1,0))*LOOKUP($J65,$T$18:$T$22,$U$18:$U$22)*IF($M65=$R$27,$U$28,IF($M65=$T$29,$U$29,IF($M65=$T$30,$U$30,IF($M65=$T$31,$U$31,IF($M65=$T$32,$U$32,IF($M65=$T$33,$U$33,$U$34)))))))</f>
        <v>0</v>
      </c>
    </row>
    <row r="66" spans="2:22" ht="15.6" x14ac:dyDescent="0.25">
      <c r="B66" s="254"/>
      <c r="C66" s="255"/>
      <c r="D66" s="256"/>
      <c r="E66" s="257"/>
      <c r="F66" s="257"/>
      <c r="G66" s="257"/>
      <c r="I66" s="254"/>
      <c r="J66" s="255"/>
      <c r="K66" s="256"/>
      <c r="L66" s="254"/>
      <c r="M66" s="254"/>
      <c r="N66" s="254"/>
      <c r="O66" s="257"/>
      <c r="P66" s="19" t="str">
        <f>IF(OR(Q$13="",R$13="",M66=""),"",IF(AND(R$13="C及C以下",OR(M66=$T$34)),$T$38,IF(AND(R$13="B及B以下",OR(M66=$T$33,M66=$T$34)),$T$38,IF(AND(R$13="BB及BB以下",OR(M66=$T$33,M66=$T$34,M66=$T$32)),$T$38,IF(AND(R$13="BBB及BBB以下",OR(M66=$T$33,M66=$T$34,M66=$T$32,M66=$T$31)),$T$38,IF(AND(R$13="A及A以下",OR(M66=$T$33,M66=$T$34,M66=$T$32,M66=$T$31,M66=$T$30)),$T$38,IF(AND(Q$13="B及B以下",OR(M66=$T$33,M66=$T$34)),$T$37,IF(AND(Q$13="BB及BB以下",OR(M66=$T$33,M66=$T$34,M66=$T$32)),$T$37,IF(AND(Q$13="BBB及BBB以下",OR(M66=$T$33,M66=$T$34,M66=$T$32,M66=$T$31)),$T$37,IF(AND(Q$13="A及A以下",OR(M66=$T$33,M66=$T$34,M66=$T$32,M66=$T$31,M66=$T$30)),$T$37,IF(AND(Q$13="AA及AA以下",OR(M66=$T$33,M66=$T$34,M66=$T$32,M66=$T$31,M66=$T$30,M66=$T$29)),$T$37,$T$36)))))))))))</f>
        <v/>
      </c>
      <c r="Q66" s="249"/>
      <c r="R66" s="244">
        <f>IF(AND($P66=$T$38,$Q66=$R$24),IF($L66=$T$26,$I66*LOOKUP($M66,运营表!$O$52:$U$52,运营表!$O$53:$U$53),T0登记表!$N66),0)</f>
        <v>0</v>
      </c>
      <c r="S66" s="242">
        <f>IF(AND($P66=$T$38,$Q66=$S$24),IF($L66=$T$26,$I66*LOOKUP($M66,运营表!$O$52:$U$52,运营表!$O$53:$U$53)*90%,IF($L66=$T$25,T0登记表!$N66*80%,IF($L66=$T$24,T0登记表!$N66*70%,0))),0)</f>
        <v>0</v>
      </c>
      <c r="T66" s="366"/>
      <c r="U66" s="366"/>
      <c r="V66" s="245">
        <f>IF($I66=0,0,IF($L66=$T$26,$I66,IF($L66=$T$25,$I66-$N66/2,$I66-$N66))*IF($P66=$T$37,2,IF($P66=$T$36,1,0))*LOOKUP($J66,$T$18:$T$22,$U$18:$U$22)*IF($M66=$R$27,$U$28,IF($M66=$T$29,$U$29,IF($M66=$T$30,$U$30,IF($M66=$T$31,$U$31,IF($M66=$T$32,$U$32,IF($M66=$T$33,$U$33,$U$34)))))))</f>
        <v>0</v>
      </c>
    </row>
    <row r="67" spans="2:22" ht="15.6" x14ac:dyDescent="0.25">
      <c r="B67" s="250"/>
      <c r="C67" s="251"/>
      <c r="D67" s="252"/>
      <c r="E67" s="253"/>
      <c r="F67" s="253"/>
      <c r="G67" s="253"/>
      <c r="I67" s="250"/>
      <c r="J67" s="251"/>
      <c r="K67" s="252"/>
      <c r="L67" s="250"/>
      <c r="M67" s="250"/>
      <c r="N67" s="250"/>
      <c r="O67" s="253"/>
      <c r="P67" s="19" t="str">
        <f>IF(OR(Q$13="",R$13="",M67=""),"",IF(AND(R$13="C及C以下",OR(M67=$T$34)),$T$38,IF(AND(R$13="B及B以下",OR(M67=$T$33,M67=$T$34)),$T$38,IF(AND(R$13="BB及BB以下",OR(M67=$T$33,M67=$T$34,M67=$T$32)),$T$38,IF(AND(R$13="BBB及BBB以下",OR(M67=$T$33,M67=$T$34,M67=$T$32,M67=$T$31)),$T$38,IF(AND(R$13="A及A以下",OR(M67=$T$33,M67=$T$34,M67=$T$32,M67=$T$31,M67=$T$30)),$T$38,IF(AND(Q$13="B及B以下",OR(M67=$T$33,M67=$T$34)),$T$37,IF(AND(Q$13="BB及BB以下",OR(M67=$T$33,M67=$T$34,M67=$T$32)),$T$37,IF(AND(Q$13="BBB及BBB以下",OR(M67=$T$33,M67=$T$34,M67=$T$32,M67=$T$31)),$T$37,IF(AND(Q$13="A及A以下",OR(M67=$T$33,M67=$T$34,M67=$T$32,M67=$T$31,M67=$T$30)),$T$37,IF(AND(Q$13="AA及AA以下",OR(M67=$T$33,M67=$T$34,M67=$T$32,M67=$T$31,M67=$T$30,M67=$T$29)),$T$37,$T$36)))))))))))</f>
        <v/>
      </c>
      <c r="Q67" s="248"/>
      <c r="R67" s="241">
        <f>IF(AND($P67=$T$38,$Q67=$R$24),IF($L67=$T$26,$I67*LOOKUP($M67,运营表!$O$52:$U$52,运营表!$O$53:$U$53),T0登记表!$N67),0)</f>
        <v>0</v>
      </c>
      <c r="S67" s="242">
        <f>IF(AND($P67=$T$38,$Q67=$S$24),IF($L67=$T$26,$I67*LOOKUP($M67,运营表!$O$52:$U$52,运营表!$O$53:$U$53)*90%,IF($L67=$T$25,T0登记表!$N67*80%,IF($L67=$T$24,T0登记表!$N67*70%,0))),0)</f>
        <v>0</v>
      </c>
      <c r="T67" s="376" t="s">
        <v>573</v>
      </c>
      <c r="U67" s="366"/>
      <c r="V67" s="243">
        <f>IF($I67=0,0,IF($L67=$T$26,$I67,IF($L67=$T$25,$I67-$N67/2,$I67-$N67))*IF($P67=$T$37,2,IF($P67=$T$36,1,0))*LOOKUP($J67,$T$18:$T$22,$U$18:$U$22)*IF($M67=$R$27,$U$28,IF($M67=$T$29,$U$29,IF($M67=$T$30,$U$30,IF($M67=$T$31,$U$31,IF($M67=$T$32,$U$32,IF($M67=$T$33,$U$33,$U$34)))))))</f>
        <v>0</v>
      </c>
    </row>
    <row r="68" spans="2:22" ht="16.2" thickBot="1" x14ac:dyDescent="0.3">
      <c r="B68" s="254"/>
      <c r="C68" s="255"/>
      <c r="D68" s="256"/>
      <c r="E68" s="257"/>
      <c r="F68" s="257"/>
      <c r="G68" s="257"/>
      <c r="I68" s="254"/>
      <c r="J68" s="255"/>
      <c r="K68" s="256"/>
      <c r="L68" s="254"/>
      <c r="M68" s="254"/>
      <c r="N68" s="254"/>
      <c r="O68" s="257"/>
      <c r="P68" s="19" t="str">
        <f>IF(OR(Q$13="",R$13="",M68=""),"",IF(AND(R$13="C及C以下",OR(M68=$T$34)),$T$38,IF(AND(R$13="B及B以下",OR(M68=$T$33,M68=$T$34)),$T$38,IF(AND(R$13="BB及BB以下",OR(M68=$T$33,M68=$T$34,M68=$T$32)),$T$38,IF(AND(R$13="BBB及BBB以下",OR(M68=$T$33,M68=$T$34,M68=$T$32,M68=$T$31)),$T$38,IF(AND(R$13="A及A以下",OR(M68=$T$33,M68=$T$34,M68=$T$32,M68=$T$31,M68=$T$30)),$T$38,IF(AND(Q$13="B及B以下",OR(M68=$T$33,M68=$T$34)),$T$37,IF(AND(Q$13="BB及BB以下",OR(M68=$T$33,M68=$T$34,M68=$T$32)),$T$37,IF(AND(Q$13="BBB及BBB以下",OR(M68=$T$33,M68=$T$34,M68=$T$32,M68=$T$31)),$T$37,IF(AND(Q$13="A及A以下",OR(M68=$T$33,M68=$T$34,M68=$T$32,M68=$T$31,M68=$T$30)),$T$37,IF(AND(Q$13="AA及AA以下",OR(M68=$T$33,M68=$T$34,M68=$T$32,M68=$T$31,M68=$T$30,M68=$T$29)),$T$37,$T$36)))))))))))</f>
        <v/>
      </c>
      <c r="Q68" s="249"/>
      <c r="R68" s="246">
        <f>IF(AND($P68=$T$38,$Q68=$R$24),IF($L68=$T$26,$I68*LOOKUP($M68,运营表!$O$52:$U$52,运营表!$O$53:$U$53),T0登记表!$N68),0)</f>
        <v>0</v>
      </c>
      <c r="S68" s="242">
        <f>IF(AND($P68=$T$38,$Q68=$S$24),IF($L68=$T$26,$I68*LOOKUP($M68,运营表!$O$52:$U$52,运营表!$O$53:$U$53)*90%,IF($L68=$T$25,T0登记表!$N68*80%,IF($L68=$T$24,T0登记表!$N68*70%,0))),0)</f>
        <v>0</v>
      </c>
      <c r="T68" s="377"/>
      <c r="U68" s="366"/>
      <c r="V68" s="247">
        <f>IF($I68=0,0,IF($L68=$T$26,$I68,IF($L68=$T$25,$I68-$N68/2,$I68-$N68))*IF($P68=$T$37,2,IF($P68=$T$36,1,0))*LOOKUP($J68,$T$18:$T$22,$U$18:$U$22)*IF($M68=$R$27,$U$28,IF($M68=$T$29,$U$29,IF($M68=$T$30,$U$30,IF($M68=$T$31,$U$31,IF($M68=$T$32,$U$32,IF($M68=$T$33,$U$33,$U$34)))))))</f>
        <v>0</v>
      </c>
    </row>
  </sheetData>
  <sheetProtection selectLockedCells="1"/>
  <protectedRanges>
    <protectedRange sqref="D4:K18" name="区域1_2"/>
  </protectedRanges>
  <mergeCells count="31">
    <mergeCell ref="K1:L1"/>
    <mergeCell ref="B4:C4"/>
    <mergeCell ref="B5:B9"/>
    <mergeCell ref="C6:C7"/>
    <mergeCell ref="R63:V64"/>
    <mergeCell ref="V23:V24"/>
    <mergeCell ref="R23:S23"/>
    <mergeCell ref="M4:M5"/>
    <mergeCell ref="R27:V28"/>
    <mergeCell ref="R33:V34"/>
    <mergeCell ref="R39:V40"/>
    <mergeCell ref="R45:V46"/>
    <mergeCell ref="R51:V52"/>
    <mergeCell ref="N4:N5"/>
    <mergeCell ref="R57:V58"/>
    <mergeCell ref="B2:R2"/>
    <mergeCell ref="P4:P5"/>
    <mergeCell ref="O4:O5"/>
    <mergeCell ref="B22:G22"/>
    <mergeCell ref="M3:R3"/>
    <mergeCell ref="I22:R22"/>
    <mergeCell ref="B12:C12"/>
    <mergeCell ref="B13:C13"/>
    <mergeCell ref="B16:C16"/>
    <mergeCell ref="B17:C17"/>
    <mergeCell ref="B18:C18"/>
    <mergeCell ref="Q4:R4"/>
    <mergeCell ref="B10:B11"/>
    <mergeCell ref="B14:C14"/>
    <mergeCell ref="B15:C15"/>
    <mergeCell ref="B3:C3"/>
  </mergeCells>
  <phoneticPr fontId="11" type="noConversion"/>
  <dataValidations count="12">
    <dataValidation type="list" allowBlank="1" showInputMessage="1" showErrorMessage="1" sqref="E29:E32 E65:E68 E53:E56 E47:E50 E41:E44 E35:E38 E59:E62 E25:E26">
      <formula1>$T$10:$T$13</formula1>
    </dataValidation>
    <dataValidation type="list" allowBlank="1" showInputMessage="1" showErrorMessage="1" sqref="F29:F32 F65:F68 F53:F56 F47:F50 F41:F44 F35:F38 F59:F62 F25:F26">
      <formula1>$T$14:$T$16</formula1>
    </dataValidation>
    <dataValidation type="list" allowBlank="1" showInputMessage="1" showErrorMessage="1" sqref="C29:C32 J65:J68 J59:J62 J53:J56 J47:J50 J41:J44 J35:J38 J29:J32 J25:J26 C25:C26 C59:C62 C53:C56 C47:C50 C41:C44 C65:C68 C35:C38">
      <formula1>$T$17:$T$22</formula1>
    </dataValidation>
    <dataValidation type="list" allowBlank="1" showInputMessage="1" showErrorMessage="1" sqref="L25:L26 L65:L68 L53:L56 L47:L50 L41:L44 L35:L38 L29:L32 L59:L62">
      <formula1>$T$23:$T$26</formula1>
    </dataValidation>
    <dataValidation type="list" allowBlank="1" showInputMessage="1" showErrorMessage="1" sqref="G29:G32 O65:O68 O59:O62 O47:O50 O41:O44 O35:O38 O29:O32 G65:G68 O25:O26 G59:G62 G53:G56 G47:G50 G41:G44 G35:G38 O53:O56 G25:G26">
      <formula1>$T$39:$T$41</formula1>
    </dataValidation>
    <dataValidation type="list" allowBlank="1" showInputMessage="1" showErrorMessage="1" sqref="N6:N13">
      <formula1>$T$43:$T$50</formula1>
    </dataValidation>
    <dataValidation type="list" allowBlank="1" showInputMessage="1" showErrorMessage="1" sqref="D6:K9">
      <formula1>$T$3:$T$5</formula1>
    </dataValidation>
    <dataValidation type="list" allowBlank="1" showInputMessage="1" showErrorMessage="1" sqref="D10:K11">
      <formula1>$T$1:$T$2</formula1>
    </dataValidation>
    <dataValidation type="list" allowBlank="1" showInputMessage="1" showErrorMessage="1" sqref="Q25:Q26 Q29:Q32 Q35:Q38 Q41:Q44 Q47:Q50 Q53:Q56 Q59:Q62 Q65:Q68">
      <formula1>$T$7:$T$9</formula1>
    </dataValidation>
    <dataValidation type="list" allowBlank="1" showInputMessage="1" showErrorMessage="1" sqref="R6:S13">
      <formula1>$T$51:$T$56</formula1>
    </dataValidation>
    <dataValidation type="list" allowBlank="1" showInputMessage="1" showErrorMessage="1" sqref="Q6:Q13">
      <formula1>$T$53:$T$58</formula1>
    </dataValidation>
    <dataValidation type="list" allowBlank="1" showInputMessage="1" showErrorMessage="1" sqref="M25:M26 M41:M44 M35:M38 M29:M32 M53:M56 M47:M50 M65:M68 M59:M6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AN49"/>
  <sheetViews>
    <sheetView zoomScale="60" zoomScaleNormal="60" workbookViewId="0">
      <selection activeCell="E14" sqref="E14"/>
    </sheetView>
  </sheetViews>
  <sheetFormatPr defaultColWidth="8.77734375" defaultRowHeight="20.100000000000001" customHeight="1" x14ac:dyDescent="0.25"/>
  <cols>
    <col min="1" max="1" customWidth="true" style="10" width="2.77734375" collapsed="true"/>
    <col min="2" max="2" style="10" width="8.77734375" collapsed="true"/>
    <col min="3" max="4" customWidth="true" style="10" width="8.77734375" collapsed="true"/>
    <col min="5" max="5" customWidth="true" style="10" width="7.33203125" collapsed="true"/>
    <col min="6" max="6" customWidth="true" style="10" width="5.6640625" collapsed="true"/>
    <col min="7" max="7" bestFit="true" customWidth="true" style="10" width="8.21875" collapsed="true"/>
    <col min="8" max="8" bestFit="true" customWidth="true" style="10" width="10.33203125" collapsed="true"/>
    <col min="9" max="13" customWidth="true" style="10" width="5.6640625" collapsed="true"/>
    <col min="14" max="14" bestFit="true" customWidth="true" style="10" width="6.77734375" collapsed="true"/>
    <col min="15" max="15" style="10" width="8.77734375" collapsed="true"/>
    <col min="16" max="16" customWidth="true" width="2.88671875" collapsed="true"/>
    <col min="17" max="17" customWidth="true" style="10" width="9.77734375" collapsed="true"/>
    <col min="18" max="18" customWidth="true" style="10" width="7.21875" collapsed="true"/>
    <col min="19" max="19" customWidth="true" style="10" width="11.21875" collapsed="true"/>
    <col min="20" max="20" customWidth="true" style="10" width="12.33203125" collapsed="true"/>
    <col min="21" max="21" style="10" width="8.77734375" collapsed="true"/>
    <col min="22" max="22" customWidth="true" style="10" width="11.88671875" collapsed="true"/>
    <col min="23" max="23" customWidth="true" style="10" width="9.33203125" collapsed="true"/>
    <col min="24" max="24" customWidth="true" style="10" width="3.21875" collapsed="true"/>
    <col min="25" max="28" style="10" width="8.77734375" collapsed="true"/>
    <col min="29" max="29" bestFit="true" customWidth="true" style="10" width="10.33203125" collapsed="true"/>
    <col min="30" max="30" customWidth="true" style="10" width="12.5546875" collapsed="true"/>
    <col min="31" max="31" customWidth="true" style="10" width="12.33203125" collapsed="true"/>
    <col min="32" max="32" customWidth="true" style="10" width="18.77734375" collapsed="true"/>
    <col min="33" max="33" customWidth="true" style="10" width="14.77734375" collapsed="true"/>
    <col min="34" max="34" customWidth="true" style="10" width="8.5546875" collapsed="true"/>
    <col min="35" max="36" bestFit="true" customWidth="true" style="10" width="10.33203125" collapsed="true"/>
    <col min="37" max="37" customWidth="true" style="10" width="0.21875" collapsed="true"/>
    <col min="38" max="39" bestFit="true" customWidth="true" style="10" width="7.33203125" collapsed="true"/>
    <col min="40" max="40" customWidth="true" style="10" width="3.21875" collapsed="true"/>
    <col min="41" max="16384" style="10" width="8.77734375" collapsed="true"/>
  </cols>
  <sheetData>
    <row r="1" spans="2:40" ht="20.100000000000001" customHeight="1" x14ac:dyDescent="0.25">
      <c r="AJ1" s="378"/>
    </row>
    <row r="2" spans="2:40" ht="23.25" customHeight="1" thickBot="1" x14ac:dyDescent="0.55000000000000004">
      <c r="E2" s="58" t="s">
        <v>350</v>
      </c>
      <c r="F2" s="463" t="str">
        <f>T0登记表!K1</f>
        <v>abc</v>
      </c>
      <c r="G2" s="463"/>
      <c r="H2" s="58" t="s">
        <v>586</v>
      </c>
      <c r="S2" s="58" t="s">
        <v>350</v>
      </c>
      <c r="T2" s="463" t="str">
        <f>T0登记表!K1</f>
        <v>abc</v>
      </c>
      <c r="U2" s="463"/>
      <c r="V2" s="58" t="s">
        <v>586</v>
      </c>
      <c r="Z2" s="58" t="s">
        <v>350</v>
      </c>
      <c r="AA2" s="463" t="str">
        <f>T0登记表!K1</f>
        <v>abc</v>
      </c>
      <c r="AB2" s="463"/>
      <c r="AC2" s="58" t="s">
        <v>586</v>
      </c>
    </row>
    <row r="3" spans="2:40" ht="23.4" x14ac:dyDescent="0.25">
      <c r="B3" s="467" t="s">
        <v>178</v>
      </c>
      <c r="C3" s="468"/>
      <c r="D3" s="468"/>
      <c r="E3" s="468"/>
      <c r="F3" s="468"/>
      <c r="G3" s="468"/>
      <c r="H3" s="468"/>
      <c r="I3" s="468"/>
      <c r="J3" s="468"/>
      <c r="K3" s="468"/>
      <c r="L3" s="468"/>
      <c r="M3" s="468"/>
      <c r="N3" s="469"/>
      <c r="Q3" s="473" t="s">
        <v>189</v>
      </c>
      <c r="R3" s="474"/>
      <c r="S3" s="474"/>
      <c r="T3" s="474"/>
      <c r="U3" s="474"/>
      <c r="V3" s="474"/>
      <c r="W3" s="475"/>
      <c r="Y3" s="467" t="s">
        <v>193</v>
      </c>
      <c r="Z3" s="468"/>
      <c r="AA3" s="468"/>
      <c r="AB3" s="468"/>
      <c r="AC3" s="469"/>
    </row>
    <row r="4" spans="2:40" ht="18" thickBot="1" x14ac:dyDescent="0.3">
      <c r="B4" s="20" t="s">
        <v>45</v>
      </c>
      <c r="C4" s="12" t="s">
        <v>166</v>
      </c>
      <c r="D4" s="12" t="s">
        <v>56</v>
      </c>
      <c r="E4" s="13" t="s">
        <v>167</v>
      </c>
      <c r="F4" s="11" t="s">
        <v>128</v>
      </c>
      <c r="G4" s="11" t="s">
        <v>90</v>
      </c>
      <c r="H4" s="11" t="s">
        <v>91</v>
      </c>
      <c r="I4" s="11" t="s">
        <v>92</v>
      </c>
      <c r="J4" s="11" t="s">
        <v>93</v>
      </c>
      <c r="K4" s="11" t="s">
        <v>94</v>
      </c>
      <c r="L4" s="11" t="s">
        <v>105</v>
      </c>
      <c r="M4" s="11" t="s">
        <v>106</v>
      </c>
      <c r="N4" s="21" t="s">
        <v>97</v>
      </c>
      <c r="Q4" s="464" t="s">
        <v>180</v>
      </c>
      <c r="R4" s="465"/>
      <c r="S4" s="465"/>
      <c r="T4" s="465"/>
      <c r="U4" s="465"/>
      <c r="V4" s="465"/>
      <c r="W4" s="466"/>
      <c r="Y4" s="25" t="s">
        <v>45</v>
      </c>
      <c r="Z4" s="11" t="s">
        <v>190</v>
      </c>
      <c r="AA4" s="11" t="s">
        <v>56</v>
      </c>
      <c r="AB4" s="15" t="s">
        <v>167</v>
      </c>
      <c r="AC4" s="23" t="s">
        <v>191</v>
      </c>
      <c r="AE4" s="10" t="s">
        <v>394</v>
      </c>
    </row>
    <row r="5" spans="2:40" ht="16.2" thickBot="1" x14ac:dyDescent="0.3">
      <c r="B5" s="233" t="s">
        <v>639</v>
      </c>
      <c r="C5" s="286" t="n">
        <v>2345.0</v>
      </c>
      <c r="D5" s="231"/>
      <c r="E5" s="317">
        <f>T0登记表!O6</f>
        <v>0.03</v>
      </c>
      <c r="F5" s="172"/>
      <c r="G5" s="177"/>
      <c r="H5" s="177">
        <f>$C5*$E5</f>
        <v>70.349999999999994</v>
      </c>
      <c r="I5" s="177">
        <f>$C5*$E5</f>
        <v>70.349999999999994</v>
      </c>
      <c r="J5" s="172"/>
      <c r="K5" s="172"/>
      <c r="L5" s="172"/>
      <c r="M5" s="172"/>
      <c r="N5" s="228"/>
      <c r="Q5" s="25" t="s">
        <v>181</v>
      </c>
      <c r="R5" s="11" t="s">
        <v>56</v>
      </c>
      <c r="S5" s="11" t="s">
        <v>182</v>
      </c>
      <c r="T5" s="11" t="s">
        <v>183</v>
      </c>
      <c r="U5" s="11" t="s">
        <v>45</v>
      </c>
      <c r="V5" s="11" t="s">
        <v>580</v>
      </c>
      <c r="W5" s="23" t="s">
        <v>581</v>
      </c>
      <c r="Y5" s="22" t="s">
        <v>85</v>
      </c>
      <c r="Z5" s="289" t="n">
        <v>123.0</v>
      </c>
      <c r="AA5" s="11"/>
      <c r="AB5" s="238">
        <f>T0登记表!P8</f>
        <v>0</v>
      </c>
      <c r="AC5" s="229">
        <f>Z5*AA5*AB5</f>
        <v>0</v>
      </c>
      <c r="AE5" s="10" t="s">
        <v>395</v>
      </c>
    </row>
    <row r="6" spans="2:40" ht="16.2" thickBot="1" x14ac:dyDescent="0.3">
      <c r="B6" s="233" t="s">
        <v>640</v>
      </c>
      <c r="C6" s="286"/>
      <c r="D6" s="231"/>
      <c r="E6" s="317">
        <f>T0登记表!O7</f>
        <v>0</v>
      </c>
      <c r="F6" s="172"/>
      <c r="G6" s="172"/>
      <c r="H6" s="177">
        <f>$C6*$E6</f>
        <v>0</v>
      </c>
      <c r="I6" s="177">
        <f>$C6*$E6</f>
        <v>0</v>
      </c>
      <c r="J6" s="177">
        <f>$C6*$E6</f>
        <v>0</v>
      </c>
      <c r="K6" s="172"/>
      <c r="L6" s="172"/>
      <c r="M6" s="172"/>
      <c r="N6" s="228"/>
      <c r="Q6" s="294"/>
      <c r="R6" s="11"/>
      <c r="S6" s="295"/>
      <c r="T6" s="295"/>
      <c r="U6" s="296" t="s">
        <v>386</v>
      </c>
      <c r="V6" s="177">
        <f>Q6*S6</f>
        <v>0</v>
      </c>
      <c r="W6" s="292" t="s">
        <v>387</v>
      </c>
      <c r="Y6" s="22" t="s">
        <v>101</v>
      </c>
      <c r="Z6" s="289"/>
      <c r="AA6" s="11"/>
      <c r="AB6" s="238">
        <f>T0登记表!P9</f>
        <v>0.06</v>
      </c>
      <c r="AC6" s="229">
        <f t="shared" ref="AC6:AC12" si="0">Z6*AA6*AB6</f>
        <v>0</v>
      </c>
    </row>
    <row r="7" spans="2:40" ht="16.2" thickBot="1" x14ac:dyDescent="0.3">
      <c r="B7" s="233" t="s">
        <v>638</v>
      </c>
      <c r="C7" s="286"/>
      <c r="D7" s="231"/>
      <c r="E7" s="317">
        <f>T0登记表!O8</f>
        <v>0.03</v>
      </c>
      <c r="F7" s="172"/>
      <c r="G7" s="172"/>
      <c r="H7" s="172"/>
      <c r="I7" s="177">
        <f>$C7*$E7</f>
        <v>0</v>
      </c>
      <c r="J7" s="177">
        <f>$C7*$E7</f>
        <v>0</v>
      </c>
      <c r="K7" s="177">
        <f>$C7*$E7</f>
        <v>0</v>
      </c>
      <c r="L7" s="172"/>
      <c r="M7" s="172"/>
      <c r="N7" s="228"/>
      <c r="Q7" s="294"/>
      <c r="R7" s="11"/>
      <c r="S7" s="295"/>
      <c r="T7" s="295"/>
      <c r="U7" s="289"/>
      <c r="V7" s="177">
        <f t="shared" ref="V7:V17" si="1">Q7*S7</f>
        <v>0</v>
      </c>
      <c r="W7" s="292"/>
      <c r="Y7" s="22" t="s">
        <v>103</v>
      </c>
      <c r="Z7" s="289"/>
      <c r="AA7" s="11"/>
      <c r="AB7" s="238">
        <f>T0登记表!P10</f>
        <v>7.0000000000000007E-2</v>
      </c>
      <c r="AC7" s="229">
        <f t="shared" si="0"/>
        <v>0</v>
      </c>
      <c r="AE7" s="10">
        <v>1</v>
      </c>
    </row>
    <row r="8" spans="2:40" ht="16.2" thickBot="1" x14ac:dyDescent="0.3">
      <c r="B8" s="233" t="s">
        <v>169</v>
      </c>
      <c r="C8" s="286"/>
      <c r="D8" s="231"/>
      <c r="E8" s="317">
        <f>T0登记表!O9</f>
        <v>0.04</v>
      </c>
      <c r="F8" s="172"/>
      <c r="G8" s="172"/>
      <c r="H8" s="172"/>
      <c r="I8" s="172"/>
      <c r="J8" s="177">
        <f>$C8*$E8</f>
        <v>0</v>
      </c>
      <c r="K8" s="177">
        <f>$C8*$E8</f>
        <v>0</v>
      </c>
      <c r="L8" s="177">
        <f>$C8*$E8</f>
        <v>0</v>
      </c>
      <c r="M8" s="172"/>
      <c r="N8" s="228"/>
      <c r="Q8" s="294"/>
      <c r="R8" s="11"/>
      <c r="S8" s="295"/>
      <c r="T8" s="295"/>
      <c r="U8" s="289"/>
      <c r="V8" s="177">
        <f t="shared" si="1"/>
        <v>0</v>
      </c>
      <c r="W8" s="292"/>
      <c r="Y8" s="22" t="s">
        <v>108</v>
      </c>
      <c r="Z8" s="289"/>
      <c r="AA8" s="11" t="n">
        <v>1.0</v>
      </c>
      <c r="AB8" s="238">
        <f>T0登记表!P11</f>
        <v>0.05</v>
      </c>
      <c r="AC8" s="229">
        <f t="shared" si="0"/>
        <v>0</v>
      </c>
      <c r="AE8" s="10">
        <v>2</v>
      </c>
    </row>
    <row r="9" spans="2:40" ht="16.2" thickBot="1" x14ac:dyDescent="0.3">
      <c r="B9" s="233" t="s">
        <v>129</v>
      </c>
      <c r="C9" s="286"/>
      <c r="D9" s="231" t="n">
        <v>1.0</v>
      </c>
      <c r="E9" s="317">
        <f>T0登记表!O10</f>
        <v>0.04</v>
      </c>
      <c r="F9" s="172"/>
      <c r="G9" s="172"/>
      <c r="H9" s="172"/>
      <c r="I9" s="172"/>
      <c r="J9" s="172"/>
      <c r="K9" s="177">
        <f>$C9*$E9</f>
        <v>0</v>
      </c>
      <c r="L9" s="177">
        <f>$C9*$E9</f>
        <v>0</v>
      </c>
      <c r="M9" s="177">
        <f>$C9*$E9</f>
        <v>0</v>
      </c>
      <c r="N9" s="228"/>
      <c r="Q9" s="294"/>
      <c r="R9" s="11"/>
      <c r="S9" s="295"/>
      <c r="T9" s="295"/>
      <c r="U9" s="289"/>
      <c r="V9" s="177">
        <f t="shared" si="1"/>
        <v>0</v>
      </c>
      <c r="W9" s="292"/>
      <c r="Y9" s="22" t="s">
        <v>113</v>
      </c>
      <c r="Z9" s="289"/>
      <c r="AA9" s="11"/>
      <c r="AB9" s="238">
        <f>T0登记表!P12</f>
        <v>0.03</v>
      </c>
      <c r="AC9" s="229">
        <f t="shared" si="0"/>
        <v>0</v>
      </c>
      <c r="AE9" s="10">
        <v>3</v>
      </c>
    </row>
    <row r="10" spans="2:40" ht="16.2" thickBot="1" x14ac:dyDescent="0.3">
      <c r="B10" s="233" t="s">
        <v>130</v>
      </c>
      <c r="C10" s="286" t="n">
        <v>5.0</v>
      </c>
      <c r="D10" s="231"/>
      <c r="E10" s="317">
        <f>T0登记表!O11</f>
        <v>0.05</v>
      </c>
      <c r="F10" s="172"/>
      <c r="G10" s="172"/>
      <c r="H10" s="172"/>
      <c r="I10" s="172"/>
      <c r="J10" s="172"/>
      <c r="K10" s="172"/>
      <c r="L10" s="177">
        <f>$C10*$E10</f>
        <v>0.25</v>
      </c>
      <c r="M10" s="177">
        <f>$C10*$E10</f>
        <v>0.25</v>
      </c>
      <c r="N10" s="229">
        <f>$C10*$E10</f>
        <v>0.25</v>
      </c>
      <c r="Q10" s="294"/>
      <c r="R10" s="11"/>
      <c r="S10" s="295"/>
      <c r="T10" s="295"/>
      <c r="U10" s="289"/>
      <c r="V10" s="177">
        <f t="shared" si="1"/>
        <v>0</v>
      </c>
      <c r="W10" s="292"/>
      <c r="Y10" s="22" t="s">
        <v>130</v>
      </c>
      <c r="Z10" s="289"/>
      <c r="AA10" s="11"/>
      <c r="AB10" s="238">
        <f>T0登记表!P13</f>
        <v>0.04</v>
      </c>
      <c r="AC10" s="229">
        <f t="shared" si="0"/>
        <v>0</v>
      </c>
    </row>
    <row r="11" spans="2:40" ht="16.2" thickBot="1" x14ac:dyDescent="0.3">
      <c r="B11" s="233" t="s">
        <v>170</v>
      </c>
      <c r="C11" s="286"/>
      <c r="D11" s="231"/>
      <c r="E11" s="317">
        <f>T0登记表!O12</f>
        <v>0.03</v>
      </c>
      <c r="F11" s="172"/>
      <c r="G11" s="172"/>
      <c r="H11" s="172"/>
      <c r="I11" s="172"/>
      <c r="J11" s="172"/>
      <c r="K11" s="172"/>
      <c r="L11" s="172"/>
      <c r="M11" s="177">
        <f>$C11*$E11</f>
        <v>0</v>
      </c>
      <c r="N11" s="229">
        <f>$C11*$E11</f>
        <v>0</v>
      </c>
      <c r="O11"/>
      <c r="Q11" s="294"/>
      <c r="R11" s="11"/>
      <c r="S11" s="295"/>
      <c r="T11" s="295"/>
      <c r="U11" s="289"/>
      <c r="V11" s="177">
        <f t="shared" si="1"/>
        <v>0</v>
      </c>
      <c r="W11" s="292"/>
      <c r="Y11" s="22" t="s">
        <v>121</v>
      </c>
      <c r="Z11" s="289"/>
      <c r="AA11" s="11"/>
      <c r="AB11" s="238">
        <f>T0登记表!P14</f>
        <v>0</v>
      </c>
      <c r="AC11" s="229">
        <f t="shared" si="0"/>
        <v>0</v>
      </c>
    </row>
    <row r="12" spans="2:40" ht="16.2" thickBot="1" x14ac:dyDescent="0.3">
      <c r="B12" s="234" t="s">
        <v>171</v>
      </c>
      <c r="C12" s="287"/>
      <c r="D12" s="232"/>
      <c r="E12" s="318">
        <f>T0登记表!O13</f>
        <v>0.05</v>
      </c>
      <c r="F12" s="172"/>
      <c r="G12" s="172"/>
      <c r="H12" s="172"/>
      <c r="I12" s="172"/>
      <c r="J12" s="172"/>
      <c r="K12" s="172"/>
      <c r="L12" s="172"/>
      <c r="M12" s="172"/>
      <c r="N12" s="230">
        <f>$C12*$E12</f>
        <v>0</v>
      </c>
      <c r="Q12" s="294"/>
      <c r="R12" s="11"/>
      <c r="S12" s="295"/>
      <c r="T12" s="295"/>
      <c r="U12" s="289"/>
      <c r="V12" s="177">
        <f t="shared" si="1"/>
        <v>0</v>
      </c>
      <c r="W12" s="292"/>
      <c r="Y12" s="24" t="s">
        <v>125</v>
      </c>
      <c r="Z12" s="291"/>
      <c r="AA12" s="26"/>
      <c r="AB12" s="239">
        <f>T0登记表!P15</f>
        <v>0</v>
      </c>
      <c r="AC12" s="230">
        <f t="shared" si="0"/>
        <v>0</v>
      </c>
    </row>
    <row r="13" spans="2:40" ht="15.6" x14ac:dyDescent="0.25">
      <c r="C13" s="10" t="s">
        <v>172</v>
      </c>
      <c r="Q13" s="294"/>
      <c r="R13" s="11"/>
      <c r="S13" s="295"/>
      <c r="T13" s="295"/>
      <c r="U13" s="289"/>
      <c r="V13" s="177">
        <f t="shared" si="1"/>
        <v>0</v>
      </c>
      <c r="W13" s="292"/>
      <c r="Y13" s="16" t="s">
        <v>192</v>
      </c>
      <c r="Z13" s="16"/>
      <c r="AA13" s="16"/>
      <c r="AB13" s="16"/>
      <c r="AC13" s="16"/>
    </row>
    <row r="14" spans="2:40" ht="20.100000000000001" customHeight="1" thickBot="1" x14ac:dyDescent="0.3">
      <c r="Q14" s="294"/>
      <c r="R14" s="11">
        <v>1</v>
      </c>
      <c r="S14" s="295"/>
      <c r="T14" s="295"/>
      <c r="U14" s="296"/>
      <c r="V14" s="177">
        <f t="shared" si="1"/>
        <v>0</v>
      </c>
      <c r="W14" s="292"/>
      <c r="Y14"/>
      <c r="Z14"/>
      <c r="AA14"/>
      <c r="AB14"/>
      <c r="AC14"/>
    </row>
    <row r="15" spans="2:40" ht="23.4" x14ac:dyDescent="0.25">
      <c r="B15" s="470" t="s">
        <v>179</v>
      </c>
      <c r="C15" s="471"/>
      <c r="D15" s="471"/>
      <c r="E15" s="471"/>
      <c r="F15" s="471"/>
      <c r="G15" s="471"/>
      <c r="H15" s="471"/>
      <c r="I15" s="471"/>
      <c r="J15" s="471"/>
      <c r="K15" s="471"/>
      <c r="L15" s="471"/>
      <c r="M15" s="471"/>
      <c r="N15" s="471"/>
      <c r="O15" s="472"/>
      <c r="Q15" s="294"/>
      <c r="R15" s="11">
        <v>1</v>
      </c>
      <c r="S15" s="295"/>
      <c r="T15" s="295"/>
      <c r="U15" s="289"/>
      <c r="V15" s="177">
        <f t="shared" si="1"/>
        <v>0</v>
      </c>
      <c r="W15" s="292"/>
      <c r="AJ15" s="363"/>
      <c r="AK15" s="363"/>
      <c r="AL15" s="363"/>
      <c r="AM15" s="363"/>
      <c r="AN15" s="363"/>
    </row>
    <row r="16" spans="2:40" ht="15.6" x14ac:dyDescent="0.25">
      <c r="B16" s="20" t="s">
        <v>45</v>
      </c>
      <c r="C16" s="12" t="s">
        <v>166</v>
      </c>
      <c r="D16" s="12" t="s">
        <v>173</v>
      </c>
      <c r="E16" s="13" t="s">
        <v>174</v>
      </c>
      <c r="F16" s="11" t="s">
        <v>175</v>
      </c>
      <c r="G16" s="11" t="s">
        <v>90</v>
      </c>
      <c r="H16" s="11" t="s">
        <v>91</v>
      </c>
      <c r="I16" s="11" t="s">
        <v>92</v>
      </c>
      <c r="J16" s="11" t="s">
        <v>93</v>
      </c>
      <c r="K16" s="11" t="s">
        <v>94</v>
      </c>
      <c r="L16" s="11" t="s">
        <v>105</v>
      </c>
      <c r="M16" s="11" t="s">
        <v>106</v>
      </c>
      <c r="N16" s="14" t="s">
        <v>176</v>
      </c>
      <c r="O16" s="23" t="s">
        <v>177</v>
      </c>
      <c r="Q16" s="294"/>
      <c r="R16" s="11">
        <v>1</v>
      </c>
      <c r="S16" s="295"/>
      <c r="T16" s="295"/>
      <c r="U16" s="289"/>
      <c r="V16" s="177">
        <f t="shared" si="1"/>
        <v>0</v>
      </c>
      <c r="W16" s="292"/>
      <c r="AD16" s="10" t="s">
        <v>625</v>
      </c>
      <c r="AE16" s="10" t="s">
        <v>623</v>
      </c>
      <c r="AF16" s="10" t="s">
        <v>624</v>
      </c>
      <c r="AH16" s="10" t="s">
        <v>626</v>
      </c>
      <c r="AI16" s="10" t="s">
        <v>627</v>
      </c>
      <c r="AJ16" s="363" t="s">
        <v>628</v>
      </c>
      <c r="AK16" s="363" t="s">
        <v>629</v>
      </c>
      <c r="AL16" s="363" t="s">
        <v>634</v>
      </c>
      <c r="AM16" s="363" t="s">
        <v>635</v>
      </c>
      <c r="AN16" s="363"/>
    </row>
    <row r="17" spans="2:40" ht="15.6" x14ac:dyDescent="0.25">
      <c r="B17" s="288" t="n">
        <v>45754.0</v>
      </c>
      <c r="C17" s="286" t="n">
        <v>2.0</v>
      </c>
      <c r="D17" s="289" t="n">
        <v>2.0</v>
      </c>
      <c r="E17" s="319" t="n">
        <v>0.0</v>
      </c>
      <c r="F17" s="235"/>
      <c r="G17" s="235" t="str">
        <f>IF($B17=$B$5,IF($O17=$AE$4,$C17*$E17,IF($O17=$AE$5,-$C17*$E17,"")),"")</f>
        <v/>
      </c>
      <c r="H17" s="235" t="str">
        <f>IF(OR(AND($B17=$B$5,$D17&gt;=2),$B17=$B$6),IF($O17=$AE$4,$C17*$E17,IF($O17=$AE$5,-$C17*$E17,"")),"")</f>
        <v/>
      </c>
      <c r="I17" s="235" t="str">
        <f>IF(OR(AND($B17=$B$5,$D17=3),AND($B17=$B$6,$D17&gt;=2),$B17=$B$7),IF($O17=$AE$4,$C17*$E17,IF($O17=$AE$5,-$C17*$E17,"")),"")</f>
        <v/>
      </c>
      <c r="J17" s="235" t="str">
        <f>IF(OR(AND($B17=$B$6,D17=3),AND($B17=$B$7,D17&gt;=2),$B17=$B$8),IF($O17=$AE$4,$C17*$E17,IF($O17=$AE$5,-$C17*$E17,"")),"")</f>
        <v/>
      </c>
      <c r="K17" s="235" t="str">
        <f>IF(OR(AND($B17=$B$7,D17=3),AND($B17=$B$8,D17&gt;=2),$B17=$B$9),IF($O17=$AE$4,$C17*$E17,IF($O17=$AE$5,-$C17*$E17,"")),"")</f>
        <v/>
      </c>
      <c r="L17" s="235" t="str">
        <f>IF(OR(AND($B17=$B$8,D17=3),AND($B17=$B$9,D17&gt;=2),$B17=$B$10),IF($O17=$AE$4,$C17*$E17,IF(O17=$AE$5,-$C17*$E17,"")),"")</f>
        <v/>
      </c>
      <c r="M17" s="235" t="str">
        <f>IF(OR(AND($B17=$B$9,D17=3),AND($B17=$B$10,D17&gt;=2),$B17=$B$11),IF($O17=$AE$4,$C17*$E17,IF($O17=$AE$5,-$C17*$E17,"")),"")</f>
        <v/>
      </c>
      <c r="N17" s="235"/>
      <c r="O17" s="292"/>
      <c r="Q17" s="294"/>
      <c r="R17" s="11">
        <v>1</v>
      </c>
      <c r="S17" s="295"/>
      <c r="T17" s="295"/>
      <c r="U17" s="289"/>
      <c r="V17" s="177">
        <f t="shared" si="1"/>
        <v>0</v>
      </c>
      <c r="W17" s="292"/>
      <c r="AE17" s="10">
        <f>IF($O17=$AE$5,$B17,0)</f>
        <v>0</v>
      </c>
      <c r="AF17" s="10">
        <f>IF($O17=$AE$4,$D17,0)+IF($O17=$AE$4,IF($B17=$B$5,1,IF($B17=$B$6,2,IF($B17=$B$7,3,IF($B17=$B$8,4,IF($B17=$B$9,5,IF($B17=$B$10,6,IF($B17=$B$11,7,IF($B17=$B$12,8,0)))))))))</f>
        <v>0</v>
      </c>
      <c r="AH17" s="10" t="s">
        <v>386</v>
      </c>
      <c r="AI17" s="10">
        <f>IF($AF$17=1,$C$17,0)+IF($AF$18=1,$C$18,0)+IF($AF$19=1,$C$19,0)+IF($AF$20=1,$C$20,0)+IF($AF$21=1,$C$21,0)+IF($AF$22=1,$C$22,0)+IF($AF$23=1,$C$23,0)++IF($AF$24=1,$C$24,0)</f>
        <v>0</v>
      </c>
      <c r="AJ17" s="363">
        <f t="shared" ref="AJ17:AJ24" si="2">IF($AE$17=$AH17,$C$17,0)+IF($AE$18=$AH17,$C$18,0)+IF($AE$19=$AH17,$C$19,0)+IF($AE$20=$AH17,$C$20,0)+IF($AE$21=$AH17,$C$21,0)+IF($AE$22=$AH17,$C$22,0)+IF($AE$23=$AH17,$C$23,0)+IF($AE$24=$AH17,$C$24,0)</f>
        <v>0</v>
      </c>
      <c r="AK17" s="363">
        <f>0</f>
        <v>0</v>
      </c>
      <c r="AL17" s="363">
        <f>0</f>
        <v>0</v>
      </c>
      <c r="AM17" s="363">
        <f>AJ17+AL17</f>
        <v>0</v>
      </c>
      <c r="AN17" s="363">
        <f>AJ17</f>
        <v>0</v>
      </c>
    </row>
    <row r="18" spans="2:40" ht="17.399999999999999" x14ac:dyDescent="0.25">
      <c r="B18" s="288"/>
      <c r="C18" s="286"/>
      <c r="D18" s="289"/>
      <c r="E18" s="319"/>
      <c r="F18" s="235"/>
      <c r="G18" s="235" t="str">
        <f t="shared" ref="G18:G24" si="3">IF($B18=$B$5,IF($O18=$AE$4,$C18*$E18,IF($O18=$AE$5,-$C18*$E18,"")),"")</f>
        <v/>
      </c>
      <c r="H18" s="235" t="str">
        <f t="shared" ref="H18:H24" si="4">IF(OR(AND($B18=$B$5,$D18&gt;=2),$B18=$B$6),IF($O18=$AE$4,$C18*$E18,IF($O18=$AE$5,-$C18*$E18,"")),"")</f>
        <v/>
      </c>
      <c r="I18" s="235" t="str">
        <f>IF(OR(AND($B18=$B$5,$D18=3),AND($B18=$B$6,$D18&gt;=2),$B18=$B$7),IF($O18=$AE$4,$C18*$E18,IF($O18=$AE$5,-$C18*$E18,"")),"")</f>
        <v/>
      </c>
      <c r="J18" s="235" t="str">
        <f t="shared" ref="J18:J24" si="5">IF(OR(AND($B18=$B$6,D18=3),AND($B18=$B$7,D18&gt;=2),$B18=$B$8),IF($O18=$AE$4,$C18*$E18,IF($O18=$AE$5,-$C18*$E18,"")),"")</f>
        <v/>
      </c>
      <c r="K18" s="235" t="str">
        <f t="shared" ref="K18:K24" si="6">IF(OR(AND($B18=$B$7,D18=3),AND($B18=$B$8,D18&gt;=2),$B18=$B$9),IF($O18=$AE$4,$C18*$E18,IF($O18=$AE$5,-$C18*$E18,"")),"")</f>
        <v/>
      </c>
      <c r="L18" s="235" t="str">
        <f t="shared" ref="L18:L24" si="7">IF(OR(AND($B18=$B$8,D18=3),AND($B18=$B$9,D18&gt;=2),$B18=$B$10),IF($O18=$AE$4,$C18*$E18,IF(O18=$AE$5,-$C18*$E18,"")),"")</f>
        <v/>
      </c>
      <c r="M18" s="235" t="str">
        <f t="shared" ref="M18:M24" si="8">IF(OR(AND($B18=$B$9,D18=3),AND($B18=$B$10,D18&gt;=2),$B18=$B$11),IF($O18=$AE$4,$C18*$E18,IF($O18=$AE$5,-$C18*$E18,"")),"")</f>
        <v/>
      </c>
      <c r="N18" s="235"/>
      <c r="O18" s="292"/>
      <c r="Q18" s="464" t="s">
        <v>184</v>
      </c>
      <c r="R18" s="465"/>
      <c r="S18" s="465"/>
      <c r="T18" s="465"/>
      <c r="U18" s="465"/>
      <c r="V18" s="465"/>
      <c r="W18" s="466"/>
      <c r="AE18" s="10">
        <f t="shared" ref="AE18:AE24" si="9">IF($O18=$AE$5,$B18,0)</f>
        <v>0</v>
      </c>
      <c r="AF18" s="10">
        <f t="shared" ref="AF18:AF24" si="10">IF($O18=$AE$4,$D18,0)+IF($O18=$AE$4,IF($B18=$B$5,1,IF($B18=$B$6,2,IF($B18=$B$7,3,IF($B18=$B$8,4,IF($B18=$B$9,5,IF($B18=$B$10,6,IF($B18=$B$11,7,IF($B18=$B$12,8,0)))))))))</f>
        <v>0</v>
      </c>
      <c r="AH18" s="10" t="s">
        <v>387</v>
      </c>
      <c r="AI18" s="10">
        <f>IF($AF$17=2,$C$17,0)+IF($AF$18=2,$C$18,0)+IF($AF$19=2,$C$19,0)+IF($AF$20=2,$C$20,0)+IF($AF$21=2,$C$21,0)+IF($AF$22=2,$C$22,0)+IF($AF$23=2,$C$23,0)++IF($AF$24=2,$C$24,0)</f>
        <v>0</v>
      </c>
      <c r="AJ18" s="363">
        <f t="shared" si="2"/>
        <v>0</v>
      </c>
      <c r="AK18" s="363">
        <f>0</f>
        <v>0</v>
      </c>
      <c r="AL18" s="363">
        <f>IF((SUM($AK$17:$AK18,$AI$17:$AI18)-AJ17)&lt;=0,0,SUM($AK$17:$AK18,$AI$17:$AI18)-AJ17)</f>
        <v>0</v>
      </c>
      <c r="AM18" s="363">
        <f t="shared" ref="AM18:AM24" si="11">AJ18+AL18</f>
        <v>0</v>
      </c>
      <c r="AN18" s="363">
        <f>AJ18</f>
        <v>0</v>
      </c>
    </row>
    <row r="19" spans="2:40" ht="15.6" x14ac:dyDescent="0.25">
      <c r="B19" s="288"/>
      <c r="C19" s="286"/>
      <c r="D19" s="289"/>
      <c r="E19" s="319"/>
      <c r="F19" s="235"/>
      <c r="G19" s="235" t="str">
        <f t="shared" si="3"/>
        <v/>
      </c>
      <c r="H19" s="235" t="str">
        <f t="shared" si="4"/>
        <v/>
      </c>
      <c r="I19" s="235" t="str">
        <f t="shared" ref="I19:I24" si="12">IF(OR(AND($B19=$B$5,$D19=3),AND($B19=$B$6,$D19&gt;=2),$B19=$B$7),IF($O19=$AE$4,$C19*$E19,IF($O19=$AE$5,-$C19*$E19,"")),"")</f>
        <v/>
      </c>
      <c r="J19" s="235" t="str">
        <f t="shared" si="5"/>
        <v/>
      </c>
      <c r="K19" s="235" t="str">
        <f t="shared" si="6"/>
        <v/>
      </c>
      <c r="L19" s="235" t="str">
        <f t="shared" si="7"/>
        <v/>
      </c>
      <c r="M19" s="235" t="str">
        <f t="shared" si="8"/>
        <v/>
      </c>
      <c r="N19" s="235"/>
      <c r="O19" s="292"/>
      <c r="Q19" s="25" t="s">
        <v>185</v>
      </c>
      <c r="R19" s="11" t="s">
        <v>56</v>
      </c>
      <c r="S19" s="11" t="s">
        <v>186</v>
      </c>
      <c r="T19" s="11" t="s">
        <v>187</v>
      </c>
      <c r="U19" s="11" t="s">
        <v>45</v>
      </c>
      <c r="V19" s="11" t="s">
        <v>188</v>
      </c>
      <c r="W19" s="23" t="s">
        <v>581</v>
      </c>
      <c r="AE19" s="10">
        <f t="shared" si="9"/>
        <v>0</v>
      </c>
      <c r="AF19" s="10">
        <f t="shared" si="10"/>
        <v>0</v>
      </c>
      <c r="AH19" s="10" t="s">
        <v>388</v>
      </c>
      <c r="AI19" s="10">
        <f>IF($AF$17=3,$C$17,0)+IF($AF$18=3,$C$18,0)+IF($AF$19=3,$C$19,0)+IF($AF$20=3,$C$20,0)+IF($AF$21=3,$C$21,0)+IF($AF$22=3,$C$22,0)+IF($AF$23=3,$C$23,0)+IF($AF$24=3,$C$24,0)</f>
        <v>0</v>
      </c>
      <c r="AJ19" s="363">
        <f t="shared" si="2"/>
        <v>0</v>
      </c>
      <c r="AK19" s="363">
        <f>0</f>
        <v>0</v>
      </c>
      <c r="AL19" s="363">
        <f>IF((SUM($AK$17:$AK19,$AI$17:$AI19)-SUM($AJ$17:$AJ18))&lt;=0,0,SUM($AK$17:$AK19,$AI$17:$AI19)-SUM($AJ$17:$AJ18))</f>
        <v>0</v>
      </c>
      <c r="AM19" s="363">
        <f t="shared" si="11"/>
        <v>0</v>
      </c>
      <c r="AN19" s="363">
        <f>AM19-AM18+AJ18</f>
        <v>0</v>
      </c>
    </row>
    <row r="20" spans="2:40" ht="15.6" x14ac:dyDescent="0.25">
      <c r="B20" s="288"/>
      <c r="C20" s="286"/>
      <c r="D20" s="289"/>
      <c r="E20" s="319"/>
      <c r="F20" s="235"/>
      <c r="G20" s="235" t="str">
        <f t="shared" si="3"/>
        <v/>
      </c>
      <c r="H20" s="235" t="str">
        <f t="shared" si="4"/>
        <v/>
      </c>
      <c r="I20" s="235" t="str">
        <f t="shared" si="12"/>
        <v/>
      </c>
      <c r="J20" s="235" t="str">
        <f t="shared" si="5"/>
        <v/>
      </c>
      <c r="K20" s="235" t="str">
        <f t="shared" si="6"/>
        <v/>
      </c>
      <c r="L20" s="235" t="str">
        <f t="shared" si="7"/>
        <v/>
      </c>
      <c r="M20" s="235" t="str">
        <f t="shared" si="8"/>
        <v/>
      </c>
      <c r="N20" s="235"/>
      <c r="O20" s="292"/>
      <c r="Q20" s="294" t="n">
        <v>1456.0</v>
      </c>
      <c r="R20" s="11" t="n">
        <v>2.0</v>
      </c>
      <c r="S20" s="295" t="n">
        <v>0.05000000074505806</v>
      </c>
      <c r="T20" s="295"/>
      <c r="U20" s="296"/>
      <c r="V20" s="177"/>
      <c r="W20" s="292"/>
      <c r="AE20" s="10">
        <f t="shared" si="9"/>
        <v>0</v>
      </c>
      <c r="AF20" s="10">
        <f t="shared" si="10"/>
        <v>0</v>
      </c>
      <c r="AH20" s="10" t="s">
        <v>389</v>
      </c>
      <c r="AI20" s="10">
        <f>IF($AF$17=4,$C$17,0)+IF($AF$18=4,$C$18,0)+IF($AF$19=4,$C$19,0)+IF($AF$20=4,$C$20,0)+IF($AF$21=4,$C$21,0)+IF($AF$22=4,$C$22,0)+IF($AF$23=4,$C$23,0)+IF($AF$24=4,$C$24,0)</f>
        <v>0</v>
      </c>
      <c r="AJ20" s="363">
        <f t="shared" si="2"/>
        <v>0</v>
      </c>
      <c r="AK20" s="363">
        <f>C5</f>
        <v>0</v>
      </c>
      <c r="AL20" s="363">
        <f>IF((SUM($AK$17:$AK20,$AI$17:$AI20)-SUM($AJ$17:$AJ19))&lt;=0,0,SUM($AK$17:$AK20,$AI$17:$AI20)-SUM($AJ$17:$AJ19))</f>
        <v>0</v>
      </c>
      <c r="AM20" s="363">
        <f t="shared" si="11"/>
        <v>0</v>
      </c>
      <c r="AN20" s="363">
        <f t="shared" ref="AN20:AN24" si="13">AM20-AM19+AJ19</f>
        <v>0</v>
      </c>
    </row>
    <row r="21" spans="2:40" ht="15.6" x14ac:dyDescent="0.25">
      <c r="B21" s="288"/>
      <c r="C21" s="286"/>
      <c r="D21" s="289"/>
      <c r="E21" s="319"/>
      <c r="F21" s="235"/>
      <c r="G21" s="235" t="str">
        <f t="shared" si="3"/>
        <v/>
      </c>
      <c r="H21" s="235" t="str">
        <f t="shared" si="4"/>
        <v/>
      </c>
      <c r="I21" s="235" t="str">
        <f t="shared" si="12"/>
        <v/>
      </c>
      <c r="J21" s="235" t="str">
        <f t="shared" si="5"/>
        <v/>
      </c>
      <c r="K21" s="235" t="str">
        <f t="shared" si="6"/>
        <v/>
      </c>
      <c r="L21" s="235" t="str">
        <f t="shared" si="7"/>
        <v/>
      </c>
      <c r="M21" s="235" t="str">
        <f t="shared" si="8"/>
        <v/>
      </c>
      <c r="N21" s="235"/>
      <c r="O21" s="292"/>
      <c r="Q21" s="294"/>
      <c r="R21" s="11"/>
      <c r="S21" s="295"/>
      <c r="T21" s="295"/>
      <c r="U21" s="289"/>
      <c r="V21" s="177"/>
      <c r="W21" s="292"/>
      <c r="AE21" s="10">
        <f t="shared" si="9"/>
        <v>0</v>
      </c>
      <c r="AF21" s="10">
        <f t="shared" si="10"/>
        <v>0</v>
      </c>
      <c r="AH21" s="10" t="s">
        <v>390</v>
      </c>
      <c r="AI21" s="10">
        <f>IF($AF$17=5,$C$17,0)+IF($AF$18=5,$C$18,0)+IF($AF$19=5,$C$19,0)+IF($AF$20=5,$C$20,0)+IF($AF$21=5,$C$21,0)+IF($AF$22=5,$C$22,0)+IF($AF$23=5,$C$23,0)+IF($AF$24=5,$C$24,0)</f>
        <v>0</v>
      </c>
      <c r="AJ21" s="363">
        <f t="shared" si="2"/>
        <v>0</v>
      </c>
      <c r="AK21" s="363">
        <f>C6</f>
        <v>0</v>
      </c>
      <c r="AL21" s="363">
        <f>IF((SUM($AK$17:$AK21,$AI$17:$AI21)-SUM($AJ$17:$AJ20))&lt;=0,0,SUM($AK$17:$AK21,$AI$17:$AI21)-SUM($AJ$17:$AJ20))</f>
        <v>0</v>
      </c>
      <c r="AM21" s="363">
        <f t="shared" si="11"/>
        <v>0</v>
      </c>
      <c r="AN21" s="363">
        <f t="shared" si="13"/>
        <v>0</v>
      </c>
    </row>
    <row r="22" spans="2:40" ht="15.6" x14ac:dyDescent="0.25">
      <c r="B22" s="288"/>
      <c r="C22" s="286"/>
      <c r="D22" s="289"/>
      <c r="E22" s="319"/>
      <c r="F22" s="235"/>
      <c r="G22" s="235" t="str">
        <f t="shared" si="3"/>
        <v/>
      </c>
      <c r="H22" s="235" t="str">
        <f t="shared" si="4"/>
        <v/>
      </c>
      <c r="I22" s="235" t="str">
        <f t="shared" si="12"/>
        <v/>
      </c>
      <c r="J22" s="235" t="str">
        <f t="shared" si="5"/>
        <v/>
      </c>
      <c r="K22" s="235" t="str">
        <f t="shared" si="6"/>
        <v/>
      </c>
      <c r="L22" s="235" t="str">
        <f t="shared" si="7"/>
        <v/>
      </c>
      <c r="M22" s="235" t="str">
        <f t="shared" si="8"/>
        <v/>
      </c>
      <c r="N22" s="235"/>
      <c r="O22" s="292"/>
      <c r="Q22" s="294"/>
      <c r="R22" s="11"/>
      <c r="S22" s="295"/>
      <c r="T22" s="295"/>
      <c r="U22" s="289"/>
      <c r="V22" s="177"/>
      <c r="W22" s="292"/>
      <c r="AE22" s="10">
        <f t="shared" si="9"/>
        <v>0</v>
      </c>
      <c r="AF22" s="10">
        <f t="shared" si="10"/>
        <v>0</v>
      </c>
      <c r="AH22" s="10" t="s">
        <v>391</v>
      </c>
      <c r="AI22" s="10">
        <f>IF($AF$17=6,$C$17,0)+IF($AF$18=6,$C$18,0)+IF($AF$19=6,$C$19,0)+IF($AF$20=6,$C$20,0)+IF($AF$21=6,$C$21,0)+IF($AF$22=6,$C$22,0)+IF($AF$23=6,$C$23,0)+IF($AF$24=6,$C$24,0)</f>
        <v>0</v>
      </c>
      <c r="AJ22" s="363">
        <f t="shared" si="2"/>
        <v>0</v>
      </c>
      <c r="AK22" s="363">
        <f>C7</f>
        <v>0</v>
      </c>
      <c r="AL22" s="363">
        <f>IF((SUM($AK$17:$AK22,$AI$17:$AI22)-SUM($AJ$17:$AJ21))&lt;=0,0,SUM($AK$17:$AK22,$AI$17:$AI22)-SUM($AJ$17:$AJ21))</f>
        <v>0</v>
      </c>
      <c r="AM22" s="363">
        <f t="shared" si="11"/>
        <v>0</v>
      </c>
      <c r="AN22" s="363">
        <f t="shared" si="13"/>
        <v>0</v>
      </c>
    </row>
    <row r="23" spans="2:40" ht="15.6" x14ac:dyDescent="0.25">
      <c r="B23" s="288"/>
      <c r="C23" s="286"/>
      <c r="D23" s="289"/>
      <c r="E23" s="319"/>
      <c r="F23" s="235"/>
      <c r="G23" s="235" t="str">
        <f t="shared" si="3"/>
        <v/>
      </c>
      <c r="H23" s="235" t="str">
        <f t="shared" si="4"/>
        <v/>
      </c>
      <c r="I23" s="235" t="str">
        <f t="shared" si="12"/>
        <v/>
      </c>
      <c r="J23" s="235" t="str">
        <f t="shared" si="5"/>
        <v/>
      </c>
      <c r="K23" s="235" t="str">
        <f t="shared" si="6"/>
        <v/>
      </c>
      <c r="L23" s="235" t="str">
        <f t="shared" si="7"/>
        <v/>
      </c>
      <c r="M23" s="235" t="str">
        <f t="shared" si="8"/>
        <v/>
      </c>
      <c r="N23" s="235"/>
      <c r="O23" s="292"/>
      <c r="Q23" s="294"/>
      <c r="R23" s="11"/>
      <c r="S23" s="295"/>
      <c r="T23" s="295"/>
      <c r="U23" s="289"/>
      <c r="V23" s="177"/>
      <c r="W23" s="292"/>
      <c r="AE23" s="10">
        <f t="shared" si="9"/>
        <v>0</v>
      </c>
      <c r="AF23" s="10">
        <f t="shared" si="10"/>
        <v>0</v>
      </c>
      <c r="AH23" s="10" t="s">
        <v>392</v>
      </c>
      <c r="AI23" s="10">
        <f>IF($AF$17=7,$C$17,0)+IF($AF$18=7,$C$18,0)+IF($AF$19=7,$C$19,0)+IF($AF$20=7,$C$20,0)+IF($AF$21=7,$C$21,0)+IF($AF$22=7,$C$22,0)+IF($AF$23=7,$C$23,0)+IF($AF$24=7,$C$24,0)</f>
        <v>0</v>
      </c>
      <c r="AJ23" s="363">
        <f t="shared" si="2"/>
        <v>0</v>
      </c>
      <c r="AK23" s="363">
        <f>C8</f>
        <v>0</v>
      </c>
      <c r="AL23" s="363">
        <f>IF((SUM($AK$17:$AK23,$AI$17:$AI23)-SUM($AJ$17:$AJ22))&lt;=0,0,SUM($AK$17:$AK23,$AI$17:$AI23)-SUM($AJ$17:$AJ22))</f>
        <v>0</v>
      </c>
      <c r="AM23" s="363">
        <f t="shared" si="11"/>
        <v>0</v>
      </c>
      <c r="AN23" s="363">
        <f>AM23-AM22+AJ22</f>
        <v>0</v>
      </c>
    </row>
    <row r="24" spans="2:40" ht="16.2" thickBot="1" x14ac:dyDescent="0.3">
      <c r="B24" s="290"/>
      <c r="C24" s="287"/>
      <c r="D24" s="291"/>
      <c r="E24" s="319"/>
      <c r="F24" s="236"/>
      <c r="G24" s="236" t="str">
        <f t="shared" si="3"/>
        <v/>
      </c>
      <c r="H24" s="236" t="str">
        <f t="shared" si="4"/>
        <v/>
      </c>
      <c r="I24" s="236" t="str">
        <f t="shared" si="12"/>
        <v/>
      </c>
      <c r="J24" s="236" t="str">
        <f t="shared" si="5"/>
        <v/>
      </c>
      <c r="K24" s="236" t="str">
        <f t="shared" si="6"/>
        <v/>
      </c>
      <c r="L24" s="236" t="str">
        <f t="shared" si="7"/>
        <v/>
      </c>
      <c r="M24" s="236" t="str">
        <f t="shared" si="8"/>
        <v/>
      </c>
      <c r="N24" s="236"/>
      <c r="O24" s="293"/>
      <c r="Q24" s="294"/>
      <c r="R24" s="11"/>
      <c r="S24" s="295"/>
      <c r="T24" s="295"/>
      <c r="U24" s="289"/>
      <c r="V24" s="177"/>
      <c r="W24" s="292"/>
      <c r="AE24" s="10">
        <f t="shared" si="9"/>
        <v>0</v>
      </c>
      <c r="AF24" s="10">
        <f t="shared" si="10"/>
        <v>0</v>
      </c>
      <c r="AH24" s="10" t="s">
        <v>393</v>
      </c>
      <c r="AI24" s="10">
        <f>IF($AF$17=8,$C$17,0)+IF($AF$18=8,$C$18,0)+IF($AF$19=8,$C$19,0)+IF($AF$20=8,$C$20,0)+IF($AF$21=8,$C$21,0)+IF($AF$22=8,$C$22,0)+IF($AF$23=8,$C$23,0)+IF($AF$24=8,$C$24,0)</f>
        <v>0</v>
      </c>
      <c r="AJ24" s="363">
        <f t="shared" si="2"/>
        <v>0</v>
      </c>
      <c r="AK24" s="363">
        <f t="shared" ref="AK24" si="14">C9</f>
        <v>0</v>
      </c>
      <c r="AL24" s="363">
        <f>IF((SUM($AK$17:$AK24,$AI$17:$AI24)-SUM($AJ$17:$AJ23))&lt;=0,0,SUM($AK$17:$AK24,$AI$17:$AI24)-SUM($AJ$17:$AJ23))</f>
        <v>0</v>
      </c>
      <c r="AM24" s="363">
        <f t="shared" si="11"/>
        <v>0</v>
      </c>
      <c r="AN24" s="363">
        <f t="shared" si="13"/>
        <v>0</v>
      </c>
    </row>
    <row r="25" spans="2:40" ht="20.100000000000001" customHeight="1" x14ac:dyDescent="0.25">
      <c r="Q25" s="294"/>
      <c r="R25" s="11"/>
      <c r="S25" s="295"/>
      <c r="T25" s="295"/>
      <c r="U25" s="289"/>
      <c r="V25" s="177"/>
      <c r="W25" s="292"/>
      <c r="AJ25" s="363"/>
      <c r="AK25" s="363"/>
      <c r="AL25" s="363"/>
      <c r="AM25" s="363"/>
      <c r="AN25" s="363"/>
    </row>
    <row r="26" spans="2:40" ht="20.100000000000001" customHeight="1" x14ac:dyDescent="0.25">
      <c r="Q26" s="294"/>
      <c r="R26" s="11"/>
      <c r="S26" s="295"/>
      <c r="T26" s="295"/>
      <c r="U26" s="289"/>
      <c r="V26" s="177"/>
      <c r="W26" s="292"/>
    </row>
    <row r="27" spans="2:40" ht="15.6" x14ac:dyDescent="0.25">
      <c r="O27"/>
      <c r="Q27" s="294"/>
      <c r="R27" s="11"/>
      <c r="S27" s="295"/>
      <c r="T27" s="295"/>
      <c r="U27" s="289"/>
      <c r="V27" s="177"/>
      <c r="W27" s="292"/>
    </row>
    <row r="28" spans="2:40" ht="20.100000000000001" customHeight="1" x14ac:dyDescent="0.25">
      <c r="Q28" s="294"/>
      <c r="R28" s="11"/>
      <c r="S28" s="295"/>
      <c r="T28" s="295"/>
      <c r="U28" s="296"/>
      <c r="V28" s="177"/>
      <c r="W28" s="292"/>
    </row>
    <row r="29" spans="2:40" ht="20.100000000000001" customHeight="1" x14ac:dyDescent="0.25">
      <c r="Q29" s="294"/>
      <c r="R29" s="11"/>
      <c r="S29" s="295"/>
      <c r="T29" s="295"/>
      <c r="U29" s="289"/>
      <c r="V29" s="177"/>
      <c r="W29" s="292"/>
    </row>
    <row r="30" spans="2:40" ht="20.100000000000001" customHeight="1" x14ac:dyDescent="0.25">
      <c r="Q30" s="294"/>
      <c r="R30" s="11"/>
      <c r="S30" s="295"/>
      <c r="T30" s="295"/>
      <c r="U30" s="289"/>
      <c r="V30" s="177"/>
      <c r="W30" s="292"/>
    </row>
    <row r="31" spans="2:40" ht="20.100000000000001" customHeight="1" thickBot="1" x14ac:dyDescent="0.3">
      <c r="Q31" s="297"/>
      <c r="R31" s="26"/>
      <c r="S31" s="298"/>
      <c r="T31" s="298"/>
      <c r="U31" s="291"/>
      <c r="V31" s="237"/>
      <c r="W31" s="293"/>
    </row>
    <row r="33" spans="1:14" ht="20.100000000000001" hidden="1" customHeight="1" x14ac:dyDescent="0.25">
      <c r="F33" s="10" t="s">
        <v>630</v>
      </c>
      <c r="G33" s="10">
        <f>$C$5</f>
        <v>0</v>
      </c>
      <c r="H33" s="10">
        <f>SUM($C$5:$C$6)</f>
        <v>0</v>
      </c>
      <c r="I33" s="10">
        <f>SUM($C$5:$C$7)</f>
        <v>0</v>
      </c>
      <c r="J33" s="10">
        <f>SUM($C$6:$C$8)</f>
        <v>0</v>
      </c>
      <c r="K33" s="10">
        <f>SUM($C$7:$C$9)</f>
        <v>0</v>
      </c>
      <c r="L33" s="10">
        <f>SUM($C$8:$C$10)</f>
        <v>0</v>
      </c>
      <c r="M33" s="10">
        <f>SUM($C$9:$C$11)</f>
        <v>0</v>
      </c>
      <c r="N33" s="10">
        <f>SUM($C$10:$C$12)</f>
        <v>0</v>
      </c>
    </row>
    <row r="34" spans="1:14" ht="20.100000000000001" hidden="1" customHeight="1" x14ac:dyDescent="0.25">
      <c r="F34" s="10" t="s">
        <v>631</v>
      </c>
      <c r="G34" s="10">
        <f>IF(AND($O17=$AE$4,$B17=$B5,$D17&gt;=1),$C17,0)+IF(AND($O18=$AE$4,$B18=$B5,$D18&gt;=1),$C18,0)+IF(AND($O19=$AE$4,$B19=$B5,$D19&gt;=1),$C19,0)+IF(AND($O20=$AE$4,$B20=$B5,$D20&gt;=1),$C20,0)+IF(AND($O21=$AE$4,$B21=$B5,$D21&gt;=1),$C21,0)+IF(AND($O22=$AE$4,$B22=$B5,$D22&gt;=1),$C22,0)+IF(AND($O23=$AE$4,$B23=$B5,$D23&gt;=1),$C23,0)+IF(AND($O24=$AE$4,$B24=$B5,$D24&gt;=1),$C24,0)</f>
        <v>0</v>
      </c>
      <c r="H34" s="10">
        <f>IF(OR(AND($O17=$AE$4,$B17=$B5,$D17&gt;=2),AND($O17=$AE$4,$B17=$B6,$D17&gt;=1)),$C17,0)+IF(OR(AND($O18=$AE$4,$B18=$B5,$D18&gt;=2),AND($O18=$AE$4,$B18=$B6,$D18&gt;=1)),$C18,0)+IF(OR(AND($O19=$AE$4,$B19=$B5,$D19&gt;=2),AND($O19=$AE$4,$B19=$B6,$D19&gt;=1)),$C19,0)+IF(OR(AND($O20=$AE$4,$B20=$B5,$D20&gt;=2),AND($O20=$AE$4,$B20=$B6,$D20&gt;=1)),$C20,0)+IF(OR(AND($O21=$AE$4,$B21=$B5,$D21&gt;=2),AND($O21=$AE$4,$B21=$B6,$D21&gt;=1),),$C21,0)+IF(OR(AND($O22=$AE$4,$B22=$B5,$D22&gt;=2),AND($O22=$AE$4,$B22=$B6,$D22&gt;=1),),$C22,0)+IF(OR(AND($O23=$AE$4,$B23=$B5,$D23&gt;=2),AND($O23=$AE$4,$B23=$B6,$D23&gt;=1)),$C23,0)+IF(OR(AND($O24=$AE$4,$B24=$B5,$D24&gt;=2),AND($O24=$AE$4,$B24=$B6,$D24&gt;=1)),$C24,0)</f>
        <v>0</v>
      </c>
      <c r="I34" s="10">
        <f>IF(OR(AND($O17=$AE$4,$B17=$B5,$D17=3),AND($O17=$AE$4,$B17=$B6,$D17&gt;=2),AND($O17=$AE$4,$B17=$B7,$D17&gt;=1)),$C17,0)+IF(OR(AND($O18=$AE$4,$B18=$B5,$D18=3),AND($O18=$AE$4,$B18=$B6,$D18&gt;=2),AND($O18=$AE$4,$B18=$B7,$D18&gt;=1)),$C18,0)+IF(OR(AND($O19=$AE$4,$B19=$B5,$D19=3),AND($O19=$AE$4,$B19=$B6,$D19&gt;=2),AND($O19=$AE$4,$B19=$B7,$D19&gt;=1)),$C19,0)+IF(OR(AND($O20=$AE$4,$B20=$B5,$D20=3),AND($O20=$AE$4,$B20=$B6,$D20&gt;=2),AND($O20=$AE$4,$B20=$B7,$D20&gt;=1)),$C20,0)+IF(OR(AND($O21=$AE$4,$B21=$B5,$D21=3),AND($O21=$AE$4,$B21=$B6,$D21&gt;=2),AND($O21=$AE$4,$B21=$B7,$D21&gt;=1)),$C21,0)+IF(OR(AND($O22=$AE$4,$B22=$B5,$D22=3),AND($O22=$AE$4,$B22=$B6,$D22&gt;=2),AND($O22=$AE$4,$B22=$B7,$D22&gt;=1)),$C22,0)+IF(OR(AND($O23=$AE$4,$B23=$B5,$D23=3),AND($O23=$AE$4,$B23=$B6,$D23&gt;=2),AND($O23=$AE$4,$B23=$B7,$D23&gt;=1)),$C23,0)+IF(OR(AND($O24=$AE$4,$B24=$B5,$D24=3),AND($O24=$AE$4,$B24=$B6,$D24&gt;=2),AND($O24=$AE$4,$B24=$B7,$D24&gt;=1)),$C24,0)</f>
        <v>0</v>
      </c>
      <c r="J34" s="10">
        <f>IF(OR(AND($O17=$AE$4,$B17=$B6,$D17=3),AND($O17=$AE$4,$B17=$B7,$D17&gt;=2),AND($O17=$AE$4,$B17=$B8,$D17&gt;=1)),$C17,0)+IF(OR(AND($O18=$AE$4,$B18=$B6,$D18=3),AND($O18=$AE$4,$B18=$B7,$D18&gt;=2),AND($O18=$AE$4,$B18=$B8,$D18&gt;=1)),$C18,0)+IF(OR(AND($O19=$AE$4,$B19=$B6,$D19=3),AND($O19=$AE$4,$B19=$B7,$D19&gt;=2),AND($O19=$AE$4,$B19=$B8,$D19&gt;=1)),$C19,0)+IF(OR(AND($O20=$AE$4,$B20=$B6,$D20=3),AND($O20=$AE$4,$B20=$B7,$D20&gt;=2),AND($O20=$AE$4,$B20=$B8,$D20&gt;=1)),$C20,0)+IF(OR(AND($O21=$AE$4,$B21=$B6,$D21=3),AND($O21=$AE$4,$B21=$B7,$D21&gt;=2),AND($O21=$AE$4,$B21=$B8,$D21&gt;=1)),$C21,0)+IF(OR(AND($O22=$AE$4,$B22=$B6,$D22=3),AND($O22=$AE$4,$B22=$B7,$D22&gt;=2),AND($O22=$AE$4,$B22=$B8,$D22&gt;=1)),$C22,0)+IF(OR(AND($O23=$AE$4,$B23=$B6,$D23=3),AND($O23=$AE$4,$B23=$B7,$D23&gt;=2),AND($O23=$AE$4,$B23=$B8,$D23&gt;=1)),$C23,0)+IF(OR(AND($O24=$AE$4,$B24=$B6,$D24=3),AND($O24=$AE$4,$B24=$B7,$D24&gt;=2),AND($O24=$AE$4,$B24=$B8,$D24&gt;=1)),$C24,0)</f>
        <v>0</v>
      </c>
      <c r="K34" s="10">
        <f>IF(OR(AND($O17=$AE$4,$B17=$B7,$D17=3),AND($O17=$AE$4,$B17=$B8,$D17&gt;=2),AND($O17=$AE$4,$B17=$B9,$D17&gt;=1)),$C17,0)+IF(OR(AND($O18=$AE$4,$B18=$B7,$D18=3),AND($O18=$AE$4,$B18=$B8,$D18&gt;=2),AND($O18=$AE$4,$B18=$B9,$D18&gt;=1)),$C18,0)+IF(OR(AND($O19=$AE$4,$B19=$B7,$D19=3),AND($O19=$AE$4,$B19=$B8,$D19&gt;=2),AND($O19=$AE$4,$B19=$B9,$D19&gt;=1)),$C19,0)+IF(OR(AND($O20=$AE$4,$B20=$B7,$D20=3),AND($O20=$AE$4,$B20=$B8,$D20&gt;=2),AND($O20=$AE$4,$B20=$B9,$D20&gt;=1)),$C20,0)+IF(OR(AND($O21=$AE$4,$B21=$B7,$D21=3),AND($O21=$AE$4,$B21=$B8,$D21&gt;=2),AND($O21=$AE$4,$B21=$B9,$D21&gt;=1)),$C21,0)+IF(OR(AND($O22=$AE$4,$B22=$B7,$D22=3),AND($O22=$AE$4,$B22=$B8,$D22&gt;=2),AND($O22=$AE$4,$B22=$B9,$D22&gt;=1)),$C22,0)+IF(OR(AND($O23=$AE$4,$B23=$B7,$D23=3),AND($O23=$AE$4,$B23=$B8,$D23&gt;=2),AND($O23=$AE$4,$B23=$B9,$D23&gt;=1)),$C23,0)+IF(OR(AND($O24=$AE$4,$B24=$B7,$D24=3),AND($O24=$AE$4,$B24=$B8,$D24&gt;=2),AND($O24=$AE$4,$B24=$B9,$D24&gt;=1)),$C24,0)</f>
        <v>0</v>
      </c>
      <c r="L34" s="10">
        <f>IF(OR(AND($O17=$AE$4,$B17=$B8,$D17=3),AND($O17=$AE$4,$B17=$B9,$D17&gt;=2),AND($O17=$AE$4,$B17=$B10,$D17&gt;=1)),$C17,0)+IF(OR(AND($O18=$AE$4,$B18=$B8,$D18=3),AND($O18=$AE$4,$B18=$B9,$D18&gt;=2),AND($O18=$AE$4,$B18=$B10,$D18&gt;=1)),$C18,0)+IF(OR(AND($O19=$AE$4,$B19=$B8,$D19=3),AND($O19=$AE$4,$B19=$B9,$D19&gt;=2),AND($O19=$AE$4,$B19=$B10,$D19&gt;=1)),$C19,0)+IF(OR(AND($O20=$AE$4,$B20=$B8,$D20=3),AND($O20=$AE$4,$B20=$B9,$D20&gt;=2),AND($O20=$AE$4,$B20=$B10,$D20&gt;=1)),$C20,0)+IF(OR(AND($O21=$AE$4,$B21=$B8,$D21=3),AND($O21=$AE$4,$B21=$B9,$D21&gt;=2),AND($O21=$AE$4,$B21=$B10,$D21&gt;=1)),$C21,0)+IF(OR(AND($O22=$AE$4,$B22=$B8,$D22=3),AND($O22=$AE$4,$B22=$B9,$D22&gt;=2),AND($O22=$AE$4,$B22=$B10,$D22&gt;=1)),$C22,0)+IF(OR(AND($O23=$AE$4,$B23=$B8,$D23=3),AND($O23=$AE$4,$B23=$B9,$D23&gt;=2),AND($O23=$AE$4,$B23=$B10,$D23&gt;=1)),$C23,0)+IF(OR(AND($O24=$AE$4,$B24=$B8,$D24=3),AND($O24=$AE$4,$B24=$B9,$D24&gt;=2),AND($O24=$AE$4,$B24=$B10,$D24&gt;=1)),$C24,0)</f>
        <v>0</v>
      </c>
      <c r="M34" s="10">
        <f>IF(OR(AND($O17=$AE$4,$B17=$B9,$D17=3),AND($O17=$AE$4,$B17=$B10,$D17&gt;=2),AND($O17=$AE$4,$B17=$B11,$D17&gt;=1)),$C17,0)+IF(OR(AND($O18=$AE$4,$B18=$B9,$D18=3),AND($O18=$AE$4,$B18=$B10,$D18&gt;=2),AND($O18=$AE$4,$B18=$B11,$D18&gt;=1)),$C18,0)+IF(OR(AND($O19=$AE$4,$B19=$B9,$D19=3),AND($O19=$AE$4,$B19=$B10,$D19&gt;=2),AND($O19=$AE$4,$B19=$B11,$D19&gt;=1)),$C19,0)+IF(OR(AND($O20=$AE$4,$B20=$B9,$D20=3),AND($O20=$AE$4,$B20=$B10,$D20&gt;=2),AND($O20=$AE$4,$B20=$B11,$D20&gt;=1)),$C20,0)+IF(OR(AND($O21=$AE$4,$B21=$B9,$D21=3),AND($O21=$AE$4,$B21=$B10,$D21&gt;=2),AND($O21=$AE$4,$B21=$B11,$D21&gt;=1)),$C21,0)+IF(OR(AND($O22=$AE$4,$B22=$B9,$D22=3),AND($O22=$AE$4,$B22=$B10,$D22&gt;=2),AND($O22=$AE$4,$B22=$B11,$D22&gt;=1)),$C22,0)+IF(OR(AND($O23=$AE$4,$B23=$B9,$D23=3),AND($O23=$AE$4,$B23=$B10,$D23&gt;=2),AND($O23=$AE$4,$B23=$B11,$D23&gt;=1)),$C23,0)+IF(OR(AND($O24=$AE$4,$B24=$B9,$D24=3),AND($O24=$AE$4,$B24=$B10,$D24&gt;=2),AND($O24=$AE$4,$B24=$B11,$D24&gt;=1)),$C24,0)</f>
        <v>0</v>
      </c>
      <c r="N34" s="10">
        <f>IF(OR(AND($O17=$AE$4,$B17=$B10,$D17=3),AND($O17=$AE$4,$B17=$B11,$D17&gt;=2),AND($O17=$AE$4,$B17=$B12,$D17&gt;=1)),$C17,0)+IF(OR(AND($O18=$AE$4,$B18=$B10,$D18=3),AND($O18=$AE$4,$B18=$B11,$D18&gt;=2),AND($O18=$AE$4,$B18=$B12,$D18&gt;=1)),$C18,0)+IF(OR(AND($O19=$AE$4,$B19=$B10,$D19=3),AND($O19=$AE$4,$B19=$B11,$D19&gt;=2),AND($O19=$AE$4,$B19=$B12,$D19&gt;=1)),$C19,0)+IF(OR(AND($O20=$AE$4,$B20=$B10,$D20=3),AND($O20=$AE$4,$B20=$B11,$D20&gt;=2),AND($O20=$AE$4,$B20=$B12,$D20&gt;=1)),$C20,0)+IF(OR(AND($O21=$AE$4,$B21=$B10,$D21=3),AND($O21=$AE$4,$B21=$B11,$D21&gt;=2),AND($O21=$AE$4,$B21=$B12,$D21&gt;=1)),$C21,0)+IF(OR(AND($O22=$AE$4,$B22=$B10,$D22=3),AND($O22=$AE$4,$B22=$B11,$D22&gt;=2),AND($O22=$AE$4,$B22=$B12,$D22&gt;=1)),$C22,0)+IF(OR(AND($O23=$AE$4,$B23=$B10,$D23=3),AND($O23=$AE$4,$B23=$B11,$D23&gt;=2),AND($O23=$AE$4,$B23=$B12,$D23&gt;=1)),$C23,0)+IF(OR(AND($O24=$AE$4,$B24=$B10,$D24=3),AND($O24=$AE$4,$B24=$B11,$D24&gt;=2),AND($O24=$AE$4,$B24=$B12,$D24&gt;=1)),$C24,0)</f>
        <v>0</v>
      </c>
    </row>
    <row r="35" spans="1:14" ht="20.100000000000001" hidden="1" customHeight="1" x14ac:dyDescent="0.25">
      <c r="F35" s="10" t="s">
        <v>632</v>
      </c>
      <c r="G35" s="10">
        <f>IF(AND($O17=$AE$5,$B17=$B5,$D17&gt;=1),$C17,0)+IF(AND($O18=$AE$5,$B18=$B5,$D18&gt;=1),$C18,0)+IF(AND($O19=$AE$5,$B19=$B5,$D19&gt;=1),$C19,0)+IF(AND($O20=$AE$5,$B20=$B5,$D20&gt;=1),$C20,0)+IF(AND($O21=$AE$5,$B21=$B5,$D21&gt;=1),$C21,0)+IF(AND($O22=$AE$5,$B22=$B5,$D22&gt;=1),$C22,0)+IF(AND($O23=$AE$5,$B23=$B5,$D23&gt;=1),$C23,0)+IF(AND($O24=$AE$5,$B24=$B5,$D24&gt;=1),$C24,0)</f>
        <v>0</v>
      </c>
      <c r="H35" s="10">
        <f>IF(OR(AND($O17=$AE$5,$B17=$B5,$D17&gt;=2),AND($O17=$AE$5,$B17=$B6,$D17&gt;=1)),$C17,0)+IF(OR(AND($O18=$AE$5,$B18=$B5,$D18&gt;=2),AND($O18=$AE$5,$B18=$B6,$D18&gt;=1)),$C18,0)+IF(OR(AND($O19=$AE$5,$B19=$B5,$D19&gt;=2),AND($O19=$AE$5,$B19=$B6,$D19&gt;=1)),$C19,0)+IF(OR(AND($O20=$AE$5,$B20=$B5,$D20&gt;=2),AND($O20=$AE$5,$B20=$B6,$D20&gt;=1)),$C20,0)+IF(OR(AND($O21=$AE$5,$B21=$B5,$D21&gt;=2),AND($O21=$AE$5,$B21=$B6,$D21&gt;=1),),$C21,0)+IF(OR(AND($O22=$AE$5,$B22=$B5,$D22&gt;=2),AND($O22=$AE$5,$B22=$B6,$D22&gt;=1),),$C22,0)+IF(OR(AND($O23=$AE$5,$B23=$B5,$D23&gt;=2),AND($O23=$AE$5,$B23=$B6,$D23&gt;=1)),$C23,0)+IF(OR(AND($O24=$AE$5,$B24=$B5,$D24&gt;=2),AND($O24=$AE$5,$B24=$B6,$D24&gt;=1)),$C24,0)</f>
        <v>0</v>
      </c>
      <c r="I35" s="10">
        <f>IF(OR(AND($O17=$AE$5,$B17=$B5,$D17=3),AND($O17=$AE$5,$B17=$B6,$D17&gt;=2),AND($O17=$AE$5,$B17=$B7,$D17&gt;=1)),$C17,0)+IF(OR(AND($O18=$AE$5,$B18=$B5,$D18=3),AND($O18=$AE$5,$B18=$B6,$D18&gt;=2),AND($O18=$AE$5,$B18=$B7,$D18&gt;=1)),$C18,0)+IF(OR(AND($O19=$AE$5,$B19=$B5,$D19=3),AND($O19=$AE$5,$B19=$B6,$D19&gt;=2),AND($O19=$AE$5,$B19=$B7,$D19&gt;=1)),$C19,0)+IF(OR(AND($O20=$AE$5,$B20=$B5,$D20=3),AND($O20=$AE$5,$B20=$B6,$D20&gt;=2),AND($O20=$AE$5,$B20=$B7,$D20&gt;=1)),$C20,0)+IF(OR(AND($O21=$AE$5,$B21=$B5,$D21=3),AND($O21=$AE$5,$B21=$B6,$D21&gt;=2),AND($O21=$AE$5,$B21=$B7,$D21&gt;=1)),$C21,0)+IF(OR(AND($O22=$AE$5,$B22=$B5,$D22=3),AND($O22=$AE$5,$B22=$B6,$D22&gt;=2),AND($O22=$AE$5,$B22=$B7,$D22&gt;=1)),$C22,0)+IF(OR(AND($O23=$AE$5,$B23=$B5,$D23=3),AND($O23=$AE$5,$B23=$B6,$D23&gt;=2),AND($O23=$AE$5,$B23=$B7,$D23&gt;=1)),$C23,0)+IF(OR(AND($O24=$AE$5,$B24=$B5,$D24=3),AND($O24=$AE$5,$B24=$B6,$D24&gt;=2),AND($O24=$AE$5,$B24=$B7,$D24&gt;=1)),$C24,0)</f>
        <v>0</v>
      </c>
      <c r="J35" s="10">
        <f>IF(OR(AND($O17=$AE$5,$B17=$B6,$D17=3),AND($O17=$AE$5,$B17=$B7,$D17&gt;=2),AND($O17=$AE$5,$B17=$B8,$D17&gt;=1)),$C17,0)+IF(OR(AND($O18=$AE$5,$B18=$B6,$D18=3),AND($O18=$AE$5,$B18=$B7,$D18&gt;=2),AND($O18=$AE$5,$B18=$B8,$D18&gt;=1)),$C18,0)+IF(OR(AND($O19=$AE$5,$B19=$B6,$D19=3),AND($O19=$AE$5,$B19=$B7,$D19&gt;=2),AND($O19=$AE$5,$B19=$B8,$D19&gt;=1)),$C19,0)+IF(OR(AND($O20=$AE$5,$B20=$B6,$D20=3),AND($O20=$AE$5,$B20=$B7,$D20&gt;=2),AND($O20=$AE$5,$B20=$B8,$D20&gt;=1)),$C20,0)+IF(OR(AND($O21=$AE$5,$B21=$B6,$D21=3),AND($O21=$AE$5,$B21=$B7,$D21&gt;=2),AND($O21=$AE$5,$B21=$B8,$D21&gt;=1)),$C21,0)+IF(OR(AND($O22=$AE$5,$B22=$B6,$D22=3),AND($O22=$AE$5,$B22=$B7,$D22&gt;=2),AND($O22=$AE$5,$B22=$B8,$D22&gt;=1)),$C22,0)+IF(OR(AND($O23=$AE$5,$B23=$B6,$D23=3),AND($O23=$AE$5,$B23=$B7,$D23&gt;=2),AND($O23=$AE$5,$B23=$B8,$D23&gt;=1)),$C23,0)+IF(OR(AND($O24=$AE$5,$B24=$B6,$D24=3),AND($O24=$AE$5,$B24=$B7,$D24&gt;=2),AND($O24=$AE$5,$B24=$B8,$D24&gt;=1)),$C24,0)</f>
        <v>0</v>
      </c>
      <c r="K35" s="10">
        <f>IF(OR(AND($O17=$AE$5,$B17=$B7,$D17=3),AND($O17=$AE$5,$B17=$B8,$D17&gt;=2),AND($O17=$AE$5,$B17=$B9,$D17&gt;=1)),$C17,0)+IF(OR(AND($O18=$AE$5,$B18=$B7,$D18=3),AND($O18=$AE$5,$B18=$B8,$D18&gt;=2),AND($O18=$AE$5,$B18=$B9,$D18&gt;=1)),$C18,0)+IF(OR(AND($O19=$AE$5,$B19=$B7,$D19=3),AND($O19=$AE$5,$B19=$B8,$D19&gt;=2),AND($O19=$AE$5,$B19=$B9,$D19&gt;=1)),$C19,0)+IF(OR(AND($O20=$AE$5,$B20=$B7,$D20=3),AND($O20=$AE$5,$B20=$B8,$D20&gt;=2),AND($O20=$AE$5,$B20=$B9,$D20&gt;=1)),$C20,0)+IF(OR(AND($O21=$AE$5,$B21=$B7,$D21=3),AND($O21=$AE$5,$B21=$B8,$D21&gt;=2),AND($O21=$AE$5,$B21=$B9,$D21&gt;=1)),$C21,0)+IF(OR(AND($O22=$AE$5,$B22=$B7,$D22=3),AND($O22=$AE$5,$B22=$B8,$D22&gt;=2),AND($O22=$AE$5,$B22=$B9,$D22&gt;=1)),$C22,0)+IF(OR(AND($O23=$AE$5,$B23=$B7,$D23=3),AND($O23=$AE$5,$B23=$B8,$D23&gt;=2),AND($O23=$AE$5,$B23=$B9,$D23&gt;=1)),$C23,0)+IF(OR(AND($O24=$AE$5,$B24=$B7,$D24=3),AND($O24=$AE$5,$B24=$B8,$D24&gt;=2),AND($O24=$AE$5,$B24=$B9,$D24&gt;=1)),$C24,0)</f>
        <v>0</v>
      </c>
      <c r="L35" s="10">
        <f>IF(OR(AND($O17=$AE$5,$B17=$B8,$D17=3),AND($O17=$AE$5,$B17=$B9,$D17&gt;=2),AND($O17=$AE$5,$B17=$B10,$D17&gt;=1)),$C17,0)+IF(OR(AND($O18=$AE$5,$B18=$B8,$D18=3),AND($O18=$AE$5,$B18=$B9,$D18&gt;=2),AND($O18=$AE$5,$B18=$B10,$D18&gt;=1)),$C18,0)+IF(OR(AND($O19=$AE$5,$B19=$B8,$D19=3),AND($O19=$AE$5,$B19=$B9,$D19&gt;=2),AND($O19=$AE$5,$B19=$B10,$D19&gt;=1)),$C19,0)+IF(OR(AND($O20=$AE$5,$B20=$B8,$D20=3),AND($O20=$AE$5,$B20=$B9,$D20&gt;=2),AND($O20=$AE$5,$B20=$B10,$D20&gt;=1)),$C20,0)+IF(OR(AND($O21=$AE$5,$B21=$B8,$D21=3),AND($O21=$AE$5,$B21=$B9,$D21&gt;=2),AND($O21=$AE$5,$B21=$B10,$D21&gt;=1)),$C21,0)+IF(OR(AND($O22=$AE$5,$B22=$B8,$D22=3),AND($O22=$AE$5,$B22=$B9,$D22&gt;=2),AND($O22=$AE$5,$B22=$B10,$D22&gt;=1)),$C22,0)+IF(OR(AND($O23=$AE$5,$B23=$B8,$D23=3),AND($O23=$AE$5,$B23=$B9,$D23&gt;=2),AND($O23=$AE$5,$B23=$B10,$D23&gt;=1)),$C23,0)+IF(OR(AND($O24=$AE$5,$B24=$B8,$D24=3),AND($O24=$AE$5,$B24=$B9,$D24&gt;=2),AND($O24=$AE$5,$B24=$B10,$D24&gt;=1)),$C24,0)</f>
        <v>0</v>
      </c>
      <c r="M35" s="10">
        <f>IF(OR(AND($O17=$AE$5,$B17=$B9,$D17=3),AND($O17=$AE$5,$B17=$B10,$D17&gt;=2),AND($O17=$AE$5,$B17=$B11,$D17&gt;=1)),$C17,0)+IF(OR(AND($O18=$AE$5,$B18=$B9,$D18=3),AND($O18=$AE$5,$B18=$B10,$D18&gt;=2),AND($O18=$AE$5,$B18=$B11,$D18&gt;=1)),$C18,0)+IF(OR(AND($O19=$AE$5,$B19=$B9,$D19=3),AND($O19=$AE$5,$B19=$B10,$D19&gt;=2),AND($O19=$AE$5,$B19=$B11,$D19&gt;=1)),$C19,0)+IF(OR(AND($O20=$AE$5,$B20=$B9,$D20=3),AND($O20=$AE$5,$B20=$B10,$D20&gt;=2),AND($O20=$AE$5,$B20=$B11,$D20&gt;=1)),$C20,0)+IF(OR(AND($O21=$AE$5,$B21=$B9,$D21=3),AND($O21=$AE$5,$B21=$B10,$D21&gt;=2),AND($O21=$AE$5,$B21=$B11,$D21&gt;=1)),$C21,0)+IF(OR(AND($O22=$AE$5,$B22=$B9,$D22=3),AND($O22=$AE$5,$B22=$B10,$D22&gt;=2),AND($O22=$AE$5,$B22=$B11,$D22&gt;=1)),$C22,0)+IF(OR(AND($O23=$AE$5,$B23=$B9,$D23=3),AND($O23=$AE$5,$B23=$B10,$D23&gt;=2),AND($O23=$AE$5,$B23=$B11,$D23&gt;=1)),$C23,0)+IF(OR(AND($O24=$AE$5,$B24=$B9,$D24=3),AND($O24=$AE$5,$B24=$B10,$D24&gt;=2),AND($O24=$AE$5,$B24=$B11,$D24&gt;=1)),$C24,0)</f>
        <v>0</v>
      </c>
      <c r="N35" s="10">
        <f>IF(OR(AND($O17=$AE$5,$B17=$B10,$D17=3),AND($O17=$AE$5,$B17=$B11,$D17&gt;=2),AND($O17=$AE$5,$B17=$B12,$D17&gt;=1)),$C17,0)+IF(OR(AND($O18=$AE$5,$B18=$B10,$D18=3),AND($O18=$AE$5,$B18=$B11,$D18&gt;=2),AND($O18=$AE$5,$B18=$B12,$D18&gt;=1)),$C18,0)+IF(OR(AND($O19=$AE$5,$B19=$B10,$D19=3),AND($O19=$AE$5,$B19=$B11,$D19&gt;=2),AND($O19=$AE$5,$B19=$B12,$D19&gt;=1)),$C19,0)+IF(OR(AND($O20=$AE$5,$B20=$B10,$D20=3),AND($O20=$AE$5,$B20=$B11,$D20&gt;=2),AND($O20=$AE$5,$B20=$B12,$D20&gt;=1)),$C20,0)+IF(OR(AND($O21=$AE$5,$B21=$B10,$D21=3),AND($O21=$AE$5,$B21=$B11,$D21&gt;=2),AND($O21=$AE$5,$B21=$B12,$D21&gt;=1)),$C21,0)+IF(OR(AND($O22=$AE$5,$B22=$B10,$D22=3),AND($O22=$AE$5,$B22=$B11,$D22&gt;=2),AND($O22=$AE$5,$B22=$B12,$D22&gt;=1)),$C22,0)+IF(OR(AND($O23=$AE$5,$B23=$B10,$D23=3),AND($O23=$AE$5,$B23=$B11,$D23&gt;=2),AND($O23=$AE$5,$B23=$B12,$D23&gt;=1)),$C23,0)+IF(OR(AND($O24=$AE$5,$B24=$B10,$D24=3),AND($O24=$AE$5,$B24=$B11,$D24&gt;=2),AND($O24=$AE$5,$B24=$B12,$D24&gt;=1)),$C24,0)</f>
        <v>0</v>
      </c>
    </row>
    <row r="36" spans="1:14" ht="20.100000000000001" hidden="1" customHeight="1" x14ac:dyDescent="0.25">
      <c r="F36" s="10" t="s">
        <v>633</v>
      </c>
      <c r="G36" s="10">
        <f>G33+G34-G35</f>
        <v>0</v>
      </c>
      <c r="H36" s="10">
        <f t="shared" ref="H36:N36" si="15">H33+H34-H35</f>
        <v>0</v>
      </c>
      <c r="I36" s="10">
        <f t="shared" si="15"/>
        <v>0</v>
      </c>
      <c r="J36" s="10">
        <f t="shared" si="15"/>
        <v>0</v>
      </c>
      <c r="K36" s="10">
        <f t="shared" si="15"/>
        <v>0</v>
      </c>
      <c r="L36" s="10">
        <f t="shared" si="15"/>
        <v>0</v>
      </c>
      <c r="M36" s="10">
        <f t="shared" si="15"/>
        <v>0</v>
      </c>
      <c r="N36" s="10">
        <f t="shared" si="15"/>
        <v>0</v>
      </c>
    </row>
    <row r="37" spans="1:14" ht="20.100000000000001" hidden="1" customHeight="1" x14ac:dyDescent="0.25"/>
    <row r="38" spans="1:14" ht="20.100000000000001" customHeight="1" x14ac:dyDescent="0.25">
      <c r="A38" s="363"/>
      <c r="B38" s="363"/>
      <c r="C38" s="363"/>
      <c r="D38" s="363"/>
      <c r="E38" s="363"/>
      <c r="F38" s="363"/>
      <c r="G38" s="363"/>
      <c r="H38" s="363"/>
      <c r="I38" s="363"/>
      <c r="J38" s="363"/>
      <c r="K38" s="363"/>
      <c r="L38" s="363"/>
    </row>
    <row r="39" spans="1:14" ht="20.100000000000001" customHeight="1" x14ac:dyDescent="0.25">
      <c r="A39" s="363"/>
      <c r="B39" s="363" t="s">
        <v>637</v>
      </c>
      <c r="C39" s="363"/>
      <c r="D39" s="363"/>
      <c r="E39" s="363"/>
      <c r="F39" s="363"/>
      <c r="G39" s="363"/>
      <c r="H39" s="363"/>
      <c r="I39" s="363"/>
      <c r="J39" s="363"/>
      <c r="K39" s="363"/>
      <c r="L39" s="363"/>
    </row>
    <row r="40" spans="1:14" ht="20.100000000000001" customHeight="1" x14ac:dyDescent="0.25">
      <c r="A40" s="363"/>
      <c r="B40" s="363" t="s">
        <v>45</v>
      </c>
      <c r="C40" s="363" t="s">
        <v>636</v>
      </c>
      <c r="D40" s="363" t="s">
        <v>167</v>
      </c>
      <c r="E40" s="363" t="s">
        <v>45</v>
      </c>
      <c r="F40" s="363" t="s">
        <v>45</v>
      </c>
      <c r="G40" s="363" t="s">
        <v>641</v>
      </c>
      <c r="H40" s="363" t="s">
        <v>173</v>
      </c>
      <c r="I40" s="363" t="s">
        <v>642</v>
      </c>
      <c r="J40" s="363"/>
      <c r="K40" s="363"/>
      <c r="L40" s="363"/>
    </row>
    <row r="41" spans="1:14" ht="20.100000000000001" customHeight="1" x14ac:dyDescent="0.25">
      <c r="A41" s="363"/>
      <c r="B41" s="363" t="s">
        <v>168</v>
      </c>
      <c r="C41" s="363">
        <v>1</v>
      </c>
      <c r="D41" s="363">
        <f>T0登记表!O6</f>
        <v>0.03</v>
      </c>
      <c r="E41" s="363" t="s">
        <v>643</v>
      </c>
      <c r="F41" s="363" t="str">
        <f>B17</f>
        <v>第三期</v>
      </c>
      <c r="G41" s="363">
        <f>IF(F41=0,0,VLOOKUP($F41,$B$41:$D$48,2,FALSE))</f>
        <v>3</v>
      </c>
      <c r="H41" s="363">
        <f>D17</f>
        <v>0</v>
      </c>
      <c r="I41" s="363">
        <f>G41+H41-3</f>
        <v>0</v>
      </c>
      <c r="J41" s="363">
        <f>IF(I41&lt;1,0,VLOOKUP(I41,$C$41:$E$48,3,FALSE))</f>
        <v>0</v>
      </c>
      <c r="K41" s="363">
        <f>IF(J41=0,0,VLOOKUP(J41,$B$41:$D$48,3,FALSE))</f>
        <v>0</v>
      </c>
      <c r="L41" s="363"/>
    </row>
    <row r="42" spans="1:14" ht="20.100000000000001" customHeight="1" x14ac:dyDescent="0.25">
      <c r="A42" s="363"/>
      <c r="B42" s="363" t="s">
        <v>644</v>
      </c>
      <c r="C42" s="363">
        <v>2</v>
      </c>
      <c r="D42" s="363">
        <f>T0登记表!O7</f>
        <v>0</v>
      </c>
      <c r="E42" s="363" t="s">
        <v>644</v>
      </c>
      <c r="F42" s="363" t="str">
        <f t="shared" ref="F42:F48" si="16">B18</f>
        <v>第三期</v>
      </c>
      <c r="G42" s="363">
        <f t="shared" ref="G42:G48" si="17">IF(F42=0,0,VLOOKUP($F42,$B$41:$D$48,2,FALSE))</f>
        <v>3</v>
      </c>
      <c r="H42" s="363">
        <f t="shared" ref="H42:H48" si="18">D18</f>
        <v>0</v>
      </c>
      <c r="I42" s="363">
        <f t="shared" ref="I42:I48" si="19">G42+H42-3</f>
        <v>0</v>
      </c>
      <c r="J42" s="363">
        <f t="shared" ref="J42:J48" si="20">IF(I42&lt;1,0,VLOOKUP(I42,$C$41:$E$48,3,FALSE))</f>
        <v>0</v>
      </c>
      <c r="K42" s="363">
        <f t="shared" ref="K42:K48" si="21">IF(J42=0,0,VLOOKUP(J42,$B$41:$D$48,3,FALSE))</f>
        <v>0</v>
      </c>
      <c r="L42" s="363"/>
    </row>
    <row r="43" spans="1:14" ht="20.100000000000001" customHeight="1" x14ac:dyDescent="0.25">
      <c r="A43" s="363"/>
      <c r="B43" s="363" t="s">
        <v>645</v>
      </c>
      <c r="C43" s="363">
        <v>3</v>
      </c>
      <c r="D43" s="363">
        <f>T0登记表!O8</f>
        <v>0.03</v>
      </c>
      <c r="E43" s="363" t="s">
        <v>645</v>
      </c>
      <c r="F43" s="363" t="str">
        <f t="shared" si="16"/>
        <v>第四期</v>
      </c>
      <c r="G43" s="363">
        <f t="shared" si="17"/>
        <v>4</v>
      </c>
      <c r="H43" s="363">
        <f t="shared" si="18"/>
        <v>0</v>
      </c>
      <c r="I43" s="363">
        <f t="shared" si="19"/>
        <v>1</v>
      </c>
      <c r="J43" s="363" t="str">
        <f t="shared" si="20"/>
        <v>第一期</v>
      </c>
      <c r="K43" s="363">
        <f t="shared" si="21"/>
        <v>0.03</v>
      </c>
      <c r="L43" s="363"/>
    </row>
    <row r="44" spans="1:14" ht="20.100000000000001" customHeight="1" x14ac:dyDescent="0.25">
      <c r="A44" s="363"/>
      <c r="B44" s="363" t="s">
        <v>646</v>
      </c>
      <c r="C44" s="363">
        <v>4</v>
      </c>
      <c r="D44" s="363">
        <f>T0登记表!O9</f>
        <v>0.04</v>
      </c>
      <c r="E44" s="363" t="s">
        <v>646</v>
      </c>
      <c r="F44" s="363" t="str">
        <f t="shared" si="16"/>
        <v>第六期</v>
      </c>
      <c r="G44" s="363">
        <f t="shared" si="17"/>
        <v>6</v>
      </c>
      <c r="H44" s="363">
        <f t="shared" si="18"/>
        <v>0</v>
      </c>
      <c r="I44" s="363">
        <f t="shared" si="19"/>
        <v>3</v>
      </c>
      <c r="J44" s="363" t="str">
        <f t="shared" si="20"/>
        <v>第三期</v>
      </c>
      <c r="K44" s="363">
        <f t="shared" si="21"/>
        <v>0.03</v>
      </c>
      <c r="L44" s="363"/>
    </row>
    <row r="45" spans="1:14" ht="20.100000000000001" customHeight="1" x14ac:dyDescent="0.25">
      <c r="A45" s="363"/>
      <c r="B45" s="363" t="s">
        <v>647</v>
      </c>
      <c r="C45" s="363">
        <v>5</v>
      </c>
      <c r="D45" s="363">
        <f>T0登记表!O10</f>
        <v>0.04</v>
      </c>
      <c r="E45" s="363" t="s">
        <v>647</v>
      </c>
      <c r="F45" s="363" t="str">
        <f t="shared" si="16"/>
        <v>第七期</v>
      </c>
      <c r="G45" s="363">
        <f t="shared" si="17"/>
        <v>7</v>
      </c>
      <c r="H45" s="363">
        <f t="shared" si="18"/>
        <v>0</v>
      </c>
      <c r="I45" s="363">
        <f t="shared" si="19"/>
        <v>4</v>
      </c>
      <c r="J45" s="363" t="str">
        <f t="shared" si="20"/>
        <v>第四期</v>
      </c>
      <c r="K45" s="363">
        <f t="shared" si="21"/>
        <v>0.04</v>
      </c>
      <c r="L45" s="363"/>
    </row>
    <row r="46" spans="1:14" ht="20.100000000000001" customHeight="1" x14ac:dyDescent="0.25">
      <c r="A46" s="363"/>
      <c r="B46" s="363" t="s">
        <v>648</v>
      </c>
      <c r="C46" s="363">
        <v>6</v>
      </c>
      <c r="D46" s="363">
        <f>T0登记表!O11</f>
        <v>0.05</v>
      </c>
      <c r="E46" s="363" t="s">
        <v>648</v>
      </c>
      <c r="F46" s="363">
        <f t="shared" si="16"/>
        <v>0</v>
      </c>
      <c r="G46" s="363">
        <f t="shared" si="17"/>
        <v>0</v>
      </c>
      <c r="H46" s="363">
        <f t="shared" si="18"/>
        <v>0</v>
      </c>
      <c r="I46" s="363">
        <f t="shared" si="19"/>
        <v>-3</v>
      </c>
      <c r="J46" s="363">
        <f t="shared" si="20"/>
        <v>0</v>
      </c>
      <c r="K46" s="363">
        <f t="shared" si="21"/>
        <v>0</v>
      </c>
      <c r="L46" s="363"/>
    </row>
    <row r="47" spans="1:14" ht="20.100000000000001" customHeight="1" x14ac:dyDescent="0.25">
      <c r="A47" s="363"/>
      <c r="B47" s="363" t="s">
        <v>649</v>
      </c>
      <c r="C47" s="363">
        <v>7</v>
      </c>
      <c r="D47" s="363">
        <f>T0登记表!O12</f>
        <v>0.03</v>
      </c>
      <c r="E47" s="363" t="s">
        <v>649</v>
      </c>
      <c r="F47" s="363">
        <f t="shared" si="16"/>
        <v>0</v>
      </c>
      <c r="G47" s="363">
        <f t="shared" si="17"/>
        <v>0</v>
      </c>
      <c r="H47" s="363">
        <f t="shared" si="18"/>
        <v>0</v>
      </c>
      <c r="I47" s="363">
        <f t="shared" si="19"/>
        <v>-3</v>
      </c>
      <c r="J47" s="363">
        <f t="shared" si="20"/>
        <v>0</v>
      </c>
      <c r="K47" s="363">
        <f t="shared" si="21"/>
        <v>0</v>
      </c>
      <c r="L47" s="363"/>
    </row>
    <row r="48" spans="1:14" ht="20.100000000000001" customHeight="1" x14ac:dyDescent="0.25">
      <c r="A48" s="363"/>
      <c r="B48" s="363" t="s">
        <v>650</v>
      </c>
      <c r="C48" s="363">
        <v>8</v>
      </c>
      <c r="D48" s="363">
        <f>T0登记表!O13</f>
        <v>0.05</v>
      </c>
      <c r="E48" s="363" t="s">
        <v>650</v>
      </c>
      <c r="F48" s="363">
        <f t="shared" si="16"/>
        <v>0</v>
      </c>
      <c r="G48" s="363">
        <f t="shared" si="17"/>
        <v>0</v>
      </c>
      <c r="H48" s="363">
        <f t="shared" si="18"/>
        <v>0</v>
      </c>
      <c r="I48" s="363">
        <f t="shared" si="19"/>
        <v>-3</v>
      </c>
      <c r="J48" s="363">
        <f t="shared" si="20"/>
        <v>0</v>
      </c>
      <c r="K48" s="363">
        <f t="shared" si="21"/>
        <v>0</v>
      </c>
      <c r="L48" s="363"/>
    </row>
    <row r="49" spans="1:12" ht="20.100000000000001" customHeight="1" x14ac:dyDescent="0.25">
      <c r="A49" s="363"/>
      <c r="B49" s="363"/>
      <c r="C49" s="363"/>
      <c r="D49" s="363"/>
      <c r="E49" s="363"/>
      <c r="F49" s="363"/>
      <c r="G49" s="363"/>
      <c r="H49" s="363"/>
      <c r="I49" s="363"/>
      <c r="J49" s="363"/>
      <c r="K49" s="363"/>
      <c r="L49" s="363"/>
    </row>
  </sheetData>
  <sheetProtection selectLockedCells="1"/>
  <mergeCells count="9">
    <mergeCell ref="F2:G2"/>
    <mergeCell ref="T2:U2"/>
    <mergeCell ref="AA2:AB2"/>
    <mergeCell ref="Q18:W18"/>
    <mergeCell ref="B3:N3"/>
    <mergeCell ref="B15:O15"/>
    <mergeCell ref="Y3:AC3"/>
    <mergeCell ref="Q3:W3"/>
    <mergeCell ref="Q4:W4"/>
  </mergeCells>
  <phoneticPr fontId="11" type="noConversion"/>
  <dataValidations count="3">
    <dataValidation type="list" allowBlank="1" showInputMessage="1" showErrorMessage="1" sqref="O17:O24">
      <formula1>$AE$3:$AE$5</formula1>
    </dataValidation>
    <dataValidation type="list" allowBlank="1" showInputMessage="1" showErrorMessage="1" sqref="U6:U17 U20:U31 B17:B24 W6:W17 W20:W31">
      <formula1>$B$5:$B$13</formula1>
    </dataValidation>
    <dataValidation type="list" allowBlank="1" showInputMessage="1" showErrorMessage="1" sqref="D17:D24">
      <formula1>$AE$6:$AE$9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66FF33"/>
  </sheetPr>
  <dimension ref="B1:AE93"/>
  <sheetViews>
    <sheetView topLeftCell="A4" zoomScale="83" zoomScaleNormal="83" workbookViewId="0">
      <selection activeCell="G17" sqref="G17"/>
    </sheetView>
  </sheetViews>
  <sheetFormatPr defaultColWidth="8.77734375" defaultRowHeight="14.4" x14ac:dyDescent="0.25"/>
  <cols>
    <col min="1" max="1" customWidth="true" style="66" width="3.33203125" collapsed="true"/>
    <col min="2" max="2" customWidth="true" style="204" width="8.88671875" collapsed="true"/>
    <col min="3" max="3" bestFit="true" customWidth="true" style="66" width="9.44140625" collapsed="true"/>
    <col min="4" max="4" bestFit="true" customWidth="true" style="204" width="7.21875" collapsed="true"/>
    <col min="5" max="5" customWidth="true" style="205" width="5.44140625" collapsed="true"/>
    <col min="6" max="6" bestFit="true" customWidth="true" style="66" width="5.44140625" collapsed="true"/>
    <col min="7" max="9" customWidth="true" style="66" width="7.6640625" collapsed="true"/>
    <col min="10" max="10" customWidth="true" style="66" width="8.33203125" collapsed="true"/>
    <col min="11" max="11" customWidth="true" style="66" width="7.6640625" collapsed="true"/>
    <col min="12" max="12" customWidth="true" style="66" width="8.77734375" collapsed="true"/>
    <col min="13" max="13" customWidth="true" style="66" width="7.6640625" collapsed="true"/>
    <col min="14" max="14" customWidth="true" style="66" width="8.33203125" collapsed="true"/>
    <col min="15" max="15" customWidth="true" style="66" width="7.6640625" collapsed="true"/>
    <col min="16" max="16" customWidth="true" style="66" width="4.44140625" collapsed="true"/>
    <col min="17" max="17" customWidth="true" style="204" width="5.21875" collapsed="true"/>
    <col min="18" max="18" customWidth="true" style="66" width="7.6640625" collapsed="true"/>
    <col min="19" max="19" customWidth="true" style="204" width="7.6640625" collapsed="true"/>
    <col min="20" max="20" customWidth="true" style="204" width="7.88671875" collapsed="true"/>
    <col min="21" max="25" customWidth="true" style="66" width="7.6640625" collapsed="true"/>
    <col min="26" max="30" customWidth="true" style="66" width="6.33203125" collapsed="true"/>
    <col min="31" max="16384" style="66" width="8.77734375" collapsed="true"/>
  </cols>
  <sheetData>
    <row r="1" spans="2:26" ht="23.4" x14ac:dyDescent="0.5">
      <c r="F1" s="67" t="s">
        <v>350</v>
      </c>
      <c r="G1" s="68" t="str">
        <f>T0登记表!K1</f>
        <v>abc</v>
      </c>
      <c r="I1" s="67" t="s">
        <v>587</v>
      </c>
      <c r="T1" s="67" t="s">
        <v>350</v>
      </c>
      <c r="U1" s="68" t="str">
        <f>T0登记表!K1</f>
        <v>abc</v>
      </c>
      <c r="W1" s="67" t="s">
        <v>588</v>
      </c>
    </row>
    <row r="2" spans="2:26" ht="13.5" customHeight="1" x14ac:dyDescent="0.25">
      <c r="B2" s="476" t="s">
        <v>596</v>
      </c>
      <c r="C2" s="477"/>
      <c r="D2" s="477"/>
      <c r="E2" s="477"/>
      <c r="F2" s="477"/>
      <c r="G2" s="477"/>
      <c r="H2" s="477"/>
      <c r="I2" s="477"/>
      <c r="J2" s="477"/>
      <c r="K2" s="477"/>
      <c r="L2" s="477"/>
      <c r="M2" s="477"/>
      <c r="N2" s="477"/>
      <c r="O2" s="478"/>
      <c r="Q2" s="477" t="s">
        <v>430</v>
      </c>
      <c r="R2" s="477"/>
      <c r="S2" s="477"/>
      <c r="T2" s="477"/>
      <c r="U2" s="477"/>
      <c r="V2" s="477"/>
      <c r="W2" s="477"/>
      <c r="X2" s="477"/>
      <c r="Y2" s="478"/>
    </row>
    <row r="3" spans="2:26" ht="13.5" customHeight="1" x14ac:dyDescent="0.25">
      <c r="B3" s="479"/>
      <c r="C3" s="480"/>
      <c r="D3" s="480"/>
      <c r="E3" s="480"/>
      <c r="F3" s="480"/>
      <c r="G3" s="480"/>
      <c r="H3" s="480"/>
      <c r="I3" s="480"/>
      <c r="J3" s="480"/>
      <c r="K3" s="480"/>
      <c r="L3" s="480"/>
      <c r="M3" s="480"/>
      <c r="N3" s="480"/>
      <c r="O3" s="481"/>
      <c r="Q3" s="480"/>
      <c r="R3" s="480"/>
      <c r="S3" s="480"/>
      <c r="T3" s="480"/>
      <c r="U3" s="480"/>
      <c r="V3" s="480"/>
      <c r="W3" s="480"/>
      <c r="X3" s="480"/>
      <c r="Y3" s="481"/>
    </row>
    <row r="4" spans="2:26" ht="16.2" x14ac:dyDescent="0.25">
      <c r="B4" s="482" t="s">
        <v>83</v>
      </c>
      <c r="C4" s="482"/>
      <c r="D4" s="482"/>
      <c r="E4" s="482"/>
      <c r="F4" s="482"/>
      <c r="G4" s="483" t="s">
        <v>84</v>
      </c>
      <c r="H4" s="484"/>
      <c r="I4" s="484"/>
      <c r="J4" s="484"/>
      <c r="K4" s="484"/>
      <c r="L4" s="484"/>
      <c r="M4" s="484"/>
      <c r="N4" s="484"/>
      <c r="O4" s="485"/>
      <c r="Q4" s="497" t="s">
        <v>84</v>
      </c>
      <c r="R4" s="498"/>
      <c r="S4" s="498"/>
      <c r="T4" s="498"/>
      <c r="U4" s="498"/>
      <c r="V4" s="498"/>
      <c r="W4" s="498"/>
      <c r="X4" s="498"/>
      <c r="Y4" s="499"/>
    </row>
    <row r="5" spans="2:26" ht="16.8" thickBot="1" x14ac:dyDescent="0.3">
      <c r="B5" s="206" t="s">
        <v>85</v>
      </c>
      <c r="C5" s="207"/>
      <c r="D5" s="208"/>
      <c r="E5" s="209"/>
      <c r="F5" s="210"/>
      <c r="G5" s="210"/>
      <c r="H5" s="210"/>
      <c r="I5" s="210"/>
      <c r="J5" s="210"/>
      <c r="K5" s="210"/>
      <c r="L5" s="210"/>
      <c r="M5" s="210"/>
      <c r="N5" s="210"/>
      <c r="O5" s="211"/>
      <c r="Q5" s="212"/>
      <c r="R5" s="210"/>
      <c r="S5" s="210"/>
      <c r="T5" s="210"/>
      <c r="U5" s="210"/>
      <c r="V5" s="210"/>
      <c r="W5" s="210"/>
      <c r="X5" s="210"/>
      <c r="Y5" s="211"/>
    </row>
    <row r="6" spans="2:26" ht="16.2" thickBot="1" x14ac:dyDescent="0.3">
      <c r="B6" s="213" t="s">
        <v>86</v>
      </c>
      <c r="C6" s="176" t="s">
        <v>55</v>
      </c>
      <c r="D6" s="177" t="s">
        <v>56</v>
      </c>
      <c r="E6" s="214" t="s">
        <v>87</v>
      </c>
      <c r="F6" s="213" t="s">
        <v>88</v>
      </c>
      <c r="G6" s="171" t="s">
        <v>89</v>
      </c>
      <c r="H6" s="171" t="s">
        <v>90</v>
      </c>
      <c r="I6" s="171" t="s">
        <v>91</v>
      </c>
      <c r="J6" s="171" t="s">
        <v>92</v>
      </c>
      <c r="K6" s="171" t="s">
        <v>93</v>
      </c>
      <c r="L6" s="172" t="s">
        <v>161</v>
      </c>
      <c r="M6" s="172" t="s">
        <v>95</v>
      </c>
      <c r="N6" s="172" t="s">
        <v>96</v>
      </c>
      <c r="O6" s="172" t="s">
        <v>97</v>
      </c>
      <c r="Q6" s="172" t="s">
        <v>89</v>
      </c>
      <c r="R6" s="171" t="s">
        <v>102</v>
      </c>
      <c r="S6" s="171" t="s">
        <v>104</v>
      </c>
      <c r="T6" s="171" t="s">
        <v>360</v>
      </c>
      <c r="U6" s="171" t="s">
        <v>93</v>
      </c>
      <c r="V6" s="171" t="s">
        <v>94</v>
      </c>
      <c r="W6" s="172" t="s">
        <v>95</v>
      </c>
      <c r="X6" s="172" t="s">
        <v>96</v>
      </c>
      <c r="Y6" s="172" t="s">
        <v>97</v>
      </c>
    </row>
    <row r="7" spans="2:26" ht="16.2" thickBot="1" x14ac:dyDescent="0.3">
      <c r="B7" s="486" t="s">
        <v>98</v>
      </c>
      <c r="C7" s="215" t="str">
        <f>IF(T0登记表!G25="固定",T0登记表!B25,"")</f>
        <v/>
      </c>
      <c r="D7" s="216" t="str">
        <f>IF(C7="","",T0登记表!C25)</f>
        <v/>
      </c>
      <c r="E7" s="217" t="str">
        <f>IF(C7="","",T0登记表!D25)</f>
        <v/>
      </c>
      <c r="F7" s="218" t="str">
        <f>IF(C7="","",T0登记表!F25)</f>
        <v/>
      </c>
      <c r="G7" s="191" t="str">
        <f>IF($C7="","",IF($D7&gt;=1,$E7*$C7,""))</f>
        <v/>
      </c>
      <c r="H7" s="191" t="str">
        <f>IF($C7="","",IF($D7&gt;=2,$E7*$C7,""))</f>
        <v/>
      </c>
      <c r="I7" s="191" t="str">
        <f>IF($C7="","",IF($D7&gt;=3,$E7*$C7,""))</f>
        <v/>
      </c>
      <c r="J7" s="191" t="str">
        <f>IF($C7="","",IF($D7&gt;=4,$E7*$C7,""))</f>
        <v/>
      </c>
      <c r="K7" s="191" t="str">
        <f>IF($C7="","",IF($D7&gt;=5,$E7*$C7,""))</f>
        <v/>
      </c>
      <c r="L7" s="172"/>
      <c r="M7" s="219"/>
      <c r="N7" s="219"/>
      <c r="O7" s="219"/>
      <c r="Q7" s="172"/>
      <c r="R7" s="220" t="str">
        <f>IF($C7="","",IF($D7=1,$E7*$C7*$D7,""))</f>
        <v/>
      </c>
      <c r="S7" s="220" t="str">
        <f>IF($C7="","",IF($D7=2,$E7*$C7*$D7,""))</f>
        <v/>
      </c>
      <c r="T7" s="220" t="str">
        <f>IF($C7="","",IF($D7=3,$E7*$C7*$D7,""))</f>
        <v/>
      </c>
      <c r="U7" s="220" t="str">
        <f>IF($C7="","",IF($D7=4,$E7*$C7*$D7,""))</f>
        <v/>
      </c>
      <c r="V7" s="220" t="str">
        <f>IF($C7="","",IF($D7=5,$E7*$C7*$D7,""))</f>
        <v/>
      </c>
      <c r="W7" s="172"/>
      <c r="X7" s="221"/>
      <c r="Y7" s="221"/>
    </row>
    <row r="8" spans="2:26" ht="16.2" thickBot="1" x14ac:dyDescent="0.3">
      <c r="B8" s="487"/>
      <c r="C8" s="215" t="str">
        <f>IF(T0登记表!G26="固定",T0登记表!B26,"")</f>
        <v/>
      </c>
      <c r="D8" s="216" t="str">
        <f>IF(C8="","",T0登记表!C26)</f>
        <v/>
      </c>
      <c r="E8" s="217" t="str">
        <f>IF(C8="","",T0登记表!D26)</f>
        <v/>
      </c>
      <c r="F8" s="218" t="str">
        <f>IF(C8="","",T0登记表!F26)</f>
        <v/>
      </c>
      <c r="G8" s="191" t="str">
        <f>IF($C8="","",IF($D8&gt;=1,$E8*$C8,""))</f>
        <v/>
      </c>
      <c r="H8" s="191" t="str">
        <f>IF($C8="","",IF($D8&gt;=2,$E8*$C8,""))</f>
        <v/>
      </c>
      <c r="I8" s="191" t="str">
        <f>IF($C8="","",IF($D8&gt;=3,$E8*$C8,""))</f>
        <v/>
      </c>
      <c r="J8" s="191" t="str">
        <f>IF($C8="","",IF($D8&gt;=4,$E8*$C8,""))</f>
        <v/>
      </c>
      <c r="K8" s="191" t="str">
        <f>IF($C8="","",IF($D8&gt;=5,$E8*$C8,""))</f>
        <v/>
      </c>
      <c r="L8" s="172"/>
      <c r="M8" s="221"/>
      <c r="N8" s="221"/>
      <c r="O8" s="219"/>
      <c r="Q8" s="172"/>
      <c r="R8" s="220" t="str">
        <f>IF($C8="","",IF($D8=1,$E8*$C8*$D8,""))</f>
        <v/>
      </c>
      <c r="S8" s="220" t="str">
        <f>IF($C8="","",IF($D8=2,$E8*$C8*$D8,""))</f>
        <v/>
      </c>
      <c r="T8" s="220" t="str">
        <f>IF($C8="","",IF($D8=3,$E8*$C8*$D8,""))</f>
        <v/>
      </c>
      <c r="U8" s="220" t="str">
        <f>IF($C8="","",IF($D8=4,$E8*$C8*$D8,""))</f>
        <v/>
      </c>
      <c r="V8" s="220" t="str">
        <f>IF($C8="","",IF($D8=5,$E8*$C8*$D8,""))</f>
        <v/>
      </c>
      <c r="W8" s="172"/>
      <c r="X8" s="221"/>
      <c r="Y8" s="221"/>
    </row>
    <row r="9" spans="2:26" ht="17.25" customHeight="1" thickBot="1" x14ac:dyDescent="0.3">
      <c r="B9" s="222"/>
      <c r="C9" s="223"/>
      <c r="D9" s="223"/>
      <c r="E9" s="224"/>
      <c r="F9" s="492" t="s">
        <v>160</v>
      </c>
      <c r="G9" s="493"/>
      <c r="H9" s="182">
        <f>IF(T0登记表!$N$7="","",T0登记表!$N$7)</f>
        <v>0.03</v>
      </c>
      <c r="I9" s="182">
        <f>IF(T0登记表!$N$8="","",T0登记表!$N$8)</f>
        <v>-0.01</v>
      </c>
      <c r="J9" s="182">
        <f>IF(T0登记表!$N$9="","",T0登记表!$N$9)</f>
        <v>-0.02</v>
      </c>
      <c r="K9" s="182">
        <f>IF(T0登记表!$N$10="","",T0登记表!$N$10)</f>
        <v>-0.01</v>
      </c>
      <c r="L9" s="172"/>
      <c r="M9" s="221"/>
      <c r="N9" s="221"/>
      <c r="O9" s="219"/>
      <c r="Q9" s="494" t="s">
        <v>99</v>
      </c>
      <c r="R9" s="496"/>
      <c r="S9" s="182">
        <f>IF(T0登记表!$N$8="","",T0登记表!$N$8)</f>
        <v>-0.01</v>
      </c>
      <c r="T9" s="182">
        <f>IF(T0登记表!$N$9="","",T0登记表!$N$9)</f>
        <v>-0.02</v>
      </c>
      <c r="U9" s="182">
        <f>IF(T0登记表!$N$10="","",T0登记表!$N$10)</f>
        <v>-0.01</v>
      </c>
      <c r="V9" s="182">
        <f>IF(T0登记表!$N$11="","",T0登记表!$N$11)</f>
        <v>-0.01</v>
      </c>
      <c r="W9" s="172"/>
      <c r="X9" s="221"/>
      <c r="Y9" s="221"/>
    </row>
    <row r="10" spans="2:26" ht="17.25" customHeight="1" thickBot="1" x14ac:dyDescent="0.3">
      <c r="B10" s="486" t="s">
        <v>100</v>
      </c>
      <c r="C10" s="215">
        <f>IF(T0登记表!G25="浮动",T0登记表!B25,"")</f>
        <v>8980</v>
      </c>
      <c r="D10" s="216">
        <f>IF(C10="","",T0登记表!C25)</f>
        <v>1</v>
      </c>
      <c r="E10" s="217">
        <f>IF(C10="","",T0登记表!D25)</f>
        <v>0.03</v>
      </c>
      <c r="F10" s="218" t="str">
        <f>IF(C10="","",T0登记表!F25)</f>
        <v>对公</v>
      </c>
      <c r="G10" s="191">
        <f>IF($C10="","",IF($D10&gt;=1,$E10*$C10,""))</f>
        <v>269.39999999999998</v>
      </c>
      <c r="H10" s="191" t="str">
        <f>IF($H$9="","",IF($C10="","",IF($D10&gt;=2,($H$9+$E10)*$C10,"")))</f>
        <v/>
      </c>
      <c r="I10" s="191" t="str">
        <f>IF($I$9="","",IF($C10="","",IF($D10&gt;=3,(SUM($H$9:I$9)+$E10)*$C10,"")))</f>
        <v/>
      </c>
      <c r="J10" s="191" t="str">
        <f>IF($J$9="","",IF($C10="","",IF($D10&gt;=4,(SUM($H$9:J$9)+$E10)*$C10,"")))</f>
        <v/>
      </c>
      <c r="K10" s="191" t="str">
        <f>IF($K$9="","",IF($C10="","",IF($D10&gt;=5,(SUM($H$9:K$9)+$E10)*$C10,"")))</f>
        <v/>
      </c>
      <c r="L10" s="172"/>
      <c r="M10" s="221"/>
      <c r="N10" s="221"/>
      <c r="O10" s="219"/>
      <c r="Q10" s="172"/>
      <c r="R10" s="220">
        <f t="shared" ref="R10:V11" si="0">G10</f>
        <v>269.39999999999998</v>
      </c>
      <c r="S10" s="220" t="str">
        <f t="shared" si="0"/>
        <v/>
      </c>
      <c r="T10" s="220" t="str">
        <f t="shared" si="0"/>
        <v/>
      </c>
      <c r="U10" s="220" t="str">
        <f t="shared" si="0"/>
        <v/>
      </c>
      <c r="V10" s="220" t="str">
        <f t="shared" si="0"/>
        <v/>
      </c>
      <c r="W10" s="172"/>
      <c r="X10" s="221"/>
      <c r="Y10" s="221"/>
    </row>
    <row r="11" spans="2:26" ht="16.2" thickBot="1" x14ac:dyDescent="0.3">
      <c r="B11" s="487"/>
      <c r="C11" s="215" t="str">
        <f>IF(T0登记表!G26="浮动",T0登记表!B26,"")</f>
        <v/>
      </c>
      <c r="D11" s="216" t="str">
        <f>IF(C11="","",T0登记表!C26)</f>
        <v/>
      </c>
      <c r="E11" s="217" t="str">
        <f>IF(C11="","",T0登记表!D26)</f>
        <v/>
      </c>
      <c r="F11" s="218" t="str">
        <f>IF(C11="","",T0登记表!F26)</f>
        <v/>
      </c>
      <c r="G11" s="191" t="str">
        <f>IF($C11="","",IF($D11&gt;=1,$E11*$C11,""))</f>
        <v/>
      </c>
      <c r="H11" s="191" t="str">
        <f>IF($H$9="","",IF($C11="","",IF($D11&gt;=2,($H$9+$E11)*$C11,"")))</f>
        <v/>
      </c>
      <c r="I11" s="191" t="str">
        <f>IF($I$9="","",IF($C11="","",IF($D11&gt;=3,(SUM($H$9:I$9)+$E11)*$C11,"")))</f>
        <v/>
      </c>
      <c r="J11" s="191" t="str">
        <f>IF($J$9="","",IF($C11="","",IF($D11&gt;=4,(SUM($H$9:J$9)+$E11)*$C11,"")))</f>
        <v/>
      </c>
      <c r="K11" s="191" t="str">
        <f>IF($K$9="","",IF($C11="","",IF($D11&gt;=5,(SUM($H$9:K$9)+$E11)*$C11,"")))</f>
        <v/>
      </c>
      <c r="L11" s="172"/>
      <c r="M11" s="221"/>
      <c r="N11" s="221"/>
      <c r="O11" s="219"/>
      <c r="Q11" s="172"/>
      <c r="R11" s="220" t="str">
        <f t="shared" si="0"/>
        <v/>
      </c>
      <c r="S11" s="220" t="str">
        <f t="shared" si="0"/>
        <v/>
      </c>
      <c r="T11" s="220" t="str">
        <f t="shared" si="0"/>
        <v/>
      </c>
      <c r="U11" s="220" t="str">
        <f t="shared" si="0"/>
        <v/>
      </c>
      <c r="V11" s="220" t="str">
        <f t="shared" si="0"/>
        <v/>
      </c>
      <c r="W11" s="172"/>
      <c r="X11" s="172"/>
      <c r="Y11" s="172"/>
    </row>
    <row r="12" spans="2:26" s="207" customFormat="1" ht="16.8" thickBot="1" x14ac:dyDescent="0.3">
      <c r="B12" s="206" t="s">
        <v>101</v>
      </c>
      <c r="E12" s="225"/>
      <c r="Z12" s="66"/>
    </row>
    <row r="13" spans="2:26" ht="16.2" thickBot="1" x14ac:dyDescent="0.3">
      <c r="B13" s="213" t="s">
        <v>86</v>
      </c>
      <c r="C13" s="176" t="s">
        <v>55</v>
      </c>
      <c r="D13" s="177" t="s">
        <v>56</v>
      </c>
      <c r="E13" s="214" t="s">
        <v>87</v>
      </c>
      <c r="F13" s="213" t="s">
        <v>88</v>
      </c>
      <c r="G13" s="172" t="s">
        <v>89</v>
      </c>
      <c r="H13" s="171" t="s">
        <v>102</v>
      </c>
      <c r="I13" s="171" t="s">
        <v>91</v>
      </c>
      <c r="J13" s="171" t="s">
        <v>92</v>
      </c>
      <c r="K13" s="171" t="s">
        <v>93</v>
      </c>
      <c r="L13" s="171" t="s">
        <v>94</v>
      </c>
      <c r="M13" s="172" t="s">
        <v>95</v>
      </c>
      <c r="N13" s="172" t="s">
        <v>127</v>
      </c>
      <c r="O13" s="172" t="s">
        <v>355</v>
      </c>
      <c r="Q13" s="172" t="s">
        <v>89</v>
      </c>
      <c r="R13" s="172" t="s">
        <v>102</v>
      </c>
      <c r="S13" s="171" t="s">
        <v>91</v>
      </c>
      <c r="T13" s="171" t="s">
        <v>92</v>
      </c>
      <c r="U13" s="171" t="s">
        <v>93</v>
      </c>
      <c r="V13" s="171" t="s">
        <v>94</v>
      </c>
      <c r="W13" s="171" t="s">
        <v>95</v>
      </c>
      <c r="X13" s="172" t="s">
        <v>96</v>
      </c>
      <c r="Y13" s="172" t="s">
        <v>97</v>
      </c>
      <c r="Z13" s="207"/>
    </row>
    <row r="14" spans="2:26" ht="16.2" thickBot="1" x14ac:dyDescent="0.3">
      <c r="B14" s="486" t="s">
        <v>98</v>
      </c>
      <c r="C14" s="215" t="str">
        <f>IF(T0登记表!G29="固定",T0登记表!B29,"")</f>
        <v/>
      </c>
      <c r="D14" s="216" t="str">
        <f>IF(C14="","",T0登记表!C29)</f>
        <v/>
      </c>
      <c r="E14" s="217" t="str">
        <f>IF(C14="","",T0登记表!D29)</f>
        <v/>
      </c>
      <c r="F14" s="218" t="str">
        <f>IF(C14="","",T0登记表!F29)</f>
        <v/>
      </c>
      <c r="G14" s="172"/>
      <c r="H14" s="191" t="str">
        <f>IF($C14="","",IF($D14&gt;=1,$E14*$C14,""))</f>
        <v/>
      </c>
      <c r="I14" s="191" t="str">
        <f>IF($C14="","",IF($D14&gt;=2,$E14*$C14,""))</f>
        <v/>
      </c>
      <c r="J14" s="191" t="str">
        <f>IF($C14="","",IF($D14&gt;=3,$E14*$C14,""))</f>
        <v/>
      </c>
      <c r="K14" s="191" t="str">
        <f>IF($C14="","",IF($D14&gt;=4,$E14*$C14,""))</f>
        <v/>
      </c>
      <c r="L14" s="191" t="str">
        <f>IF($C14="","",IF($D14&gt;=5,$E14*$C14,""))</f>
        <v/>
      </c>
      <c r="M14" s="172"/>
      <c r="N14" s="219"/>
      <c r="O14" s="219"/>
      <c r="Q14" s="172"/>
      <c r="R14" s="172"/>
      <c r="S14" s="191" t="str">
        <f>IF($C14="","",IF($D14=1,$E14*$C14*$D14,""))</f>
        <v/>
      </c>
      <c r="T14" s="191" t="str">
        <f>IF($C14="","",IF($D14=2,$E14*$C14*$D14,""))</f>
        <v/>
      </c>
      <c r="U14" s="191" t="str">
        <f>IF($C14="","",IF($D14=3,$E14*$C14*$D14,""))</f>
        <v/>
      </c>
      <c r="V14" s="191" t="str">
        <f>IF($C14="","",IF($D14=4,$E14*$C14*$D14,""))</f>
        <v/>
      </c>
      <c r="W14" s="191" t="str">
        <f>IF($C14="","",IF($D14=5,$E14*$C14*$D14,""))</f>
        <v/>
      </c>
      <c r="X14" s="172"/>
      <c r="Y14" s="172"/>
    </row>
    <row r="15" spans="2:26" ht="16.2" thickBot="1" x14ac:dyDescent="0.3">
      <c r="B15" s="488"/>
      <c r="C15" s="215" t="str">
        <f>IF(T0登记表!G30="固定",T0登记表!B30,"")</f>
        <v/>
      </c>
      <c r="D15" s="216" t="str">
        <f>IF(C15="","",T0登记表!C30)</f>
        <v/>
      </c>
      <c r="E15" s="217" t="str">
        <f>IF(C15="","",T0登记表!D30)</f>
        <v/>
      </c>
      <c r="F15" s="218" t="str">
        <f>IF(C15="","",T0登记表!F30)</f>
        <v/>
      </c>
      <c r="G15" s="172"/>
      <c r="H15" s="191" t="str">
        <f>IF($C15="","",IF($D15&gt;=1,$E15*$C15,""))</f>
        <v/>
      </c>
      <c r="I15" s="191" t="str">
        <f>IF($C15="","",IF($D15&gt;=2,$E15*$C15,""))</f>
        <v/>
      </c>
      <c r="J15" s="191" t="str">
        <f>IF($C15="","",IF($D15&gt;=3,$E15*$C15,""))</f>
        <v/>
      </c>
      <c r="K15" s="191" t="str">
        <f>IF($C15="","",IF($D15&gt;=4,$E15*$C15,""))</f>
        <v/>
      </c>
      <c r="L15" s="191" t="str">
        <f>IF($C15="","",IF($D15&gt;=5,$E15*$C15,""))</f>
        <v/>
      </c>
      <c r="M15" s="172"/>
      <c r="N15" s="221"/>
      <c r="O15" s="221"/>
      <c r="Q15" s="172"/>
      <c r="R15" s="172"/>
      <c r="S15" s="191" t="str">
        <f>IF($C15="","",IF($D15=1,$E15*$C15*$D15,""))</f>
        <v/>
      </c>
      <c r="T15" s="191" t="str">
        <f>IF($C15="","",IF($D15=2,$E15*$C15*$D15,""))</f>
        <v/>
      </c>
      <c r="U15" s="191" t="str">
        <f>IF($C15="","",IF($D15=3,$E15*$C15*$D15,""))</f>
        <v/>
      </c>
      <c r="V15" s="191" t="str">
        <f>IF($C15="","",IF($D15=4,$E15*$C15*$D15,""))</f>
        <v/>
      </c>
      <c r="W15" s="191" t="str">
        <f>IF($C15="","",IF($D15=5,$E15*$C15*$D15,""))</f>
        <v/>
      </c>
      <c r="X15" s="172"/>
      <c r="Y15" s="172"/>
    </row>
    <row r="16" spans="2:26" ht="16.2" thickBot="1" x14ac:dyDescent="0.3">
      <c r="B16" s="488"/>
      <c r="C16" s="215" t="str">
        <f>IF(T0登记表!G31="固定",T0登记表!B31,"")</f>
        <v/>
      </c>
      <c r="D16" s="216" t="str">
        <f>IF(C16="","",T0登记表!C31)</f>
        <v/>
      </c>
      <c r="E16" s="217" t="str">
        <f>IF(C16="","",T0登记表!D31)</f>
        <v/>
      </c>
      <c r="F16" s="218" t="str">
        <f>IF(C16="","",T0登记表!F31)</f>
        <v/>
      </c>
      <c r="G16" s="172"/>
      <c r="H16" s="191" t="str">
        <f>IF($C16="","",IF($D16&gt;=1,$E16*$C16,""))</f>
        <v/>
      </c>
      <c r="I16" s="191" t="str">
        <f>IF($C16="","",IF($D16&gt;=2,$E16*$C16,""))</f>
        <v/>
      </c>
      <c r="J16" s="191" t="str">
        <f>IF($C16="","",IF($D16&gt;=3,$E16*$C16,""))</f>
        <v/>
      </c>
      <c r="K16" s="191" t="str">
        <f>IF($C16="","",IF($D16&gt;=4,$E16*$C16,""))</f>
        <v/>
      </c>
      <c r="L16" s="191" t="str">
        <f>IF($C16="","",IF($D16&gt;=5,$E16*$C16,""))</f>
        <v/>
      </c>
      <c r="M16" s="172"/>
      <c r="N16" s="221"/>
      <c r="O16" s="221"/>
      <c r="Q16" s="172"/>
      <c r="R16" s="172"/>
      <c r="S16" s="191" t="str">
        <f>IF($C16="","",IF($D16=1,$E16*$C16*$D16,""))</f>
        <v/>
      </c>
      <c r="T16" s="191" t="str">
        <f>IF($C16="","",IF($D16=2,$E16*$C16*$D16,""))</f>
        <v/>
      </c>
      <c r="U16" s="191" t="str">
        <f>IF($C16="","",IF($D16=3,$E16*$C16*$D16,""))</f>
        <v/>
      </c>
      <c r="V16" s="191" t="str">
        <f>IF($C16="","",IF($D16=4,$E16*$C16*$D16,""))</f>
        <v/>
      </c>
      <c r="W16" s="191" t="str">
        <f>IF($C16="","",IF($D16=5,$E16*$C16*$D16,""))</f>
        <v/>
      </c>
      <c r="X16" s="172"/>
      <c r="Y16" s="172"/>
    </row>
    <row r="17" spans="2:26" ht="16.2" thickBot="1" x14ac:dyDescent="0.3">
      <c r="B17" s="487"/>
      <c r="C17" s="215" t="str">
        <f>IF(T0登记表!G32="固定",T0登记表!B32,"")</f>
        <v/>
      </c>
      <c r="D17" s="216" t="str">
        <f>IF(C17="","",T0登记表!C32)</f>
        <v/>
      </c>
      <c r="E17" s="217" t="str">
        <f>IF(C17="","",T0登记表!D32)</f>
        <v/>
      </c>
      <c r="F17" s="218" t="str">
        <f>IF(C17="","",T0登记表!F32)</f>
        <v/>
      </c>
      <c r="G17" s="172"/>
      <c r="H17" s="191" t="str">
        <f>IF($C17="","",IF($D17&gt;=1,$E17*$C17,""))</f>
        <v/>
      </c>
      <c r="I17" s="191" t="str">
        <f>IF($C17="","",IF($D17&gt;=2,$E17*$C17,""))</f>
        <v/>
      </c>
      <c r="J17" s="191" t="str">
        <f>IF($C17="","",IF($D17&gt;=3,$E17*$C17,""))</f>
        <v/>
      </c>
      <c r="K17" s="191" t="str">
        <f>IF($C17="","",IF($D17&gt;=4,$E17*$C17,""))</f>
        <v/>
      </c>
      <c r="L17" s="191" t="str">
        <f>IF($C17="","",IF($D17&gt;=5,$E17*$C17,""))</f>
        <v/>
      </c>
      <c r="M17" s="172"/>
      <c r="N17" s="221"/>
      <c r="O17" s="221"/>
      <c r="Q17" s="172"/>
      <c r="R17" s="172"/>
      <c r="S17" s="191" t="str">
        <f>IF($C17="","",IF($D17=1,$E17*$C17*$D17,""))</f>
        <v/>
      </c>
      <c r="T17" s="191" t="str">
        <f>IF($C17="","",IF($D17=2,$E17*$C17*$D17,""))</f>
        <v/>
      </c>
      <c r="U17" s="191" t="str">
        <f>IF($C17="","",IF($D17=3,$E17*$C17*$D17,""))</f>
        <v/>
      </c>
      <c r="V17" s="191" t="str">
        <f>IF($C17="","",IF($D17=4,$E17*$C17*$D17,""))</f>
        <v/>
      </c>
      <c r="W17" s="191" t="str">
        <f>IF($C17="","",IF($D17=5,$E17*$C17*$D17,""))</f>
        <v/>
      </c>
      <c r="X17" s="172"/>
      <c r="Y17" s="172"/>
    </row>
    <row r="18" spans="2:26" ht="17.25" customHeight="1" thickBot="1" x14ac:dyDescent="0.3">
      <c r="B18" s="489"/>
      <c r="C18" s="490"/>
      <c r="D18" s="490"/>
      <c r="E18" s="490"/>
      <c r="F18" s="491"/>
      <c r="G18" s="492" t="s">
        <v>160</v>
      </c>
      <c r="H18" s="493"/>
      <c r="I18" s="182">
        <f>IF(T0登记表!$N$8="","",T0登记表!$N$8)</f>
        <v>-0.01</v>
      </c>
      <c r="J18" s="182">
        <f>IF(T0登记表!$N$9="","",T0登记表!$N$9)</f>
        <v>-0.02</v>
      </c>
      <c r="K18" s="182">
        <f>IF(T0登记表!$N$10="","",T0登记表!$N$10)</f>
        <v>-0.01</v>
      </c>
      <c r="L18" s="182">
        <f>IF(T0登记表!$N$11="","",T0登记表!$N$11)</f>
        <v>-0.01</v>
      </c>
      <c r="M18" s="172"/>
      <c r="N18" s="221"/>
      <c r="O18" s="221"/>
      <c r="Q18" s="494" t="s">
        <v>99</v>
      </c>
      <c r="R18" s="495"/>
      <c r="S18" s="496"/>
      <c r="T18" s="182">
        <f>IF(T0登记表!$N$9="","",T0登记表!$N$9)</f>
        <v>-0.02</v>
      </c>
      <c r="U18" s="182">
        <f>IF(T0登记表!$N$10="","",T0登记表!$N$10)</f>
        <v>-0.01</v>
      </c>
      <c r="V18" s="182">
        <f>IF(T0登记表!$N$11="","",T0登记表!$N$11)</f>
        <v>-0.01</v>
      </c>
      <c r="W18" s="182">
        <f>IF(T0登记表!$N$12="","",T0登记表!$N$12)</f>
        <v>0</v>
      </c>
      <c r="X18" s="172"/>
      <c r="Y18" s="172"/>
    </row>
    <row r="19" spans="2:26" ht="16.2" thickBot="1" x14ac:dyDescent="0.3">
      <c r="B19" s="486" t="s">
        <v>100</v>
      </c>
      <c r="C19" s="215" t="str">
        <f>IF(T0登记表!G29="浮动",T0登记表!B29,"")</f>
        <v/>
      </c>
      <c r="D19" s="216" t="str">
        <f>IF(C19="","",T0登记表!C29)</f>
        <v/>
      </c>
      <c r="E19" s="217" t="str">
        <f>IF(C19="","",T0登记表!D29)</f>
        <v/>
      </c>
      <c r="F19" s="218" t="str">
        <f>IF(C19="","",T0登记表!F29)</f>
        <v/>
      </c>
      <c r="G19" s="172"/>
      <c r="H19" s="191" t="str">
        <f>IF($C19="","",IF($D19&gt;=1,$E19*$C19,""))</f>
        <v/>
      </c>
      <c r="I19" s="191" t="str">
        <f>IF($I$18="","",IF($C19="","",IF($D19&gt;=2,($I$18+$E19)*$C19,"")))</f>
        <v/>
      </c>
      <c r="J19" s="191" t="str">
        <f>IF($J$18="","",IF($C19="","",IF($D19&gt;=3,(SUM($I$9:J$9)+$E19)*$C19,"")))</f>
        <v/>
      </c>
      <c r="K19" s="191" t="str">
        <f>IF($K$18="","",IF($C19="","",IF($D19&gt;=4,(SUM($I$9:K$9)+$E19)*$C19,"")))</f>
        <v/>
      </c>
      <c r="L19" s="191" t="str">
        <f>IF($L$18="","",IF($C19="","",IF($D19&gt;=5,(SUM($I$18:L$18)+$E19)*$C19,"")))</f>
        <v/>
      </c>
      <c r="M19" s="172"/>
      <c r="N19" s="172"/>
      <c r="O19" s="172"/>
      <c r="Q19" s="172"/>
      <c r="R19" s="172"/>
      <c r="S19" s="191" t="str">
        <f t="shared" ref="S19:W22" si="1">H19</f>
        <v/>
      </c>
      <c r="T19" s="191" t="str">
        <f t="shared" si="1"/>
        <v/>
      </c>
      <c r="U19" s="191" t="str">
        <f t="shared" si="1"/>
        <v/>
      </c>
      <c r="V19" s="191" t="str">
        <f t="shared" si="1"/>
        <v/>
      </c>
      <c r="W19" s="191" t="str">
        <f t="shared" si="1"/>
        <v/>
      </c>
      <c r="X19" s="172"/>
      <c r="Y19" s="172"/>
    </row>
    <row r="20" spans="2:26" ht="16.2" thickBot="1" x14ac:dyDescent="0.3">
      <c r="B20" s="488"/>
      <c r="C20" s="215" t="str">
        <f>IF(T0登记表!G30="浮动",T0登记表!B30,"")</f>
        <v/>
      </c>
      <c r="D20" s="216" t="str">
        <f>IF(C20="","",T0登记表!C30)</f>
        <v/>
      </c>
      <c r="E20" s="217" t="str">
        <f>IF(C20="","",T0登记表!D30)</f>
        <v/>
      </c>
      <c r="F20" s="218" t="str">
        <f>IF(C20="","",T0登记表!F30)</f>
        <v/>
      </c>
      <c r="G20" s="172"/>
      <c r="H20" s="191" t="str">
        <f>IF($C20="","",IF($D20&gt;=1,$E20*$C20,""))</f>
        <v/>
      </c>
      <c r="I20" s="191" t="str">
        <f>IF($I$18="","",IF($C20="","",IF($D20&gt;=2,($I$18+$E20)*$C20,"")))</f>
        <v/>
      </c>
      <c r="J20" s="191" t="str">
        <f>IF($J$18="","",IF($C20="","",IF($D20&gt;=3,(SUM($I$9:J$9)+$E20)*$C20,"")))</f>
        <v/>
      </c>
      <c r="K20" s="191" t="str">
        <f>IF($K$18="","",IF($C20="","",IF($D20&gt;=4,(SUM($I$9:K$9)+$E20)*$C20,"")))</f>
        <v/>
      </c>
      <c r="L20" s="191" t="str">
        <f>IF($L$18="","",IF($C20="","",IF($D20&gt;=5,(SUM($I$18:L$18)+$E20)*$C20,"")))</f>
        <v/>
      </c>
      <c r="M20" s="172"/>
      <c r="N20" s="219"/>
      <c r="O20" s="219"/>
      <c r="Q20" s="172"/>
      <c r="R20" s="172"/>
      <c r="S20" s="191" t="str">
        <f t="shared" si="1"/>
        <v/>
      </c>
      <c r="T20" s="191" t="str">
        <f t="shared" si="1"/>
        <v/>
      </c>
      <c r="U20" s="191" t="str">
        <f t="shared" si="1"/>
        <v/>
      </c>
      <c r="V20" s="191" t="str">
        <f t="shared" si="1"/>
        <v/>
      </c>
      <c r="W20" s="191" t="str">
        <f t="shared" si="1"/>
        <v/>
      </c>
      <c r="X20" s="172"/>
      <c r="Y20" s="172"/>
    </row>
    <row r="21" spans="2:26" ht="16.2" thickBot="1" x14ac:dyDescent="0.3">
      <c r="B21" s="488"/>
      <c r="C21" s="215" t="str">
        <f>IF(T0登记表!G31="浮动",T0登记表!B31,"")</f>
        <v/>
      </c>
      <c r="D21" s="216" t="str">
        <f>IF(C21="","",T0登记表!C31)</f>
        <v/>
      </c>
      <c r="E21" s="217" t="str">
        <f>IF(C21="","",T0登记表!D31)</f>
        <v/>
      </c>
      <c r="F21" s="218" t="str">
        <f>IF(C21="","",T0登记表!F31)</f>
        <v/>
      </c>
      <c r="G21" s="172"/>
      <c r="H21" s="191" t="str">
        <f>IF($C21="","",IF($D21&gt;=1,$E21*$C21,""))</f>
        <v/>
      </c>
      <c r="I21" s="191" t="str">
        <f>IF($I$18="","",IF($C21="","",IF($D21&gt;=2,($I$18+$E21)*$C21,"")))</f>
        <v/>
      </c>
      <c r="J21" s="191" t="str">
        <f>IF($J$18="","",IF($C21="","",IF($D21&gt;=3,(SUM($I$9:J$9)+$E21)*$C21,"")))</f>
        <v/>
      </c>
      <c r="K21" s="191" t="str">
        <f>IF($K$18="","",IF($C21="","",IF($D21&gt;=4,(SUM($I$9:K$9)+$E21)*$C21,"")))</f>
        <v/>
      </c>
      <c r="L21" s="191" t="str">
        <f>IF($L$18="","",IF($C21="","",IF($D21&gt;=5,(SUM($I$18:L$18)+$E21)*$C21,"")))</f>
        <v/>
      </c>
      <c r="M21" s="172"/>
      <c r="N21" s="221"/>
      <c r="O21" s="221"/>
      <c r="Q21" s="172"/>
      <c r="R21" s="172"/>
      <c r="S21" s="191" t="str">
        <f t="shared" si="1"/>
        <v/>
      </c>
      <c r="T21" s="191" t="str">
        <f t="shared" si="1"/>
        <v/>
      </c>
      <c r="U21" s="191" t="str">
        <f t="shared" si="1"/>
        <v/>
      </c>
      <c r="V21" s="191" t="str">
        <f t="shared" si="1"/>
        <v/>
      </c>
      <c r="W21" s="191" t="str">
        <f t="shared" si="1"/>
        <v/>
      </c>
      <c r="X21" s="172"/>
      <c r="Y21" s="172"/>
    </row>
    <row r="22" spans="2:26" ht="16.2" thickBot="1" x14ac:dyDescent="0.3">
      <c r="B22" s="487"/>
      <c r="C22" s="215" t="str">
        <f>IF(T0登记表!G32="浮动",T0登记表!B32,"")</f>
        <v/>
      </c>
      <c r="D22" s="216" t="str">
        <f>IF(C22="","",T0登记表!C32)</f>
        <v/>
      </c>
      <c r="E22" s="217" t="str">
        <f>IF(C22="","",T0登记表!D32)</f>
        <v/>
      </c>
      <c r="F22" s="218" t="str">
        <f>IF(C22="","",T0登记表!F32)</f>
        <v/>
      </c>
      <c r="G22" s="172"/>
      <c r="H22" s="191" t="str">
        <f>IF($C22="","",IF($D22&gt;=1,$E22*$C22,""))</f>
        <v/>
      </c>
      <c r="I22" s="191" t="str">
        <f>IF($I$18="","",IF($C22="","",IF($D22&gt;=2,($I$18+$E22)*$C22,"")))</f>
        <v/>
      </c>
      <c r="J22" s="191" t="str">
        <f>IF($J$18="","",IF($C22="","",IF($D22&gt;=3,(SUM($I$9:J$9)+$E22)*$C22,"")))</f>
        <v/>
      </c>
      <c r="K22" s="191" t="str">
        <f>IF($K$18="","",IF($C22="","",IF($D22&gt;=4,(SUM($I$9:K$9)+$E22)*$C22,"")))</f>
        <v/>
      </c>
      <c r="L22" s="191" t="str">
        <f>IF($L$18="","",IF($C22="","",IF($D22&gt;=5,(SUM($I$18:L$18)+$E22)*$C22,"")))</f>
        <v/>
      </c>
      <c r="M22" s="172"/>
      <c r="N22" s="221"/>
      <c r="O22" s="221"/>
      <c r="Q22" s="172"/>
      <c r="R22" s="172"/>
      <c r="S22" s="191" t="str">
        <f t="shared" si="1"/>
        <v/>
      </c>
      <c r="T22" s="191" t="str">
        <f t="shared" si="1"/>
        <v/>
      </c>
      <c r="U22" s="191" t="str">
        <f t="shared" si="1"/>
        <v/>
      </c>
      <c r="V22" s="191" t="str">
        <f t="shared" si="1"/>
        <v/>
      </c>
      <c r="W22" s="191" t="str">
        <f t="shared" si="1"/>
        <v/>
      </c>
      <c r="X22" s="172"/>
      <c r="Y22" s="172"/>
    </row>
    <row r="23" spans="2:26" s="207" customFormat="1" ht="16.8" thickBot="1" x14ac:dyDescent="0.3">
      <c r="B23" s="206" t="s">
        <v>103</v>
      </c>
      <c r="E23" s="225"/>
      <c r="Z23" s="66"/>
    </row>
    <row r="24" spans="2:26" ht="16.2" thickBot="1" x14ac:dyDescent="0.3">
      <c r="B24" s="213" t="s">
        <v>86</v>
      </c>
      <c r="C24" s="176" t="s">
        <v>55</v>
      </c>
      <c r="D24" s="177" t="s">
        <v>56</v>
      </c>
      <c r="E24" s="214" t="s">
        <v>87</v>
      </c>
      <c r="F24" s="213" t="s">
        <v>88</v>
      </c>
      <c r="G24" s="172" t="s">
        <v>357</v>
      </c>
      <c r="H24" s="172" t="s">
        <v>358</v>
      </c>
      <c r="I24" s="171" t="s">
        <v>104</v>
      </c>
      <c r="J24" s="171" t="s">
        <v>92</v>
      </c>
      <c r="K24" s="171" t="s">
        <v>93</v>
      </c>
      <c r="L24" s="171" t="s">
        <v>94</v>
      </c>
      <c r="M24" s="171" t="s">
        <v>105</v>
      </c>
      <c r="N24" s="172" t="s">
        <v>127</v>
      </c>
      <c r="O24" s="172" t="s">
        <v>356</v>
      </c>
      <c r="Q24" s="172" t="s">
        <v>89</v>
      </c>
      <c r="R24" s="172" t="s">
        <v>102</v>
      </c>
      <c r="S24" s="172" t="s">
        <v>104</v>
      </c>
      <c r="T24" s="171" t="s">
        <v>92</v>
      </c>
      <c r="U24" s="171" t="s">
        <v>93</v>
      </c>
      <c r="V24" s="171" t="s">
        <v>94</v>
      </c>
      <c r="W24" s="171" t="s">
        <v>105</v>
      </c>
      <c r="X24" s="171" t="s">
        <v>106</v>
      </c>
      <c r="Y24" s="172" t="s">
        <v>97</v>
      </c>
    </row>
    <row r="25" spans="2:26" ht="16.2" thickBot="1" x14ac:dyDescent="0.3">
      <c r="B25" s="486" t="s">
        <v>98</v>
      </c>
      <c r="C25" s="177" t="str">
        <f>IF(T0登记表!G35="固定",T0登记表!B35,"")</f>
        <v/>
      </c>
      <c r="D25" s="177" t="str">
        <f>IF(C25="","",T0登记表!C35)</f>
        <v/>
      </c>
      <c r="E25" s="214" t="str">
        <f>IF(C25="","",T0登记表!D35)</f>
        <v/>
      </c>
      <c r="F25" s="213" t="str">
        <f>IF(C25="","",T0登记表!F35)</f>
        <v/>
      </c>
      <c r="G25" s="172"/>
      <c r="H25" s="219"/>
      <c r="I25" s="171" t="str">
        <f>IF($C25="","",IF($D25&gt;=1,$E25*$C25,""))</f>
        <v/>
      </c>
      <c r="J25" s="171" t="str">
        <f>IF($C25="","",IF($D25&gt;=2,$E25*$C25,""))</f>
        <v/>
      </c>
      <c r="K25" s="171" t="str">
        <f>IF($C25="","",IF($D25&gt;=3,$E25*$C25,""))</f>
        <v/>
      </c>
      <c r="L25" s="171" t="str">
        <f>IF($C25="","",IF($D25&gt;=4,$E25*$C25,""))</f>
        <v/>
      </c>
      <c r="M25" s="171" t="str">
        <f>IF($C25="","",IF($D25&gt;=5,$E25*$C25,""))</f>
        <v/>
      </c>
      <c r="N25" s="172"/>
      <c r="O25" s="219"/>
      <c r="Q25" s="172"/>
      <c r="R25" s="172"/>
      <c r="S25" s="172"/>
      <c r="T25" s="171" t="str">
        <f>IF($C25="","",IF($D25=1,$E25*$C25*$D25,""))</f>
        <v/>
      </c>
      <c r="U25" s="171" t="str">
        <f>IF($C25="","",IF($D25=2,$E25*$C25*$D25,""))</f>
        <v/>
      </c>
      <c r="V25" s="171" t="str">
        <f>IF($C25="","",IF($D25=3,$E25*$C25*$D25,""))</f>
        <v/>
      </c>
      <c r="W25" s="171" t="str">
        <f>IF($C25="","",IF($D25=4,$E25*$C25*$D25,""))</f>
        <v/>
      </c>
      <c r="X25" s="171" t="str">
        <f>IF($C25="","",IF($D25=5,$E25*$C25*$D25,""))</f>
        <v/>
      </c>
      <c r="Y25" s="172"/>
      <c r="Z25" s="207"/>
    </row>
    <row r="26" spans="2:26" ht="16.2" thickBot="1" x14ac:dyDescent="0.3">
      <c r="B26" s="488"/>
      <c r="C26" s="177" t="str">
        <f>IF(T0登记表!G36="固定",T0登记表!B36,"")</f>
        <v/>
      </c>
      <c r="D26" s="177" t="str">
        <f>IF(C26="","",T0登记表!C36)</f>
        <v/>
      </c>
      <c r="E26" s="214" t="str">
        <f>IF(C26="","",T0登记表!D36)</f>
        <v/>
      </c>
      <c r="F26" s="213" t="str">
        <f>IF(C26="","",T0登记表!F36)</f>
        <v/>
      </c>
      <c r="G26" s="172"/>
      <c r="H26" s="221"/>
      <c r="I26" s="171" t="str">
        <f>IF($C26="","",IF($D26&gt;=1,$E26*$C26,""))</f>
        <v/>
      </c>
      <c r="J26" s="171" t="str">
        <f>IF($C26="","",IF($D26&gt;=2,$E26*$C26,""))</f>
        <v/>
      </c>
      <c r="K26" s="171" t="str">
        <f>IF($C26="","",IF($D26&gt;=3,$E26*$C26,""))</f>
        <v/>
      </c>
      <c r="L26" s="171" t="str">
        <f>IF($C26="","",IF($D26&gt;=4,$E26*$C26,""))</f>
        <v/>
      </c>
      <c r="M26" s="171" t="str">
        <f>IF($C26="","",IF($D26&gt;=5,$E26*$C26,""))</f>
        <v/>
      </c>
      <c r="N26" s="172"/>
      <c r="O26" s="221"/>
      <c r="Q26" s="172"/>
      <c r="R26" s="172"/>
      <c r="S26" s="172"/>
      <c r="T26" s="171" t="str">
        <f>IF($C26="","",IF($D26=1,$E26*$C26*$D26,""))</f>
        <v/>
      </c>
      <c r="U26" s="171" t="str">
        <f>IF($C26="","",IF($D26=2,$E26*$C26*$D26,""))</f>
        <v/>
      </c>
      <c r="V26" s="171" t="str">
        <f>IF($C26="","",IF($D26=3,$E26*$C26*$D26,""))</f>
        <v/>
      </c>
      <c r="W26" s="171" t="str">
        <f>IF($C26="","",IF($D26=4,$E26*$C26*$D26,""))</f>
        <v/>
      </c>
      <c r="X26" s="171" t="str">
        <f>IF($C26="","",IF($D26=5,$E26*$C26*$D26,""))</f>
        <v/>
      </c>
      <c r="Y26" s="172"/>
    </row>
    <row r="27" spans="2:26" ht="16.2" thickBot="1" x14ac:dyDescent="0.3">
      <c r="B27" s="488"/>
      <c r="C27" s="177" t="str">
        <f>IF(T0登记表!G37="固定",T0登记表!B37,"")</f>
        <v/>
      </c>
      <c r="D27" s="177" t="str">
        <f>IF(C27="","",T0登记表!C37)</f>
        <v/>
      </c>
      <c r="E27" s="214" t="str">
        <f>IF(C27="","",T0登记表!D37)</f>
        <v/>
      </c>
      <c r="F27" s="213" t="str">
        <f>IF(C27="","",T0登记表!F37)</f>
        <v/>
      </c>
      <c r="G27" s="172"/>
      <c r="H27" s="221"/>
      <c r="I27" s="171" t="str">
        <f>IF($C27="","",IF($D27&gt;=1,$E27*$C27,""))</f>
        <v/>
      </c>
      <c r="J27" s="171" t="str">
        <f>IF($C27="","",IF($D27&gt;=2,$E27*$C27,""))</f>
        <v/>
      </c>
      <c r="K27" s="171" t="str">
        <f>IF($C27="","",IF($D27&gt;=3,$E27*$C27,""))</f>
        <v/>
      </c>
      <c r="L27" s="171" t="str">
        <f>IF($C27="","",IF($D27&gt;=4,$E27*$C27,""))</f>
        <v/>
      </c>
      <c r="M27" s="171" t="str">
        <f>IF($C27="","",IF($D27&gt;=5,$E27*$C27,""))</f>
        <v/>
      </c>
      <c r="N27" s="172"/>
      <c r="O27" s="221"/>
      <c r="Q27" s="172"/>
      <c r="R27" s="172"/>
      <c r="S27" s="172"/>
      <c r="T27" s="171" t="str">
        <f>IF($C27="","",IF($D27=1,$E27*$C27*$D27,""))</f>
        <v/>
      </c>
      <c r="U27" s="171" t="str">
        <f>IF($C27="","",IF($D27=2,$E27*$C27*$D27,""))</f>
        <v/>
      </c>
      <c r="V27" s="171" t="str">
        <f>IF($C27="","",IF($D27=3,$E27*$C27*$D27,""))</f>
        <v/>
      </c>
      <c r="W27" s="171" t="str">
        <f>IF($C27="","",IF($D27=4,$E27*$C27*$D27,""))</f>
        <v/>
      </c>
      <c r="X27" s="171" t="str">
        <f>IF($C27="","",IF($D27=5,$E27*$C27*$D27,""))</f>
        <v/>
      </c>
      <c r="Y27" s="172"/>
    </row>
    <row r="28" spans="2:26" ht="16.2" thickBot="1" x14ac:dyDescent="0.3">
      <c r="B28" s="487"/>
      <c r="C28" s="177" t="str">
        <f>IF(T0登记表!G38="固定",T0登记表!B38,"")</f>
        <v/>
      </c>
      <c r="D28" s="177" t="str">
        <f>IF(C28="","",T0登记表!C38)</f>
        <v/>
      </c>
      <c r="E28" s="214" t="str">
        <f>IF(C28="","",T0登记表!D38)</f>
        <v/>
      </c>
      <c r="F28" s="213" t="str">
        <f>IF(C28="","",T0登记表!F38)</f>
        <v/>
      </c>
      <c r="G28" s="172"/>
      <c r="H28" s="221"/>
      <c r="I28" s="171" t="str">
        <f>IF($C28="","",IF($D28&gt;=1,$E28*$C28,""))</f>
        <v/>
      </c>
      <c r="J28" s="171" t="str">
        <f>IF($C28="","",IF($D28&gt;=2,$E28*$C28,""))</f>
        <v/>
      </c>
      <c r="K28" s="171" t="str">
        <f>IF($C28="","",IF($D28&gt;=3,$E28*$C28,""))</f>
        <v/>
      </c>
      <c r="L28" s="171" t="str">
        <f>IF($C28="","",IF($D28&gt;=4,$E28*$C28,""))</f>
        <v/>
      </c>
      <c r="M28" s="171" t="str">
        <f>IF($C28="","",IF($D28&gt;=5,$E28*$C28,""))</f>
        <v/>
      </c>
      <c r="N28" s="172"/>
      <c r="O28" s="221"/>
      <c r="Q28" s="172"/>
      <c r="R28" s="172"/>
      <c r="S28" s="172"/>
      <c r="T28" s="171" t="str">
        <f>IF($C28="","",IF($D28=1,$E28*$C28*$D28,""))</f>
        <v/>
      </c>
      <c r="U28" s="171" t="str">
        <f>IF($C28="","",IF($D28=2,$E28*$C28*$D28,""))</f>
        <v/>
      </c>
      <c r="V28" s="171" t="str">
        <f>IF($C28="","",IF($D28=3,$E28*$C28*$D28,""))</f>
        <v/>
      </c>
      <c r="W28" s="171" t="str">
        <f>IF($C28="","",IF($D28=4,$E28*$C28*$D28,""))</f>
        <v/>
      </c>
      <c r="X28" s="171" t="str">
        <f>IF($C28="","",IF($D28=5,$E28*$C28*$D28,""))</f>
        <v/>
      </c>
      <c r="Y28" s="172"/>
    </row>
    <row r="29" spans="2:26" ht="17.25" customHeight="1" thickBot="1" x14ac:dyDescent="0.3">
      <c r="B29" s="489"/>
      <c r="C29" s="490"/>
      <c r="D29" s="490"/>
      <c r="E29" s="490"/>
      <c r="F29" s="491"/>
      <c r="G29" s="187"/>
      <c r="H29" s="492" t="s">
        <v>160</v>
      </c>
      <c r="I29" s="493"/>
      <c r="J29" s="182">
        <f>IF(T0登记表!$N$9="","",T0登记表!$N$9)</f>
        <v>-0.02</v>
      </c>
      <c r="K29" s="182">
        <f>IF(T0登记表!$N$10="","",T0登记表!$N$10)</f>
        <v>-0.01</v>
      </c>
      <c r="L29" s="182">
        <f>IF(T0登记表!$N$11="","",T0登记表!$N$11)</f>
        <v>-0.01</v>
      </c>
      <c r="M29" s="182">
        <f>IF(T0登记表!$N$12="","",T0登记表!$N$12)</f>
        <v>0</v>
      </c>
      <c r="N29" s="172"/>
      <c r="O29" s="221"/>
      <c r="Q29" s="494" t="s">
        <v>99</v>
      </c>
      <c r="R29" s="495"/>
      <c r="S29" s="495"/>
      <c r="T29" s="496"/>
      <c r="U29" s="182">
        <f>IF(T0登记表!$N$10="","",T0登记表!$N$10)</f>
        <v>-0.01</v>
      </c>
      <c r="V29" s="182">
        <f>IF(T0登记表!$N$11="","",T0登记表!$N$11)</f>
        <v>-0.01</v>
      </c>
      <c r="W29" s="182">
        <f>IF(T0登记表!$N$12="","",T0登记表!$N$12)</f>
        <v>0</v>
      </c>
      <c r="X29" s="182">
        <f>IF(T0登记表!$N$13="","",T0登记表!$N$13)</f>
        <v>0</v>
      </c>
      <c r="Y29" s="172"/>
    </row>
    <row r="30" spans="2:26" ht="16.2" thickBot="1" x14ac:dyDescent="0.3">
      <c r="B30" s="486" t="s">
        <v>107</v>
      </c>
      <c r="C30" s="176" t="str">
        <f>IF(T0登记表!G35="浮动",T0登记表!B35,"")</f>
        <v/>
      </c>
      <c r="D30" s="177" t="str">
        <f>IF(C30="","",T0登记表!C35)</f>
        <v/>
      </c>
      <c r="E30" s="214" t="str">
        <f>IF(C30="","",T0登记表!D35)</f>
        <v/>
      </c>
      <c r="F30" s="213" t="str">
        <f>IF(C30="","",T0登记表!F35)</f>
        <v/>
      </c>
      <c r="G30" s="172"/>
      <c r="H30" s="172"/>
      <c r="I30" s="171" t="str">
        <f>IF($C30="","",IF($D30&gt;=1,$E30*$C30,""))</f>
        <v/>
      </c>
      <c r="J30" s="171" t="str">
        <f>IF($J$29="","",IF($C30="","",IF($D30&gt;=2,($J$29+$E30)*$C30,"")))</f>
        <v/>
      </c>
      <c r="K30" s="171" t="str">
        <f>IF($K$29="","",IF($C30="","",IF($D30&gt;=3,(SUM($J$29:K$29)+$E30)*$C30,"")))</f>
        <v/>
      </c>
      <c r="L30" s="171" t="str">
        <f>IF($L$29="","",IF($C30="","",IF($D30&gt;=4,(SUM($J$29:L$29)+$E30)*$C30,"")))</f>
        <v/>
      </c>
      <c r="M30" s="171" t="str">
        <f>IF($M$29="","",IF($C30="","",IF($D30&gt;=5,(SUM($J$29:M$29)+$E30)*$C30,"")))</f>
        <v/>
      </c>
      <c r="N30" s="172"/>
      <c r="O30" s="172"/>
      <c r="Q30" s="172"/>
      <c r="R30" s="172"/>
      <c r="S30" s="172"/>
      <c r="T30" s="171" t="str">
        <f t="shared" ref="T30:X33" si="2">I30</f>
        <v/>
      </c>
      <c r="U30" s="171" t="str">
        <f t="shared" si="2"/>
        <v/>
      </c>
      <c r="V30" s="171" t="str">
        <f t="shared" si="2"/>
        <v/>
      </c>
      <c r="W30" s="171" t="str">
        <f t="shared" si="2"/>
        <v/>
      </c>
      <c r="X30" s="171" t="str">
        <f t="shared" si="2"/>
        <v/>
      </c>
      <c r="Y30" s="172"/>
    </row>
    <row r="31" spans="2:26" ht="16.2" thickBot="1" x14ac:dyDescent="0.3">
      <c r="B31" s="488"/>
      <c r="C31" s="176" t="str">
        <f>IF(T0登记表!G36="浮动",T0登记表!B36,"")</f>
        <v/>
      </c>
      <c r="D31" s="177" t="str">
        <f>IF(C31="","",T0登记表!C36)</f>
        <v/>
      </c>
      <c r="E31" s="214" t="str">
        <f>IF(C31="","",T0登记表!D36)</f>
        <v/>
      </c>
      <c r="F31" s="213" t="str">
        <f>IF(C31="","",T0登记表!F36)</f>
        <v/>
      </c>
      <c r="G31" s="172"/>
      <c r="H31" s="219"/>
      <c r="I31" s="171" t="str">
        <f>IF($C31="","",IF($D31&gt;=1,$E31*$C31,""))</f>
        <v/>
      </c>
      <c r="J31" s="171" t="str">
        <f>IF($J$29="","",IF($C31="","",IF($D31&gt;=2,($J$29+$E31)*$C31,"")))</f>
        <v/>
      </c>
      <c r="K31" s="171" t="str">
        <f>IF($K$29="","",IF($C31="","",IF($D31&gt;=3,(SUM($J$29:K$29)+$E31)*$C31,"")))</f>
        <v/>
      </c>
      <c r="L31" s="171" t="str">
        <f>IF($L$29="","",IF($C31="","",IF($D31&gt;=4,(SUM($J$29:L$29)+$E31)*$C31,"")))</f>
        <v/>
      </c>
      <c r="M31" s="171" t="str">
        <f>IF($M$29="","",IF($C31="","",IF($D31&gt;=5,(SUM($J$29:M$29)+$E31)*$C31,"")))</f>
        <v/>
      </c>
      <c r="N31" s="172"/>
      <c r="O31" s="219"/>
      <c r="Q31" s="172"/>
      <c r="R31" s="172"/>
      <c r="S31" s="172"/>
      <c r="T31" s="171" t="str">
        <f t="shared" si="2"/>
        <v/>
      </c>
      <c r="U31" s="171" t="str">
        <f t="shared" si="2"/>
        <v/>
      </c>
      <c r="V31" s="171" t="str">
        <f t="shared" si="2"/>
        <v/>
      </c>
      <c r="W31" s="171" t="str">
        <f t="shared" si="2"/>
        <v/>
      </c>
      <c r="X31" s="171" t="str">
        <f t="shared" si="2"/>
        <v/>
      </c>
      <c r="Y31" s="172"/>
    </row>
    <row r="32" spans="2:26" ht="16.2" thickBot="1" x14ac:dyDescent="0.3">
      <c r="B32" s="488"/>
      <c r="C32" s="176" t="str">
        <f>IF(T0登记表!G37="浮动",T0登记表!B37,"")</f>
        <v/>
      </c>
      <c r="D32" s="177" t="str">
        <f>IF(C32="","",T0登记表!C37)</f>
        <v/>
      </c>
      <c r="E32" s="214" t="str">
        <f>IF(C32="","",T0登记表!D37)</f>
        <v/>
      </c>
      <c r="F32" s="213" t="str">
        <f>IF(C32="","",T0登记表!F37)</f>
        <v/>
      </c>
      <c r="G32" s="172"/>
      <c r="H32" s="221"/>
      <c r="I32" s="171" t="str">
        <f>IF($C32="","",IF($D32&gt;=1,$E32*$C32,""))</f>
        <v/>
      </c>
      <c r="J32" s="171" t="str">
        <f>IF($J$29="","",IF($C32="","",IF($D32&gt;=2,($J$29+$E32)*$C32,"")))</f>
        <v/>
      </c>
      <c r="K32" s="171" t="str">
        <f>IF($K$29="","",IF($C32="","",IF($D32&gt;=3,(SUM($J$29:K$29)+$E32)*$C32,"")))</f>
        <v/>
      </c>
      <c r="L32" s="171" t="str">
        <f>IF($L$29="","",IF($C32="","",IF($D32&gt;=4,(SUM($J$29:L$29)+$E32)*$C32,"")))</f>
        <v/>
      </c>
      <c r="M32" s="171" t="str">
        <f>IF($M$29="","",IF($C32="","",IF($D32&gt;=5,(SUM($J$29:M$29)+$E32)*$C32,"")))</f>
        <v/>
      </c>
      <c r="N32" s="172"/>
      <c r="O32" s="221"/>
      <c r="Q32" s="172"/>
      <c r="R32" s="172"/>
      <c r="S32" s="172"/>
      <c r="T32" s="171" t="str">
        <f t="shared" si="2"/>
        <v/>
      </c>
      <c r="U32" s="171" t="str">
        <f t="shared" si="2"/>
        <v/>
      </c>
      <c r="V32" s="171" t="str">
        <f t="shared" si="2"/>
        <v/>
      </c>
      <c r="W32" s="171" t="str">
        <f t="shared" si="2"/>
        <v/>
      </c>
      <c r="X32" s="171" t="str">
        <f t="shared" si="2"/>
        <v/>
      </c>
      <c r="Y32" s="172"/>
    </row>
    <row r="33" spans="2:26" ht="16.2" thickBot="1" x14ac:dyDescent="0.3">
      <c r="B33" s="487"/>
      <c r="C33" s="176" t="str">
        <f>IF(T0登记表!G38="浮动",T0登记表!B38,"")</f>
        <v/>
      </c>
      <c r="D33" s="177" t="str">
        <f>IF(C33="","",T0登记表!C38)</f>
        <v/>
      </c>
      <c r="E33" s="214" t="str">
        <f>IF(C33="","",T0登记表!D38)</f>
        <v/>
      </c>
      <c r="F33" s="213" t="str">
        <f>IF(C33="","",T0登记表!F38)</f>
        <v/>
      </c>
      <c r="G33" s="172"/>
      <c r="H33" s="221"/>
      <c r="I33" s="171" t="str">
        <f>IF($C33="","",IF($D33&gt;=1,$E33*$C33,""))</f>
        <v/>
      </c>
      <c r="J33" s="171" t="str">
        <f>IF($J$29="","",IF($C33="","",IF($D33&gt;=2,($J$29+$E33)*$C33,"")))</f>
        <v/>
      </c>
      <c r="K33" s="171" t="str">
        <f>IF($K$29="","",IF($C33="","",IF($D33&gt;=3,(SUM($J$29:K$29)+$E33)*$C33,"")))</f>
        <v/>
      </c>
      <c r="L33" s="171" t="str">
        <f>IF($L$29="","",IF($C33="","",IF($D33&gt;=4,(SUM($J$29:L$29)+$E33)*$C33,"")))</f>
        <v/>
      </c>
      <c r="M33" s="171" t="str">
        <f>IF($M$29="","",IF($C33="","",IF($D33&gt;=5,(SUM($J$29:M$29)+$E33)*$C33,"")))</f>
        <v/>
      </c>
      <c r="N33" s="172"/>
      <c r="O33" s="221"/>
      <c r="Q33" s="172"/>
      <c r="R33" s="172"/>
      <c r="S33" s="172"/>
      <c r="T33" s="171" t="str">
        <f t="shared" si="2"/>
        <v/>
      </c>
      <c r="U33" s="171" t="str">
        <f t="shared" si="2"/>
        <v/>
      </c>
      <c r="V33" s="171" t="str">
        <f t="shared" si="2"/>
        <v/>
      </c>
      <c r="W33" s="171" t="str">
        <f t="shared" si="2"/>
        <v/>
      </c>
      <c r="X33" s="171" t="str">
        <f t="shared" si="2"/>
        <v/>
      </c>
      <c r="Y33" s="172"/>
    </row>
    <row r="34" spans="2:26" s="207" customFormat="1" ht="16.8" thickBot="1" x14ac:dyDescent="0.3">
      <c r="B34" s="206" t="s">
        <v>352</v>
      </c>
      <c r="E34" s="225"/>
      <c r="Z34" s="66"/>
    </row>
    <row r="35" spans="2:26" ht="16.2" thickBot="1" x14ac:dyDescent="0.3">
      <c r="B35" s="213" t="s">
        <v>109</v>
      </c>
      <c r="C35" s="176" t="s">
        <v>55</v>
      </c>
      <c r="D35" s="177" t="s">
        <v>56</v>
      </c>
      <c r="E35" s="214" t="s">
        <v>110</v>
      </c>
      <c r="F35" s="213" t="s">
        <v>88</v>
      </c>
      <c r="G35" s="172" t="s">
        <v>89</v>
      </c>
      <c r="H35" s="172" t="s">
        <v>102</v>
      </c>
      <c r="I35" s="172" t="s">
        <v>359</v>
      </c>
      <c r="J35" s="191" t="s">
        <v>92</v>
      </c>
      <c r="K35" s="191" t="s">
        <v>93</v>
      </c>
      <c r="L35" s="171" t="s">
        <v>94</v>
      </c>
      <c r="M35" s="171" t="s">
        <v>105</v>
      </c>
      <c r="N35" s="171" t="s">
        <v>106</v>
      </c>
      <c r="O35" s="172" t="s">
        <v>97</v>
      </c>
      <c r="Q35" s="172" t="s">
        <v>89</v>
      </c>
      <c r="R35" s="172" t="s">
        <v>102</v>
      </c>
      <c r="S35" s="172" t="s">
        <v>104</v>
      </c>
      <c r="T35" s="172" t="s">
        <v>360</v>
      </c>
      <c r="U35" s="191" t="s">
        <v>93</v>
      </c>
      <c r="V35" s="171" t="s">
        <v>94</v>
      </c>
      <c r="W35" s="171" t="s">
        <v>105</v>
      </c>
      <c r="X35" s="171" t="s">
        <v>106</v>
      </c>
      <c r="Y35" s="196" t="s">
        <v>97</v>
      </c>
    </row>
    <row r="36" spans="2:26" ht="16.2" thickBot="1" x14ac:dyDescent="0.3">
      <c r="B36" s="486" t="s">
        <v>111</v>
      </c>
      <c r="C36" s="177" t="str">
        <f>IF(T0登记表!G41="固定",T0登记表!B41,"")</f>
        <v/>
      </c>
      <c r="D36" s="177" t="str">
        <f>IF(C36="","",T0登记表!C41)</f>
        <v/>
      </c>
      <c r="E36" s="214" t="str">
        <f>IF(C36="","",T0登记表!D41)</f>
        <v/>
      </c>
      <c r="F36" s="213" t="str">
        <f>IF(C36="","",T0登记表!F41)</f>
        <v/>
      </c>
      <c r="G36" s="172"/>
      <c r="H36" s="219"/>
      <c r="I36" s="219"/>
      <c r="J36" s="171" t="str">
        <f>IF($C36="","",IF($D36&gt;=1,$E36*$C36,""))</f>
        <v/>
      </c>
      <c r="K36" s="171" t="str">
        <f>IF($C36="","",IF($D36&gt;=2,$E36*$C36,""))</f>
        <v/>
      </c>
      <c r="L36" s="171" t="str">
        <f>IF($C36="","",IF($D36&gt;=3,$E36*$C36,""))</f>
        <v/>
      </c>
      <c r="M36" s="171" t="str">
        <f>IF($C36="","",IF($D36&gt;=4,$E36*$C36,""))</f>
        <v/>
      </c>
      <c r="N36" s="171" t="str">
        <f>IF($C36="","",IF($D36&gt;=5,$E36*$C36,""))</f>
        <v/>
      </c>
      <c r="O36" s="172"/>
      <c r="Q36" s="172"/>
      <c r="R36" s="172"/>
      <c r="S36" s="172"/>
      <c r="T36" s="172"/>
      <c r="U36" s="171" t="str">
        <f>IF($C36="","",IF($D36=1,$E36*$C36*$D36,""))</f>
        <v/>
      </c>
      <c r="V36" s="171" t="str">
        <f>IF($C36="","",IF($D36=2,$E36*$C36*$D36,""))</f>
        <v/>
      </c>
      <c r="W36" s="171" t="str">
        <f>IF($C36="","",IF($D36=3,$E36*$C36*$D36,""))</f>
        <v/>
      </c>
      <c r="X36" s="171" t="str">
        <f>IF($C36="","",IF($D36=4,$E36*$C36*$D36,""))</f>
        <v/>
      </c>
      <c r="Y36" s="171" t="str">
        <f>IF($C36="","",IF($D36=5,$E36*$C36*$D36,""))</f>
        <v/>
      </c>
    </row>
    <row r="37" spans="2:26" ht="16.2" thickBot="1" x14ac:dyDescent="0.3">
      <c r="B37" s="488"/>
      <c r="C37" s="177" t="str">
        <f>IF(T0登记表!G42="固定",T0登记表!B42,"")</f>
        <v/>
      </c>
      <c r="D37" s="177" t="str">
        <f>IF(C37="","",T0登记表!C42)</f>
        <v/>
      </c>
      <c r="E37" s="214" t="str">
        <f>IF(C37="","",T0登记表!D42)</f>
        <v/>
      </c>
      <c r="F37" s="213" t="str">
        <f>IF(C37="","",T0登记表!F42)</f>
        <v/>
      </c>
      <c r="G37" s="172"/>
      <c r="H37" s="221"/>
      <c r="I37" s="221"/>
      <c r="J37" s="171" t="str">
        <f>IF($C37="","",IF($D37&gt;=1,$E37*$C37,""))</f>
        <v/>
      </c>
      <c r="K37" s="171" t="str">
        <f>IF($C37="","",IF($D37&gt;=2,$E37*$C37,""))</f>
        <v/>
      </c>
      <c r="L37" s="171" t="str">
        <f>IF($C37="","",IF($D37&gt;=3,$E37*$C37,""))</f>
        <v/>
      </c>
      <c r="M37" s="171" t="str">
        <f>IF($C37="","",IF($D37&gt;=4,$E37*$C37,""))</f>
        <v/>
      </c>
      <c r="N37" s="171" t="str">
        <f>IF($C37="","",IF($D37&gt;=5,$E37*$C37,""))</f>
        <v/>
      </c>
      <c r="O37" s="172"/>
      <c r="Q37" s="172"/>
      <c r="R37" s="172"/>
      <c r="S37" s="172"/>
      <c r="T37" s="172"/>
      <c r="U37" s="171" t="str">
        <f>IF($C37="","",IF($D37=1,$E37*$C37*$D37,""))</f>
        <v/>
      </c>
      <c r="V37" s="171" t="str">
        <f>IF($C37="","",IF($D37=2,$E37*$C37*$D37,""))</f>
        <v/>
      </c>
      <c r="W37" s="171" t="str">
        <f>IF($C37="","",IF($D37=3,$E37*$C37*$D37,""))</f>
        <v/>
      </c>
      <c r="X37" s="171" t="str">
        <f>IF($C37="","",IF($D37=4,$E37*$C37*$D37,""))</f>
        <v/>
      </c>
      <c r="Y37" s="171" t="str">
        <f>IF($C37="","",IF($D37=5,$E37*$C37*$D37,""))</f>
        <v/>
      </c>
      <c r="Z37" s="207"/>
    </row>
    <row r="38" spans="2:26" ht="16.2" thickBot="1" x14ac:dyDescent="0.3">
      <c r="B38" s="488"/>
      <c r="C38" s="177" t="str">
        <f>IF(T0登记表!G43="固定",T0登记表!B43,"")</f>
        <v/>
      </c>
      <c r="D38" s="177" t="str">
        <f>IF(C38="","",T0登记表!C43)</f>
        <v/>
      </c>
      <c r="E38" s="214" t="str">
        <f>IF(C38="","",T0登记表!D43)</f>
        <v/>
      </c>
      <c r="F38" s="213" t="str">
        <f>IF(C38="","",T0登记表!F43)</f>
        <v/>
      </c>
      <c r="G38" s="172"/>
      <c r="H38" s="221"/>
      <c r="I38" s="221"/>
      <c r="J38" s="171" t="str">
        <f>IF($C38="","",IF($D38&gt;=1,$E38*$C38,""))</f>
        <v/>
      </c>
      <c r="K38" s="171" t="str">
        <f>IF($C38="","",IF($D38&gt;=2,$E38*$C38,""))</f>
        <v/>
      </c>
      <c r="L38" s="171" t="str">
        <f>IF($C38="","",IF($D38&gt;=3,$E38*$C38,""))</f>
        <v/>
      </c>
      <c r="M38" s="171" t="str">
        <f>IF($C38="","",IF($D38&gt;=4,$E38*$C38,""))</f>
        <v/>
      </c>
      <c r="N38" s="171" t="str">
        <f>IF($C38="","",IF($D38&gt;=5,$E38*$C38,""))</f>
        <v/>
      </c>
      <c r="O38" s="172"/>
      <c r="Q38" s="172"/>
      <c r="R38" s="172"/>
      <c r="S38" s="172"/>
      <c r="T38" s="172"/>
      <c r="U38" s="171" t="str">
        <f>IF($C38="","",IF($D38=1,$E38*$C38*$D38,""))</f>
        <v/>
      </c>
      <c r="V38" s="171" t="str">
        <f>IF($C38="","",IF($D38=2,$E38*$C38*$D38,""))</f>
        <v/>
      </c>
      <c r="W38" s="171" t="str">
        <f>IF($C38="","",IF($D38=3,$E38*$C38*$D38,""))</f>
        <v/>
      </c>
      <c r="X38" s="171" t="str">
        <f>IF($C38="","",IF($D38=4,$E38*$C38*$D38,""))</f>
        <v/>
      </c>
      <c r="Y38" s="171" t="str">
        <f>IF($C38="","",IF($D38=5,$E38*$C38*$D38,""))</f>
        <v/>
      </c>
    </row>
    <row r="39" spans="2:26" ht="16.2" thickBot="1" x14ac:dyDescent="0.3">
      <c r="B39" s="487"/>
      <c r="C39" s="177" t="str">
        <f>IF(T0登记表!G44="固定",T0登记表!B44,"")</f>
        <v/>
      </c>
      <c r="D39" s="177" t="str">
        <f>IF(C39="","",T0登记表!C44)</f>
        <v/>
      </c>
      <c r="E39" s="214" t="str">
        <f>IF(C39="","",T0登记表!D44)</f>
        <v/>
      </c>
      <c r="F39" s="213" t="str">
        <f>IF(C39="","",T0登记表!F44)</f>
        <v/>
      </c>
      <c r="G39" s="172"/>
      <c r="H39" s="221"/>
      <c r="I39" s="221"/>
      <c r="J39" s="171" t="str">
        <f>IF($C39="","",IF($D39&gt;=1,$E39*$C39,""))</f>
        <v/>
      </c>
      <c r="K39" s="171" t="str">
        <f>IF($C39="","",IF($D39&gt;=2,$E39*$C39,""))</f>
        <v/>
      </c>
      <c r="L39" s="171" t="str">
        <f>IF($C39="","",IF($D39&gt;=3,$E39*$C39,""))</f>
        <v/>
      </c>
      <c r="M39" s="171" t="str">
        <f>IF($C39="","",IF($D39&gt;=4,$E39*$C39,""))</f>
        <v/>
      </c>
      <c r="N39" s="171" t="str">
        <f>IF($C39="","",IF($D39&gt;=5,$E39*$C39,""))</f>
        <v/>
      </c>
      <c r="O39" s="172"/>
      <c r="Q39" s="172"/>
      <c r="R39" s="172"/>
      <c r="S39" s="172"/>
      <c r="T39" s="172"/>
      <c r="U39" s="171" t="str">
        <f>IF($C39="","",IF($D39=1,$E39*$C39*$D39,""))</f>
        <v/>
      </c>
      <c r="V39" s="171" t="str">
        <f>IF($C39="","",IF($D39=2,$E39*$C39*$D39,""))</f>
        <v/>
      </c>
      <c r="W39" s="171" t="str">
        <f>IF($C39="","",IF($D39=3,$E39*$C39*$D39,""))</f>
        <v/>
      </c>
      <c r="X39" s="171" t="str">
        <f>IF($C39="","",IF($D39=4,$E39*$C39*$D39,""))</f>
        <v/>
      </c>
      <c r="Y39" s="171" t="str">
        <f>IF($C39="","",IF($D39=5,$E39*$C39*$D39,""))</f>
        <v/>
      </c>
    </row>
    <row r="40" spans="2:26" ht="17.25" customHeight="1" thickBot="1" x14ac:dyDescent="0.3">
      <c r="B40" s="489"/>
      <c r="C40" s="490"/>
      <c r="D40" s="490"/>
      <c r="E40" s="490"/>
      <c r="F40" s="491"/>
      <c r="G40" s="187"/>
      <c r="H40" s="194"/>
      <c r="I40" s="492" t="s">
        <v>160</v>
      </c>
      <c r="J40" s="493"/>
      <c r="K40" s="182">
        <f>IF(T0登记表!$N$10="","",T0登记表!$N$10)</f>
        <v>-0.01</v>
      </c>
      <c r="L40" s="182">
        <f>IF(T0登记表!$N$11="","",T0登记表!$N$11)</f>
        <v>-0.01</v>
      </c>
      <c r="M40" s="182">
        <f>IF(T0登记表!$N$12="","",T0登记表!$N$12)</f>
        <v>0</v>
      </c>
      <c r="N40" s="182">
        <f>IF(T0登记表!$N$13="","",T0登记表!$N$13)</f>
        <v>0</v>
      </c>
      <c r="O40" s="172"/>
      <c r="Q40" s="494" t="s">
        <v>99</v>
      </c>
      <c r="R40" s="495"/>
      <c r="S40" s="495"/>
      <c r="T40" s="495"/>
      <c r="U40" s="496"/>
      <c r="V40" s="182">
        <f>IF(T0登记表!$N$11="","",T0登记表!$N$11)</f>
        <v>-0.01</v>
      </c>
      <c r="W40" s="182">
        <f>IF(T0登记表!$N$12="","",T0登记表!$N$12)</f>
        <v>0</v>
      </c>
      <c r="X40" s="182">
        <f>IF(T0登记表!$N$13="","",T0登记表!$N$13)</f>
        <v>0</v>
      </c>
      <c r="Y40" s="182" t="str">
        <f>IF(T0登记表!$N$14="","",T0登记表!$N$14)</f>
        <v/>
      </c>
    </row>
    <row r="41" spans="2:26" ht="16.2" thickBot="1" x14ac:dyDescent="0.3">
      <c r="B41" s="486" t="s">
        <v>112</v>
      </c>
      <c r="C41" s="176" t="str">
        <f>IF(T0登记表!G41="浮动",T0登记表!B41,"")</f>
        <v/>
      </c>
      <c r="D41" s="177" t="str">
        <f>IF(C41="","",T0登记表!C41)</f>
        <v/>
      </c>
      <c r="E41" s="214" t="str">
        <f>IF(C41="","",T0登记表!D41)</f>
        <v/>
      </c>
      <c r="F41" s="213" t="str">
        <f>IF(C41="","",T0登记表!F41)</f>
        <v/>
      </c>
      <c r="G41" s="172"/>
      <c r="H41" s="172"/>
      <c r="I41" s="172"/>
      <c r="J41" s="171" t="str">
        <f>IF($C41="","",IF($D41&gt;=1,$E41*$C41,""))</f>
        <v/>
      </c>
      <c r="K41" s="171" t="str">
        <f>IF($K$40="","",IF($C41="","",IF($D41&gt;=2,($K$9+$E41)*$C41,"")))</f>
        <v/>
      </c>
      <c r="L41" s="171" t="str">
        <f>IF($L$40="","",IF($C41="","",IF($D41&gt;=3,(SUM($K$40:L$40)+$E41)*$C41,"")))</f>
        <v/>
      </c>
      <c r="M41" s="171" t="str">
        <f>IF($M$40="","",IF($C41="","",IF($D41&gt;=4,(SUM($K$40:M$40)+$E41)*$C41,"")))</f>
        <v/>
      </c>
      <c r="N41" s="171" t="str">
        <f>IF($N$40="","",IF($C41="","",IF($D41&gt;=5,(SUM($K$40:N$40)+$E41)*$C41,"")))</f>
        <v/>
      </c>
      <c r="O41" s="172"/>
      <c r="Q41" s="172"/>
      <c r="R41" s="172"/>
      <c r="S41" s="172"/>
      <c r="T41" s="172"/>
      <c r="U41" s="171" t="str">
        <f t="shared" ref="U41:Y44" si="3">J41</f>
        <v/>
      </c>
      <c r="V41" s="171" t="str">
        <f t="shared" si="3"/>
        <v/>
      </c>
      <c r="W41" s="171" t="str">
        <f t="shared" si="3"/>
        <v/>
      </c>
      <c r="X41" s="171" t="str">
        <f t="shared" si="3"/>
        <v/>
      </c>
      <c r="Y41" s="171" t="str">
        <f t="shared" si="3"/>
        <v/>
      </c>
    </row>
    <row r="42" spans="2:26" ht="16.2" thickBot="1" x14ac:dyDescent="0.3">
      <c r="B42" s="488"/>
      <c r="C42" s="176" t="str">
        <f>IF(T0登记表!G42="浮动",T0登记表!B42,"")</f>
        <v/>
      </c>
      <c r="D42" s="177" t="str">
        <f>IF(C42="","",T0登记表!C42)</f>
        <v/>
      </c>
      <c r="E42" s="214" t="str">
        <f>IF(C42="","",T0登记表!D42)</f>
        <v/>
      </c>
      <c r="F42" s="213" t="str">
        <f>IF(C42="","",T0登记表!F42)</f>
        <v/>
      </c>
      <c r="G42" s="172"/>
      <c r="H42" s="219"/>
      <c r="I42" s="219"/>
      <c r="J42" s="171" t="str">
        <f>IF($C42="","",IF($D42&gt;=1,$E42*$C42,""))</f>
        <v/>
      </c>
      <c r="K42" s="171" t="str">
        <f>IF($K$40="","",IF($C42="","",IF($D42&gt;=2,($K$9+$E42)*$C42,"")))</f>
        <v/>
      </c>
      <c r="L42" s="171" t="str">
        <f>IF($L$40="","",IF($C42="","",IF($D42&gt;=3,(SUM($K$40:L$40)+$E42)*$C42,"")))</f>
        <v/>
      </c>
      <c r="M42" s="171" t="str">
        <f>IF($M$40="","",IF($C42="","",IF($D42&gt;=4,(SUM($K$40:M$40)+$E42)*$C42,"")))</f>
        <v/>
      </c>
      <c r="N42" s="171" t="str">
        <f>IF($N$40="","",IF($C42="","",IF($D42&gt;=5,(SUM($K$40:N$40)+$E42)*$C42,"")))</f>
        <v/>
      </c>
      <c r="O42" s="172"/>
      <c r="Q42" s="172"/>
      <c r="R42" s="172"/>
      <c r="S42" s="172"/>
      <c r="T42" s="172"/>
      <c r="U42" s="171" t="str">
        <f t="shared" si="3"/>
        <v/>
      </c>
      <c r="V42" s="171" t="str">
        <f t="shared" si="3"/>
        <v/>
      </c>
      <c r="W42" s="171" t="str">
        <f t="shared" si="3"/>
        <v/>
      </c>
      <c r="X42" s="171" t="str">
        <f t="shared" si="3"/>
        <v/>
      </c>
      <c r="Y42" s="171" t="str">
        <f t="shared" si="3"/>
        <v/>
      </c>
    </row>
    <row r="43" spans="2:26" ht="16.2" thickBot="1" x14ac:dyDescent="0.3">
      <c r="B43" s="488"/>
      <c r="C43" s="176" t="str">
        <f>IF(T0登记表!G43="浮动",T0登记表!B43,"")</f>
        <v/>
      </c>
      <c r="D43" s="177" t="str">
        <f>IF(C43="","",T0登记表!C43)</f>
        <v/>
      </c>
      <c r="E43" s="214" t="str">
        <f>IF(C43="","",T0登记表!D43)</f>
        <v/>
      </c>
      <c r="F43" s="213" t="str">
        <f>IF(C43="","",T0登记表!F43)</f>
        <v/>
      </c>
      <c r="G43" s="172"/>
      <c r="H43" s="221"/>
      <c r="I43" s="221"/>
      <c r="J43" s="171" t="str">
        <f>IF($C43="","",IF($D43&gt;=1,$E43*$C43,""))</f>
        <v/>
      </c>
      <c r="K43" s="171" t="str">
        <f>IF($K$40="","",IF($C43="","",IF($D43&gt;=2,($K$9+$E43)*$C43,"")))</f>
        <v/>
      </c>
      <c r="L43" s="171" t="str">
        <f>IF($L$40="","",IF($C43="","",IF($D43&gt;=3,(SUM($K$40:L$40)+$E43)*$C43,"")))</f>
        <v/>
      </c>
      <c r="M43" s="171" t="str">
        <f>IF($M$40="","",IF($C43="","",IF($D43&gt;=4,(SUM($K$40:M$40)+$E43)*$C43,"")))</f>
        <v/>
      </c>
      <c r="N43" s="171" t="str">
        <f>IF($N$40="","",IF($C43="","",IF($D43&gt;=5,(SUM($K$40:N$40)+$E43)*$C43,"")))</f>
        <v/>
      </c>
      <c r="O43" s="172"/>
      <c r="Q43" s="172"/>
      <c r="R43" s="172"/>
      <c r="S43" s="172"/>
      <c r="T43" s="172"/>
      <c r="U43" s="171" t="str">
        <f t="shared" si="3"/>
        <v/>
      </c>
      <c r="V43" s="171" t="str">
        <f t="shared" si="3"/>
        <v/>
      </c>
      <c r="W43" s="171" t="str">
        <f t="shared" si="3"/>
        <v/>
      </c>
      <c r="X43" s="171" t="str">
        <f t="shared" si="3"/>
        <v/>
      </c>
      <c r="Y43" s="171" t="str">
        <f t="shared" si="3"/>
        <v/>
      </c>
    </row>
    <row r="44" spans="2:26" ht="16.2" thickBot="1" x14ac:dyDescent="0.3">
      <c r="B44" s="487"/>
      <c r="C44" s="176" t="str">
        <f>IF(T0登记表!G44="浮动",T0登记表!B44,"")</f>
        <v/>
      </c>
      <c r="D44" s="177" t="str">
        <f>IF(C44="","",T0登记表!C44)</f>
        <v/>
      </c>
      <c r="E44" s="214" t="str">
        <f>IF(C44="","",T0登记表!D44)</f>
        <v/>
      </c>
      <c r="F44" s="213" t="str">
        <f>IF(C44="","",T0登记表!F44)</f>
        <v/>
      </c>
      <c r="G44" s="172"/>
      <c r="H44" s="221"/>
      <c r="I44" s="221"/>
      <c r="J44" s="171" t="str">
        <f>IF($C44="","",IF($D44&gt;=1,$E44*$C44,""))</f>
        <v/>
      </c>
      <c r="K44" s="171" t="str">
        <f>IF($K$40="","",IF($C44="","",IF($D44&gt;=2,($K$9+$E44)*$C44,"")))</f>
        <v/>
      </c>
      <c r="L44" s="171" t="str">
        <f>IF($L$40="","",IF($C44="","",IF($D44&gt;=3,(SUM($K$40:L$40)+$E44)*$C44,"")))</f>
        <v/>
      </c>
      <c r="M44" s="171" t="str">
        <f>IF($M$40="","",IF($C44="","",IF($D44&gt;=4,(SUM($K$40:M$40)+$E44)*$C44,"")))</f>
        <v/>
      </c>
      <c r="N44" s="171" t="str">
        <f>IF($N$40="","",IF($C44="","",IF($D44&gt;=5,(SUM($K$40:N$40)+$E44)*$C44,"")))</f>
        <v/>
      </c>
      <c r="O44" s="172"/>
      <c r="Q44" s="172"/>
      <c r="R44" s="172"/>
      <c r="S44" s="172"/>
      <c r="T44" s="172"/>
      <c r="U44" s="171" t="str">
        <f t="shared" si="3"/>
        <v/>
      </c>
      <c r="V44" s="171" t="str">
        <f t="shared" si="3"/>
        <v/>
      </c>
      <c r="W44" s="171" t="str">
        <f t="shared" si="3"/>
        <v/>
      </c>
      <c r="X44" s="171" t="str">
        <f t="shared" si="3"/>
        <v/>
      </c>
      <c r="Y44" s="171" t="str">
        <f t="shared" si="3"/>
        <v/>
      </c>
    </row>
    <row r="45" spans="2:26" s="207" customFormat="1" ht="16.8" thickBot="1" x14ac:dyDescent="0.3">
      <c r="B45" s="206" t="s">
        <v>113</v>
      </c>
      <c r="E45" s="225"/>
      <c r="Z45" s="66"/>
    </row>
    <row r="46" spans="2:26" ht="16.2" thickBot="1" x14ac:dyDescent="0.3">
      <c r="B46" s="213" t="s">
        <v>109</v>
      </c>
      <c r="C46" s="176" t="s">
        <v>55</v>
      </c>
      <c r="D46" s="177" t="s">
        <v>56</v>
      </c>
      <c r="E46" s="214" t="s">
        <v>87</v>
      </c>
      <c r="F46" s="213" t="s">
        <v>88</v>
      </c>
      <c r="G46" s="172" t="s">
        <v>89</v>
      </c>
      <c r="H46" s="172" t="s">
        <v>102</v>
      </c>
      <c r="I46" s="172" t="s">
        <v>359</v>
      </c>
      <c r="J46" s="172" t="s">
        <v>360</v>
      </c>
      <c r="K46" s="171" t="s">
        <v>93</v>
      </c>
      <c r="L46" s="171" t="s">
        <v>94</v>
      </c>
      <c r="M46" s="171" t="s">
        <v>105</v>
      </c>
      <c r="N46" s="171" t="s">
        <v>106</v>
      </c>
      <c r="O46" s="196" t="s">
        <v>114</v>
      </c>
      <c r="Q46" s="172" t="s">
        <v>89</v>
      </c>
      <c r="R46" s="172" t="s">
        <v>102</v>
      </c>
      <c r="S46" s="172" t="s">
        <v>104</v>
      </c>
      <c r="T46" s="172" t="s">
        <v>360</v>
      </c>
      <c r="U46" s="172" t="s">
        <v>361</v>
      </c>
      <c r="V46" s="171" t="s">
        <v>94</v>
      </c>
      <c r="W46" s="171" t="s">
        <v>105</v>
      </c>
      <c r="X46" s="171" t="s">
        <v>106</v>
      </c>
      <c r="Y46" s="196" t="s">
        <v>97</v>
      </c>
    </row>
    <row r="47" spans="2:26" ht="16.2" thickBot="1" x14ac:dyDescent="0.3">
      <c r="B47" s="486" t="s">
        <v>115</v>
      </c>
      <c r="C47" s="177" t="str">
        <f>IF(T0登记表!G47="固定",T0登记表!B47,"")</f>
        <v/>
      </c>
      <c r="D47" s="177" t="str">
        <f>IF(C47="","",T0登记表!C47)</f>
        <v/>
      </c>
      <c r="E47" s="214" t="str">
        <f>IF(C47="","",T0登记表!D47)</f>
        <v/>
      </c>
      <c r="F47" s="213" t="str">
        <f>IF(C47="","",T0登记表!F47)</f>
        <v/>
      </c>
      <c r="G47" s="172"/>
      <c r="H47" s="219"/>
      <c r="I47" s="219"/>
      <c r="J47" s="219"/>
      <c r="K47" s="171" t="str">
        <f>IF($C47="","",IF($D47&gt;=1,$E47*$C47,""))</f>
        <v/>
      </c>
      <c r="L47" s="171" t="str">
        <f>IF($C47="","",IF($D47&gt;=2,$E47*$C47,""))</f>
        <v/>
      </c>
      <c r="M47" s="171" t="str">
        <f>IF($C47="","",IF($D47&gt;=3,$E47*$C47,""))</f>
        <v/>
      </c>
      <c r="N47" s="171" t="str">
        <f>IF($C47="","",IF($D47&gt;=4,$E47*$C47,""))</f>
        <v/>
      </c>
      <c r="O47" s="171" t="str">
        <f>IF($C47="","",IF($D47&gt;=5,$E47*$C47,""))</f>
        <v/>
      </c>
      <c r="Q47" s="172"/>
      <c r="R47" s="172"/>
      <c r="S47" s="172"/>
      <c r="T47" s="172"/>
      <c r="U47" s="172"/>
      <c r="V47" s="171" t="str">
        <f>IF($C47="","",IF($D47=1,$E47*$C47*$D47,""))</f>
        <v/>
      </c>
      <c r="W47" s="171" t="str">
        <f>IF($C47="","",IF($D47=2,$E47*$C47*$D47,""))</f>
        <v/>
      </c>
      <c r="X47" s="171" t="str">
        <f>IF($C47="","",IF($D47=3,$E47*$C47*$D47,""))</f>
        <v/>
      </c>
      <c r="Y47" s="171" t="str">
        <f>IF($C47="","",IF($D47=4,$E47*$C47*$D47,""))</f>
        <v/>
      </c>
    </row>
    <row r="48" spans="2:26" ht="16.2" thickBot="1" x14ac:dyDescent="0.3">
      <c r="B48" s="488"/>
      <c r="C48" s="177" t="str">
        <f>IF(T0登记表!G48="固定",T0登记表!B48,"")</f>
        <v/>
      </c>
      <c r="D48" s="177" t="str">
        <f>IF(C48="","",T0登记表!C48)</f>
        <v/>
      </c>
      <c r="E48" s="214" t="str">
        <f>IF(C48="","",T0登记表!D48)</f>
        <v/>
      </c>
      <c r="F48" s="213" t="str">
        <f>IF(C48="","",T0登记表!F48)</f>
        <v/>
      </c>
      <c r="G48" s="172"/>
      <c r="H48" s="221"/>
      <c r="I48" s="221"/>
      <c r="J48" s="219"/>
      <c r="K48" s="171" t="str">
        <f>IF($C48="","",IF($D48&gt;=1,$E48*$C48,""))</f>
        <v/>
      </c>
      <c r="L48" s="171" t="str">
        <f>IF($C48="","",IF($D48&gt;=2,$E48*$C48,""))</f>
        <v/>
      </c>
      <c r="M48" s="171" t="str">
        <f>IF($C48="","",IF($D48&gt;=3,$E48*$C48,""))</f>
        <v/>
      </c>
      <c r="N48" s="171" t="str">
        <f>IF($C48="","",IF($D48&gt;=4,$E48*$C48,""))</f>
        <v/>
      </c>
      <c r="O48" s="171" t="str">
        <f>IF($C48="","",IF($D48&gt;=5,$E48*$C48,""))</f>
        <v/>
      </c>
      <c r="Q48" s="172"/>
      <c r="R48" s="172"/>
      <c r="S48" s="172"/>
      <c r="T48" s="172"/>
      <c r="U48" s="172"/>
      <c r="V48" s="171" t="str">
        <f>IF($C48="","",IF($D48=1,$E48*$C48*$D48,""))</f>
        <v/>
      </c>
      <c r="W48" s="171" t="str">
        <f>IF($C48="","",IF($D48=2,$E48*$C48*$D48,""))</f>
        <v/>
      </c>
      <c r="X48" s="171" t="str">
        <f>IF($C48="","",IF($D48=3,$E48*$C48*$D48,""))</f>
        <v/>
      </c>
      <c r="Y48" s="171" t="str">
        <f>IF($C48="","",IF($D48=4,$E48*$C48*$D48,""))</f>
        <v/>
      </c>
    </row>
    <row r="49" spans="2:26" ht="16.2" thickBot="1" x14ac:dyDescent="0.3">
      <c r="B49" s="488"/>
      <c r="C49" s="177" t="str">
        <f>IF(T0登记表!G49="固定",T0登记表!B49,"")</f>
        <v/>
      </c>
      <c r="D49" s="177" t="str">
        <f>IF(C49="","",T0登记表!C49)</f>
        <v/>
      </c>
      <c r="E49" s="214" t="str">
        <f>IF(C49="","",T0登记表!D49)</f>
        <v/>
      </c>
      <c r="F49" s="213" t="str">
        <f>IF(C49="","",T0登记表!F49)</f>
        <v/>
      </c>
      <c r="G49" s="172"/>
      <c r="H49" s="221"/>
      <c r="I49" s="221"/>
      <c r="J49" s="219"/>
      <c r="K49" s="171" t="str">
        <f>IF($C49="","",IF($D49&gt;=1,$E49*$C49,""))</f>
        <v/>
      </c>
      <c r="L49" s="171" t="str">
        <f>IF($C49="","",IF($D49&gt;=2,$E49*$C49,""))</f>
        <v/>
      </c>
      <c r="M49" s="171" t="str">
        <f>IF($C49="","",IF($D49&gt;=3,$E49*$C49,""))</f>
        <v/>
      </c>
      <c r="N49" s="171" t="str">
        <f>IF($C49="","",IF($D49&gt;=4,$E49*$C49,""))</f>
        <v/>
      </c>
      <c r="O49" s="171" t="str">
        <f>IF($C49="","",IF($D49&gt;=5,$E49*$C49,""))</f>
        <v/>
      </c>
      <c r="Q49" s="172"/>
      <c r="R49" s="172"/>
      <c r="S49" s="172"/>
      <c r="T49" s="172"/>
      <c r="U49" s="172"/>
      <c r="V49" s="171" t="str">
        <f>IF($C49="","",IF($D49=1,$E49*$C49*$D49,""))</f>
        <v/>
      </c>
      <c r="W49" s="171" t="str">
        <f>IF($C49="","",IF($D49=2,$E49*$C49*$D49,""))</f>
        <v/>
      </c>
      <c r="X49" s="171" t="str">
        <f>IF($C49="","",IF($D49=3,$E49*$C49*$D49,""))</f>
        <v/>
      </c>
      <c r="Y49" s="171" t="str">
        <f>IF($C49="","",IF($D49=4,$E49*$C49*$D49,""))</f>
        <v/>
      </c>
      <c r="Z49" s="207"/>
    </row>
    <row r="50" spans="2:26" ht="16.2" thickBot="1" x14ac:dyDescent="0.3">
      <c r="B50" s="487"/>
      <c r="C50" s="177" t="str">
        <f>IF(T0登记表!G50="固定",T0登记表!B50,"")</f>
        <v/>
      </c>
      <c r="D50" s="177" t="str">
        <f>IF(C50="","",T0登记表!C50)</f>
        <v/>
      </c>
      <c r="E50" s="214" t="str">
        <f>IF(C50="","",T0登记表!D50)</f>
        <v/>
      </c>
      <c r="F50" s="213" t="str">
        <f>IF(C50="","",T0登记表!F50)</f>
        <v/>
      </c>
      <c r="G50" s="172"/>
      <c r="H50" s="221"/>
      <c r="I50" s="221"/>
      <c r="J50" s="219"/>
      <c r="K50" s="171" t="str">
        <f>IF($C50="","",IF($D50&gt;=1,$E50*$C50,""))</f>
        <v/>
      </c>
      <c r="L50" s="171" t="str">
        <f>IF($C50="","",IF($D50&gt;=2,$E50*$C50,""))</f>
        <v/>
      </c>
      <c r="M50" s="171" t="str">
        <f>IF($C50="","",IF($D50&gt;=3,$E50*$C50,""))</f>
        <v/>
      </c>
      <c r="N50" s="171" t="str">
        <f>IF($C50="","",IF($D50&gt;=4,$E50*$C50,""))</f>
        <v/>
      </c>
      <c r="O50" s="171" t="str">
        <f>IF($C50="","",IF($D50&gt;=5,$E50*$C50,""))</f>
        <v/>
      </c>
      <c r="Q50" s="172"/>
      <c r="R50" s="172"/>
      <c r="S50" s="172"/>
      <c r="T50" s="172"/>
      <c r="U50" s="172"/>
      <c r="V50" s="171" t="str">
        <f>IF($C50="","",IF($D50=1,$E50*$C50*$D50,""))</f>
        <v/>
      </c>
      <c r="W50" s="171" t="str">
        <f>IF($C50="","",IF($D50=2,$E50*$C50*$D50,""))</f>
        <v/>
      </c>
      <c r="X50" s="171" t="str">
        <f>IF($C50="","",IF($D50=3,$E50*$C50*$D50,""))</f>
        <v/>
      </c>
      <c r="Y50" s="171" t="str">
        <f>IF($C50="","",IF($D50=4,$E50*$C50*$D50,""))</f>
        <v/>
      </c>
    </row>
    <row r="51" spans="2:26" ht="17.25" customHeight="1" thickBot="1" x14ac:dyDescent="0.3">
      <c r="B51" s="489"/>
      <c r="C51" s="490"/>
      <c r="D51" s="490"/>
      <c r="E51" s="490"/>
      <c r="F51" s="491"/>
      <c r="G51" s="500" t="s">
        <v>160</v>
      </c>
      <c r="H51" s="501"/>
      <c r="I51" s="501"/>
      <c r="J51" s="501"/>
      <c r="K51" s="502"/>
      <c r="L51" s="182">
        <f>IF(T0登记表!$N$11="","",T0登记表!$N$11)</f>
        <v>-0.01</v>
      </c>
      <c r="M51" s="182">
        <f>IF(T0登记表!$N$12="","",T0登记表!$N$12)</f>
        <v>0</v>
      </c>
      <c r="N51" s="182">
        <f>IF(T0登记表!$N$13="","",T0登记表!$N$13)</f>
        <v>0</v>
      </c>
      <c r="O51" s="182" t="str">
        <f>IF(T0登记表!$N$14="","",T0登记表!$N$14)</f>
        <v/>
      </c>
      <c r="Q51" s="494" t="s">
        <v>99</v>
      </c>
      <c r="R51" s="495"/>
      <c r="S51" s="495"/>
      <c r="T51" s="495"/>
      <c r="U51" s="495"/>
      <c r="V51" s="496"/>
      <c r="W51" s="182">
        <f>IF(T0登记表!$N$12="","",T0登记表!$N$12)</f>
        <v>0</v>
      </c>
      <c r="X51" s="182">
        <f>IF(T0登记表!$N$13="","",T0登记表!$N$13)</f>
        <v>0</v>
      </c>
      <c r="Y51" s="182" t="str">
        <f>IF(T0登记表!$N$14="","",T0登记表!$N$14)</f>
        <v/>
      </c>
    </row>
    <row r="52" spans="2:26" ht="16.2" thickBot="1" x14ac:dyDescent="0.3">
      <c r="B52" s="486" t="s">
        <v>116</v>
      </c>
      <c r="C52" s="176" t="str">
        <f>IF(T0登记表!G47="浮动",T0登记表!B47,"")</f>
        <v/>
      </c>
      <c r="D52" s="177" t="str">
        <f>IF(C52="","",T0登记表!C47)</f>
        <v/>
      </c>
      <c r="E52" s="214" t="str">
        <f>IF(C52="","",T0登记表!D47)</f>
        <v/>
      </c>
      <c r="F52" s="213" t="str">
        <f>IF(C52="","",T0登记表!F47)</f>
        <v/>
      </c>
      <c r="G52" s="172"/>
      <c r="H52" s="172"/>
      <c r="I52" s="172"/>
      <c r="J52" s="172"/>
      <c r="K52" s="171" t="str">
        <f>IF($C52="","",IF($D52&gt;=1,$E52*$C52,""))</f>
        <v/>
      </c>
      <c r="L52" s="171" t="str">
        <f>IF($L$51="","",IF($C52="","",IF($D52&gt;=2,($L$51+$E52)*$C52,"")))</f>
        <v/>
      </c>
      <c r="M52" s="171" t="str">
        <f>IF($M$51="","",IF($C52="","",IF($D52&gt;=3,(SUM($L$51:M$51)+$E52)*$C52,"")))</f>
        <v/>
      </c>
      <c r="N52" s="171" t="str">
        <f>IF($N$51="","",IF($C52="","",IF($D52&gt;=4,(SUM($L$51:N$51)+$E52)*$C52,"")))</f>
        <v/>
      </c>
      <c r="O52" s="171" t="str">
        <f>IF($O$51="","",IF($C52="","",IF($D52&gt;=5,(SUM($L$51:O$51)+$E52)*$C52,"")))</f>
        <v/>
      </c>
      <c r="Q52" s="172"/>
      <c r="R52" s="172"/>
      <c r="S52" s="172"/>
      <c r="T52" s="172"/>
      <c r="U52" s="172"/>
      <c r="V52" s="171" t="str">
        <f t="shared" ref="V52:Y55" si="4">K52</f>
        <v/>
      </c>
      <c r="W52" s="171" t="str">
        <f t="shared" si="4"/>
        <v/>
      </c>
      <c r="X52" s="171" t="str">
        <f t="shared" si="4"/>
        <v/>
      </c>
      <c r="Y52" s="171" t="str">
        <f t="shared" si="4"/>
        <v/>
      </c>
    </row>
    <row r="53" spans="2:26" ht="16.2" thickBot="1" x14ac:dyDescent="0.3">
      <c r="B53" s="488"/>
      <c r="C53" s="176" t="str">
        <f>IF(T0登记表!G48="浮动",T0登记表!B48,"")</f>
        <v/>
      </c>
      <c r="D53" s="177" t="str">
        <f>IF(C53="","",T0登记表!C48)</f>
        <v/>
      </c>
      <c r="E53" s="214" t="str">
        <f>IF(C53="","",T0登记表!D48)</f>
        <v/>
      </c>
      <c r="F53" s="213" t="str">
        <f>IF(C53="","",T0登记表!F48)</f>
        <v/>
      </c>
      <c r="G53" s="172"/>
      <c r="H53" s="219"/>
      <c r="I53" s="219"/>
      <c r="J53" s="219"/>
      <c r="K53" s="171" t="str">
        <f>IF($C53="","",IF($D53&gt;=1,$E53*$C53,""))</f>
        <v/>
      </c>
      <c r="L53" s="171" t="str">
        <f>IF($L$51="","",IF($C53="","",IF($D53&gt;=2,($L$51+$E53)*$C53,"")))</f>
        <v/>
      </c>
      <c r="M53" s="171" t="str">
        <f>IF($M$51="","",IF($C53="","",IF($D53&gt;=3,(SUM($L$51:M$51)+$E53)*$C53,"")))</f>
        <v/>
      </c>
      <c r="N53" s="171" t="str">
        <f>IF($N$51="","",IF($C53="","",IF($D53&gt;=4,(SUM($L$51:N$51)+$E53)*$C53,"")))</f>
        <v/>
      </c>
      <c r="O53" s="171" t="str">
        <f>IF($O$51="","",IF($C53="","",IF($D53&gt;=5,(SUM($L$51:O$51)+$E53)*$C53,"")))</f>
        <v/>
      </c>
      <c r="Q53" s="172"/>
      <c r="R53" s="172"/>
      <c r="S53" s="172"/>
      <c r="T53" s="172"/>
      <c r="U53" s="172"/>
      <c r="V53" s="171" t="str">
        <f t="shared" si="4"/>
        <v/>
      </c>
      <c r="W53" s="171" t="str">
        <f t="shared" si="4"/>
        <v/>
      </c>
      <c r="X53" s="171" t="str">
        <f t="shared" si="4"/>
        <v/>
      </c>
      <c r="Y53" s="171" t="str">
        <f t="shared" si="4"/>
        <v/>
      </c>
    </row>
    <row r="54" spans="2:26" ht="16.2" thickBot="1" x14ac:dyDescent="0.3">
      <c r="B54" s="488"/>
      <c r="C54" s="176" t="str">
        <f>IF(T0登记表!G49="浮动",T0登记表!B49,"")</f>
        <v/>
      </c>
      <c r="D54" s="177" t="str">
        <f>IF(C54="","",T0登记表!C49)</f>
        <v/>
      </c>
      <c r="E54" s="214" t="str">
        <f>IF(C54="","",T0登记表!D49)</f>
        <v/>
      </c>
      <c r="F54" s="213" t="str">
        <f>IF(C54="","",T0登记表!F49)</f>
        <v/>
      </c>
      <c r="G54" s="172"/>
      <c r="H54" s="221"/>
      <c r="I54" s="221"/>
      <c r="J54" s="219"/>
      <c r="K54" s="171" t="str">
        <f>IF($C54="","",IF($D54&gt;=1,$E54*$C54,""))</f>
        <v/>
      </c>
      <c r="L54" s="171" t="str">
        <f>IF($L$51="","",IF($C54="","",IF($D54&gt;=2,($L$51+$E54)*$C54,"")))</f>
        <v/>
      </c>
      <c r="M54" s="171" t="str">
        <f>IF($M$51="","",IF($C54="","",IF($D54&gt;=3,(SUM($L$51:M$51)+$E54)*$C54,"")))</f>
        <v/>
      </c>
      <c r="N54" s="171" t="str">
        <f>IF($N$51="","",IF($C54="","",IF($D54&gt;=4,(SUM($L$51:N$51)+$E54)*$C54,"")))</f>
        <v/>
      </c>
      <c r="O54" s="171" t="str">
        <f>IF($O$51="","",IF($C54="","",IF($D54&gt;=5,(SUM($L$51:O$51)+$E54)*$C54,"")))</f>
        <v/>
      </c>
      <c r="Q54" s="172"/>
      <c r="R54" s="172"/>
      <c r="S54" s="172"/>
      <c r="T54" s="172"/>
      <c r="U54" s="172"/>
      <c r="V54" s="171" t="str">
        <f t="shared" si="4"/>
        <v/>
      </c>
      <c r="W54" s="171" t="str">
        <f t="shared" si="4"/>
        <v/>
      </c>
      <c r="X54" s="171" t="str">
        <f t="shared" si="4"/>
        <v/>
      </c>
      <c r="Y54" s="171" t="str">
        <f t="shared" si="4"/>
        <v/>
      </c>
    </row>
    <row r="55" spans="2:26" ht="16.2" thickBot="1" x14ac:dyDescent="0.3">
      <c r="B55" s="487"/>
      <c r="C55" s="176" t="str">
        <f>IF(T0登记表!G50="浮动",T0登记表!B50,"")</f>
        <v/>
      </c>
      <c r="D55" s="177" t="str">
        <f>IF(C55="","",T0登记表!C50)</f>
        <v/>
      </c>
      <c r="E55" s="214" t="str">
        <f>IF(C55="","",T0登记表!D50)</f>
        <v/>
      </c>
      <c r="F55" s="213" t="str">
        <f>IF(C55="","",T0登记表!F50)</f>
        <v/>
      </c>
      <c r="G55" s="172"/>
      <c r="H55" s="221"/>
      <c r="I55" s="221"/>
      <c r="J55" s="219"/>
      <c r="K55" s="171" t="str">
        <f>IF($C55="","",IF($D55&gt;=1,$E55*$C55,""))</f>
        <v/>
      </c>
      <c r="L55" s="171" t="str">
        <f>IF($L$51="","",IF($C55="","",IF($D55&gt;=2,($L$51+$E55)*$C55,"")))</f>
        <v/>
      </c>
      <c r="M55" s="171" t="str">
        <f>IF($M$51="","",IF($C55="","",IF($D55&gt;=3,(SUM($L$51:M$51)+$E55)*$C55,"")))</f>
        <v/>
      </c>
      <c r="N55" s="171" t="str">
        <f>IF($N$51="","",IF($C55="","",IF($D55&gt;=4,(SUM($L$51:N$51)+$E55)*$C55,"")))</f>
        <v/>
      </c>
      <c r="O55" s="171" t="str">
        <f>IF($O$51="","",IF($C55="","",IF($D55&gt;=5,(SUM($L$51:O$51)+$E55)*$C55,"")))</f>
        <v/>
      </c>
      <c r="Q55" s="172"/>
      <c r="R55" s="172"/>
      <c r="S55" s="172"/>
      <c r="T55" s="172"/>
      <c r="U55" s="172"/>
      <c r="V55" s="171" t="str">
        <f t="shared" si="4"/>
        <v/>
      </c>
      <c r="W55" s="171" t="str">
        <f t="shared" si="4"/>
        <v/>
      </c>
      <c r="X55" s="171" t="str">
        <f t="shared" si="4"/>
        <v/>
      </c>
      <c r="Y55" s="171" t="str">
        <f t="shared" si="4"/>
        <v/>
      </c>
    </row>
    <row r="56" spans="2:26" s="207" customFormat="1" ht="16.8" thickBot="1" x14ac:dyDescent="0.3">
      <c r="B56" s="206" t="s">
        <v>353</v>
      </c>
      <c r="E56" s="225"/>
      <c r="Z56" s="66"/>
    </row>
    <row r="57" spans="2:26" ht="16.2" thickBot="1" x14ac:dyDescent="0.3">
      <c r="B57" s="213" t="s">
        <v>117</v>
      </c>
      <c r="C57" s="176" t="s">
        <v>55</v>
      </c>
      <c r="D57" s="177" t="s">
        <v>56</v>
      </c>
      <c r="E57" s="214" t="s">
        <v>118</v>
      </c>
      <c r="F57" s="213" t="s">
        <v>119</v>
      </c>
      <c r="G57" s="172" t="s">
        <v>89</v>
      </c>
      <c r="H57" s="172" t="s">
        <v>102</v>
      </c>
      <c r="I57" s="172" t="s">
        <v>359</v>
      </c>
      <c r="J57" s="172" t="s">
        <v>360</v>
      </c>
      <c r="K57" s="172" t="s">
        <v>361</v>
      </c>
      <c r="L57" s="171" t="s">
        <v>94</v>
      </c>
      <c r="M57" s="171" t="s">
        <v>105</v>
      </c>
      <c r="N57" s="171" t="s">
        <v>106</v>
      </c>
      <c r="O57" s="196" t="s">
        <v>120</v>
      </c>
      <c r="Q57" s="172" t="s">
        <v>89</v>
      </c>
      <c r="R57" s="172" t="s">
        <v>102</v>
      </c>
      <c r="S57" s="172" t="s">
        <v>104</v>
      </c>
      <c r="T57" s="172" t="s">
        <v>360</v>
      </c>
      <c r="U57" s="172" t="s">
        <v>361</v>
      </c>
      <c r="V57" s="172" t="s">
        <v>161</v>
      </c>
      <c r="W57" s="171" t="s">
        <v>105</v>
      </c>
      <c r="X57" s="171" t="s">
        <v>106</v>
      </c>
      <c r="Y57" s="196" t="s">
        <v>97</v>
      </c>
    </row>
    <row r="58" spans="2:26" ht="16.2" thickBot="1" x14ac:dyDescent="0.3">
      <c r="B58" s="486" t="s">
        <v>115</v>
      </c>
      <c r="C58" s="177" t="str">
        <f>IF(T0登记表!G53="固定",T0登记表!B53,"")</f>
        <v/>
      </c>
      <c r="D58" s="177" t="str">
        <f>IF(C58="","",T0登记表!C53)</f>
        <v/>
      </c>
      <c r="E58" s="214" t="str">
        <f>IF(C58="","",T0登记表!D53)</f>
        <v/>
      </c>
      <c r="F58" s="213" t="str">
        <f>IF(C58="","",T0登记表!F53)</f>
        <v/>
      </c>
      <c r="G58" s="172"/>
      <c r="H58" s="219"/>
      <c r="I58" s="219"/>
      <c r="J58" s="219"/>
      <c r="K58" s="172"/>
      <c r="L58" s="171" t="str">
        <f>IF($C58="","",IF($D58&gt;=1,$E58*$C58,""))</f>
        <v/>
      </c>
      <c r="M58" s="171" t="str">
        <f>IF($C58="","",IF($D58&gt;=2,$E58*$C58,""))</f>
        <v/>
      </c>
      <c r="N58" s="171" t="str">
        <f>IF($C58="","",IF($D58&gt;=3,$E58*$C58,""))</f>
        <v/>
      </c>
      <c r="O58" s="171" t="str">
        <f>IF($C58="","",IF($D58&gt;=4,$E58*$C58,""))</f>
        <v/>
      </c>
      <c r="Q58" s="172"/>
      <c r="R58" s="172"/>
      <c r="S58" s="172"/>
      <c r="T58" s="172"/>
      <c r="U58" s="172"/>
      <c r="V58" s="172"/>
      <c r="W58" s="171" t="str">
        <f>IF($C58="","",IF($D58=1,$E58*$C58*$D58,""))</f>
        <v/>
      </c>
      <c r="X58" s="171" t="str">
        <f>IF($C58="","",IF($D58=2,$E58*$C58*$D58,""))</f>
        <v/>
      </c>
      <c r="Y58" s="171" t="str">
        <f>IF($C58="","",IF($D58=3,$E58*$C58*$D58,""))</f>
        <v/>
      </c>
    </row>
    <row r="59" spans="2:26" ht="16.2" thickBot="1" x14ac:dyDescent="0.3">
      <c r="B59" s="488"/>
      <c r="C59" s="177" t="str">
        <f>IF(T0登记表!G54="固定",T0登记表!B54,"")</f>
        <v/>
      </c>
      <c r="D59" s="177" t="str">
        <f>IF(C59="","",T0登记表!C54)</f>
        <v/>
      </c>
      <c r="E59" s="214" t="str">
        <f>IF(C59="","",T0登记表!D54)</f>
        <v/>
      </c>
      <c r="F59" s="213" t="str">
        <f>IF(C59="","",T0登记表!F54)</f>
        <v/>
      </c>
      <c r="G59" s="172"/>
      <c r="H59" s="221"/>
      <c r="I59" s="221"/>
      <c r="J59" s="219"/>
      <c r="K59" s="172"/>
      <c r="L59" s="171" t="str">
        <f>IF($C59="","",IF($D59&gt;=1,$E59*$C59,""))</f>
        <v/>
      </c>
      <c r="M59" s="171" t="str">
        <f>IF($C59="","",IF($D59&gt;=2,$E59*$C59,""))</f>
        <v/>
      </c>
      <c r="N59" s="171" t="str">
        <f>IF($C59="","",IF($D59&gt;=3,$E59*$C59,""))</f>
        <v/>
      </c>
      <c r="O59" s="171" t="str">
        <f>IF($C59="","",IF($D59&gt;=4,$E59*$C59,""))</f>
        <v/>
      </c>
      <c r="Q59" s="172"/>
      <c r="R59" s="172"/>
      <c r="S59" s="172"/>
      <c r="T59" s="172"/>
      <c r="U59" s="172"/>
      <c r="V59" s="172"/>
      <c r="W59" s="171" t="str">
        <f>IF($C59="","",IF($D59=1,$E59*$C59*$D59,""))</f>
        <v/>
      </c>
      <c r="X59" s="171" t="str">
        <f>IF($C59="","",IF($D59=2,$E59*$C59*$D59,""))</f>
        <v/>
      </c>
      <c r="Y59" s="171" t="str">
        <f>IF($C59="","",IF($D59=3,$E59*$C59*$D59,""))</f>
        <v/>
      </c>
    </row>
    <row r="60" spans="2:26" ht="16.2" thickBot="1" x14ac:dyDescent="0.3">
      <c r="B60" s="488"/>
      <c r="C60" s="177" t="str">
        <f>IF(T0登记表!G55="固定",T0登记表!B55,"")</f>
        <v/>
      </c>
      <c r="D60" s="177" t="str">
        <f>IF(C60="","",T0登记表!C55)</f>
        <v/>
      </c>
      <c r="E60" s="214" t="str">
        <f>IF(C60="","",T0登记表!D55)</f>
        <v/>
      </c>
      <c r="F60" s="213" t="str">
        <f>IF(C60="","",T0登记表!F55)</f>
        <v/>
      </c>
      <c r="G60" s="172"/>
      <c r="H60" s="221"/>
      <c r="I60" s="221"/>
      <c r="J60" s="219"/>
      <c r="K60" s="172"/>
      <c r="L60" s="171" t="str">
        <f>IF($C60="","",IF($D60&gt;=1,$E60*$C60,""))</f>
        <v/>
      </c>
      <c r="M60" s="171" t="str">
        <f>IF($C60="","",IF($D60&gt;=2,$E60*$C60,""))</f>
        <v/>
      </c>
      <c r="N60" s="171" t="str">
        <f>IF($C60="","",IF($D60&gt;=3,$E60*$C60,""))</f>
        <v/>
      </c>
      <c r="O60" s="171" t="str">
        <f>IF($C60="","",IF($D60&gt;=4,$E60*$C60,""))</f>
        <v/>
      </c>
      <c r="Q60" s="172"/>
      <c r="R60" s="172"/>
      <c r="S60" s="172"/>
      <c r="T60" s="172"/>
      <c r="U60" s="172"/>
      <c r="V60" s="172"/>
      <c r="W60" s="171" t="str">
        <f>IF($C60="","",IF($D60=1,$E60*$C60*$D60,""))</f>
        <v/>
      </c>
      <c r="X60" s="171" t="str">
        <f>IF($C60="","",IF($D60=2,$E60*$C60*$D60,""))</f>
        <v/>
      </c>
      <c r="Y60" s="171" t="str">
        <f>IF($C60="","",IF($D60=3,$E60*$C60*$D60,""))</f>
        <v/>
      </c>
    </row>
    <row r="61" spans="2:26" ht="16.2" thickBot="1" x14ac:dyDescent="0.3">
      <c r="B61" s="487"/>
      <c r="C61" s="177" t="str">
        <f>IF(T0登记表!G56="固定",T0登记表!B56,"")</f>
        <v/>
      </c>
      <c r="D61" s="177" t="str">
        <f>IF(C61="","",T0登记表!C56)</f>
        <v/>
      </c>
      <c r="E61" s="214" t="str">
        <f>IF(C61="","",T0登记表!D56)</f>
        <v/>
      </c>
      <c r="F61" s="213" t="str">
        <f>IF(C61="","",T0登记表!F56)</f>
        <v/>
      </c>
      <c r="G61" s="172"/>
      <c r="H61" s="221"/>
      <c r="I61" s="221"/>
      <c r="J61" s="219"/>
      <c r="K61" s="172"/>
      <c r="L61" s="171" t="str">
        <f>IF($C61="","",IF($D61&gt;=1,$E61*$C61,""))</f>
        <v/>
      </c>
      <c r="M61" s="171" t="str">
        <f>IF($C61="","",IF($D61&gt;=2,$E61*$C61,""))</f>
        <v/>
      </c>
      <c r="N61" s="171" t="str">
        <f>IF($C61="","",IF($D61&gt;=3,$E61*$C61,""))</f>
        <v/>
      </c>
      <c r="O61" s="171" t="str">
        <f>IF($C61="","",IF($D61&gt;=4,$E61*$C61,""))</f>
        <v/>
      </c>
      <c r="Q61" s="172"/>
      <c r="R61" s="172"/>
      <c r="S61" s="172"/>
      <c r="T61" s="172"/>
      <c r="U61" s="172"/>
      <c r="V61" s="172"/>
      <c r="W61" s="171" t="str">
        <f>IF($C61="","",IF($D61=1,$E61*$C61*$D61,""))</f>
        <v/>
      </c>
      <c r="X61" s="171" t="str">
        <f>IF($C61="","",IF($D61=2,$E61*$C61*$D61,""))</f>
        <v/>
      </c>
      <c r="Y61" s="171" t="str">
        <f>IF($C61="","",IF($D61=3,$E61*$C61*$D61,""))</f>
        <v/>
      </c>
      <c r="Z61" s="207"/>
    </row>
    <row r="62" spans="2:26" ht="17.25" customHeight="1" thickBot="1" x14ac:dyDescent="0.3">
      <c r="B62" s="489"/>
      <c r="C62" s="490"/>
      <c r="D62" s="490"/>
      <c r="E62" s="490"/>
      <c r="F62" s="491"/>
      <c r="G62" s="500" t="s">
        <v>160</v>
      </c>
      <c r="H62" s="501"/>
      <c r="I62" s="501"/>
      <c r="J62" s="501"/>
      <c r="K62" s="501"/>
      <c r="L62" s="502"/>
      <c r="M62" s="182">
        <f>IF(T0登记表!$N$12="","",T0登记表!$N$12)</f>
        <v>0</v>
      </c>
      <c r="N62" s="182">
        <f>IF(T0登记表!$N$13="","",T0登记表!$N$13)</f>
        <v>0</v>
      </c>
      <c r="O62" s="182" t="str">
        <f>IF(T0登记表!$N$14="","",T0登记表!$N$14)</f>
        <v/>
      </c>
      <c r="Q62" s="494" t="s">
        <v>99</v>
      </c>
      <c r="R62" s="495"/>
      <c r="S62" s="495"/>
      <c r="T62" s="495"/>
      <c r="U62" s="495"/>
      <c r="V62" s="495"/>
      <c r="W62" s="496"/>
      <c r="X62" s="182">
        <f>IF(T0登记表!$N$13="","",T0登记表!$N$13)</f>
        <v>0</v>
      </c>
      <c r="Y62" s="182" t="str">
        <f>IF(T0登记表!$N$14="","",T0登记表!$N$14)</f>
        <v/>
      </c>
    </row>
    <row r="63" spans="2:26" ht="16.2" thickBot="1" x14ac:dyDescent="0.3">
      <c r="B63" s="486" t="s">
        <v>116</v>
      </c>
      <c r="C63" s="176" t="str">
        <f>IF(T0登记表!G53="浮动",T0登记表!B53,"")</f>
        <v/>
      </c>
      <c r="D63" s="177" t="str">
        <f>IF(C63="","",T0登记表!C53)</f>
        <v/>
      </c>
      <c r="E63" s="214" t="str">
        <f>IF(C63="","",T0登记表!D53)</f>
        <v/>
      </c>
      <c r="F63" s="213" t="str">
        <f>IF(C63="","",T0登记表!F53)</f>
        <v/>
      </c>
      <c r="G63" s="172"/>
      <c r="H63" s="172"/>
      <c r="I63" s="172"/>
      <c r="J63" s="172"/>
      <c r="K63" s="172"/>
      <c r="L63" s="171" t="str">
        <f>IF($C63="","",IF($D63&gt;=1,$E63*$C63,""))</f>
        <v/>
      </c>
      <c r="M63" s="171" t="str">
        <f>IF($M$62="","",IF($C63="","",IF($D63&gt;=2,($M$62+$E63)*$C63,"")))</f>
        <v/>
      </c>
      <c r="N63" s="171" t="str">
        <f>IF($N$62="","",IF($C63="","",IF($D63&gt;=3,(SUM($M$62:N$62)+$E63)*$C63,"")))</f>
        <v/>
      </c>
      <c r="O63" s="171" t="str">
        <f>IF($O$62="","",IF($C63="","",IF($D63&gt;=4,(SUM($M$62:O$62)+$E63)*$C63,"")))</f>
        <v/>
      </c>
      <c r="Q63" s="172"/>
      <c r="R63" s="172"/>
      <c r="S63" s="172"/>
      <c r="T63" s="172"/>
      <c r="U63" s="172"/>
      <c r="V63" s="172"/>
      <c r="W63" s="171" t="str">
        <f t="shared" ref="W63:Y66" si="5">L63</f>
        <v/>
      </c>
      <c r="X63" s="171" t="str">
        <f t="shared" si="5"/>
        <v/>
      </c>
      <c r="Y63" s="171" t="str">
        <f t="shared" si="5"/>
        <v/>
      </c>
    </row>
    <row r="64" spans="2:26" ht="16.2" thickBot="1" x14ac:dyDescent="0.3">
      <c r="B64" s="488"/>
      <c r="C64" s="176" t="str">
        <f>IF(T0登记表!G54="浮动",T0登记表!B54,"")</f>
        <v/>
      </c>
      <c r="D64" s="177" t="str">
        <f>IF(C64="","",T0登记表!C54)</f>
        <v/>
      </c>
      <c r="E64" s="214" t="str">
        <f>IF(C64="","",T0登记表!D54)</f>
        <v/>
      </c>
      <c r="F64" s="213" t="str">
        <f>IF(C64="","",T0登记表!F54)</f>
        <v/>
      </c>
      <c r="G64" s="172"/>
      <c r="H64" s="219"/>
      <c r="I64" s="219"/>
      <c r="J64" s="219"/>
      <c r="K64" s="172"/>
      <c r="L64" s="171" t="str">
        <f>IF($C64="","",IF($D64&gt;=1,$E64*$C64,""))</f>
        <v/>
      </c>
      <c r="M64" s="171" t="str">
        <f>IF($M$62="","",IF($C64="","",IF($D64&gt;=2,($M$62+$E64)*$C64,"")))</f>
        <v/>
      </c>
      <c r="N64" s="171" t="str">
        <f>IF($N$62="","",IF($C64="","",IF($D64&gt;=3,(SUM($M$62:N$62)+$E64)*$C64,"")))</f>
        <v/>
      </c>
      <c r="O64" s="171" t="str">
        <f>IF($O$62="","",IF($C64="","",IF($D64&gt;=4,(SUM($M$62:O$62)+$E64)*$C64,"")))</f>
        <v/>
      </c>
      <c r="Q64" s="172"/>
      <c r="R64" s="172"/>
      <c r="S64" s="172"/>
      <c r="T64" s="172"/>
      <c r="U64" s="172"/>
      <c r="V64" s="172"/>
      <c r="W64" s="171" t="str">
        <f t="shared" si="5"/>
        <v/>
      </c>
      <c r="X64" s="171" t="str">
        <f t="shared" si="5"/>
        <v/>
      </c>
      <c r="Y64" s="171" t="str">
        <f t="shared" si="5"/>
        <v/>
      </c>
    </row>
    <row r="65" spans="2:26" ht="16.2" thickBot="1" x14ac:dyDescent="0.3">
      <c r="B65" s="488"/>
      <c r="C65" s="176" t="str">
        <f>IF(T0登记表!G55="浮动",T0登记表!B55,"")</f>
        <v/>
      </c>
      <c r="D65" s="177" t="str">
        <f>IF(C65="","",T0登记表!C55)</f>
        <v/>
      </c>
      <c r="E65" s="214" t="str">
        <f>IF(C65="","",T0登记表!D55)</f>
        <v/>
      </c>
      <c r="F65" s="213" t="str">
        <f>IF(C65="","",T0登记表!F55)</f>
        <v/>
      </c>
      <c r="G65" s="172"/>
      <c r="H65" s="221"/>
      <c r="I65" s="221"/>
      <c r="J65" s="219"/>
      <c r="K65" s="172"/>
      <c r="L65" s="171" t="str">
        <f>IF($C65="","",IF($D65&gt;=1,$E65*$C65,""))</f>
        <v/>
      </c>
      <c r="M65" s="171" t="str">
        <f>IF($M$62="","",IF($C65="","",IF($D65&gt;=2,($M$62+$E65)*$C65,"")))</f>
        <v/>
      </c>
      <c r="N65" s="171" t="str">
        <f>IF($N$62="","",IF($C65="","",IF($D65&gt;=3,(SUM($M$62:N$62)+$E65)*$C65,"")))</f>
        <v/>
      </c>
      <c r="O65" s="171" t="str">
        <f>IF($O$62="","",IF($C65="","",IF($D65&gt;=4,(SUM($M$62:O$62)+$E65)*$C65,"")))</f>
        <v/>
      </c>
      <c r="Q65" s="172"/>
      <c r="R65" s="172"/>
      <c r="S65" s="172"/>
      <c r="T65" s="172"/>
      <c r="U65" s="172"/>
      <c r="V65" s="172"/>
      <c r="W65" s="171" t="str">
        <f t="shared" si="5"/>
        <v/>
      </c>
      <c r="X65" s="171" t="str">
        <f t="shared" si="5"/>
        <v/>
      </c>
      <c r="Y65" s="171" t="str">
        <f t="shared" si="5"/>
        <v/>
      </c>
    </row>
    <row r="66" spans="2:26" ht="16.2" thickBot="1" x14ac:dyDescent="0.3">
      <c r="B66" s="487"/>
      <c r="C66" s="176" t="str">
        <f>IF(T0登记表!G56="浮动",T0登记表!B56,"")</f>
        <v/>
      </c>
      <c r="D66" s="177" t="str">
        <f>IF(C66="","",T0登记表!C56)</f>
        <v/>
      </c>
      <c r="E66" s="214" t="str">
        <f>IF(C66="","",T0登记表!D56)</f>
        <v/>
      </c>
      <c r="F66" s="213" t="str">
        <f>IF(C66="","",T0登记表!F56)</f>
        <v/>
      </c>
      <c r="G66" s="172"/>
      <c r="H66" s="221"/>
      <c r="I66" s="221"/>
      <c r="J66" s="219"/>
      <c r="K66" s="172"/>
      <c r="L66" s="171" t="str">
        <f>IF($C66="","",IF($D66&gt;=1,$E66*$C66,""))</f>
        <v/>
      </c>
      <c r="M66" s="171" t="str">
        <f>IF($M$62="","",IF($C66="","",IF($D66&gt;=2,($M$62+$E66)*$C66,"")))</f>
        <v/>
      </c>
      <c r="N66" s="171" t="str">
        <f>IF($N$62="","",IF($C66="","",IF($D66&gt;=3,(SUM($M$62:N$62)+$E66)*$C66,"")))</f>
        <v/>
      </c>
      <c r="O66" s="171" t="str">
        <f>IF($O$62="","",IF($C66="","",IF($D66&gt;=4,(SUM($M$62:O$62)+$E66)*$C66,"")))</f>
        <v/>
      </c>
      <c r="Q66" s="172"/>
      <c r="R66" s="172"/>
      <c r="S66" s="172"/>
      <c r="T66" s="172"/>
      <c r="U66" s="172"/>
      <c r="V66" s="172"/>
      <c r="W66" s="171" t="str">
        <f t="shared" si="5"/>
        <v/>
      </c>
      <c r="X66" s="171" t="str">
        <f t="shared" si="5"/>
        <v/>
      </c>
      <c r="Y66" s="171" t="str">
        <f t="shared" si="5"/>
        <v/>
      </c>
    </row>
    <row r="67" spans="2:26" s="207" customFormat="1" ht="16.8" thickBot="1" x14ac:dyDescent="0.3">
      <c r="B67" s="206" t="s">
        <v>121</v>
      </c>
      <c r="E67" s="225"/>
      <c r="Z67" s="66"/>
    </row>
    <row r="68" spans="2:26" ht="16.2" thickBot="1" x14ac:dyDescent="0.3">
      <c r="B68" s="213" t="s">
        <v>117</v>
      </c>
      <c r="C68" s="176" t="s">
        <v>55</v>
      </c>
      <c r="D68" s="177" t="s">
        <v>56</v>
      </c>
      <c r="E68" s="214" t="s">
        <v>122</v>
      </c>
      <c r="F68" s="213" t="s">
        <v>123</v>
      </c>
      <c r="G68" s="172" t="s">
        <v>362</v>
      </c>
      <c r="H68" s="172" t="s">
        <v>363</v>
      </c>
      <c r="I68" s="172" t="s">
        <v>359</v>
      </c>
      <c r="J68" s="172" t="s">
        <v>364</v>
      </c>
      <c r="K68" s="172" t="s">
        <v>361</v>
      </c>
      <c r="L68" s="172" t="s">
        <v>161</v>
      </c>
      <c r="M68" s="171" t="s">
        <v>105</v>
      </c>
      <c r="N68" s="171" t="s">
        <v>106</v>
      </c>
      <c r="O68" s="196" t="s">
        <v>120</v>
      </c>
      <c r="Q68" s="172" t="s">
        <v>89</v>
      </c>
      <c r="R68" s="172" t="s">
        <v>102</v>
      </c>
      <c r="S68" s="172" t="s">
        <v>104</v>
      </c>
      <c r="T68" s="172" t="s">
        <v>360</v>
      </c>
      <c r="U68" s="172" t="s">
        <v>361</v>
      </c>
      <c r="V68" s="172" t="s">
        <v>161</v>
      </c>
      <c r="W68" s="172" t="s">
        <v>95</v>
      </c>
      <c r="X68" s="171" t="s">
        <v>106</v>
      </c>
      <c r="Y68" s="196" t="s">
        <v>97</v>
      </c>
    </row>
    <row r="69" spans="2:26" ht="16.2" thickBot="1" x14ac:dyDescent="0.3">
      <c r="B69" s="486" t="s">
        <v>124</v>
      </c>
      <c r="C69" s="177" t="str">
        <f>IF(T0登记表!G59="固定",T0登记表!B59,"")</f>
        <v/>
      </c>
      <c r="D69" s="177" t="str">
        <f>IF(C69="","",T0登记表!C59)</f>
        <v/>
      </c>
      <c r="E69" s="214" t="str">
        <f>IF(C69="","",T0登记表!D59)</f>
        <v/>
      </c>
      <c r="F69" s="213" t="str">
        <f>IF(C69="","",T0登记表!F59)</f>
        <v/>
      </c>
      <c r="G69" s="172"/>
      <c r="H69" s="219"/>
      <c r="I69" s="219"/>
      <c r="J69" s="219"/>
      <c r="K69" s="172"/>
      <c r="L69" s="219"/>
      <c r="M69" s="171" t="str">
        <f>IF($C69="","",IF($D69&gt;=1,$E69*$C69,""))</f>
        <v/>
      </c>
      <c r="N69" s="171" t="str">
        <f>IF($C69="","",IF($D69&gt;=2,$E69*$C69,""))</f>
        <v/>
      </c>
      <c r="O69" s="171" t="str">
        <f>IF($C69="","",IF($D69&gt;=3,$E69*$C69,""))</f>
        <v/>
      </c>
      <c r="Q69" s="172"/>
      <c r="R69" s="172"/>
      <c r="S69" s="172"/>
      <c r="T69" s="172"/>
      <c r="U69" s="172"/>
      <c r="V69" s="172"/>
      <c r="W69" s="172"/>
      <c r="X69" s="171" t="str">
        <f>IF($C69="","",IF($D69=1,$E69*$C69*$D69,""))</f>
        <v/>
      </c>
      <c r="Y69" s="171" t="str">
        <f>IF($C69="","",IF($D69=2,$E69*$C69*$D69,""))</f>
        <v/>
      </c>
    </row>
    <row r="70" spans="2:26" ht="16.2" thickBot="1" x14ac:dyDescent="0.3">
      <c r="B70" s="488"/>
      <c r="C70" s="177" t="str">
        <f>IF(T0登记表!G60="固定",T0登记表!B60,"")</f>
        <v/>
      </c>
      <c r="D70" s="177" t="str">
        <f>IF(C70="","",T0登记表!C60)</f>
        <v/>
      </c>
      <c r="E70" s="214" t="str">
        <f>IF(C70="","",T0登记表!D60)</f>
        <v/>
      </c>
      <c r="F70" s="213" t="str">
        <f>IF(C70="","",T0登记表!F60)</f>
        <v/>
      </c>
      <c r="G70" s="172"/>
      <c r="H70" s="221"/>
      <c r="I70" s="221"/>
      <c r="J70" s="219"/>
      <c r="K70" s="172"/>
      <c r="L70" s="221"/>
      <c r="M70" s="171" t="str">
        <f>IF($C70="","",IF($D70&gt;=1,$E70*$C70,""))</f>
        <v/>
      </c>
      <c r="N70" s="171" t="str">
        <f>IF($C70="","",IF($D70&gt;=2,$E70*$C70,""))</f>
        <v/>
      </c>
      <c r="O70" s="171" t="str">
        <f>IF($C70="","",IF($D70&gt;=3,$E70*$C70,""))</f>
        <v/>
      </c>
      <c r="Q70" s="172"/>
      <c r="R70" s="172"/>
      <c r="S70" s="172"/>
      <c r="T70" s="172"/>
      <c r="U70" s="172"/>
      <c r="V70" s="172"/>
      <c r="W70" s="172"/>
      <c r="X70" s="171" t="str">
        <f>IF($C70="","",IF($D70=1,$E70*$C70*$D70,""))</f>
        <v/>
      </c>
      <c r="Y70" s="171" t="str">
        <f>IF($C70="","",IF($D70=2,$E70*$C70*$D70,""))</f>
        <v/>
      </c>
    </row>
    <row r="71" spans="2:26" ht="16.2" thickBot="1" x14ac:dyDescent="0.3">
      <c r="B71" s="488"/>
      <c r="C71" s="177" t="str">
        <f>IF(T0登记表!G61="固定",T0登记表!B61,"")</f>
        <v/>
      </c>
      <c r="D71" s="177" t="str">
        <f>IF(C71="","",T0登记表!C61)</f>
        <v/>
      </c>
      <c r="E71" s="214" t="str">
        <f>IF(C71="","",T0登记表!D61)</f>
        <v/>
      </c>
      <c r="F71" s="213" t="str">
        <f>IF(C71="","",T0登记表!F61)</f>
        <v/>
      </c>
      <c r="G71" s="172"/>
      <c r="H71" s="221"/>
      <c r="I71" s="221"/>
      <c r="J71" s="219"/>
      <c r="K71" s="172"/>
      <c r="L71" s="221"/>
      <c r="M71" s="171" t="str">
        <f>IF($C71="","",IF($D71&gt;=1,$E71*$C71,""))</f>
        <v/>
      </c>
      <c r="N71" s="171" t="str">
        <f>IF($C71="","",IF($D71&gt;=2,$E71*$C71,""))</f>
        <v/>
      </c>
      <c r="O71" s="171" t="str">
        <f>IF($C71="","",IF($D71&gt;=3,$E71*$C71,""))</f>
        <v/>
      </c>
      <c r="Q71" s="172"/>
      <c r="R71" s="172"/>
      <c r="S71" s="172"/>
      <c r="T71" s="172"/>
      <c r="U71" s="172"/>
      <c r="V71" s="172"/>
      <c r="W71" s="172"/>
      <c r="X71" s="171" t="str">
        <f>IF($C71="","",IF($D71=1,$E71*$C71*$D71,""))</f>
        <v/>
      </c>
      <c r="Y71" s="171" t="str">
        <f>IF($C71="","",IF($D71=2,$E71*$C71*$D71,""))</f>
        <v/>
      </c>
    </row>
    <row r="72" spans="2:26" ht="16.2" thickBot="1" x14ac:dyDescent="0.3">
      <c r="B72" s="487"/>
      <c r="C72" s="177" t="str">
        <f>IF(T0登记表!G62="固定",T0登记表!B62,"")</f>
        <v/>
      </c>
      <c r="D72" s="177" t="str">
        <f>IF(C72="","",T0登记表!C62)</f>
        <v/>
      </c>
      <c r="E72" s="214" t="str">
        <f>IF(C72="","",T0登记表!D62)</f>
        <v/>
      </c>
      <c r="F72" s="213" t="str">
        <f>IF(C72="","",T0登记表!F62)</f>
        <v/>
      </c>
      <c r="G72" s="172"/>
      <c r="H72" s="221"/>
      <c r="I72" s="221"/>
      <c r="J72" s="219"/>
      <c r="K72" s="172"/>
      <c r="L72" s="221"/>
      <c r="M72" s="171" t="str">
        <f>IF($C72="","",IF($D72&gt;=1,$E72*$C72,""))</f>
        <v/>
      </c>
      <c r="N72" s="171" t="str">
        <f>IF($C72="","",IF($D72&gt;=2,$E72*$C72,""))</f>
        <v/>
      </c>
      <c r="O72" s="171" t="str">
        <f>IF($C72="","",IF($D72&gt;=3,$E72*$C72,""))</f>
        <v/>
      </c>
      <c r="Q72" s="172"/>
      <c r="R72" s="172"/>
      <c r="S72" s="172"/>
      <c r="T72" s="172"/>
      <c r="U72" s="172"/>
      <c r="V72" s="172"/>
      <c r="W72" s="172"/>
      <c r="X72" s="171" t="str">
        <f>IF($C72="","",IF($D72=1,$E72*$C72*$D72,""))</f>
        <v/>
      </c>
      <c r="Y72" s="171" t="str">
        <f>IF($C72="","",IF($D72=2,$E72*$C72*$D72,""))</f>
        <v/>
      </c>
    </row>
    <row r="73" spans="2:26" ht="17.25" customHeight="1" thickBot="1" x14ac:dyDescent="0.3">
      <c r="B73" s="489"/>
      <c r="C73" s="490"/>
      <c r="D73" s="490"/>
      <c r="E73" s="490"/>
      <c r="F73" s="491"/>
      <c r="G73" s="500" t="s">
        <v>160</v>
      </c>
      <c r="H73" s="501"/>
      <c r="I73" s="501"/>
      <c r="J73" s="501"/>
      <c r="K73" s="501"/>
      <c r="L73" s="501"/>
      <c r="M73" s="502"/>
      <c r="N73" s="182">
        <f>IF(T0登记表!$N$13="","",T0登记表!$N$13)</f>
        <v>0</v>
      </c>
      <c r="O73" s="182" t="str">
        <f>IF(T0登记表!$N$14="","",T0登记表!$N$14)</f>
        <v/>
      </c>
      <c r="Q73" s="494" t="s">
        <v>99</v>
      </c>
      <c r="R73" s="495"/>
      <c r="S73" s="495"/>
      <c r="T73" s="495"/>
      <c r="U73" s="495"/>
      <c r="V73" s="495"/>
      <c r="W73" s="495"/>
      <c r="X73" s="496"/>
      <c r="Y73" s="182" t="str">
        <f>IF(T0登记表!$N$14="","",T0登记表!$N$14)</f>
        <v/>
      </c>
      <c r="Z73" s="207"/>
    </row>
    <row r="74" spans="2:26" ht="16.2" thickBot="1" x14ac:dyDescent="0.3">
      <c r="B74" s="486" t="s">
        <v>112</v>
      </c>
      <c r="C74" s="176" t="str">
        <f>IF(T0登记表!G59="浮动",T0登记表!B59,"")</f>
        <v/>
      </c>
      <c r="D74" s="177" t="str">
        <f>IF(C74="","",T0登记表!C59)</f>
        <v/>
      </c>
      <c r="E74" s="214" t="str">
        <f>IF(C74="","",T0登记表!D59)</f>
        <v/>
      </c>
      <c r="F74" s="213" t="str">
        <f>IF(C74="","",T0登记表!F59)</f>
        <v/>
      </c>
      <c r="G74" s="172"/>
      <c r="H74" s="172"/>
      <c r="I74" s="172"/>
      <c r="J74" s="172"/>
      <c r="K74" s="172"/>
      <c r="L74" s="172"/>
      <c r="M74" s="171" t="str">
        <f>IF($C74="","",IF($D74&gt;=1,$E74*$C74,""))</f>
        <v/>
      </c>
      <c r="N74" s="171" t="str">
        <f>IF($N$73="","",IF($C74="","",IF($D74&gt;=2,($N$73+$E74)*$C74,"")))</f>
        <v/>
      </c>
      <c r="O74" s="171" t="str">
        <f>IF($O$73="","",IF($C74="","",IF($D74&gt;=3,(SUM($N$73:O$73)+$E74)*$C74,"")))</f>
        <v/>
      </c>
      <c r="Q74" s="172"/>
      <c r="R74" s="172"/>
      <c r="S74" s="172"/>
      <c r="T74" s="172"/>
      <c r="U74" s="172"/>
      <c r="V74" s="172"/>
      <c r="W74" s="172"/>
      <c r="X74" s="171" t="str">
        <f t="shared" ref="X74:Y77" si="6">M74</f>
        <v/>
      </c>
      <c r="Y74" s="171" t="str">
        <f t="shared" si="6"/>
        <v/>
      </c>
    </row>
    <row r="75" spans="2:26" ht="16.2" thickBot="1" x14ac:dyDescent="0.3">
      <c r="B75" s="488"/>
      <c r="C75" s="176" t="str">
        <f>IF(T0登记表!G60="浮动",T0登记表!B60,"")</f>
        <v/>
      </c>
      <c r="D75" s="177" t="str">
        <f>IF(C75="","",T0登记表!C60)</f>
        <v/>
      </c>
      <c r="E75" s="214" t="str">
        <f>IF(C75="","",T0登记表!D60)</f>
        <v/>
      </c>
      <c r="F75" s="213" t="str">
        <f>IF(C75="","",T0登记表!F60)</f>
        <v/>
      </c>
      <c r="G75" s="172"/>
      <c r="H75" s="219"/>
      <c r="I75" s="219"/>
      <c r="J75" s="219"/>
      <c r="K75" s="172"/>
      <c r="L75" s="219"/>
      <c r="M75" s="171" t="str">
        <f>IF($C75="","",IF($D75&gt;=1,$E75*$C75,""))</f>
        <v/>
      </c>
      <c r="N75" s="171" t="str">
        <f t="shared" ref="N75:N77" si="7">IF($N$73="","",IF($C75="","",IF($D75&gt;=2,($N$73+$E75)*$C75,"")))</f>
        <v/>
      </c>
      <c r="O75" s="171" t="str">
        <f>IF($O$73="","",IF($C75="","",IF($D75&gt;=3,(SUM($N$73:O$73)+$E75)*$C75,"")))</f>
        <v/>
      </c>
      <c r="Q75" s="172"/>
      <c r="R75" s="172"/>
      <c r="S75" s="172"/>
      <c r="T75" s="172"/>
      <c r="U75" s="172"/>
      <c r="V75" s="172"/>
      <c r="W75" s="172"/>
      <c r="X75" s="171" t="str">
        <f t="shared" si="6"/>
        <v/>
      </c>
      <c r="Y75" s="171" t="str">
        <f t="shared" si="6"/>
        <v/>
      </c>
    </row>
    <row r="76" spans="2:26" ht="16.2" thickBot="1" x14ac:dyDescent="0.3">
      <c r="B76" s="488"/>
      <c r="C76" s="176" t="str">
        <f>IF(T0登记表!G61="浮动",T0登记表!B61,"")</f>
        <v/>
      </c>
      <c r="D76" s="177" t="str">
        <f>IF(C76="","",T0登记表!C61)</f>
        <v/>
      </c>
      <c r="E76" s="214" t="str">
        <f>IF(C76="","",T0登记表!D61)</f>
        <v/>
      </c>
      <c r="F76" s="213" t="str">
        <f>IF(C76="","",T0登记表!F61)</f>
        <v/>
      </c>
      <c r="G76" s="172"/>
      <c r="H76" s="221"/>
      <c r="I76" s="221"/>
      <c r="J76" s="219"/>
      <c r="K76" s="172"/>
      <c r="L76" s="221"/>
      <c r="M76" s="171" t="str">
        <f>IF($C76="","",IF($D76&gt;=1,$E76*$C76,""))</f>
        <v/>
      </c>
      <c r="N76" s="171" t="str">
        <f t="shared" si="7"/>
        <v/>
      </c>
      <c r="O76" s="171" t="str">
        <f>IF($O$73="","",IF($C76="","",IF($D76&gt;=3,(SUM($N$73:O$73)+$E76)*$C76,"")))</f>
        <v/>
      </c>
      <c r="Q76" s="172"/>
      <c r="R76" s="172"/>
      <c r="S76" s="172"/>
      <c r="T76" s="172"/>
      <c r="U76" s="172"/>
      <c r="V76" s="172"/>
      <c r="W76" s="172"/>
      <c r="X76" s="171" t="str">
        <f t="shared" si="6"/>
        <v/>
      </c>
      <c r="Y76" s="171" t="str">
        <f t="shared" si="6"/>
        <v/>
      </c>
    </row>
    <row r="77" spans="2:26" ht="16.2" thickBot="1" x14ac:dyDescent="0.3">
      <c r="B77" s="487"/>
      <c r="C77" s="176" t="str">
        <f>IF(T0登记表!G62="浮动",T0登记表!B62,"")</f>
        <v/>
      </c>
      <c r="D77" s="177" t="str">
        <f>IF(C77="","",T0登记表!C62)</f>
        <v/>
      </c>
      <c r="E77" s="214" t="str">
        <f>IF(C77="","",T0登记表!D62)</f>
        <v/>
      </c>
      <c r="F77" s="213" t="str">
        <f>IF(C77="","",T0登记表!F62)</f>
        <v/>
      </c>
      <c r="G77" s="172"/>
      <c r="H77" s="221"/>
      <c r="I77" s="221"/>
      <c r="J77" s="219"/>
      <c r="K77" s="172"/>
      <c r="L77" s="221"/>
      <c r="M77" s="171" t="str">
        <f>IF($C77="","",IF($D77&gt;=1,$E77*$C77,""))</f>
        <v/>
      </c>
      <c r="N77" s="171" t="str">
        <f t="shared" si="7"/>
        <v/>
      </c>
      <c r="O77" s="171" t="str">
        <f>IF($O$73="","",IF($C77="","",IF($D77&gt;=3,(SUM($N$73:O$73)+$E77)*$C77,"")))</f>
        <v/>
      </c>
      <c r="Q77" s="172"/>
      <c r="R77" s="172"/>
      <c r="S77" s="172"/>
      <c r="T77" s="172"/>
      <c r="U77" s="172"/>
      <c r="V77" s="172"/>
      <c r="W77" s="172"/>
      <c r="X77" s="171" t="str">
        <f t="shared" si="6"/>
        <v/>
      </c>
      <c r="Y77" s="171" t="str">
        <f t="shared" si="6"/>
        <v/>
      </c>
    </row>
    <row r="78" spans="2:26" s="207" customFormat="1" ht="16.8" thickBot="1" x14ac:dyDescent="0.3">
      <c r="B78" s="206" t="s">
        <v>354</v>
      </c>
      <c r="E78" s="225"/>
      <c r="Z78" s="66"/>
    </row>
    <row r="79" spans="2:26" ht="16.2" thickBot="1" x14ac:dyDescent="0.3">
      <c r="B79" s="213" t="s">
        <v>117</v>
      </c>
      <c r="C79" s="176" t="s">
        <v>55</v>
      </c>
      <c r="D79" s="177" t="s">
        <v>56</v>
      </c>
      <c r="E79" s="214" t="s">
        <v>118</v>
      </c>
      <c r="F79" s="213" t="s">
        <v>123</v>
      </c>
      <c r="G79" s="172" t="s">
        <v>365</v>
      </c>
      <c r="H79" s="172" t="s">
        <v>102</v>
      </c>
      <c r="I79" s="172" t="s">
        <v>366</v>
      </c>
      <c r="J79" s="172" t="s">
        <v>367</v>
      </c>
      <c r="K79" s="172" t="s">
        <v>361</v>
      </c>
      <c r="L79" s="172" t="s">
        <v>161</v>
      </c>
      <c r="M79" s="172" t="s">
        <v>95</v>
      </c>
      <c r="N79" s="171" t="s">
        <v>106</v>
      </c>
      <c r="O79" s="196" t="s">
        <v>120</v>
      </c>
      <c r="Q79" s="172" t="s">
        <v>89</v>
      </c>
      <c r="R79" s="172" t="s">
        <v>102</v>
      </c>
      <c r="S79" s="172" t="s">
        <v>104</v>
      </c>
      <c r="T79" s="172" t="s">
        <v>360</v>
      </c>
      <c r="U79" s="172" t="s">
        <v>361</v>
      </c>
      <c r="V79" s="172" t="s">
        <v>161</v>
      </c>
      <c r="W79" s="172" t="s">
        <v>95</v>
      </c>
      <c r="X79" s="172" t="s">
        <v>96</v>
      </c>
      <c r="Y79" s="196" t="s">
        <v>97</v>
      </c>
    </row>
    <row r="80" spans="2:26" ht="16.2" thickBot="1" x14ac:dyDescent="0.3">
      <c r="B80" s="486" t="s">
        <v>98</v>
      </c>
      <c r="C80" s="177" t="str">
        <f>IF(T0登记表!G65="固定",T0登记表!B65,"")</f>
        <v/>
      </c>
      <c r="D80" s="177" t="str">
        <f>IF(C80="","",T0登记表!C65)</f>
        <v/>
      </c>
      <c r="E80" s="214" t="str">
        <f>IF(C80="","",T0登记表!D65)</f>
        <v/>
      </c>
      <c r="F80" s="213" t="str">
        <f>IF(C80="","",T0登记表!F65)</f>
        <v/>
      </c>
      <c r="G80" s="172"/>
      <c r="H80" s="219"/>
      <c r="I80" s="219"/>
      <c r="J80" s="219"/>
      <c r="K80" s="172"/>
      <c r="L80" s="219"/>
      <c r="M80" s="219"/>
      <c r="N80" s="171" t="str">
        <f>IF($C80="","",IF($D80&gt;=1,$E80*$C80,""))</f>
        <v/>
      </c>
      <c r="O80" s="171" t="str">
        <f>IF($C80="","",IF($D80&gt;=2,$E80*$C80,""))</f>
        <v/>
      </c>
      <c r="Q80" s="172"/>
      <c r="R80" s="172"/>
      <c r="S80" s="172"/>
      <c r="T80" s="172"/>
      <c r="U80" s="172"/>
      <c r="V80" s="172"/>
      <c r="W80" s="172"/>
      <c r="X80" s="172"/>
      <c r="Y80" s="171" t="str">
        <f>IF($C80="","",IF($D80=1,$E80*$C80*$D80,""))</f>
        <v/>
      </c>
    </row>
    <row r="81" spans="2:31" ht="16.2" thickBot="1" x14ac:dyDescent="0.3">
      <c r="B81" s="488"/>
      <c r="C81" s="177" t="str">
        <f>IF(T0登记表!G66="固定",T0登记表!B66,"")</f>
        <v/>
      </c>
      <c r="D81" s="177" t="str">
        <f>IF(C81="","",T0登记表!C66)</f>
        <v/>
      </c>
      <c r="E81" s="214" t="str">
        <f>IF(C81="","",T0登记表!D66)</f>
        <v/>
      </c>
      <c r="F81" s="213" t="str">
        <f>IF(C81="","",T0登记表!F66)</f>
        <v/>
      </c>
      <c r="G81" s="172"/>
      <c r="H81" s="221"/>
      <c r="I81" s="221"/>
      <c r="J81" s="219"/>
      <c r="K81" s="172"/>
      <c r="L81" s="221"/>
      <c r="M81" s="221"/>
      <c r="N81" s="171" t="str">
        <f>IF($C81="","",IF($D81&gt;=1,$E81*$C81,""))</f>
        <v/>
      </c>
      <c r="O81" s="171" t="str">
        <f>IF($C81="","",IF($D81&gt;=2,$E81*$C81,""))</f>
        <v/>
      </c>
      <c r="Q81" s="172"/>
      <c r="R81" s="172"/>
      <c r="S81" s="172"/>
      <c r="T81" s="172"/>
      <c r="U81" s="172"/>
      <c r="V81" s="172"/>
      <c r="W81" s="172"/>
      <c r="X81" s="172"/>
      <c r="Y81" s="171" t="str">
        <f>IF($C81="","",IF($D81=1,$E81*$C81*$D81,""))</f>
        <v/>
      </c>
    </row>
    <row r="82" spans="2:31" ht="16.2" thickBot="1" x14ac:dyDescent="0.3">
      <c r="B82" s="488"/>
      <c r="C82" s="177" t="str">
        <f>IF(T0登记表!G67="固定",T0登记表!B67,"")</f>
        <v/>
      </c>
      <c r="D82" s="177" t="str">
        <f>IF(C82="","",T0登记表!C67)</f>
        <v/>
      </c>
      <c r="E82" s="214" t="str">
        <f>IF(C82="","",T0登记表!D67)</f>
        <v/>
      </c>
      <c r="F82" s="213" t="str">
        <f>IF(C82="","",T0登记表!F67)</f>
        <v/>
      </c>
      <c r="G82" s="172"/>
      <c r="H82" s="221"/>
      <c r="I82" s="221"/>
      <c r="J82" s="219"/>
      <c r="K82" s="172"/>
      <c r="L82" s="221"/>
      <c r="M82" s="221"/>
      <c r="N82" s="171" t="str">
        <f>IF($C82="","",IF($D82&gt;=1,$E82*$C82,""))</f>
        <v/>
      </c>
      <c r="O82" s="171" t="str">
        <f>IF($C82="","",IF($D82&gt;=2,$E82*$C82,""))</f>
        <v/>
      </c>
      <c r="Q82" s="172"/>
      <c r="R82" s="172"/>
      <c r="S82" s="172"/>
      <c r="T82" s="172"/>
      <c r="U82" s="172"/>
      <c r="V82" s="172"/>
      <c r="W82" s="172"/>
      <c r="X82" s="172"/>
      <c r="Y82" s="171" t="str">
        <f>IF($C82="","",IF($D82=1,$E82*$C82*$D82,""))</f>
        <v/>
      </c>
    </row>
    <row r="83" spans="2:31" ht="16.2" thickBot="1" x14ac:dyDescent="0.3">
      <c r="B83" s="487"/>
      <c r="C83" s="177" t="str">
        <f>IF(T0登记表!G68="固定",T0登记表!B68,"")</f>
        <v/>
      </c>
      <c r="D83" s="177" t="str">
        <f>IF(C83="","",T0登记表!C68)</f>
        <v/>
      </c>
      <c r="E83" s="214" t="str">
        <f>IF(C83="","",T0登记表!D68)</f>
        <v/>
      </c>
      <c r="F83" s="213" t="str">
        <f>IF(C83="","",T0登记表!F68)</f>
        <v/>
      </c>
      <c r="G83" s="172"/>
      <c r="H83" s="221"/>
      <c r="I83" s="221"/>
      <c r="J83" s="219"/>
      <c r="K83" s="172"/>
      <c r="L83" s="221"/>
      <c r="M83" s="221"/>
      <c r="N83" s="171" t="str">
        <f>IF($C83="","",IF($D83&gt;=1,$E83*$C83,""))</f>
        <v/>
      </c>
      <c r="O83" s="171" t="str">
        <f>IF($C83="","",IF($D83&gt;=2,$E83*$C83,""))</f>
        <v/>
      </c>
      <c r="Q83" s="172"/>
      <c r="R83" s="172"/>
      <c r="S83" s="172"/>
      <c r="T83" s="172"/>
      <c r="U83" s="172"/>
      <c r="V83" s="172"/>
      <c r="W83" s="172"/>
      <c r="X83" s="172"/>
      <c r="Y83" s="171" t="str">
        <f>IF($C83="","",IF($D83=1,$E83*$C83*$D83,""))</f>
        <v/>
      </c>
    </row>
    <row r="84" spans="2:31" ht="16.2" thickBot="1" x14ac:dyDescent="0.3">
      <c r="B84" s="489"/>
      <c r="C84" s="490"/>
      <c r="D84" s="490"/>
      <c r="E84" s="490"/>
      <c r="F84" s="491"/>
      <c r="G84" s="494" t="s">
        <v>99</v>
      </c>
      <c r="H84" s="495"/>
      <c r="I84" s="495"/>
      <c r="J84" s="495"/>
      <c r="K84" s="495"/>
      <c r="L84" s="495"/>
      <c r="M84" s="495"/>
      <c r="N84" s="496"/>
      <c r="O84" s="182" t="str">
        <f>IF(T0登记表!$N$14="","",T0登记表!$N$14)</f>
        <v/>
      </c>
      <c r="Q84" s="503"/>
      <c r="R84" s="504"/>
      <c r="S84" s="504"/>
      <c r="T84" s="504"/>
      <c r="U84" s="504"/>
      <c r="V84" s="504"/>
      <c r="W84" s="504"/>
      <c r="X84" s="504"/>
      <c r="Y84" s="505"/>
    </row>
    <row r="85" spans="2:31" ht="17.25" customHeight="1" thickBot="1" x14ac:dyDescent="0.3">
      <c r="B85" s="486" t="s">
        <v>100</v>
      </c>
      <c r="C85" s="176" t="str">
        <f>IF(T0登记表!G65="浮动",T0登记表!B65,"")</f>
        <v/>
      </c>
      <c r="D85" s="177" t="str">
        <f>IF(C85="","",T0登记表!C65)</f>
        <v/>
      </c>
      <c r="E85" s="214" t="str">
        <f>IF(C85="","",T0登记表!D65)</f>
        <v/>
      </c>
      <c r="F85" s="213" t="str">
        <f>IF(C85="","",T0登记表!F65)</f>
        <v/>
      </c>
      <c r="G85" s="172"/>
      <c r="H85" s="219"/>
      <c r="I85" s="219"/>
      <c r="J85" s="219"/>
      <c r="K85" s="172"/>
      <c r="L85" s="219"/>
      <c r="M85" s="219"/>
      <c r="N85" s="171" t="str">
        <f>IF($C85="","",IF($D85&gt;=1,$E85*$C85,""))</f>
        <v/>
      </c>
      <c r="O85" s="171" t="str">
        <f>IF($O$84="","",IF($C85="","",IF($D85&gt;=2,($O$84+$E85)*$C85,"")))</f>
        <v/>
      </c>
      <c r="P85" s="226"/>
      <c r="Q85" s="172"/>
      <c r="R85" s="219"/>
      <c r="S85" s="219"/>
      <c r="T85" s="219"/>
      <c r="U85" s="172"/>
      <c r="V85" s="219"/>
      <c r="W85" s="219"/>
      <c r="X85" s="172"/>
      <c r="Y85" s="171" t="str">
        <f>N85</f>
        <v/>
      </c>
      <c r="Z85" s="207"/>
    </row>
    <row r="86" spans="2:31" ht="16.2" thickBot="1" x14ac:dyDescent="0.3">
      <c r="B86" s="488"/>
      <c r="C86" s="176" t="str">
        <f>IF(T0登记表!G66="浮动",T0登记表!B66,"")</f>
        <v/>
      </c>
      <c r="D86" s="177" t="str">
        <f>IF(C86="","",T0登记表!C66)</f>
        <v/>
      </c>
      <c r="E86" s="214" t="str">
        <f>IF(C86="","",T0登记表!D66)</f>
        <v/>
      </c>
      <c r="F86" s="213" t="str">
        <f>IF(C86="","",T0登记表!F66)</f>
        <v/>
      </c>
      <c r="G86" s="172"/>
      <c r="H86" s="221"/>
      <c r="I86" s="221"/>
      <c r="J86" s="219"/>
      <c r="K86" s="172"/>
      <c r="L86" s="221"/>
      <c r="M86" s="221"/>
      <c r="N86" s="171" t="str">
        <f>IF($C86="","",IF($D86&gt;=1,$E86*$C86,""))</f>
        <v/>
      </c>
      <c r="O86" s="171" t="str">
        <f>IF($O$84="","",IF($C86="","",IF($D86&gt;=2,($O$84+$E86)*$C86,"")))</f>
        <v/>
      </c>
      <c r="Q86" s="172"/>
      <c r="R86" s="221"/>
      <c r="S86" s="221"/>
      <c r="T86" s="219"/>
      <c r="U86" s="172"/>
      <c r="V86" s="221"/>
      <c r="W86" s="221"/>
      <c r="X86" s="172"/>
      <c r="Y86" s="171" t="str">
        <f>N86</f>
        <v/>
      </c>
    </row>
    <row r="87" spans="2:31" ht="16.2" thickBot="1" x14ac:dyDescent="0.3">
      <c r="B87" s="488"/>
      <c r="C87" s="176" t="str">
        <f>IF(T0登记表!G67="浮动",T0登记表!B67,"")</f>
        <v/>
      </c>
      <c r="D87" s="177" t="str">
        <f>IF(C87="","",T0登记表!C67)</f>
        <v/>
      </c>
      <c r="E87" s="214" t="str">
        <f>IF(C87="","",T0登记表!D67)</f>
        <v/>
      </c>
      <c r="F87" s="213" t="str">
        <f>IF(C87="","",T0登记表!F67)</f>
        <v/>
      </c>
      <c r="G87" s="172"/>
      <c r="H87" s="221"/>
      <c r="I87" s="221"/>
      <c r="J87" s="219"/>
      <c r="K87" s="172"/>
      <c r="L87" s="221"/>
      <c r="M87" s="221"/>
      <c r="N87" s="171" t="str">
        <f>IF($C87="","",IF($D87&gt;=1,$E87*$C87,""))</f>
        <v/>
      </c>
      <c r="O87" s="171" t="str">
        <f>IF($O$84="","",IF($C87="","",IF($D87&gt;=2,($O$84+$E87)*$C87,"")))</f>
        <v/>
      </c>
      <c r="Q87" s="172"/>
      <c r="R87" s="221"/>
      <c r="S87" s="221"/>
      <c r="T87" s="219"/>
      <c r="U87" s="172"/>
      <c r="V87" s="221"/>
      <c r="W87" s="221"/>
      <c r="X87" s="172"/>
      <c r="Y87" s="171" t="str">
        <f>N87</f>
        <v/>
      </c>
    </row>
    <row r="88" spans="2:31" ht="16.2" thickBot="1" x14ac:dyDescent="0.3">
      <c r="B88" s="487"/>
      <c r="C88" s="176" t="str">
        <f>IF(T0登记表!G68="浮动",T0登记表!B68,"")</f>
        <v/>
      </c>
      <c r="D88" s="177" t="str">
        <f>IF(C88="","",T0登记表!C68)</f>
        <v/>
      </c>
      <c r="E88" s="214" t="str">
        <f>IF(C88="","",T0登记表!D68)</f>
        <v/>
      </c>
      <c r="F88" s="213" t="str">
        <f>IF(C88="","",T0登记表!F68)</f>
        <v/>
      </c>
      <c r="G88" s="172"/>
      <c r="H88" s="221"/>
      <c r="I88" s="221"/>
      <c r="J88" s="219"/>
      <c r="K88" s="172"/>
      <c r="L88" s="221"/>
      <c r="M88" s="221"/>
      <c r="N88" s="171" t="str">
        <f>IF($C88="","",IF($D88&gt;=1,$E88*$C88,""))</f>
        <v/>
      </c>
      <c r="O88" s="171" t="str">
        <f>IF($O$84="","",IF($C88="","",IF($D88&gt;=2,($O$84+$E88)*$C88,"")))</f>
        <v/>
      </c>
      <c r="Q88" s="172"/>
      <c r="R88" s="221"/>
      <c r="S88" s="221"/>
      <c r="T88" s="219"/>
      <c r="U88" s="172"/>
      <c r="V88" s="221"/>
      <c r="W88" s="221"/>
      <c r="X88" s="172"/>
      <c r="Y88" s="171" t="str">
        <f>N88</f>
        <v/>
      </c>
    </row>
    <row r="90" spans="2:31" x14ac:dyDescent="0.25">
      <c r="B90" s="201" t="s">
        <v>126</v>
      </c>
      <c r="C90" s="226"/>
      <c r="D90" s="226"/>
      <c r="E90" s="227"/>
      <c r="F90" s="226"/>
      <c r="Q90" s="201" t="s">
        <v>126</v>
      </c>
    </row>
    <row r="92" spans="2:31" x14ac:dyDescent="0.25">
      <c r="R92" s="92"/>
    </row>
    <row r="93" spans="2:31" ht="13.5" customHeight="1" x14ac:dyDescent="0.25">
      <c r="Z93" s="226"/>
      <c r="AA93" s="226"/>
      <c r="AB93" s="226"/>
      <c r="AC93" s="226"/>
      <c r="AD93" s="226"/>
      <c r="AE93" s="226"/>
    </row>
  </sheetData>
  <sheetProtection selectLockedCells="1"/>
  <mergeCells count="44">
    <mergeCell ref="G51:K51"/>
    <mergeCell ref="Q84:Y84"/>
    <mergeCell ref="B80:B83"/>
    <mergeCell ref="B84:F84"/>
    <mergeCell ref="Q51:V51"/>
    <mergeCell ref="B52:B55"/>
    <mergeCell ref="B85:B88"/>
    <mergeCell ref="G84:N84"/>
    <mergeCell ref="G73:M73"/>
    <mergeCell ref="Q73:X73"/>
    <mergeCell ref="Q62:W62"/>
    <mergeCell ref="G62:L62"/>
    <mergeCell ref="Q40:U40"/>
    <mergeCell ref="Q29:T29"/>
    <mergeCell ref="Q18:S18"/>
    <mergeCell ref="Q9:R9"/>
    <mergeCell ref="Q4:Y4"/>
    <mergeCell ref="Q2:Y3"/>
    <mergeCell ref="B74:B77"/>
    <mergeCell ref="F9:G9"/>
    <mergeCell ref="G18:H18"/>
    <mergeCell ref="H29:I29"/>
    <mergeCell ref="I40:J40"/>
    <mergeCell ref="B62:F62"/>
    <mergeCell ref="B63:B66"/>
    <mergeCell ref="B69:B72"/>
    <mergeCell ref="B73:F73"/>
    <mergeCell ref="B41:B44"/>
    <mergeCell ref="B47:B50"/>
    <mergeCell ref="B51:F51"/>
    <mergeCell ref="B58:B61"/>
    <mergeCell ref="B29:F29"/>
    <mergeCell ref="B30:B33"/>
    <mergeCell ref="B36:B39"/>
    <mergeCell ref="B40:F40"/>
    <mergeCell ref="B14:B17"/>
    <mergeCell ref="B18:F18"/>
    <mergeCell ref="B19:B22"/>
    <mergeCell ref="B25:B28"/>
    <mergeCell ref="B2:O3"/>
    <mergeCell ref="B4:F4"/>
    <mergeCell ref="G4:O4"/>
    <mergeCell ref="B7:B8"/>
    <mergeCell ref="B10:B11"/>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66FF33"/>
  </sheetPr>
  <dimension ref="B1:X90"/>
  <sheetViews>
    <sheetView topLeftCell="A19" zoomScale="90" zoomScaleNormal="90" workbookViewId="0">
      <selection activeCell="O2" sqref="O2"/>
    </sheetView>
  </sheetViews>
  <sheetFormatPr defaultColWidth="8.77734375" defaultRowHeight="14.4" x14ac:dyDescent="0.25"/>
  <cols>
    <col min="1" max="1" customWidth="true" style="66" width="2.88671875" collapsed="true"/>
    <col min="2" max="3" bestFit="true" customWidth="true" style="66" width="9.21875" collapsed="true"/>
    <col min="4" max="4" bestFit="true" customWidth="true" style="66" width="5.44140625" collapsed="true"/>
    <col min="5" max="5" customWidth="true" style="160" width="5.44140625" collapsed="true"/>
    <col min="6" max="12" customWidth="true" style="66" width="7.6640625" collapsed="true"/>
    <col min="13" max="13" customWidth="true" style="161" width="7.6640625" collapsed="true"/>
    <col min="14" max="14" customWidth="true" style="66" width="7.6640625" collapsed="true"/>
    <col min="15" max="15" customWidth="true" style="66" width="3.109375" collapsed="true"/>
    <col min="16" max="24" customWidth="true" style="66" width="7.6640625" collapsed="true"/>
    <col min="25" max="28" customWidth="true" style="66" width="6.33203125" collapsed="true"/>
    <col min="29" max="16384" style="66" width="8.77734375" collapsed="true"/>
  </cols>
  <sheetData>
    <row r="1" spans="2:24" ht="23.4" x14ac:dyDescent="0.5">
      <c r="F1" s="67" t="s">
        <v>350</v>
      </c>
      <c r="G1" s="68" t="str">
        <f>T0登记表!K1</f>
        <v>abc</v>
      </c>
      <c r="T1" s="67" t="s">
        <v>350</v>
      </c>
      <c r="U1" s="68" t="str">
        <f>T0登记表!K1</f>
        <v>abc</v>
      </c>
    </row>
    <row r="2" spans="2:24" ht="13.5" customHeight="1" x14ac:dyDescent="0.25">
      <c r="B2" s="476" t="s">
        <v>597</v>
      </c>
      <c r="C2" s="477"/>
      <c r="D2" s="477"/>
      <c r="E2" s="477"/>
      <c r="F2" s="477"/>
      <c r="G2" s="477"/>
      <c r="H2" s="477"/>
      <c r="I2" s="477"/>
      <c r="J2" s="477"/>
      <c r="K2" s="477"/>
      <c r="L2" s="477"/>
      <c r="M2" s="477"/>
      <c r="N2" s="478"/>
      <c r="P2" s="477" t="s">
        <v>431</v>
      </c>
      <c r="Q2" s="477"/>
      <c r="R2" s="477"/>
      <c r="S2" s="477"/>
      <c r="T2" s="477"/>
      <c r="U2" s="477"/>
      <c r="V2" s="477"/>
      <c r="W2" s="477"/>
      <c r="X2" s="478"/>
    </row>
    <row r="3" spans="2:24" ht="13.5" customHeight="1" x14ac:dyDescent="0.25">
      <c r="B3" s="479"/>
      <c r="C3" s="480"/>
      <c r="D3" s="480"/>
      <c r="E3" s="480"/>
      <c r="F3" s="480"/>
      <c r="G3" s="480"/>
      <c r="H3" s="480"/>
      <c r="I3" s="480"/>
      <c r="J3" s="480"/>
      <c r="K3" s="480"/>
      <c r="L3" s="480"/>
      <c r="M3" s="480"/>
      <c r="N3" s="481"/>
      <c r="P3" s="480"/>
      <c r="Q3" s="480"/>
      <c r="R3" s="480"/>
      <c r="S3" s="480"/>
      <c r="T3" s="480"/>
      <c r="U3" s="480"/>
      <c r="V3" s="480"/>
      <c r="W3" s="480"/>
      <c r="X3" s="481"/>
    </row>
    <row r="4" spans="2:24" ht="15.6" x14ac:dyDescent="0.25">
      <c r="B4" s="506" t="s">
        <v>131</v>
      </c>
      <c r="C4" s="506"/>
      <c r="D4" s="506"/>
      <c r="E4" s="506"/>
      <c r="F4" s="507" t="s">
        <v>132</v>
      </c>
      <c r="G4" s="508"/>
      <c r="H4" s="508"/>
      <c r="I4" s="508"/>
      <c r="J4" s="508"/>
      <c r="K4" s="508"/>
      <c r="L4" s="508"/>
      <c r="M4" s="508"/>
      <c r="N4" s="509"/>
      <c r="P4" s="507" t="s">
        <v>132</v>
      </c>
      <c r="Q4" s="508"/>
      <c r="R4" s="508"/>
      <c r="S4" s="508"/>
      <c r="T4" s="508"/>
      <c r="U4" s="508"/>
      <c r="V4" s="508"/>
      <c r="W4" s="508"/>
      <c r="X4" s="509"/>
    </row>
    <row r="5" spans="2:24" ht="16.2" thickBot="1" x14ac:dyDescent="0.3">
      <c r="B5" s="162" t="s">
        <v>133</v>
      </c>
      <c r="C5" s="162"/>
      <c r="D5" s="162"/>
      <c r="E5" s="163"/>
      <c r="F5" s="164"/>
      <c r="G5" s="165"/>
      <c r="H5" s="165"/>
      <c r="I5" s="165"/>
      <c r="J5" s="165"/>
      <c r="K5" s="165"/>
      <c r="L5" s="165"/>
      <c r="M5" s="166"/>
      <c r="N5" s="167"/>
      <c r="P5" s="164"/>
      <c r="Q5" s="165"/>
      <c r="R5" s="165"/>
      <c r="S5" s="165"/>
      <c r="T5" s="165"/>
      <c r="U5" s="165"/>
      <c r="V5" s="165"/>
      <c r="W5" s="165"/>
      <c r="X5" s="167"/>
    </row>
    <row r="6" spans="2:24" ht="16.2" thickBot="1" x14ac:dyDescent="0.3">
      <c r="B6" s="168" t="s">
        <v>134</v>
      </c>
      <c r="C6" s="169" t="s">
        <v>135</v>
      </c>
      <c r="D6" s="169" t="s">
        <v>56</v>
      </c>
      <c r="E6" s="170" t="s">
        <v>136</v>
      </c>
      <c r="F6" s="171" t="s">
        <v>89</v>
      </c>
      <c r="G6" s="171" t="s">
        <v>90</v>
      </c>
      <c r="H6" s="171" t="s">
        <v>91</v>
      </c>
      <c r="I6" s="171" t="s">
        <v>92</v>
      </c>
      <c r="J6" s="171" t="s">
        <v>93</v>
      </c>
      <c r="K6" s="172" t="s">
        <v>370</v>
      </c>
      <c r="L6" s="172" t="s">
        <v>95</v>
      </c>
      <c r="M6" s="173" t="s">
        <v>371</v>
      </c>
      <c r="N6" s="172" t="s">
        <v>97</v>
      </c>
      <c r="P6" s="172" t="s">
        <v>89</v>
      </c>
      <c r="Q6" s="174" t="s">
        <v>90</v>
      </c>
      <c r="R6" s="174" t="s">
        <v>91</v>
      </c>
      <c r="S6" s="174" t="s">
        <v>92</v>
      </c>
      <c r="T6" s="174" t="s">
        <v>93</v>
      </c>
      <c r="U6" s="175" t="s">
        <v>94</v>
      </c>
      <c r="V6" s="172" t="s">
        <v>95</v>
      </c>
      <c r="W6" s="172" t="s">
        <v>96</v>
      </c>
      <c r="X6" s="172" t="s">
        <v>97</v>
      </c>
    </row>
    <row r="7" spans="2:24" ht="16.2" thickBot="1" x14ac:dyDescent="0.3">
      <c r="B7" s="510" t="s">
        <v>138</v>
      </c>
      <c r="C7" s="176" t="str">
        <f>IF(T0登记表!P25=T0登记表!$T$38,"",IF(T0登记表!O25="固定",T0登记表!I25,""))</f>
        <v/>
      </c>
      <c r="D7" s="177" t="str">
        <f>IF(C7="","",T0登记表!J25)</f>
        <v/>
      </c>
      <c r="E7" s="178" t="str">
        <f>IF(C7="","",T0登记表!K25)</f>
        <v/>
      </c>
      <c r="F7" s="171" t="str">
        <f>IF($C7="","",IF($D7&gt;=1,$E7*$C7,""))</f>
        <v/>
      </c>
      <c r="G7" s="171" t="str">
        <f>IF($C7="","",IF($D7&gt;=2,$E7*$C7,""))</f>
        <v/>
      </c>
      <c r="H7" s="171" t="str">
        <f>IF($C7="","",IF($D7&gt;=3,$E7*$C7,""))</f>
        <v/>
      </c>
      <c r="I7" s="171" t="str">
        <f>IF($C7="","",IF($D7&gt;=4,$E7*$C7,""))</f>
        <v/>
      </c>
      <c r="J7" s="171" t="str">
        <f>IF($C7="","",IF($D7&gt;=5,$E7*$C7,""))</f>
        <v/>
      </c>
      <c r="K7" s="172"/>
      <c r="L7" s="172"/>
      <c r="M7" s="173"/>
      <c r="N7" s="172"/>
      <c r="P7" s="172"/>
      <c r="Q7" s="179" t="str">
        <f t="shared" ref="Q7:U8" si="0">F7</f>
        <v/>
      </c>
      <c r="R7" s="179" t="str">
        <f t="shared" si="0"/>
        <v/>
      </c>
      <c r="S7" s="179" t="str">
        <f t="shared" si="0"/>
        <v/>
      </c>
      <c r="T7" s="179" t="str">
        <f t="shared" si="0"/>
        <v/>
      </c>
      <c r="U7" s="179" t="str">
        <f t="shared" si="0"/>
        <v/>
      </c>
      <c r="V7" s="172"/>
      <c r="W7" s="172"/>
      <c r="X7" s="172"/>
    </row>
    <row r="8" spans="2:24" ht="16.2" thickBot="1" x14ac:dyDescent="0.3">
      <c r="B8" s="511"/>
      <c r="C8" s="176" t="str">
        <f>IF(T0登记表!P26=T0登记表!$T$38,"",IF(T0登记表!O26="固定",T0登记表!I26,""))</f>
        <v/>
      </c>
      <c r="D8" s="177" t="str">
        <f>IF(C8="","",T0登记表!J26)</f>
        <v/>
      </c>
      <c r="E8" s="178" t="str">
        <f>IF(C8="","",T0登记表!K26)</f>
        <v/>
      </c>
      <c r="F8" s="171" t="str">
        <f>IF($C8="","",IF($D8&gt;=1,$E8*$C8,""))</f>
        <v/>
      </c>
      <c r="G8" s="171" t="str">
        <f>IF($C8="","",IF($D8&gt;=2,$E8*$C8,""))</f>
        <v/>
      </c>
      <c r="H8" s="171" t="str">
        <f>IF($C8="","",IF($D8&gt;=3,$E8*$C8,""))</f>
        <v/>
      </c>
      <c r="I8" s="171" t="str">
        <f>IF($C8="","",IF($D8&gt;=4,$E8*$C8,""))</f>
        <v/>
      </c>
      <c r="J8" s="171" t="str">
        <f>IF($C8="","",IF($D8&gt;=5,$E8*$C8,""))</f>
        <v/>
      </c>
      <c r="K8" s="172"/>
      <c r="L8" s="172"/>
      <c r="M8" s="173"/>
      <c r="N8" s="172"/>
      <c r="P8" s="172"/>
      <c r="Q8" s="179" t="str">
        <f t="shared" si="0"/>
        <v/>
      </c>
      <c r="R8" s="179" t="str">
        <f t="shared" si="0"/>
        <v/>
      </c>
      <c r="S8" s="179" t="str">
        <f t="shared" si="0"/>
        <v/>
      </c>
      <c r="T8" s="179" t="str">
        <f t="shared" si="0"/>
        <v/>
      </c>
      <c r="U8" s="179" t="str">
        <f t="shared" si="0"/>
        <v/>
      </c>
      <c r="V8" s="172"/>
      <c r="W8" s="172"/>
      <c r="X8" s="172"/>
    </row>
    <row r="9" spans="2:24" ht="16.2" thickBot="1" x14ac:dyDescent="0.3">
      <c r="B9" s="180"/>
      <c r="C9" s="181"/>
      <c r="D9" s="181"/>
      <c r="E9" s="492" t="s">
        <v>160</v>
      </c>
      <c r="F9" s="493"/>
      <c r="G9" s="182">
        <f>IF(T0登记表!$N$7="","",T0登记表!$N$7)</f>
        <v>0.03</v>
      </c>
      <c r="H9" s="182">
        <f>IF(T0登记表!$N$8="","",T0登记表!$N$8)</f>
        <v>-0.01</v>
      </c>
      <c r="I9" s="182">
        <f>IF(T0登记表!$N$9="","",T0登记表!$N$9)</f>
        <v>-0.02</v>
      </c>
      <c r="J9" s="182">
        <f>IF(T0登记表!$N$10="","",T0登记表!$N$10)</f>
        <v>-0.01</v>
      </c>
      <c r="K9" s="172"/>
      <c r="L9" s="172"/>
      <c r="M9" s="173"/>
      <c r="N9" s="172"/>
      <c r="P9" s="513" t="s">
        <v>139</v>
      </c>
      <c r="Q9" s="515"/>
      <c r="R9" s="182">
        <f>IF(T0登记表!$N$8="","",T0登记表!$N$8)</f>
        <v>-0.01</v>
      </c>
      <c r="S9" s="182">
        <f>IF(T0登记表!$N$9="","",T0登记表!$N$9)</f>
        <v>-0.02</v>
      </c>
      <c r="T9" s="182">
        <f>IF(T0登记表!$N$10="","",T0登记表!$N$10)</f>
        <v>-0.01</v>
      </c>
      <c r="U9" s="182">
        <f>IF(T0登记表!$N$11="","",T0登记表!$N$11)</f>
        <v>-0.01</v>
      </c>
      <c r="V9" s="172"/>
      <c r="W9" s="172"/>
      <c r="X9" s="172"/>
    </row>
    <row r="10" spans="2:24" ht="16.2" thickBot="1" x14ac:dyDescent="0.3">
      <c r="B10" s="510" t="s">
        <v>140</v>
      </c>
      <c r="C10" s="176">
        <f>IF(T0登记表!P25=T0登记表!$T$38,"",IF(T0登记表!O25="浮动",T0登记表!I25,""))</f>
        <v>6000</v>
      </c>
      <c r="D10" s="177">
        <f>IF(C10="","",T0登记表!J25)</f>
        <v>5</v>
      </c>
      <c r="E10" s="178">
        <f>IF(C10="","",T0登记表!K25)</f>
        <v>0.03</v>
      </c>
      <c r="F10" s="171">
        <f>IF($C10="","",IF($D10&gt;=1,$E10*$C10,""))</f>
        <v>180</v>
      </c>
      <c r="G10" s="171">
        <f>IF($H$9="","",IF($C10="","",IF($D10&gt;=2,($H$9+$E10)*$C10,"")))</f>
        <v>119.99999999999999</v>
      </c>
      <c r="H10" s="171">
        <f>IF($I$9="","",IF($C10="","",IF($D10&gt;=3,(SUM($H$9:H$9)+$E10)*$C10,"")))</f>
        <v>119.99999999999999</v>
      </c>
      <c r="I10" s="171">
        <f>IF($J$9="","",IF($C10="","",IF($D10&gt;=4,(SUM($H$9:I$9)+$E10)*$C10,"")))</f>
        <v>0</v>
      </c>
      <c r="J10" s="171" t="str">
        <f>IF($K$9="","",IF($C10="","",IF($D10&gt;=5,(SUM($H$9:J$9)+$E10)*$C10,"")))</f>
        <v/>
      </c>
      <c r="K10" s="172"/>
      <c r="L10" s="172"/>
      <c r="M10" s="173"/>
      <c r="N10" s="172"/>
      <c r="P10" s="172"/>
      <c r="Q10" s="183">
        <f t="shared" ref="Q10:U11" si="1">F10</f>
        <v>180</v>
      </c>
      <c r="R10" s="183">
        <f t="shared" si="1"/>
        <v>119.99999999999999</v>
      </c>
      <c r="S10" s="183">
        <f t="shared" si="1"/>
        <v>119.99999999999999</v>
      </c>
      <c r="T10" s="183">
        <f t="shared" si="1"/>
        <v>0</v>
      </c>
      <c r="U10" s="183" t="str">
        <f t="shared" si="1"/>
        <v/>
      </c>
      <c r="V10" s="172"/>
      <c r="W10" s="172"/>
      <c r="X10" s="172"/>
    </row>
    <row r="11" spans="2:24" ht="16.2" thickBot="1" x14ac:dyDescent="0.3">
      <c r="B11" s="511"/>
      <c r="C11" s="176">
        <f>IF(T0登记表!P26=T0登记表!$T$38,"",IF(T0登记表!O26="浮动",T0登记表!I26,""))</f>
        <v>4231</v>
      </c>
      <c r="D11" s="177">
        <f>IF(C11="","",T0登记表!J26)</f>
        <v>1</v>
      </c>
      <c r="E11" s="178">
        <f>IF(C11="","",T0登记表!K26)</f>
        <v>0.02</v>
      </c>
      <c r="F11" s="171">
        <f>IF($C11="","",IF($D11&gt;=1,$E11*$C11,""))</f>
        <v>84.62</v>
      </c>
      <c r="G11" s="171" t="str">
        <f>IF($H$9="","",IF($C11="","",IF($D11&gt;=2,($H$9+$E11)*$C11,"")))</f>
        <v/>
      </c>
      <c r="H11" s="171" t="str">
        <f>IF($I$9="","",IF($C11="","",IF($D11&gt;=3,(SUM($H$9:H$9)+$E11)*$C11,"")))</f>
        <v/>
      </c>
      <c r="I11" s="171" t="str">
        <f>IF($J$9="","",IF($C11="","",IF($D11&gt;=4,(SUM($H$9:I$9)+$E11)*$C11,"")))</f>
        <v/>
      </c>
      <c r="J11" s="171" t="str">
        <f>IF($K$9="","",IF($C11="","",IF($D11&gt;=5,(SUM($H$9:J$9)+$E11)*$C11,"")))</f>
        <v/>
      </c>
      <c r="K11" s="172"/>
      <c r="L11" s="172"/>
      <c r="M11" s="173"/>
      <c r="N11" s="172"/>
      <c r="P11" s="172"/>
      <c r="Q11" s="183">
        <f t="shared" si="1"/>
        <v>84.62</v>
      </c>
      <c r="R11" s="183" t="str">
        <f t="shared" si="1"/>
        <v/>
      </c>
      <c r="S11" s="183" t="str">
        <f t="shared" si="1"/>
        <v/>
      </c>
      <c r="T11" s="183" t="str">
        <f t="shared" si="1"/>
        <v/>
      </c>
      <c r="U11" s="183" t="str">
        <f t="shared" si="1"/>
        <v/>
      </c>
      <c r="V11" s="172"/>
      <c r="W11" s="172"/>
      <c r="X11" s="172"/>
    </row>
    <row r="12" spans="2:24" ht="16.2" thickBot="1" x14ac:dyDescent="0.3">
      <c r="B12" s="162" t="s">
        <v>141</v>
      </c>
      <c r="C12" s="162"/>
      <c r="D12" s="162"/>
      <c r="E12" s="163"/>
      <c r="F12" s="162"/>
      <c r="G12" s="162"/>
      <c r="H12" s="162"/>
      <c r="I12" s="162"/>
      <c r="J12" s="162"/>
      <c r="K12" s="162"/>
      <c r="L12" s="162"/>
      <c r="M12" s="184"/>
      <c r="N12" s="162"/>
      <c r="P12" s="162"/>
      <c r="Q12" s="162"/>
      <c r="R12" s="162"/>
      <c r="S12" s="162"/>
      <c r="T12" s="162"/>
      <c r="U12" s="162"/>
      <c r="V12" s="162"/>
      <c r="W12" s="162"/>
      <c r="X12" s="162"/>
    </row>
    <row r="13" spans="2:24" ht="16.2" thickBot="1" x14ac:dyDescent="0.3">
      <c r="B13" s="168" t="s">
        <v>86</v>
      </c>
      <c r="C13" s="169" t="s">
        <v>142</v>
      </c>
      <c r="D13" s="169" t="s">
        <v>56</v>
      </c>
      <c r="E13" s="170" t="s">
        <v>143</v>
      </c>
      <c r="F13" s="172" t="s">
        <v>89</v>
      </c>
      <c r="G13" s="171" t="s">
        <v>102</v>
      </c>
      <c r="H13" s="171" t="s">
        <v>91</v>
      </c>
      <c r="I13" s="171" t="s">
        <v>92</v>
      </c>
      <c r="J13" s="171" t="s">
        <v>93</v>
      </c>
      <c r="K13" s="171" t="s">
        <v>94</v>
      </c>
      <c r="L13" s="172" t="s">
        <v>95</v>
      </c>
      <c r="M13" s="173" t="s">
        <v>127</v>
      </c>
      <c r="N13" s="172" t="s">
        <v>97</v>
      </c>
      <c r="P13" s="172" t="s">
        <v>89</v>
      </c>
      <c r="Q13" s="172" t="s">
        <v>102</v>
      </c>
      <c r="R13" s="185" t="s">
        <v>91</v>
      </c>
      <c r="S13" s="185" t="s">
        <v>92</v>
      </c>
      <c r="T13" s="185" t="s">
        <v>93</v>
      </c>
      <c r="U13" s="185" t="s">
        <v>94</v>
      </c>
      <c r="V13" s="183" t="s">
        <v>105</v>
      </c>
      <c r="W13" s="172" t="s">
        <v>96</v>
      </c>
      <c r="X13" s="172" t="s">
        <v>97</v>
      </c>
    </row>
    <row r="14" spans="2:24" ht="16.2" thickBot="1" x14ac:dyDescent="0.3">
      <c r="B14" s="510" t="s">
        <v>138</v>
      </c>
      <c r="C14" s="176" t="str">
        <f>IF(T0登记表!P29=T0登记表!$T$38,"",IF(T0登记表!O29="固定",T0登记表!I29,""))</f>
        <v/>
      </c>
      <c r="D14" s="177" t="str">
        <f>IF(C14="","",T0登记表!J29)</f>
        <v/>
      </c>
      <c r="E14" s="178" t="str">
        <f>IF(C14="","",T0登记表!K29)</f>
        <v/>
      </c>
      <c r="F14" s="172"/>
      <c r="G14" s="171" t="str">
        <f>IF($C14="","",IF($D14&gt;=1,$E14*$C14,""))</f>
        <v/>
      </c>
      <c r="H14" s="171" t="str">
        <f>IF($C14="","",IF($D14&gt;=2,$E14*$C14,""))</f>
        <v/>
      </c>
      <c r="I14" s="171" t="str">
        <f>IF($C14="","",IF($D14&gt;=3,$E14*$C14,""))</f>
        <v/>
      </c>
      <c r="J14" s="171" t="str">
        <f>IF($C14="","",IF($D14&gt;=4,$E14*$C14,""))</f>
        <v/>
      </c>
      <c r="K14" s="171" t="str">
        <f>IF($C14="","",IF($D14&gt;=5,$E14*$C14,""))</f>
        <v/>
      </c>
      <c r="L14" s="172"/>
      <c r="M14" s="173"/>
      <c r="N14" s="172"/>
      <c r="P14" s="172"/>
      <c r="Q14" s="172"/>
      <c r="R14" s="186" t="str">
        <f t="shared" ref="R14:V17" si="2">G14</f>
        <v/>
      </c>
      <c r="S14" s="186" t="str">
        <f t="shared" si="2"/>
        <v/>
      </c>
      <c r="T14" s="186" t="str">
        <f t="shared" si="2"/>
        <v/>
      </c>
      <c r="U14" s="186" t="str">
        <f t="shared" si="2"/>
        <v/>
      </c>
      <c r="V14" s="186" t="str">
        <f t="shared" si="2"/>
        <v/>
      </c>
      <c r="W14" s="172"/>
      <c r="X14" s="172"/>
    </row>
    <row r="15" spans="2:24" ht="16.2" thickBot="1" x14ac:dyDescent="0.3">
      <c r="B15" s="512"/>
      <c r="C15" s="176" t="str">
        <f>IF(T0登记表!P30=T0登记表!$T$38,"",IF(T0登记表!O30="固定",T0登记表!I30,""))</f>
        <v/>
      </c>
      <c r="D15" s="177" t="str">
        <f>IF(C15="","",T0登记表!J30)</f>
        <v/>
      </c>
      <c r="E15" s="178" t="str">
        <f>IF(C15="","",T0登记表!K30)</f>
        <v/>
      </c>
      <c r="F15" s="172"/>
      <c r="G15" s="171" t="str">
        <f>IF($C15="","",IF($D15&gt;=1,$E15*$C15,""))</f>
        <v/>
      </c>
      <c r="H15" s="171" t="str">
        <f>IF($C15="","",IF($D15&gt;=2,$E15*$C15,""))</f>
        <v/>
      </c>
      <c r="I15" s="171" t="str">
        <f>IF($C15="","",IF($D15&gt;=3,$E15*$C15,""))</f>
        <v/>
      </c>
      <c r="J15" s="171" t="str">
        <f>IF($C15="","",IF($D15&gt;=4,$E15*$C15,""))</f>
        <v/>
      </c>
      <c r="K15" s="171" t="str">
        <f>IF($C15="","",IF($D15&gt;=5,$E15*$C15,""))</f>
        <v/>
      </c>
      <c r="L15" s="172"/>
      <c r="M15" s="173"/>
      <c r="N15" s="172"/>
      <c r="P15" s="172"/>
      <c r="Q15" s="172"/>
      <c r="R15" s="186" t="str">
        <f t="shared" si="2"/>
        <v/>
      </c>
      <c r="S15" s="186" t="str">
        <f t="shared" si="2"/>
        <v/>
      </c>
      <c r="T15" s="186" t="str">
        <f t="shared" si="2"/>
        <v/>
      </c>
      <c r="U15" s="186" t="str">
        <f t="shared" si="2"/>
        <v/>
      </c>
      <c r="V15" s="186" t="str">
        <f t="shared" si="2"/>
        <v/>
      </c>
      <c r="W15" s="172"/>
      <c r="X15" s="172"/>
    </row>
    <row r="16" spans="2:24" ht="16.2" thickBot="1" x14ac:dyDescent="0.3">
      <c r="B16" s="512"/>
      <c r="C16" s="176" t="str">
        <f>IF(T0登记表!P31=T0登记表!$T$38,"",IF(T0登记表!O31="固定",T0登记表!I31,""))</f>
        <v/>
      </c>
      <c r="D16" s="177" t="str">
        <f>IF(C16="","",T0登记表!J31)</f>
        <v/>
      </c>
      <c r="E16" s="178" t="str">
        <f>IF(C16="","",T0登记表!K31)</f>
        <v/>
      </c>
      <c r="F16" s="172"/>
      <c r="G16" s="171" t="str">
        <f>IF($C16="","",IF($D16&gt;=1,$E16*$C16,""))</f>
        <v/>
      </c>
      <c r="H16" s="171" t="str">
        <f>IF($C16="","",IF($D16&gt;=2,$E16*$C16,""))</f>
        <v/>
      </c>
      <c r="I16" s="171" t="str">
        <f>IF($C16="","",IF($D16&gt;=3,$E16*$C16,""))</f>
        <v/>
      </c>
      <c r="J16" s="171" t="str">
        <f>IF($C16="","",IF($D16&gt;=4,$E16*$C16,""))</f>
        <v/>
      </c>
      <c r="K16" s="171" t="str">
        <f>IF($C16="","",IF($D16&gt;=5,$E16*$C16,""))</f>
        <v/>
      </c>
      <c r="L16" s="172"/>
      <c r="M16" s="173"/>
      <c r="N16" s="172"/>
      <c r="P16" s="172"/>
      <c r="Q16" s="172"/>
      <c r="R16" s="186" t="str">
        <f t="shared" si="2"/>
        <v/>
      </c>
      <c r="S16" s="186" t="str">
        <f t="shared" si="2"/>
        <v/>
      </c>
      <c r="T16" s="186" t="str">
        <f t="shared" si="2"/>
        <v/>
      </c>
      <c r="U16" s="186" t="str">
        <f t="shared" si="2"/>
        <v/>
      </c>
      <c r="V16" s="186" t="str">
        <f t="shared" si="2"/>
        <v/>
      </c>
      <c r="W16" s="172"/>
      <c r="X16" s="172"/>
    </row>
    <row r="17" spans="2:24" ht="16.2" thickBot="1" x14ac:dyDescent="0.3">
      <c r="B17" s="511"/>
      <c r="C17" s="176" t="str">
        <f>IF(T0登记表!P32=T0登记表!$T$38,"",IF(T0登记表!O32="固定",T0登记表!I32,""))</f>
        <v/>
      </c>
      <c r="D17" s="177" t="str">
        <f>IF(C17="","",T0登记表!J32)</f>
        <v/>
      </c>
      <c r="E17" s="178" t="str">
        <f>IF(C17="","",T0登记表!K32)</f>
        <v/>
      </c>
      <c r="F17" s="172"/>
      <c r="G17" s="171" t="str">
        <f>IF($C17="","",IF($D17&gt;=1,$E17*$C17,""))</f>
        <v/>
      </c>
      <c r="H17" s="171" t="str">
        <f>IF($C17="","",IF($D17&gt;=2,$E17*$C17,""))</f>
        <v/>
      </c>
      <c r="I17" s="171" t="str">
        <f>IF($C17="","",IF($D17&gt;=3,$E17*$C17,""))</f>
        <v/>
      </c>
      <c r="J17" s="171" t="str">
        <f>IF($C17="","",IF($D17&gt;=4,$E17*$C17,""))</f>
        <v/>
      </c>
      <c r="K17" s="171" t="str">
        <f>IF($C17="","",IF($D17&gt;=5,$E17*$C17,""))</f>
        <v/>
      </c>
      <c r="L17" s="172"/>
      <c r="M17" s="173"/>
      <c r="N17" s="172"/>
      <c r="P17" s="172"/>
      <c r="Q17" s="172"/>
      <c r="R17" s="186" t="str">
        <f t="shared" si="2"/>
        <v/>
      </c>
      <c r="S17" s="186" t="str">
        <f t="shared" si="2"/>
        <v/>
      </c>
      <c r="T17" s="186" t="str">
        <f t="shared" si="2"/>
        <v/>
      </c>
      <c r="U17" s="186" t="str">
        <f t="shared" si="2"/>
        <v/>
      </c>
      <c r="V17" s="186" t="str">
        <f t="shared" si="2"/>
        <v/>
      </c>
      <c r="W17" s="172"/>
      <c r="X17" s="172"/>
    </row>
    <row r="18" spans="2:24" ht="16.2" thickBot="1" x14ac:dyDescent="0.3">
      <c r="B18" s="507"/>
      <c r="C18" s="508"/>
      <c r="D18" s="508"/>
      <c r="E18" s="509"/>
      <c r="F18" s="492" t="s">
        <v>160</v>
      </c>
      <c r="G18" s="493"/>
      <c r="H18" s="182">
        <f>IF(T0登记表!$N$8="","",T0登记表!$N$8)</f>
        <v>-0.01</v>
      </c>
      <c r="I18" s="182">
        <f>IF(T0登记表!$N$9="","",T0登记表!$N$9)</f>
        <v>-0.02</v>
      </c>
      <c r="J18" s="182">
        <f>IF(T0登记表!$N$10="","",T0登记表!$N$10)</f>
        <v>-0.01</v>
      </c>
      <c r="K18" s="182">
        <f>IF(T0登记表!$N$11="","",T0登记表!$N$11)</f>
        <v>-0.01</v>
      </c>
      <c r="L18" s="172"/>
      <c r="M18" s="173"/>
      <c r="N18" s="172"/>
      <c r="P18" s="513" t="s">
        <v>144</v>
      </c>
      <c r="Q18" s="514"/>
      <c r="R18" s="515"/>
      <c r="S18" s="182">
        <f>IF(T0登记表!$N$9="","",T0登记表!$N$9)</f>
        <v>-0.02</v>
      </c>
      <c r="T18" s="182">
        <f>IF(T0登记表!$N$10="","",T0登记表!$N$10)</f>
        <v>-0.01</v>
      </c>
      <c r="U18" s="182">
        <f>IF(T0登记表!$N$11="","",T0登记表!$N$11)</f>
        <v>-0.01</v>
      </c>
      <c r="V18" s="182">
        <f>IF(T0登记表!$N$12="","",T0登记表!$N$12)</f>
        <v>0</v>
      </c>
      <c r="W18" s="172"/>
      <c r="X18" s="172"/>
    </row>
    <row r="19" spans="2:24" ht="16.2" thickBot="1" x14ac:dyDescent="0.3">
      <c r="B19" s="510" t="s">
        <v>145</v>
      </c>
      <c r="C19" s="176" t="str">
        <f>IF(T0登记表!P29=T0登记表!$T$38,"",IF(T0登记表!O29="浮动",T0登记表!I29,""))</f>
        <v/>
      </c>
      <c r="D19" s="177" t="str">
        <f>IF(C19="","",T0登记表!J29)</f>
        <v/>
      </c>
      <c r="E19" s="178" t="str">
        <f>IF(C19="","",T0登记表!K29)</f>
        <v/>
      </c>
      <c r="F19" s="172"/>
      <c r="G19" s="171" t="str">
        <f>IF($C19="","",IF($D19&gt;=1,$E19*$C19,""))</f>
        <v/>
      </c>
      <c r="H19" s="171" t="str">
        <f>IF($H$18="","",IF($C19="","",IF($D19&gt;=2,($H$18+$E19)*$C19,"")))</f>
        <v/>
      </c>
      <c r="I19" s="171" t="str">
        <f>IF($I$18="","",IF($C19="","",IF($D19&gt;=3,(SUM($H$9:I$9)+$E19)*$C19,"")))</f>
        <v/>
      </c>
      <c r="J19" s="171" t="str">
        <f>IF($J$18="","",IF($C19="","",IF($D19&gt;=4,(SUM($H$9:J$9)+$E19)*$C19,"")))</f>
        <v/>
      </c>
      <c r="K19" s="171" t="str">
        <f>IF($K$18="","",IF($C19="","",IF($D19&gt;=5,(SUM($H$18:K$18)+$E19)*$C19,"")))</f>
        <v/>
      </c>
      <c r="L19" s="172"/>
      <c r="M19" s="173"/>
      <c r="N19" s="172"/>
      <c r="P19" s="172"/>
      <c r="Q19" s="172"/>
      <c r="R19" s="186" t="str">
        <f t="shared" ref="R19:V22" si="3">G19</f>
        <v/>
      </c>
      <c r="S19" s="186" t="str">
        <f t="shared" si="3"/>
        <v/>
      </c>
      <c r="T19" s="186" t="str">
        <f t="shared" si="3"/>
        <v/>
      </c>
      <c r="U19" s="186" t="str">
        <f t="shared" si="3"/>
        <v/>
      </c>
      <c r="V19" s="186" t="str">
        <f t="shared" si="3"/>
        <v/>
      </c>
      <c r="W19" s="172"/>
      <c r="X19" s="172"/>
    </row>
    <row r="20" spans="2:24" ht="16.2" thickBot="1" x14ac:dyDescent="0.3">
      <c r="B20" s="512"/>
      <c r="C20" s="176" t="str">
        <f>IF(T0登记表!P30=T0登记表!$T$38,"",IF(T0登记表!O30="浮动",T0登记表!I30,""))</f>
        <v/>
      </c>
      <c r="D20" s="177" t="str">
        <f>IF(C20="","",T0登记表!J30)</f>
        <v/>
      </c>
      <c r="E20" s="178" t="str">
        <f>IF(C20="","",T0登记表!K30)</f>
        <v/>
      </c>
      <c r="F20" s="172"/>
      <c r="G20" s="171" t="str">
        <f t="shared" ref="G20:G22" si="4">IF($C20="","",IF($D20&gt;=1,$E20*$C20,""))</f>
        <v/>
      </c>
      <c r="H20" s="171" t="str">
        <f t="shared" ref="H20:H22" si="5">IF($H$18="","",IF($C20="","",IF($D20&gt;=2,($H$18+$E20)*$C20,"")))</f>
        <v/>
      </c>
      <c r="I20" s="171" t="str">
        <f>IF($I$18="","",IF($C20="","",IF($D20&gt;=3,(SUM($H$9:I$9)+$E20)*$C20,"")))</f>
        <v/>
      </c>
      <c r="J20" s="171" t="str">
        <f>IF($J$18="","",IF($C20="","",IF($D20&gt;=4,(SUM($H$9:J$9)+$E20)*$C20,"")))</f>
        <v/>
      </c>
      <c r="K20" s="171" t="str">
        <f>IF($K$18="","",IF($C20="","",IF($D20&gt;=5,(SUM($H$18:K$18)+$E20)*$C20,"")))</f>
        <v/>
      </c>
      <c r="L20" s="172"/>
      <c r="M20" s="173"/>
      <c r="N20" s="172"/>
      <c r="P20" s="172"/>
      <c r="Q20" s="172"/>
      <c r="R20" s="186" t="str">
        <f t="shared" si="3"/>
        <v/>
      </c>
      <c r="S20" s="186" t="str">
        <f t="shared" si="3"/>
        <v/>
      </c>
      <c r="T20" s="186" t="str">
        <f t="shared" si="3"/>
        <v/>
      </c>
      <c r="U20" s="186" t="str">
        <f t="shared" si="3"/>
        <v/>
      </c>
      <c r="V20" s="186" t="str">
        <f t="shared" si="3"/>
        <v/>
      </c>
      <c r="W20" s="172"/>
      <c r="X20" s="172"/>
    </row>
    <row r="21" spans="2:24" ht="16.2" thickBot="1" x14ac:dyDescent="0.3">
      <c r="B21" s="512"/>
      <c r="C21" s="176" t="str">
        <f>IF(T0登记表!P31=T0登记表!$T$38,"",IF(T0登记表!O31="浮动",T0登记表!I31,""))</f>
        <v/>
      </c>
      <c r="D21" s="177" t="str">
        <f>IF(C21="","",T0登记表!J31)</f>
        <v/>
      </c>
      <c r="E21" s="178" t="str">
        <f>IF(C21="","",T0登记表!K31)</f>
        <v/>
      </c>
      <c r="F21" s="172"/>
      <c r="G21" s="171" t="str">
        <f t="shared" si="4"/>
        <v/>
      </c>
      <c r="H21" s="171" t="str">
        <f t="shared" si="5"/>
        <v/>
      </c>
      <c r="I21" s="171" t="str">
        <f>IF($I$18="","",IF($C21="","",IF($D21&gt;=3,(SUM($H$9:I$9)+$E21)*$C21,"")))</f>
        <v/>
      </c>
      <c r="J21" s="171" t="str">
        <f>IF($J$18="","",IF($C21="","",IF($D21&gt;=4,(SUM($H$9:J$9)+$E21)*$C21,"")))</f>
        <v/>
      </c>
      <c r="K21" s="171" t="str">
        <f>IF($K$18="","",IF($C21="","",IF($D21&gt;=5,(SUM($H$18:K$18)+$E21)*$C21,"")))</f>
        <v/>
      </c>
      <c r="L21" s="172"/>
      <c r="M21" s="173"/>
      <c r="N21" s="172"/>
      <c r="P21" s="172"/>
      <c r="Q21" s="172"/>
      <c r="R21" s="186" t="str">
        <f t="shared" si="3"/>
        <v/>
      </c>
      <c r="S21" s="186" t="str">
        <f t="shared" si="3"/>
        <v/>
      </c>
      <c r="T21" s="186" t="str">
        <f t="shared" si="3"/>
        <v/>
      </c>
      <c r="U21" s="186" t="str">
        <f t="shared" si="3"/>
        <v/>
      </c>
      <c r="V21" s="186" t="str">
        <f t="shared" si="3"/>
        <v/>
      </c>
      <c r="W21" s="172"/>
      <c r="X21" s="172"/>
    </row>
    <row r="22" spans="2:24" ht="16.2" thickBot="1" x14ac:dyDescent="0.3">
      <c r="B22" s="511"/>
      <c r="C22" s="176" t="str">
        <f>IF(T0登记表!P32=T0登记表!$T$38,"",IF(T0登记表!O32="浮动",T0登记表!I32,""))</f>
        <v/>
      </c>
      <c r="D22" s="177" t="str">
        <f>IF(C22="","",T0登记表!J32)</f>
        <v/>
      </c>
      <c r="E22" s="178" t="str">
        <f>IF(C22="","",T0登记表!K32)</f>
        <v/>
      </c>
      <c r="F22" s="172"/>
      <c r="G22" s="171" t="str">
        <f t="shared" si="4"/>
        <v/>
      </c>
      <c r="H22" s="171" t="str">
        <f t="shared" si="5"/>
        <v/>
      </c>
      <c r="I22" s="171" t="str">
        <f>IF($I$18="","",IF($C22="","",IF($D22&gt;=3,(SUM($H$9:I$9)+$E22)*$C22,"")))</f>
        <v/>
      </c>
      <c r="J22" s="171" t="str">
        <f>IF($J$18="","",IF($C22="","",IF($D22&gt;=4,(SUM($H$9:J$9)+$E22)*$C22,"")))</f>
        <v/>
      </c>
      <c r="K22" s="171" t="str">
        <f>IF($K$18="","",IF($C22="","",IF($D22&gt;=5,(SUM($H$18:K$18)+$E22)*$C22,"")))</f>
        <v/>
      </c>
      <c r="L22" s="172"/>
      <c r="M22" s="173"/>
      <c r="N22" s="172"/>
      <c r="P22" s="172"/>
      <c r="Q22" s="172"/>
      <c r="R22" s="186" t="str">
        <f t="shared" si="3"/>
        <v/>
      </c>
      <c r="S22" s="186" t="str">
        <f t="shared" si="3"/>
        <v/>
      </c>
      <c r="T22" s="186" t="str">
        <f t="shared" si="3"/>
        <v/>
      </c>
      <c r="U22" s="186" t="str">
        <f t="shared" si="3"/>
        <v/>
      </c>
      <c r="V22" s="186" t="str">
        <f t="shared" si="3"/>
        <v/>
      </c>
      <c r="W22" s="172"/>
      <c r="X22" s="172"/>
    </row>
    <row r="23" spans="2:24" ht="16.2" thickBot="1" x14ac:dyDescent="0.3">
      <c r="B23" s="162" t="s">
        <v>146</v>
      </c>
      <c r="C23" s="162"/>
      <c r="D23" s="162"/>
      <c r="E23" s="163"/>
      <c r="F23" s="162"/>
      <c r="G23" s="162"/>
      <c r="H23" s="162"/>
      <c r="I23" s="162"/>
      <c r="J23" s="162"/>
      <c r="K23" s="162"/>
      <c r="L23" s="162"/>
      <c r="M23" s="184"/>
      <c r="N23" s="162"/>
      <c r="P23" s="162"/>
      <c r="Q23" s="162"/>
      <c r="R23" s="162"/>
      <c r="S23" s="162"/>
      <c r="T23" s="162"/>
      <c r="U23" s="162"/>
      <c r="V23" s="162"/>
      <c r="W23" s="162"/>
      <c r="X23" s="162"/>
    </row>
    <row r="24" spans="2:24" ht="16.2" thickBot="1" x14ac:dyDescent="0.3">
      <c r="B24" s="168" t="s">
        <v>147</v>
      </c>
      <c r="C24" s="169" t="s">
        <v>148</v>
      </c>
      <c r="D24" s="169" t="s">
        <v>56</v>
      </c>
      <c r="E24" s="170" t="s">
        <v>143</v>
      </c>
      <c r="F24" s="172" t="s">
        <v>372</v>
      </c>
      <c r="G24" s="172" t="s">
        <v>102</v>
      </c>
      <c r="H24" s="171" t="s">
        <v>104</v>
      </c>
      <c r="I24" s="171" t="s">
        <v>92</v>
      </c>
      <c r="J24" s="171" t="s">
        <v>93</v>
      </c>
      <c r="K24" s="171" t="s">
        <v>94</v>
      </c>
      <c r="L24" s="171" t="s">
        <v>105</v>
      </c>
      <c r="M24" s="173" t="s">
        <v>127</v>
      </c>
      <c r="N24" s="172" t="s">
        <v>97</v>
      </c>
      <c r="P24" s="172" t="s">
        <v>89</v>
      </c>
      <c r="Q24" s="172" t="s">
        <v>102</v>
      </c>
      <c r="R24" s="172" t="s">
        <v>104</v>
      </c>
      <c r="S24" s="185" t="s">
        <v>92</v>
      </c>
      <c r="T24" s="185" t="s">
        <v>93</v>
      </c>
      <c r="U24" s="185" t="s">
        <v>94</v>
      </c>
      <c r="V24" s="185" t="s">
        <v>105</v>
      </c>
      <c r="W24" s="183" t="s">
        <v>106</v>
      </c>
      <c r="X24" s="172" t="s">
        <v>97</v>
      </c>
    </row>
    <row r="25" spans="2:24" ht="16.2" thickBot="1" x14ac:dyDescent="0.3">
      <c r="B25" s="510" t="s">
        <v>138</v>
      </c>
      <c r="C25" s="177" t="str">
        <f>IF(T0登记表!P35=T0登记表!$T$38,"",IF(T0登记表!O35="固定",T0登记表!I35,""))</f>
        <v/>
      </c>
      <c r="D25" s="177" t="str">
        <f>IF(C25="","",T0登记表!J35)</f>
        <v/>
      </c>
      <c r="E25" s="178" t="str">
        <f>IF(C25="","",T0登记表!K35)</f>
        <v/>
      </c>
      <c r="F25" s="172"/>
      <c r="G25" s="172"/>
      <c r="H25" s="171" t="str">
        <f>IF($C25="","",IF($D25&gt;=1,$E25*$C25,""))</f>
        <v/>
      </c>
      <c r="I25" s="171" t="str">
        <f>IF($C25="","",IF($D25&gt;=2,$E25*$C25,""))</f>
        <v/>
      </c>
      <c r="J25" s="171" t="str">
        <f>IF($C25="","",IF($D25&gt;=3,$E25*$C25,""))</f>
        <v/>
      </c>
      <c r="K25" s="171" t="str">
        <f>IF($C25="","",IF($D25&gt;=4,$E25*$C25,""))</f>
        <v/>
      </c>
      <c r="L25" s="171" t="str">
        <f>IF($C25="","",IF($D25&gt;=5,$E25*$C25,""))</f>
        <v/>
      </c>
      <c r="M25" s="173"/>
      <c r="N25" s="172"/>
      <c r="P25" s="172"/>
      <c r="Q25" s="172"/>
      <c r="R25" s="172"/>
      <c r="S25" s="186" t="str">
        <f t="shared" ref="S25:W28" si="6">H25</f>
        <v/>
      </c>
      <c r="T25" s="186" t="str">
        <f t="shared" si="6"/>
        <v/>
      </c>
      <c r="U25" s="186" t="str">
        <f t="shared" si="6"/>
        <v/>
      </c>
      <c r="V25" s="186" t="str">
        <f t="shared" si="6"/>
        <v/>
      </c>
      <c r="W25" s="186" t="str">
        <f t="shared" si="6"/>
        <v/>
      </c>
      <c r="X25" s="172"/>
    </row>
    <row r="26" spans="2:24" ht="16.2" thickBot="1" x14ac:dyDescent="0.3">
      <c r="B26" s="512"/>
      <c r="C26" s="177" t="str">
        <f>IF(T0登记表!P36=T0登记表!$T$38,"",IF(T0登记表!O36="固定",T0登记表!I36,""))</f>
        <v/>
      </c>
      <c r="D26" s="177" t="str">
        <f>IF(C26="","",T0登记表!J36)</f>
        <v/>
      </c>
      <c r="E26" s="178" t="str">
        <f>IF(C26="","",T0登记表!K36)</f>
        <v/>
      </c>
      <c r="F26" s="172"/>
      <c r="G26" s="172"/>
      <c r="H26" s="171" t="str">
        <f>IF($C26="","",IF($D26&gt;=1,$E26*$C26,""))</f>
        <v/>
      </c>
      <c r="I26" s="171" t="str">
        <f>IF($C26="","",IF($D26&gt;=2,$E26*$C26,""))</f>
        <v/>
      </c>
      <c r="J26" s="171" t="str">
        <f>IF($C26="","",IF($D26&gt;=3,$E26*$C26,""))</f>
        <v/>
      </c>
      <c r="K26" s="171" t="str">
        <f>IF($C26="","",IF($D26&gt;=4,$E26*$C26,""))</f>
        <v/>
      </c>
      <c r="L26" s="171" t="str">
        <f>IF($C26="","",IF($D26&gt;=5,$E26*$C26,""))</f>
        <v/>
      </c>
      <c r="M26" s="173"/>
      <c r="N26" s="172"/>
      <c r="P26" s="172"/>
      <c r="Q26" s="172"/>
      <c r="R26" s="172"/>
      <c r="S26" s="186" t="str">
        <f t="shared" si="6"/>
        <v/>
      </c>
      <c r="T26" s="186" t="str">
        <f t="shared" si="6"/>
        <v/>
      </c>
      <c r="U26" s="186" t="str">
        <f t="shared" si="6"/>
        <v/>
      </c>
      <c r="V26" s="186" t="str">
        <f t="shared" si="6"/>
        <v/>
      </c>
      <c r="W26" s="186" t="str">
        <f t="shared" si="6"/>
        <v/>
      </c>
      <c r="X26" s="172"/>
    </row>
    <row r="27" spans="2:24" ht="16.2" thickBot="1" x14ac:dyDescent="0.3">
      <c r="B27" s="512"/>
      <c r="C27" s="177" t="str">
        <f>IF(T0登记表!P37=T0登记表!$T$38,"",IF(T0登记表!O37="固定",T0登记表!I37,""))</f>
        <v/>
      </c>
      <c r="D27" s="177" t="str">
        <f>IF(C27="","",T0登记表!J37)</f>
        <v/>
      </c>
      <c r="E27" s="178" t="str">
        <f>IF(C27="","",T0登记表!K37)</f>
        <v/>
      </c>
      <c r="F27" s="172"/>
      <c r="G27" s="172"/>
      <c r="H27" s="171" t="str">
        <f>IF($C27="","",IF($D27&gt;=1,$E27*$C27,""))</f>
        <v/>
      </c>
      <c r="I27" s="171" t="str">
        <f>IF($C27="","",IF($D27&gt;=2,$E27*$C27,""))</f>
        <v/>
      </c>
      <c r="J27" s="171" t="str">
        <f>IF($C27="","",IF($D27&gt;=3,$E27*$C27,""))</f>
        <v/>
      </c>
      <c r="K27" s="171" t="str">
        <f>IF($C27="","",IF($D27&gt;=4,$E27*$C27,""))</f>
        <v/>
      </c>
      <c r="L27" s="171" t="str">
        <f>IF($C27="","",IF($D27&gt;=5,$E27*$C27,""))</f>
        <v/>
      </c>
      <c r="M27" s="173"/>
      <c r="N27" s="172"/>
      <c r="P27" s="172"/>
      <c r="Q27" s="172"/>
      <c r="R27" s="172"/>
      <c r="S27" s="186" t="str">
        <f t="shared" si="6"/>
        <v/>
      </c>
      <c r="T27" s="186" t="str">
        <f t="shared" si="6"/>
        <v/>
      </c>
      <c r="U27" s="186" t="str">
        <f t="shared" si="6"/>
        <v/>
      </c>
      <c r="V27" s="186" t="str">
        <f t="shared" si="6"/>
        <v/>
      </c>
      <c r="W27" s="186" t="str">
        <f t="shared" si="6"/>
        <v/>
      </c>
      <c r="X27" s="172"/>
    </row>
    <row r="28" spans="2:24" ht="16.2" thickBot="1" x14ac:dyDescent="0.3">
      <c r="B28" s="511"/>
      <c r="C28" s="177" t="str">
        <f>IF(T0登记表!P38=T0登记表!$T$38,"",IF(T0登记表!O38="固定",T0登记表!I38,""))</f>
        <v/>
      </c>
      <c r="D28" s="177" t="str">
        <f>IF(C28="","",T0登记表!J38)</f>
        <v/>
      </c>
      <c r="E28" s="178" t="str">
        <f>IF(C28="","",T0登记表!K38)</f>
        <v/>
      </c>
      <c r="F28" s="172"/>
      <c r="G28" s="172"/>
      <c r="H28" s="171" t="str">
        <f>IF($C28="","",IF($D28&gt;=1,$E28*$C28,""))</f>
        <v/>
      </c>
      <c r="I28" s="171" t="str">
        <f>IF($C28="","",IF($D28&gt;=2,$E28*$C28,""))</f>
        <v/>
      </c>
      <c r="J28" s="171" t="str">
        <f>IF($C28="","",IF($D28&gt;=3,$E28*$C28,""))</f>
        <v/>
      </c>
      <c r="K28" s="171" t="str">
        <f>IF($C28="","",IF($D28&gt;=4,$E28*$C28,""))</f>
        <v/>
      </c>
      <c r="L28" s="171" t="str">
        <f>IF($C28="","",IF($D28&gt;=5,$E28*$C28,""))</f>
        <v/>
      </c>
      <c r="M28" s="173"/>
      <c r="N28" s="172"/>
      <c r="P28" s="172"/>
      <c r="Q28" s="172"/>
      <c r="R28" s="172"/>
      <c r="S28" s="186" t="str">
        <f t="shared" si="6"/>
        <v/>
      </c>
      <c r="T28" s="186" t="str">
        <f t="shared" si="6"/>
        <v/>
      </c>
      <c r="U28" s="186" t="str">
        <f t="shared" si="6"/>
        <v/>
      </c>
      <c r="V28" s="186" t="str">
        <f t="shared" si="6"/>
        <v/>
      </c>
      <c r="W28" s="186" t="str">
        <f t="shared" si="6"/>
        <v/>
      </c>
      <c r="X28" s="172"/>
    </row>
    <row r="29" spans="2:24" ht="16.2" thickBot="1" x14ac:dyDescent="0.3">
      <c r="B29" s="507"/>
      <c r="C29" s="508"/>
      <c r="D29" s="508"/>
      <c r="E29" s="509"/>
      <c r="F29" s="187"/>
      <c r="G29" s="492" t="s">
        <v>160</v>
      </c>
      <c r="H29" s="493"/>
      <c r="I29" s="182">
        <f>IF(T0登记表!$N$9="","",T0登记表!$N$9)</f>
        <v>-0.02</v>
      </c>
      <c r="J29" s="182">
        <f>IF(T0登记表!$N$10="","",T0登记表!$N$10)</f>
        <v>-0.01</v>
      </c>
      <c r="K29" s="182">
        <f>IF(T0登记表!$N$11="","",T0登记表!$N$11)</f>
        <v>-0.01</v>
      </c>
      <c r="L29" s="182">
        <f>IF(T0登记表!$N$12="","",T0登记表!$N$12)</f>
        <v>0</v>
      </c>
      <c r="M29" s="173"/>
      <c r="N29" s="172"/>
      <c r="P29" s="513" t="s">
        <v>144</v>
      </c>
      <c r="Q29" s="514"/>
      <c r="R29" s="514"/>
      <c r="S29" s="515"/>
      <c r="T29" s="182">
        <f>IF(T0登记表!$N$10="","",T0登记表!$N$10)</f>
        <v>-0.01</v>
      </c>
      <c r="U29" s="182">
        <f>IF(T0登记表!$N$11="","",T0登记表!$N$11)</f>
        <v>-0.01</v>
      </c>
      <c r="V29" s="182">
        <f>IF(T0登记表!$N$12="","",T0登记表!$N$12)</f>
        <v>0</v>
      </c>
      <c r="W29" s="182">
        <f>IF(T0登记表!$N$13="","",T0登记表!$N$13)</f>
        <v>0</v>
      </c>
      <c r="X29" s="172"/>
    </row>
    <row r="30" spans="2:24" ht="16.2" thickBot="1" x14ac:dyDescent="0.3">
      <c r="B30" s="510" t="s">
        <v>145</v>
      </c>
      <c r="C30" s="176" t="str">
        <f>IF(T0登记表!P35=T0登记表!$T$38,"",IF(T0登记表!O35="浮动",T0登记表!I35,""))</f>
        <v/>
      </c>
      <c r="D30" s="177" t="str">
        <f>IF(C30="","",T0登记表!J35)</f>
        <v/>
      </c>
      <c r="E30" s="178" t="str">
        <f>IF(C30="","",T0登记表!K35)</f>
        <v/>
      </c>
      <c r="F30" s="172"/>
      <c r="G30" s="172"/>
      <c r="H30" s="171" t="str">
        <f>IF($C30="","",IF($D30&gt;=1,$E30*$C30,""))</f>
        <v/>
      </c>
      <c r="I30" s="171" t="str">
        <f>IF($I$29="","",IF($C30="","",IF($D30&gt;=2,($I$29+$E30)*$C30,"")))</f>
        <v/>
      </c>
      <c r="J30" s="171" t="str">
        <f>IF($J$29="","",IF($C30="","",IF($D30&gt;=3,(SUM($I$29:J$29)+$E30)*$C30,"")))</f>
        <v/>
      </c>
      <c r="K30" s="171" t="str">
        <f>IF($K$29="","",IF($C30="","",IF($D30&gt;=4,(SUM($I$29:K$29)+$E30)*$C30,"")))</f>
        <v/>
      </c>
      <c r="L30" s="171" t="str">
        <f>IF($L$29="","",IF($C30="","",IF($D30&gt;=5,(SUM($I$29:L$29)+$E30)*$C30,"")))</f>
        <v/>
      </c>
      <c r="M30" s="173"/>
      <c r="N30" s="172"/>
      <c r="P30" s="172"/>
      <c r="Q30" s="172"/>
      <c r="R30" s="172"/>
      <c r="S30" s="186" t="str">
        <f t="shared" ref="S30:W33" si="7">H30</f>
        <v/>
      </c>
      <c r="T30" s="186" t="str">
        <f t="shared" si="7"/>
        <v/>
      </c>
      <c r="U30" s="186" t="str">
        <f t="shared" si="7"/>
        <v/>
      </c>
      <c r="V30" s="186" t="str">
        <f t="shared" si="7"/>
        <v/>
      </c>
      <c r="W30" s="186" t="str">
        <f t="shared" si="7"/>
        <v/>
      </c>
      <c r="X30" s="172"/>
    </row>
    <row r="31" spans="2:24" ht="16.2" thickBot="1" x14ac:dyDescent="0.3">
      <c r="B31" s="512"/>
      <c r="C31" s="176" t="str">
        <f>IF(T0登记表!P36=T0登记表!$T$38,"",IF(T0登记表!O36="浮动",T0登记表!I36,""))</f>
        <v/>
      </c>
      <c r="D31" s="177" t="str">
        <f>IF(C31="","",T0登记表!J36)</f>
        <v/>
      </c>
      <c r="E31" s="178" t="str">
        <f>IF(C31="","",T0登记表!K36)</f>
        <v/>
      </c>
      <c r="F31" s="172"/>
      <c r="G31" s="172"/>
      <c r="H31" s="171" t="str">
        <f t="shared" ref="H31:H33" si="8">IF($C31="","",IF($D31&gt;=1,$E31*$C31,""))</f>
        <v/>
      </c>
      <c r="I31" s="171" t="str">
        <f t="shared" ref="I31:I33" si="9">IF($I$29="","",IF($C31="","",IF($D31&gt;=2,($I$29+$E31)*$C31,"")))</f>
        <v/>
      </c>
      <c r="J31" s="171" t="str">
        <f>IF($J$29="","",IF($C31="","",IF($D31&gt;=3,(SUM($I$29:J$29)+$E31)*$C31,"")))</f>
        <v/>
      </c>
      <c r="K31" s="171" t="str">
        <f>IF($K$29="","",IF($C31="","",IF($D31&gt;=4,(SUM($I$29:K$29)+$E31)*$C31,"")))</f>
        <v/>
      </c>
      <c r="L31" s="171" t="str">
        <f>IF($L$29="","",IF($C31="","",IF($D31&gt;=5,(SUM($I$29:L$29)+$E31)*$C31,"")))</f>
        <v/>
      </c>
      <c r="M31" s="173"/>
      <c r="N31" s="172"/>
      <c r="P31" s="172"/>
      <c r="Q31" s="172"/>
      <c r="R31" s="172"/>
      <c r="S31" s="186" t="str">
        <f t="shared" si="7"/>
        <v/>
      </c>
      <c r="T31" s="186" t="str">
        <f t="shared" si="7"/>
        <v/>
      </c>
      <c r="U31" s="186" t="str">
        <f t="shared" si="7"/>
        <v/>
      </c>
      <c r="V31" s="186" t="str">
        <f t="shared" si="7"/>
        <v/>
      </c>
      <c r="W31" s="186" t="str">
        <f t="shared" si="7"/>
        <v/>
      </c>
      <c r="X31" s="172"/>
    </row>
    <row r="32" spans="2:24" ht="16.2" thickBot="1" x14ac:dyDescent="0.3">
      <c r="B32" s="512"/>
      <c r="C32" s="176" t="str">
        <f>IF(T0登记表!P37=T0登记表!$T$38,"",IF(T0登记表!O37="浮动",T0登记表!I37,""))</f>
        <v/>
      </c>
      <c r="D32" s="177" t="str">
        <f>IF(C32="","",T0登记表!J37)</f>
        <v/>
      </c>
      <c r="E32" s="178" t="str">
        <f>IF(C32="","",T0登记表!K37)</f>
        <v/>
      </c>
      <c r="F32" s="172"/>
      <c r="G32" s="172"/>
      <c r="H32" s="171" t="str">
        <f t="shared" si="8"/>
        <v/>
      </c>
      <c r="I32" s="171" t="str">
        <f t="shared" si="9"/>
        <v/>
      </c>
      <c r="J32" s="171" t="str">
        <f>IF($J$29="","",IF($C32="","",IF($D32&gt;=3,(SUM($I$29:J$29)+$E32)*$C32,"")))</f>
        <v/>
      </c>
      <c r="K32" s="171" t="str">
        <f>IF($K$29="","",IF($C32="","",IF($D32&gt;=4,(SUM($I$29:K$29)+$E32)*$C32,"")))</f>
        <v/>
      </c>
      <c r="L32" s="171" t="str">
        <f>IF($L$29="","",IF($C32="","",IF($D32&gt;=5,(SUM($I$29:L$29)+$E32)*$C32,"")))</f>
        <v/>
      </c>
      <c r="M32" s="173"/>
      <c r="N32" s="172"/>
      <c r="P32" s="172"/>
      <c r="Q32" s="172"/>
      <c r="R32" s="172"/>
      <c r="S32" s="186" t="str">
        <f t="shared" si="7"/>
        <v/>
      </c>
      <c r="T32" s="186" t="str">
        <f t="shared" si="7"/>
        <v/>
      </c>
      <c r="U32" s="186" t="str">
        <f t="shared" si="7"/>
        <v/>
      </c>
      <c r="V32" s="186" t="str">
        <f t="shared" si="7"/>
        <v/>
      </c>
      <c r="W32" s="186" t="str">
        <f t="shared" si="7"/>
        <v/>
      </c>
      <c r="X32" s="172"/>
    </row>
    <row r="33" spans="2:24" ht="16.2" thickBot="1" x14ac:dyDescent="0.3">
      <c r="B33" s="511"/>
      <c r="C33" s="176" t="str">
        <f>IF(T0登记表!P38=T0登记表!$T$38,"",IF(T0登记表!O38="浮动",T0登记表!I38,""))</f>
        <v/>
      </c>
      <c r="D33" s="177" t="str">
        <f>IF(C33="","",T0登记表!J38)</f>
        <v/>
      </c>
      <c r="E33" s="178" t="str">
        <f>IF(C33="","",T0登记表!K38)</f>
        <v/>
      </c>
      <c r="F33" s="172"/>
      <c r="G33" s="172"/>
      <c r="H33" s="171" t="str">
        <f t="shared" si="8"/>
        <v/>
      </c>
      <c r="I33" s="171" t="str">
        <f t="shared" si="9"/>
        <v/>
      </c>
      <c r="J33" s="171" t="str">
        <f>IF($J$29="","",IF($C33="","",IF($D33&gt;=3,(SUM($I$29:J$29)+$E33)*$C33,"")))</f>
        <v/>
      </c>
      <c r="K33" s="171" t="str">
        <f>IF($K$29="","",IF($C33="","",IF($D33&gt;=4,(SUM($I$29:K$29)+$E33)*$C33,"")))</f>
        <v/>
      </c>
      <c r="L33" s="171" t="str">
        <f>IF($L$29="","",IF($C33="","",IF($D33&gt;=5,(SUM($I$29:L$29)+$E33)*$C33,"")))</f>
        <v/>
      </c>
      <c r="M33" s="173"/>
      <c r="N33" s="172"/>
      <c r="P33" s="172"/>
      <c r="Q33" s="172"/>
      <c r="R33" s="172"/>
      <c r="S33" s="186" t="str">
        <f t="shared" si="7"/>
        <v/>
      </c>
      <c r="T33" s="186" t="str">
        <f t="shared" si="7"/>
        <v/>
      </c>
      <c r="U33" s="186" t="str">
        <f t="shared" si="7"/>
        <v/>
      </c>
      <c r="V33" s="186" t="str">
        <f t="shared" si="7"/>
        <v/>
      </c>
      <c r="W33" s="186" t="str">
        <f t="shared" si="7"/>
        <v/>
      </c>
      <c r="X33" s="172"/>
    </row>
    <row r="34" spans="2:24" ht="16.2" thickBot="1" x14ac:dyDescent="0.3">
      <c r="B34" s="162" t="s">
        <v>149</v>
      </c>
      <c r="C34" s="188"/>
      <c r="D34" s="188"/>
      <c r="E34" s="189"/>
      <c r="F34" s="162"/>
      <c r="G34" s="162"/>
      <c r="H34" s="162"/>
      <c r="I34" s="162"/>
      <c r="J34" s="188"/>
      <c r="K34" s="188"/>
      <c r="L34" s="188"/>
      <c r="M34" s="190"/>
      <c r="N34" s="162"/>
      <c r="P34" s="162"/>
      <c r="Q34" s="162"/>
      <c r="R34" s="162"/>
      <c r="S34" s="162"/>
      <c r="T34" s="188"/>
      <c r="U34" s="188"/>
      <c r="V34" s="188"/>
      <c r="W34" s="188"/>
      <c r="X34" s="162"/>
    </row>
    <row r="35" spans="2:24" ht="16.2" thickBot="1" x14ac:dyDescent="0.3">
      <c r="B35" s="168" t="s">
        <v>86</v>
      </c>
      <c r="C35" s="169" t="s">
        <v>142</v>
      </c>
      <c r="D35" s="169" t="s">
        <v>56</v>
      </c>
      <c r="E35" s="170" t="s">
        <v>143</v>
      </c>
      <c r="F35" s="172" t="s">
        <v>89</v>
      </c>
      <c r="G35" s="172" t="s">
        <v>373</v>
      </c>
      <c r="H35" s="172" t="s">
        <v>359</v>
      </c>
      <c r="I35" s="191" t="s">
        <v>92</v>
      </c>
      <c r="J35" s="191" t="s">
        <v>93</v>
      </c>
      <c r="K35" s="171" t="s">
        <v>94</v>
      </c>
      <c r="L35" s="171" t="s">
        <v>105</v>
      </c>
      <c r="M35" s="192" t="s">
        <v>106</v>
      </c>
      <c r="N35" s="172" t="s">
        <v>355</v>
      </c>
      <c r="P35" s="172" t="s">
        <v>89</v>
      </c>
      <c r="Q35" s="172" t="s">
        <v>102</v>
      </c>
      <c r="R35" s="172" t="s">
        <v>104</v>
      </c>
      <c r="S35" s="172" t="s">
        <v>360</v>
      </c>
      <c r="T35" s="185" t="s">
        <v>93</v>
      </c>
      <c r="U35" s="185" t="s">
        <v>94</v>
      </c>
      <c r="V35" s="185" t="s">
        <v>105</v>
      </c>
      <c r="W35" s="185" t="s">
        <v>106</v>
      </c>
      <c r="X35" s="193" t="s">
        <v>137</v>
      </c>
    </row>
    <row r="36" spans="2:24" ht="16.2" thickBot="1" x14ac:dyDescent="0.3">
      <c r="B36" s="510" t="s">
        <v>138</v>
      </c>
      <c r="C36" s="177" t="str">
        <f>IF(T0登记表!P41=T0登记表!$T$38,"",IF(T0登记表!O41="固定",T0登记表!I41,""))</f>
        <v/>
      </c>
      <c r="D36" s="177" t="str">
        <f>IF(C36="","",T0登记表!J41)</f>
        <v/>
      </c>
      <c r="E36" s="178" t="str">
        <f>IF(C36="","",T0登记表!K41)</f>
        <v/>
      </c>
      <c r="F36" s="172"/>
      <c r="G36" s="172"/>
      <c r="H36" s="172"/>
      <c r="I36" s="171" t="str">
        <f>IF($C36="","",IF($D36&gt;=1,$E36*$C36,""))</f>
        <v/>
      </c>
      <c r="J36" s="171" t="str">
        <f>IF($C36="","",IF($D36&gt;=2,$E36*$C36,""))</f>
        <v/>
      </c>
      <c r="K36" s="171" t="str">
        <f>IF($C36="","",IF($D36&gt;=3,$E36*$C36,""))</f>
        <v/>
      </c>
      <c r="L36" s="171" t="str">
        <f>IF($C36="","",IF($D36&gt;=4,$E36*$C36,""))</f>
        <v/>
      </c>
      <c r="M36" s="192" t="str">
        <f>IF($C36="","",IF($D36&gt;=5,$E36*$C36,""))</f>
        <v/>
      </c>
      <c r="N36" s="172"/>
      <c r="P36" s="172"/>
      <c r="Q36" s="172"/>
      <c r="R36" s="172"/>
      <c r="S36" s="172"/>
      <c r="T36" s="183" t="str">
        <f t="shared" ref="T36:X39" si="10">I36</f>
        <v/>
      </c>
      <c r="U36" s="183" t="str">
        <f t="shared" si="10"/>
        <v/>
      </c>
      <c r="V36" s="183" t="str">
        <f t="shared" si="10"/>
        <v/>
      </c>
      <c r="W36" s="183" t="str">
        <f t="shared" si="10"/>
        <v/>
      </c>
      <c r="X36" s="183" t="str">
        <f t="shared" si="10"/>
        <v/>
      </c>
    </row>
    <row r="37" spans="2:24" ht="16.2" thickBot="1" x14ac:dyDescent="0.3">
      <c r="B37" s="512"/>
      <c r="C37" s="177" t="str">
        <f>IF(T0登记表!P42=T0登记表!$T$38,"",IF(T0登记表!O42="固定",T0登记表!I42,""))</f>
        <v/>
      </c>
      <c r="D37" s="177" t="str">
        <f>IF(C37="","",T0登记表!J42)</f>
        <v/>
      </c>
      <c r="E37" s="178" t="str">
        <f>IF(C37="","",T0登记表!K42)</f>
        <v/>
      </c>
      <c r="F37" s="172"/>
      <c r="G37" s="172"/>
      <c r="H37" s="172"/>
      <c r="I37" s="171" t="str">
        <f>IF($C37="","",IF($D37&gt;=1,$E37*$C37,""))</f>
        <v/>
      </c>
      <c r="J37" s="171" t="str">
        <f>IF($C37="","",IF($D37&gt;=2,$E37*$C37,""))</f>
        <v/>
      </c>
      <c r="K37" s="171" t="str">
        <f>IF($C37="","",IF($D37&gt;=3,$E37*$C37,""))</f>
        <v/>
      </c>
      <c r="L37" s="171" t="str">
        <f>IF($C37="","",IF($D37&gt;=4,$E37*$C37,""))</f>
        <v/>
      </c>
      <c r="M37" s="192" t="str">
        <f>IF($C37="","",IF($D37&gt;=5,$E37*$C37,""))</f>
        <v/>
      </c>
      <c r="N37" s="172"/>
      <c r="P37" s="172"/>
      <c r="Q37" s="172"/>
      <c r="R37" s="172"/>
      <c r="S37" s="172"/>
      <c r="T37" s="183" t="str">
        <f t="shared" si="10"/>
        <v/>
      </c>
      <c r="U37" s="183" t="str">
        <f t="shared" si="10"/>
        <v/>
      </c>
      <c r="V37" s="183" t="str">
        <f t="shared" si="10"/>
        <v/>
      </c>
      <c r="W37" s="183" t="str">
        <f t="shared" si="10"/>
        <v/>
      </c>
      <c r="X37" s="183" t="str">
        <f t="shared" si="10"/>
        <v/>
      </c>
    </row>
    <row r="38" spans="2:24" ht="16.2" thickBot="1" x14ac:dyDescent="0.3">
      <c r="B38" s="512"/>
      <c r="C38" s="177" t="str">
        <f>IF(T0登记表!P43=T0登记表!$T$38,"",IF(T0登记表!O43="固定",T0登记表!I43,""))</f>
        <v/>
      </c>
      <c r="D38" s="177" t="str">
        <f>IF(C38="","",T0登记表!J43)</f>
        <v/>
      </c>
      <c r="E38" s="178" t="str">
        <f>IF(C38="","",T0登记表!K43)</f>
        <v/>
      </c>
      <c r="F38" s="172"/>
      <c r="G38" s="172"/>
      <c r="H38" s="172"/>
      <c r="I38" s="171" t="str">
        <f>IF($C38="","",IF($D38&gt;=1,$E38*$C38,""))</f>
        <v/>
      </c>
      <c r="J38" s="171" t="str">
        <f>IF($C38="","",IF($D38&gt;=2,$E38*$C38,""))</f>
        <v/>
      </c>
      <c r="K38" s="171" t="str">
        <f>IF($C38="","",IF($D38&gt;=3,$E38*$C38,""))</f>
        <v/>
      </c>
      <c r="L38" s="171" t="str">
        <f>IF($C38="","",IF($D38&gt;=4,$E38*$C38,""))</f>
        <v/>
      </c>
      <c r="M38" s="192" t="str">
        <f>IF($C38="","",IF($D38&gt;=5,$E38*$C38,""))</f>
        <v/>
      </c>
      <c r="N38" s="172"/>
      <c r="P38" s="172"/>
      <c r="Q38" s="172"/>
      <c r="R38" s="172"/>
      <c r="S38" s="172"/>
      <c r="T38" s="183" t="str">
        <f t="shared" si="10"/>
        <v/>
      </c>
      <c r="U38" s="183" t="str">
        <f t="shared" si="10"/>
        <v/>
      </c>
      <c r="V38" s="183" t="str">
        <f t="shared" si="10"/>
        <v/>
      </c>
      <c r="W38" s="183" t="str">
        <f t="shared" si="10"/>
        <v/>
      </c>
      <c r="X38" s="183" t="str">
        <f t="shared" si="10"/>
        <v/>
      </c>
    </row>
    <row r="39" spans="2:24" ht="16.2" thickBot="1" x14ac:dyDescent="0.3">
      <c r="B39" s="511"/>
      <c r="C39" s="177" t="str">
        <f>IF(T0登记表!P44=T0登记表!$T$38,"",IF(T0登记表!O44="固定",T0登记表!I44,""))</f>
        <v/>
      </c>
      <c r="D39" s="177" t="str">
        <f>IF(C39="","",T0登记表!J44)</f>
        <v/>
      </c>
      <c r="E39" s="178" t="str">
        <f>IF(C39="","",T0登记表!K44)</f>
        <v/>
      </c>
      <c r="F39" s="172"/>
      <c r="G39" s="172"/>
      <c r="H39" s="172"/>
      <c r="I39" s="171" t="str">
        <f>IF($C39="","",IF($D39&gt;=1,$E39*$C39,""))</f>
        <v/>
      </c>
      <c r="J39" s="171" t="str">
        <f>IF($C39="","",IF($D39&gt;=2,$E39*$C39,""))</f>
        <v/>
      </c>
      <c r="K39" s="171" t="str">
        <f>IF($C39="","",IF($D39&gt;=3,$E39*$C39,""))</f>
        <v/>
      </c>
      <c r="L39" s="171" t="str">
        <f>IF($C39="","",IF($D39&gt;=4,$E39*$C39,""))</f>
        <v/>
      </c>
      <c r="M39" s="192" t="str">
        <f>IF($C39="","",IF($D39&gt;=5,$E39*$C39,""))</f>
        <v/>
      </c>
      <c r="N39" s="172"/>
      <c r="P39" s="172"/>
      <c r="Q39" s="172"/>
      <c r="R39" s="172"/>
      <c r="S39" s="172"/>
      <c r="T39" s="183" t="str">
        <f t="shared" si="10"/>
        <v/>
      </c>
      <c r="U39" s="183" t="str">
        <f t="shared" si="10"/>
        <v/>
      </c>
      <c r="V39" s="183" t="str">
        <f t="shared" si="10"/>
        <v/>
      </c>
      <c r="W39" s="183" t="str">
        <f t="shared" si="10"/>
        <v/>
      </c>
      <c r="X39" s="183" t="str">
        <f t="shared" si="10"/>
        <v/>
      </c>
    </row>
    <row r="40" spans="2:24" ht="16.2" thickBot="1" x14ac:dyDescent="0.3">
      <c r="B40" s="507"/>
      <c r="C40" s="508"/>
      <c r="D40" s="508"/>
      <c r="E40" s="509"/>
      <c r="F40" s="187"/>
      <c r="G40" s="194"/>
      <c r="H40" s="492" t="s">
        <v>160</v>
      </c>
      <c r="I40" s="493"/>
      <c r="J40" s="182">
        <f>IF(T0登记表!$N$10="","",T0登记表!$N$10)</f>
        <v>-0.01</v>
      </c>
      <c r="K40" s="182">
        <f>IF(T0登记表!$N$11="","",T0登记表!$N$11)</f>
        <v>-0.01</v>
      </c>
      <c r="L40" s="182">
        <f>IF(T0登记表!$N$12="","",T0登记表!$N$12)</f>
        <v>0</v>
      </c>
      <c r="M40" s="195">
        <f>IF(T0登记表!$N$13="","",T0登记表!$N$13)</f>
        <v>0</v>
      </c>
      <c r="N40" s="172"/>
      <c r="P40" s="513" t="s">
        <v>144</v>
      </c>
      <c r="Q40" s="514"/>
      <c r="R40" s="514"/>
      <c r="S40" s="514"/>
      <c r="T40" s="515"/>
      <c r="U40" s="182">
        <f>IF(T0登记表!$N$11="","",T0登记表!$N$11)</f>
        <v>-0.01</v>
      </c>
      <c r="V40" s="182">
        <f>IF(T0登记表!$N$12="","",T0登记表!$N$12)</f>
        <v>0</v>
      </c>
      <c r="W40" s="182">
        <f>IF(T0登记表!$N$13="","",T0登记表!$N$13)</f>
        <v>0</v>
      </c>
      <c r="X40" s="182" t="str">
        <f>IF(T0登记表!$N$14="","",T0登记表!$N$14)</f>
        <v/>
      </c>
    </row>
    <row r="41" spans="2:24" ht="16.2" thickBot="1" x14ac:dyDescent="0.3">
      <c r="B41" s="510" t="s">
        <v>145</v>
      </c>
      <c r="C41" s="176" t="str">
        <f>IF(T0登记表!P41=T0登记表!$T$38,"",IF(T0登记表!O41="浮动",T0登记表!I41,""))</f>
        <v/>
      </c>
      <c r="D41" s="177" t="str">
        <f>IF(C41="","",T0登记表!J41)</f>
        <v/>
      </c>
      <c r="E41" s="178" t="str">
        <f>IF(C41="","",T0登记表!K41)</f>
        <v/>
      </c>
      <c r="F41" s="172"/>
      <c r="G41" s="172"/>
      <c r="H41" s="172"/>
      <c r="I41" s="171" t="str">
        <f>IF($C41="","",IF($D41&gt;=1,$E41*$C41,""))</f>
        <v/>
      </c>
      <c r="J41" s="171" t="str">
        <f>IF($J$40="","",IF($C41="","",IF($D41&gt;=2,($J$9+$E41)*$C41,"")))</f>
        <v/>
      </c>
      <c r="K41" s="171" t="str">
        <f>IF($K$40="","",IF($C41="","",IF($D41&gt;=3,(SUM($J$40:K$40)+$E41)*$C41,"")))</f>
        <v/>
      </c>
      <c r="L41" s="171" t="str">
        <f>IF($L$40="","",IF($C41="","",IF($D41&gt;=4,(SUM($J$40:L$40)+$E41)*$C41,"")))</f>
        <v/>
      </c>
      <c r="M41" s="192" t="str">
        <f>IF($M$40="","",IF($C41="","",IF($D41&gt;=5,(SUM($J$40:M$40)+$E41)*$C41,"")))</f>
        <v/>
      </c>
      <c r="N41" s="172"/>
      <c r="P41" s="172"/>
      <c r="Q41" s="172"/>
      <c r="R41" s="172"/>
      <c r="S41" s="172"/>
      <c r="T41" s="183" t="str">
        <f t="shared" ref="T41:X44" si="11">I41</f>
        <v/>
      </c>
      <c r="U41" s="183" t="str">
        <f t="shared" si="11"/>
        <v/>
      </c>
      <c r="V41" s="183" t="str">
        <f t="shared" si="11"/>
        <v/>
      </c>
      <c r="W41" s="183" t="str">
        <f t="shared" si="11"/>
        <v/>
      </c>
      <c r="X41" s="183" t="str">
        <f t="shared" si="11"/>
        <v/>
      </c>
    </row>
    <row r="42" spans="2:24" ht="16.2" thickBot="1" x14ac:dyDescent="0.3">
      <c r="B42" s="512"/>
      <c r="C42" s="176" t="str">
        <f>IF(T0登记表!P42=T0登记表!$T$38,"",IF(T0登记表!O42="浮动",T0登记表!I42,""))</f>
        <v/>
      </c>
      <c r="D42" s="177" t="str">
        <f>IF(C42="","",T0登记表!J42)</f>
        <v/>
      </c>
      <c r="E42" s="178" t="str">
        <f>IF(C42="","",T0登记表!K42)</f>
        <v/>
      </c>
      <c r="F42" s="172"/>
      <c r="G42" s="172"/>
      <c r="H42" s="172"/>
      <c r="I42" s="171" t="str">
        <f t="shared" ref="I42:I44" si="12">IF($C42="","",IF($D42&gt;=1,$E42*$C42,""))</f>
        <v/>
      </c>
      <c r="J42" s="171" t="str">
        <f t="shared" ref="J42:J44" si="13">IF($J$40="","",IF($C42="","",IF($D42&gt;=2,($J$9+$E42)*$C42,"")))</f>
        <v/>
      </c>
      <c r="K42" s="171" t="str">
        <f>IF($K$40="","",IF($C42="","",IF($D42&gt;=3,(SUM($J$40:K$40)+$E42)*$C42,"")))</f>
        <v/>
      </c>
      <c r="L42" s="171" t="str">
        <f>IF($L$40="","",IF($C42="","",IF($D42&gt;=4,(SUM($J$40:L$40)+$E42)*$C42,"")))</f>
        <v/>
      </c>
      <c r="M42" s="192" t="str">
        <f>IF($M$40="","",IF($C42="","",IF($D42&gt;=5,(SUM($J$40:M$40)+$E42)*$C42,"")))</f>
        <v/>
      </c>
      <c r="N42" s="172"/>
      <c r="P42" s="172"/>
      <c r="Q42" s="172"/>
      <c r="R42" s="172"/>
      <c r="S42" s="172"/>
      <c r="T42" s="183" t="str">
        <f t="shared" si="11"/>
        <v/>
      </c>
      <c r="U42" s="183" t="str">
        <f t="shared" si="11"/>
        <v/>
      </c>
      <c r="V42" s="183" t="str">
        <f t="shared" si="11"/>
        <v/>
      </c>
      <c r="W42" s="183" t="str">
        <f t="shared" si="11"/>
        <v/>
      </c>
      <c r="X42" s="183" t="str">
        <f t="shared" si="11"/>
        <v/>
      </c>
    </row>
    <row r="43" spans="2:24" ht="16.2" thickBot="1" x14ac:dyDescent="0.3">
      <c r="B43" s="512"/>
      <c r="C43" s="176" t="str">
        <f>IF(T0登记表!P43=T0登记表!$T$38,"",IF(T0登记表!O43="浮动",T0登记表!I43,""))</f>
        <v/>
      </c>
      <c r="D43" s="177" t="str">
        <f>IF(C43="","",T0登记表!J43)</f>
        <v/>
      </c>
      <c r="E43" s="178" t="str">
        <f>IF(C43="","",T0登记表!K43)</f>
        <v/>
      </c>
      <c r="F43" s="172"/>
      <c r="G43" s="172"/>
      <c r="H43" s="172"/>
      <c r="I43" s="171" t="str">
        <f t="shared" si="12"/>
        <v/>
      </c>
      <c r="J43" s="171" t="str">
        <f t="shared" si="13"/>
        <v/>
      </c>
      <c r="K43" s="171" t="str">
        <f>IF($K$40="","",IF($C43="","",IF($D43&gt;=3,(SUM($J$40:K$40)+$E43)*$C43,"")))</f>
        <v/>
      </c>
      <c r="L43" s="171" t="str">
        <f>IF($L$40="","",IF($C43="","",IF($D43&gt;=4,(SUM($J$40:L$40)+$E43)*$C43,"")))</f>
        <v/>
      </c>
      <c r="M43" s="192" t="str">
        <f>IF($M$40="","",IF($C43="","",IF($D43&gt;=5,(SUM($J$40:M$40)+$E43)*$C43,"")))</f>
        <v/>
      </c>
      <c r="N43" s="172"/>
      <c r="P43" s="172"/>
      <c r="Q43" s="172"/>
      <c r="R43" s="172"/>
      <c r="S43" s="172"/>
      <c r="T43" s="183" t="str">
        <f t="shared" si="11"/>
        <v/>
      </c>
      <c r="U43" s="183" t="str">
        <f t="shared" si="11"/>
        <v/>
      </c>
      <c r="V43" s="183" t="str">
        <f t="shared" si="11"/>
        <v/>
      </c>
      <c r="W43" s="183" t="str">
        <f t="shared" si="11"/>
        <v/>
      </c>
      <c r="X43" s="183" t="str">
        <f t="shared" si="11"/>
        <v/>
      </c>
    </row>
    <row r="44" spans="2:24" ht="16.2" thickBot="1" x14ac:dyDescent="0.3">
      <c r="B44" s="511"/>
      <c r="C44" s="176" t="str">
        <f>IF(T0登记表!P44=T0登记表!$T$38,"",IF(T0登记表!O44="浮动",T0登记表!I44,""))</f>
        <v/>
      </c>
      <c r="D44" s="177" t="str">
        <f>IF(C44="","",T0登记表!J44)</f>
        <v/>
      </c>
      <c r="E44" s="178" t="str">
        <f>IF(C44="","",T0登记表!K44)</f>
        <v/>
      </c>
      <c r="F44" s="172"/>
      <c r="G44" s="172"/>
      <c r="H44" s="172"/>
      <c r="I44" s="171" t="str">
        <f t="shared" si="12"/>
        <v/>
      </c>
      <c r="J44" s="171" t="str">
        <f t="shared" si="13"/>
        <v/>
      </c>
      <c r="K44" s="171" t="str">
        <f>IF($K$40="","",IF($C44="","",IF($D44&gt;=3,(SUM($J$40:K$40)+$E44)*$C44,"")))</f>
        <v/>
      </c>
      <c r="L44" s="171" t="str">
        <f>IF($L$40="","",IF($C44="","",IF($D44&gt;=4,(SUM($J$40:L$40)+$E44)*$C44,"")))</f>
        <v/>
      </c>
      <c r="M44" s="192" t="str">
        <f>IF($M$40="","",IF($C44="","",IF($D44&gt;=5,(SUM($J$40:M$40)+$E44)*$C44,"")))</f>
        <v/>
      </c>
      <c r="N44" s="172"/>
      <c r="P44" s="172"/>
      <c r="Q44" s="172"/>
      <c r="R44" s="172"/>
      <c r="S44" s="172"/>
      <c r="T44" s="183" t="str">
        <f t="shared" si="11"/>
        <v/>
      </c>
      <c r="U44" s="183" t="str">
        <f t="shared" si="11"/>
        <v/>
      </c>
      <c r="V44" s="183" t="str">
        <f t="shared" si="11"/>
        <v/>
      </c>
      <c r="W44" s="183" t="str">
        <f t="shared" si="11"/>
        <v/>
      </c>
      <c r="X44" s="183" t="str">
        <f t="shared" si="11"/>
        <v/>
      </c>
    </row>
    <row r="45" spans="2:24" ht="16.2" thickBot="1" x14ac:dyDescent="0.3">
      <c r="B45" s="162" t="s">
        <v>150</v>
      </c>
      <c r="C45" s="188"/>
      <c r="D45" s="188"/>
      <c r="E45" s="189"/>
      <c r="F45" s="162"/>
      <c r="G45" s="162"/>
      <c r="H45" s="162"/>
      <c r="I45" s="162"/>
      <c r="J45" s="162"/>
      <c r="K45" s="188"/>
      <c r="L45" s="188"/>
      <c r="M45" s="190"/>
      <c r="N45" s="188"/>
      <c r="P45" s="162"/>
      <c r="Q45" s="162"/>
      <c r="R45" s="162"/>
      <c r="S45" s="162"/>
      <c r="T45" s="162"/>
      <c r="U45" s="188"/>
      <c r="V45" s="188"/>
      <c r="W45" s="188"/>
      <c r="X45" s="188"/>
    </row>
    <row r="46" spans="2:24" ht="16.2" thickBot="1" x14ac:dyDescent="0.3">
      <c r="B46" s="168" t="s">
        <v>151</v>
      </c>
      <c r="C46" s="169" t="s">
        <v>152</v>
      </c>
      <c r="D46" s="169" t="s">
        <v>56</v>
      </c>
      <c r="E46" s="170" t="s">
        <v>153</v>
      </c>
      <c r="F46" s="172" t="s">
        <v>89</v>
      </c>
      <c r="G46" s="172" t="s">
        <v>102</v>
      </c>
      <c r="H46" s="172" t="s">
        <v>359</v>
      </c>
      <c r="I46" s="172" t="s">
        <v>360</v>
      </c>
      <c r="J46" s="171" t="s">
        <v>93</v>
      </c>
      <c r="K46" s="171" t="s">
        <v>94</v>
      </c>
      <c r="L46" s="171" t="s">
        <v>105</v>
      </c>
      <c r="M46" s="192" t="s">
        <v>106</v>
      </c>
      <c r="N46" s="196" t="s">
        <v>114</v>
      </c>
      <c r="P46" s="172" t="s">
        <v>89</v>
      </c>
      <c r="Q46" s="172" t="s">
        <v>102</v>
      </c>
      <c r="R46" s="172" t="s">
        <v>104</v>
      </c>
      <c r="S46" s="172" t="s">
        <v>360</v>
      </c>
      <c r="T46" s="172" t="s">
        <v>361</v>
      </c>
      <c r="U46" s="185" t="s">
        <v>94</v>
      </c>
      <c r="V46" s="185" t="s">
        <v>105</v>
      </c>
      <c r="W46" s="185" t="s">
        <v>106</v>
      </c>
      <c r="X46" s="197" t="s">
        <v>137</v>
      </c>
    </row>
    <row r="47" spans="2:24" ht="16.2" thickBot="1" x14ac:dyDescent="0.3">
      <c r="B47" s="510" t="s">
        <v>154</v>
      </c>
      <c r="C47" s="177" t="str">
        <f>IF(T0登记表!P47=T0登记表!$T$38,"",IF(T0登记表!O47="固定",T0登记表!I47,""))</f>
        <v/>
      </c>
      <c r="D47" s="177" t="str">
        <f>IF(C47="","",T0登记表!J47)</f>
        <v/>
      </c>
      <c r="E47" s="178" t="str">
        <f>IF(C47="","",T0登记表!K47)</f>
        <v/>
      </c>
      <c r="F47" s="172"/>
      <c r="G47" s="172"/>
      <c r="H47" s="172"/>
      <c r="I47" s="172"/>
      <c r="J47" s="171" t="str">
        <f>IF($C47="","",IF($D47&gt;=1,$E47*$C47,""))</f>
        <v/>
      </c>
      <c r="K47" s="171" t="str">
        <f>IF($C47="","",IF($D47&gt;=2,$E47*$C47,""))</f>
        <v/>
      </c>
      <c r="L47" s="171" t="str">
        <f>IF($C47="","",IF($D47&gt;=3,$E47*$C47,""))</f>
        <v/>
      </c>
      <c r="M47" s="192" t="str">
        <f>IF($C47="","",IF($D47&gt;=4,$E47*$C47,""))</f>
        <v/>
      </c>
      <c r="N47" s="171" t="str">
        <f>IF($C47="","",IF($D47&gt;=5,$E47*$C47,""))</f>
        <v/>
      </c>
      <c r="P47" s="172"/>
      <c r="Q47" s="172"/>
      <c r="R47" s="172"/>
      <c r="S47" s="172"/>
      <c r="T47" s="172"/>
      <c r="U47" s="183" t="str">
        <f t="shared" ref="U47:X50" si="14">J47</f>
        <v/>
      </c>
      <c r="V47" s="183" t="str">
        <f t="shared" si="14"/>
        <v/>
      </c>
      <c r="W47" s="183" t="str">
        <f t="shared" si="14"/>
        <v/>
      </c>
      <c r="X47" s="183" t="str">
        <f t="shared" si="14"/>
        <v/>
      </c>
    </row>
    <row r="48" spans="2:24" ht="16.2" thickBot="1" x14ac:dyDescent="0.3">
      <c r="B48" s="512"/>
      <c r="C48" s="177" t="str">
        <f>IF(T0登记表!P48=T0登记表!$T$38,"",IF(T0登记表!O48="固定",T0登记表!I48,""))</f>
        <v/>
      </c>
      <c r="D48" s="177" t="str">
        <f>IF(C48="","",T0登记表!J48)</f>
        <v/>
      </c>
      <c r="E48" s="178" t="str">
        <f>IF(C48="","",T0登记表!K48)</f>
        <v/>
      </c>
      <c r="F48" s="172"/>
      <c r="G48" s="172"/>
      <c r="H48" s="172"/>
      <c r="I48" s="172"/>
      <c r="J48" s="171" t="str">
        <f>IF($C48="","",IF($D48&gt;=1,$E48*$C48,""))</f>
        <v/>
      </c>
      <c r="K48" s="171" t="str">
        <f>IF($C48="","",IF($D48&gt;=2,$E48*$C48,""))</f>
        <v/>
      </c>
      <c r="L48" s="171" t="str">
        <f>IF($C48="","",IF($D48&gt;=3,$E48*$C48,""))</f>
        <v/>
      </c>
      <c r="M48" s="192" t="str">
        <f>IF($C48="","",IF($D48&gt;=4,$E48*$C48,""))</f>
        <v/>
      </c>
      <c r="N48" s="171" t="str">
        <f>IF($C48="","",IF($D48&gt;=5,$E48*$C48,""))</f>
        <v/>
      </c>
      <c r="P48" s="172"/>
      <c r="Q48" s="172"/>
      <c r="R48" s="172"/>
      <c r="S48" s="172"/>
      <c r="T48" s="172"/>
      <c r="U48" s="183" t="str">
        <f t="shared" si="14"/>
        <v/>
      </c>
      <c r="V48" s="183" t="str">
        <f t="shared" si="14"/>
        <v/>
      </c>
      <c r="W48" s="183" t="str">
        <f t="shared" si="14"/>
        <v/>
      </c>
      <c r="X48" s="183" t="str">
        <f t="shared" si="14"/>
        <v/>
      </c>
    </row>
    <row r="49" spans="2:24" ht="16.2" thickBot="1" x14ac:dyDescent="0.3">
      <c r="B49" s="512"/>
      <c r="C49" s="177" t="str">
        <f>IF(T0登记表!P49=T0登记表!$T$38,"",IF(T0登记表!O49="固定",T0登记表!I49,""))</f>
        <v/>
      </c>
      <c r="D49" s="177" t="str">
        <f>IF(C49="","",T0登记表!J49)</f>
        <v/>
      </c>
      <c r="E49" s="178" t="str">
        <f>IF(C49="","",T0登记表!K49)</f>
        <v/>
      </c>
      <c r="F49" s="172"/>
      <c r="G49" s="172"/>
      <c r="H49" s="172"/>
      <c r="I49" s="172"/>
      <c r="J49" s="171" t="str">
        <f>IF($C49="","",IF($D49&gt;=1,$E49*$C49,""))</f>
        <v/>
      </c>
      <c r="K49" s="171" t="str">
        <f>IF($C49="","",IF($D49&gt;=2,$E49*$C49,""))</f>
        <v/>
      </c>
      <c r="L49" s="171" t="str">
        <f>IF($C49="","",IF($D49&gt;=3,$E49*$C49,""))</f>
        <v/>
      </c>
      <c r="M49" s="192" t="str">
        <f>IF($C49="","",IF($D49&gt;=4,$E49*$C49,""))</f>
        <v/>
      </c>
      <c r="N49" s="171" t="str">
        <f>IF($C49="","",IF($D49&gt;=5,$E49*$C49,""))</f>
        <v/>
      </c>
      <c r="P49" s="172"/>
      <c r="Q49" s="172"/>
      <c r="R49" s="172"/>
      <c r="S49" s="172"/>
      <c r="T49" s="172"/>
      <c r="U49" s="183" t="str">
        <f t="shared" si="14"/>
        <v/>
      </c>
      <c r="V49" s="183" t="str">
        <f t="shared" si="14"/>
        <v/>
      </c>
      <c r="W49" s="183" t="str">
        <f t="shared" si="14"/>
        <v/>
      </c>
      <c r="X49" s="183" t="str">
        <f t="shared" si="14"/>
        <v/>
      </c>
    </row>
    <row r="50" spans="2:24" ht="16.2" thickBot="1" x14ac:dyDescent="0.3">
      <c r="B50" s="511"/>
      <c r="C50" s="177" t="str">
        <f>IF(T0登记表!P50=T0登记表!$T$38,"",IF(T0登记表!O50="固定",T0登记表!I50,""))</f>
        <v/>
      </c>
      <c r="D50" s="177" t="str">
        <f>IF(C50="","",T0登记表!J50)</f>
        <v/>
      </c>
      <c r="E50" s="178" t="str">
        <f>IF(C50="","",T0登记表!K50)</f>
        <v/>
      </c>
      <c r="F50" s="172"/>
      <c r="G50" s="172"/>
      <c r="H50" s="172"/>
      <c r="I50" s="172"/>
      <c r="J50" s="171" t="str">
        <f>IF($C50="","",IF($D50&gt;=1,$E50*$C50,""))</f>
        <v/>
      </c>
      <c r="K50" s="171" t="str">
        <f>IF($C50="","",IF($D50&gt;=2,$E50*$C50,""))</f>
        <v/>
      </c>
      <c r="L50" s="171" t="str">
        <f>IF($C50="","",IF($D50&gt;=3,$E50*$C50,""))</f>
        <v/>
      </c>
      <c r="M50" s="192" t="str">
        <f>IF($C50="","",IF($D50&gt;=4,$E50*$C50,""))</f>
        <v/>
      </c>
      <c r="N50" s="171" t="str">
        <f>IF($C50="","",IF($D50&gt;=5,$E50*$C50,""))</f>
        <v/>
      </c>
      <c r="P50" s="172"/>
      <c r="Q50" s="172"/>
      <c r="R50" s="172"/>
      <c r="S50" s="172"/>
      <c r="T50" s="172"/>
      <c r="U50" s="183" t="str">
        <f t="shared" si="14"/>
        <v/>
      </c>
      <c r="V50" s="183" t="str">
        <f t="shared" si="14"/>
        <v/>
      </c>
      <c r="W50" s="183" t="str">
        <f t="shared" si="14"/>
        <v/>
      </c>
      <c r="X50" s="183" t="str">
        <f t="shared" si="14"/>
        <v/>
      </c>
    </row>
    <row r="51" spans="2:24" ht="16.2" thickBot="1" x14ac:dyDescent="0.3">
      <c r="B51" s="507"/>
      <c r="C51" s="508"/>
      <c r="D51" s="508"/>
      <c r="E51" s="509"/>
      <c r="F51" s="187"/>
      <c r="G51" s="194"/>
      <c r="H51" s="194"/>
      <c r="I51" s="492" t="s">
        <v>160</v>
      </c>
      <c r="J51" s="493"/>
      <c r="K51" s="182">
        <f>IF(T0登记表!$N$11="","",T0登记表!$N$11)</f>
        <v>-0.01</v>
      </c>
      <c r="L51" s="182">
        <f>IF(T0登记表!$N$12="","",T0登记表!$N$12)</f>
        <v>0</v>
      </c>
      <c r="M51" s="195">
        <f>IF(T0登记表!$N$13="","",T0登记表!$N$13)</f>
        <v>0</v>
      </c>
      <c r="N51" s="182" t="str">
        <f>IF(T0登记表!$N$14="","",T0登记表!$N$14)</f>
        <v/>
      </c>
      <c r="P51" s="513" t="s">
        <v>144</v>
      </c>
      <c r="Q51" s="514"/>
      <c r="R51" s="514"/>
      <c r="S51" s="514"/>
      <c r="T51" s="514"/>
      <c r="U51" s="515"/>
      <c r="V51" s="182">
        <f>IF(T0登记表!$N$12="","",T0登记表!$N$12)</f>
        <v>0</v>
      </c>
      <c r="W51" s="182">
        <f>IF(T0登记表!$N$13="","",T0登记表!$N$13)</f>
        <v>0</v>
      </c>
      <c r="X51" s="182" t="str">
        <f>IF(T0登记表!$N$14="","",T0登记表!$N$14)</f>
        <v/>
      </c>
    </row>
    <row r="52" spans="2:24" ht="16.2" thickBot="1" x14ac:dyDescent="0.3">
      <c r="B52" s="510" t="s">
        <v>155</v>
      </c>
      <c r="C52" s="176" t="str">
        <f>IF(T0登记表!P47=T0登记表!$T$38,"",IF(T0登记表!O47="浮动",T0登记表!I47,""))</f>
        <v/>
      </c>
      <c r="D52" s="177" t="str">
        <f>IF(C52="","",T0登记表!J47)</f>
        <v/>
      </c>
      <c r="E52" s="178" t="str">
        <f>IF(C52="","",T0登记表!K47)</f>
        <v/>
      </c>
      <c r="F52" s="172"/>
      <c r="G52" s="172"/>
      <c r="H52" s="172"/>
      <c r="I52" s="172"/>
      <c r="J52" s="171" t="str">
        <f>IF($C52="","",IF($D52&gt;=1,$E52*$C52,""))</f>
        <v/>
      </c>
      <c r="K52" s="171" t="str">
        <f>IF($K$51="","",IF($C52="","",IF($D52&gt;=2,($K$51+$E52)*$C52,"")))</f>
        <v/>
      </c>
      <c r="L52" s="171" t="str">
        <f>IF($L$51="","",IF($C52="","",IF($D52&gt;=3,(SUM($K$51:L$51)+$E52)*$C52,"")))</f>
        <v/>
      </c>
      <c r="M52" s="192" t="str">
        <f>IF($M$51="","",IF($C52="","",IF($D52&gt;=4,(SUM($K$51:M$51)+$E52)*$C52,"")))</f>
        <v/>
      </c>
      <c r="N52" s="171" t="str">
        <f>IF($N$51="","",IF($C52="","",IF($D52&gt;=5,(SUM($K$51:N$51)+$E52)*$C52,"")))</f>
        <v/>
      </c>
      <c r="P52" s="172"/>
      <c r="Q52" s="172"/>
      <c r="R52" s="172"/>
      <c r="S52" s="172"/>
      <c r="T52" s="172"/>
      <c r="U52" s="183" t="str">
        <f t="shared" ref="U52:X55" si="15">J52</f>
        <v/>
      </c>
      <c r="V52" s="183" t="str">
        <f t="shared" si="15"/>
        <v/>
      </c>
      <c r="W52" s="183" t="str">
        <f t="shared" si="15"/>
        <v/>
      </c>
      <c r="X52" s="183" t="str">
        <f t="shared" si="15"/>
        <v/>
      </c>
    </row>
    <row r="53" spans="2:24" ht="16.2" thickBot="1" x14ac:dyDescent="0.3">
      <c r="B53" s="512"/>
      <c r="C53" s="176" t="str">
        <f>IF(T0登记表!P48=T0登记表!$T$38,"",IF(T0登记表!O48="浮动",T0登记表!I48,""))</f>
        <v/>
      </c>
      <c r="D53" s="177" t="str">
        <f>IF(C53="","",T0登记表!J48)</f>
        <v/>
      </c>
      <c r="E53" s="178" t="str">
        <f>IF(C53="","",T0登记表!K48)</f>
        <v/>
      </c>
      <c r="F53" s="172"/>
      <c r="G53" s="172"/>
      <c r="H53" s="172"/>
      <c r="I53" s="172"/>
      <c r="J53" s="171" t="str">
        <f t="shared" ref="J53:J55" si="16">IF($C53="","",IF($D53&gt;=1,$E53*$C53,""))</f>
        <v/>
      </c>
      <c r="K53" s="171" t="str">
        <f t="shared" ref="K53:K55" si="17">IF($K$51="","",IF($C53="","",IF($D53&gt;=2,($K$51+$E53)*$C53,"")))</f>
        <v/>
      </c>
      <c r="L53" s="171" t="str">
        <f>IF($L$51="","",IF($C53="","",IF($D53&gt;=3,(SUM($K$51:L$51)+$E53)*$C53,"")))</f>
        <v/>
      </c>
      <c r="M53" s="192" t="str">
        <f>IF($M$51="","",IF($C53="","",IF($D53&gt;=4,(SUM($K$51:M$51)+$E53)*$C53,"")))</f>
        <v/>
      </c>
      <c r="N53" s="171" t="str">
        <f>IF($N$51="","",IF($C53="","",IF($D53&gt;=5,(SUM($K$51:N$51)+$E53)*$C53,"")))</f>
        <v/>
      </c>
      <c r="P53" s="172"/>
      <c r="Q53" s="172"/>
      <c r="R53" s="172"/>
      <c r="S53" s="172"/>
      <c r="T53" s="172"/>
      <c r="U53" s="183" t="str">
        <f t="shared" si="15"/>
        <v/>
      </c>
      <c r="V53" s="183" t="str">
        <f t="shared" si="15"/>
        <v/>
      </c>
      <c r="W53" s="183" t="str">
        <f t="shared" si="15"/>
        <v/>
      </c>
      <c r="X53" s="183" t="str">
        <f t="shared" si="15"/>
        <v/>
      </c>
    </row>
    <row r="54" spans="2:24" ht="16.2" thickBot="1" x14ac:dyDescent="0.3">
      <c r="B54" s="512"/>
      <c r="C54" s="176" t="str">
        <f>IF(T0登记表!P49=T0登记表!$T$38,"",IF(T0登记表!O49="浮动",T0登记表!I49,""))</f>
        <v/>
      </c>
      <c r="D54" s="177" t="str">
        <f>IF(C54="","",T0登记表!J49)</f>
        <v/>
      </c>
      <c r="E54" s="178" t="str">
        <f>IF(C54="","",T0登记表!K49)</f>
        <v/>
      </c>
      <c r="F54" s="172"/>
      <c r="G54" s="172"/>
      <c r="H54" s="172"/>
      <c r="I54" s="172"/>
      <c r="J54" s="171" t="str">
        <f t="shared" si="16"/>
        <v/>
      </c>
      <c r="K54" s="171" t="str">
        <f t="shared" si="17"/>
        <v/>
      </c>
      <c r="L54" s="171" t="str">
        <f>IF($L$51="","",IF($C54="","",IF($D54&gt;=3,(SUM($K$51:L$51)+$E54)*$C54,"")))</f>
        <v/>
      </c>
      <c r="M54" s="192" t="str">
        <f>IF($M$51="","",IF($C54="","",IF($D54&gt;=4,(SUM($K$51:M$51)+$E54)*$C54,"")))</f>
        <v/>
      </c>
      <c r="N54" s="171" t="str">
        <f>IF($N$51="","",IF($C54="","",IF($D54&gt;=5,(SUM($K$51:N$51)+$E54)*$C54,"")))</f>
        <v/>
      </c>
      <c r="P54" s="172"/>
      <c r="Q54" s="172"/>
      <c r="R54" s="172"/>
      <c r="S54" s="172"/>
      <c r="T54" s="172"/>
      <c r="U54" s="183" t="str">
        <f t="shared" si="15"/>
        <v/>
      </c>
      <c r="V54" s="183" t="str">
        <f t="shared" si="15"/>
        <v/>
      </c>
      <c r="W54" s="183" t="str">
        <f t="shared" si="15"/>
        <v/>
      </c>
      <c r="X54" s="183" t="str">
        <f t="shared" si="15"/>
        <v/>
      </c>
    </row>
    <row r="55" spans="2:24" ht="16.2" thickBot="1" x14ac:dyDescent="0.3">
      <c r="B55" s="511"/>
      <c r="C55" s="176" t="str">
        <f>IF(T0登记表!P50=T0登记表!$T$38,"",IF(T0登记表!O50="浮动",T0登记表!I50,""))</f>
        <v/>
      </c>
      <c r="D55" s="177" t="str">
        <f>IF(C55="","",T0登记表!J50)</f>
        <v/>
      </c>
      <c r="E55" s="178" t="str">
        <f>IF(C55="","",T0登记表!K50)</f>
        <v/>
      </c>
      <c r="F55" s="172"/>
      <c r="G55" s="172"/>
      <c r="H55" s="172"/>
      <c r="I55" s="172"/>
      <c r="J55" s="171" t="str">
        <f t="shared" si="16"/>
        <v/>
      </c>
      <c r="K55" s="171" t="str">
        <f t="shared" si="17"/>
        <v/>
      </c>
      <c r="L55" s="171" t="str">
        <f>IF($L$51="","",IF($C55="","",IF($D55&gt;=3,(SUM($K$51:L$51)+$E55)*$C55,"")))</f>
        <v/>
      </c>
      <c r="M55" s="192" t="str">
        <f>IF($M$51="","",IF($C55="","",IF($D55&gt;=4,(SUM($K$51:M$51)+$E55)*$C55,"")))</f>
        <v/>
      </c>
      <c r="N55" s="171" t="str">
        <f>IF($N$51="","",IF($C55="","",IF($D55&gt;=5,(SUM($K$51:N$51)+$E55)*$C55,"")))</f>
        <v/>
      </c>
      <c r="P55" s="172"/>
      <c r="Q55" s="172"/>
      <c r="R55" s="172"/>
      <c r="S55" s="172"/>
      <c r="T55" s="172"/>
      <c r="U55" s="183" t="str">
        <f t="shared" si="15"/>
        <v/>
      </c>
      <c r="V55" s="183" t="str">
        <f t="shared" si="15"/>
        <v/>
      </c>
      <c r="W55" s="183" t="str">
        <f t="shared" si="15"/>
        <v/>
      </c>
      <c r="X55" s="183" t="str">
        <f t="shared" si="15"/>
        <v/>
      </c>
    </row>
    <row r="56" spans="2:24" ht="16.2" thickBot="1" x14ac:dyDescent="0.3">
      <c r="B56" s="198" t="s">
        <v>156</v>
      </c>
      <c r="C56" s="188"/>
      <c r="D56" s="188"/>
      <c r="E56" s="189"/>
      <c r="F56" s="162"/>
      <c r="G56" s="162"/>
      <c r="H56" s="162"/>
      <c r="I56" s="162"/>
      <c r="J56" s="162"/>
      <c r="K56" s="162"/>
      <c r="L56" s="188"/>
      <c r="M56" s="190"/>
      <c r="N56" s="188"/>
      <c r="P56" s="162"/>
      <c r="Q56" s="162"/>
      <c r="R56" s="162"/>
      <c r="S56" s="162"/>
      <c r="T56" s="162"/>
      <c r="U56" s="162"/>
      <c r="V56" s="188"/>
      <c r="W56" s="188"/>
      <c r="X56" s="188"/>
    </row>
    <row r="57" spans="2:24" ht="16.2" thickBot="1" x14ac:dyDescent="0.3">
      <c r="B57" s="168" t="s">
        <v>151</v>
      </c>
      <c r="C57" s="169" t="s">
        <v>152</v>
      </c>
      <c r="D57" s="169" t="s">
        <v>56</v>
      </c>
      <c r="E57" s="170" t="s">
        <v>153</v>
      </c>
      <c r="F57" s="172" t="s">
        <v>89</v>
      </c>
      <c r="G57" s="172" t="s">
        <v>102</v>
      </c>
      <c r="H57" s="172" t="s">
        <v>359</v>
      </c>
      <c r="I57" s="172" t="s">
        <v>367</v>
      </c>
      <c r="J57" s="172" t="s">
        <v>361</v>
      </c>
      <c r="K57" s="171" t="s">
        <v>94</v>
      </c>
      <c r="L57" s="171" t="s">
        <v>105</v>
      </c>
      <c r="M57" s="192" t="s">
        <v>106</v>
      </c>
      <c r="N57" s="196" t="s">
        <v>120</v>
      </c>
      <c r="P57" s="172" t="s">
        <v>89</v>
      </c>
      <c r="Q57" s="172" t="s">
        <v>102</v>
      </c>
      <c r="R57" s="172" t="s">
        <v>104</v>
      </c>
      <c r="S57" s="172" t="s">
        <v>360</v>
      </c>
      <c r="T57" s="172" t="s">
        <v>361</v>
      </c>
      <c r="U57" s="172" t="s">
        <v>161</v>
      </c>
      <c r="V57" s="185" t="s">
        <v>105</v>
      </c>
      <c r="W57" s="185" t="s">
        <v>106</v>
      </c>
      <c r="X57" s="197" t="s">
        <v>137</v>
      </c>
    </row>
    <row r="58" spans="2:24" ht="16.2" thickBot="1" x14ac:dyDescent="0.3">
      <c r="B58" s="510" t="s">
        <v>154</v>
      </c>
      <c r="C58" s="177" t="str">
        <f>IF(T0登记表!P53=T0登记表!$T$38,"",IF(T0登记表!O53="固定",T0登记表!I53,""))</f>
        <v/>
      </c>
      <c r="D58" s="177" t="str">
        <f>IF(C58="","",T0登记表!J53)</f>
        <v/>
      </c>
      <c r="E58" s="178" t="str">
        <f>IF(C58="","",T0登记表!K53)</f>
        <v/>
      </c>
      <c r="F58" s="172"/>
      <c r="G58" s="172"/>
      <c r="H58" s="172"/>
      <c r="I58" s="172"/>
      <c r="J58" s="172"/>
      <c r="K58" s="171" t="str">
        <f>IF($C58="","",IF($D58&gt;=1,$E58*$C58,""))</f>
        <v/>
      </c>
      <c r="L58" s="171" t="str">
        <f>IF($C58="","",IF($D58&gt;=2,$E58*$C58,""))</f>
        <v/>
      </c>
      <c r="M58" s="192" t="str">
        <f>IF($C58="","",IF($D58&gt;=3,$E58*$C58,""))</f>
        <v/>
      </c>
      <c r="N58" s="171" t="str">
        <f>IF($C58="","",IF($D58&gt;=4,$E58*$C58,""))</f>
        <v/>
      </c>
      <c r="P58" s="172"/>
      <c r="Q58" s="172"/>
      <c r="R58" s="172"/>
      <c r="S58" s="172"/>
      <c r="T58" s="172"/>
      <c r="U58" s="172"/>
      <c r="V58" s="183" t="str">
        <f t="shared" ref="V58:X61" si="18">K58</f>
        <v/>
      </c>
      <c r="W58" s="183" t="str">
        <f t="shared" si="18"/>
        <v/>
      </c>
      <c r="X58" s="183" t="str">
        <f t="shared" si="18"/>
        <v/>
      </c>
    </row>
    <row r="59" spans="2:24" ht="16.2" thickBot="1" x14ac:dyDescent="0.3">
      <c r="B59" s="512"/>
      <c r="C59" s="177" t="str">
        <f>IF(T0登记表!P54=T0登记表!$T$38,"",IF(T0登记表!O54="固定",T0登记表!I54,""))</f>
        <v/>
      </c>
      <c r="D59" s="177" t="str">
        <f>IF(C59="","",T0登记表!J54)</f>
        <v/>
      </c>
      <c r="E59" s="178" t="str">
        <f>IF(C59="","",T0登记表!K54)</f>
        <v/>
      </c>
      <c r="F59" s="172"/>
      <c r="G59" s="172"/>
      <c r="H59" s="172"/>
      <c r="I59" s="172"/>
      <c r="J59" s="172"/>
      <c r="K59" s="171" t="str">
        <f>IF($C59="","",IF($D59&gt;=1,$E59*$C59,""))</f>
        <v/>
      </c>
      <c r="L59" s="171" t="str">
        <f>IF($C59="","",IF($D59&gt;=2,$E59*$C59,""))</f>
        <v/>
      </c>
      <c r="M59" s="192" t="str">
        <f>IF($C59="","",IF($D59&gt;=3,$E59*$C59,""))</f>
        <v/>
      </c>
      <c r="N59" s="171" t="str">
        <f>IF($C59="","",IF($D59&gt;=4,$E59*$C59,""))</f>
        <v/>
      </c>
      <c r="P59" s="172"/>
      <c r="Q59" s="172"/>
      <c r="R59" s="172"/>
      <c r="S59" s="172"/>
      <c r="T59" s="172"/>
      <c r="U59" s="172"/>
      <c r="V59" s="183" t="str">
        <f t="shared" si="18"/>
        <v/>
      </c>
      <c r="W59" s="183" t="str">
        <f t="shared" si="18"/>
        <v/>
      </c>
      <c r="X59" s="183" t="str">
        <f t="shared" si="18"/>
        <v/>
      </c>
    </row>
    <row r="60" spans="2:24" ht="16.2" thickBot="1" x14ac:dyDescent="0.3">
      <c r="B60" s="512"/>
      <c r="C60" s="177" t="str">
        <f>IF(T0登记表!P55=T0登记表!$T$38,"",IF(T0登记表!O55="固定",T0登记表!I55,""))</f>
        <v/>
      </c>
      <c r="D60" s="177" t="str">
        <f>IF(C60="","",T0登记表!J55)</f>
        <v/>
      </c>
      <c r="E60" s="178" t="str">
        <f>IF(C60="","",T0登记表!K55)</f>
        <v/>
      </c>
      <c r="F60" s="172"/>
      <c r="G60" s="172"/>
      <c r="H60" s="172"/>
      <c r="I60" s="172"/>
      <c r="J60" s="172"/>
      <c r="K60" s="171" t="str">
        <f>IF($C60="","",IF($D60&gt;=1,$E60*$C60,""))</f>
        <v/>
      </c>
      <c r="L60" s="171" t="str">
        <f>IF($C60="","",IF($D60&gt;=2,$E60*$C60,""))</f>
        <v/>
      </c>
      <c r="M60" s="192" t="str">
        <f>IF($C60="","",IF($D60&gt;=3,$E60*$C60,""))</f>
        <v/>
      </c>
      <c r="N60" s="171" t="str">
        <f>IF($C60="","",IF($D60&gt;=4,$E60*$C60,""))</f>
        <v/>
      </c>
      <c r="P60" s="172"/>
      <c r="Q60" s="172"/>
      <c r="R60" s="172"/>
      <c r="S60" s="172"/>
      <c r="T60" s="172"/>
      <c r="U60" s="172"/>
      <c r="V60" s="183" t="str">
        <f t="shared" si="18"/>
        <v/>
      </c>
      <c r="W60" s="183" t="str">
        <f t="shared" si="18"/>
        <v/>
      </c>
      <c r="X60" s="183" t="str">
        <f t="shared" si="18"/>
        <v/>
      </c>
    </row>
    <row r="61" spans="2:24" ht="16.2" thickBot="1" x14ac:dyDescent="0.3">
      <c r="B61" s="511"/>
      <c r="C61" s="177" t="str">
        <f>IF(T0登记表!P56=T0登记表!$T$38,"",IF(T0登记表!O56="固定",T0登记表!I56,""))</f>
        <v/>
      </c>
      <c r="D61" s="177" t="str">
        <f>IF(C61="","",T0登记表!J56)</f>
        <v/>
      </c>
      <c r="E61" s="178" t="str">
        <f>IF(C61="","",T0登记表!K56)</f>
        <v/>
      </c>
      <c r="F61" s="172"/>
      <c r="G61" s="172"/>
      <c r="H61" s="172"/>
      <c r="I61" s="172"/>
      <c r="J61" s="172"/>
      <c r="K61" s="171" t="str">
        <f>IF($C61="","",IF($D61&gt;=1,$E61*$C61,""))</f>
        <v/>
      </c>
      <c r="L61" s="171" t="str">
        <f>IF($C61="","",IF($D61&gt;=2,$E61*$C61,""))</f>
        <v/>
      </c>
      <c r="M61" s="192" t="str">
        <f>IF($C61="","",IF($D61&gt;=3,$E61*$C61,""))</f>
        <v/>
      </c>
      <c r="N61" s="171" t="str">
        <f>IF($C61="","",IF($D61&gt;=4,$E61*$C61,""))</f>
        <v/>
      </c>
      <c r="P61" s="172"/>
      <c r="Q61" s="172"/>
      <c r="R61" s="172"/>
      <c r="S61" s="172"/>
      <c r="T61" s="172"/>
      <c r="U61" s="172"/>
      <c r="V61" s="183" t="str">
        <f t="shared" si="18"/>
        <v/>
      </c>
      <c r="W61" s="183" t="str">
        <f t="shared" si="18"/>
        <v/>
      </c>
      <c r="X61" s="183" t="str">
        <f t="shared" si="18"/>
        <v/>
      </c>
    </row>
    <row r="62" spans="2:24" ht="16.2" thickBot="1" x14ac:dyDescent="0.3">
      <c r="B62" s="507"/>
      <c r="C62" s="508"/>
      <c r="D62" s="508"/>
      <c r="E62" s="509"/>
      <c r="F62" s="187"/>
      <c r="G62" s="194"/>
      <c r="H62" s="194"/>
      <c r="I62" s="194"/>
      <c r="J62" s="492" t="s">
        <v>160</v>
      </c>
      <c r="K62" s="493"/>
      <c r="L62" s="182">
        <f>IF(T0登记表!$N$12="","",T0登记表!$N$12)</f>
        <v>0</v>
      </c>
      <c r="M62" s="195">
        <f>IF(T0登记表!$N$13="","",T0登记表!$N$13)</f>
        <v>0</v>
      </c>
      <c r="N62" s="182" t="str">
        <f>IF(T0登记表!$N$14="","",T0登记表!$N$14)</f>
        <v/>
      </c>
      <c r="P62" s="513" t="s">
        <v>144</v>
      </c>
      <c r="Q62" s="514"/>
      <c r="R62" s="514"/>
      <c r="S62" s="514"/>
      <c r="T62" s="514"/>
      <c r="U62" s="514"/>
      <c r="V62" s="515"/>
      <c r="W62" s="182">
        <f>IF(T0登记表!$N$13="","",T0登记表!$N$13)</f>
        <v>0</v>
      </c>
      <c r="X62" s="182" t="str">
        <f>IF(T0登记表!$N$14="","",T0登记表!$N$14)</f>
        <v/>
      </c>
    </row>
    <row r="63" spans="2:24" ht="16.2" thickBot="1" x14ac:dyDescent="0.3">
      <c r="B63" s="510" t="s">
        <v>155</v>
      </c>
      <c r="C63" s="176" t="str">
        <f>IF(T0登记表!P53=T0登记表!$T$38,"",IF(T0登记表!O53="浮动",T0登记表!I53,""))</f>
        <v/>
      </c>
      <c r="D63" s="177" t="str">
        <f>IF(C63="","",T0登记表!J53)</f>
        <v/>
      </c>
      <c r="E63" s="178" t="str">
        <f>IF(C63="","",T0登记表!K53)</f>
        <v/>
      </c>
      <c r="F63" s="172"/>
      <c r="G63" s="172"/>
      <c r="H63" s="172"/>
      <c r="I63" s="172"/>
      <c r="J63" s="172"/>
      <c r="K63" s="171" t="str">
        <f>IF($C63="","",IF($D63&gt;=1,$E63*$C63,""))</f>
        <v/>
      </c>
      <c r="L63" s="171" t="str">
        <f>IF($L$62="","",IF($C63="","",IF($D63&gt;=2,($L$62+$E63)*$C63,"")))</f>
        <v/>
      </c>
      <c r="M63" s="192" t="str">
        <f>IF($M$62="","",IF($C63="","",IF($D63&gt;=3,(SUM($L$62:M$62)+$E63)*$C63,"")))</f>
        <v/>
      </c>
      <c r="N63" s="171" t="str">
        <f>IF($N$62="","",IF($C63="","",IF($D63&gt;=4,(SUM($L$62:N$62)+$E63)*$C63,"")))</f>
        <v/>
      </c>
      <c r="P63" s="172"/>
      <c r="Q63" s="172"/>
      <c r="R63" s="172"/>
      <c r="S63" s="172"/>
      <c r="T63" s="172"/>
      <c r="U63" s="172"/>
      <c r="V63" s="183" t="str">
        <f t="shared" ref="V63:X66" si="19">K63</f>
        <v/>
      </c>
      <c r="W63" s="183" t="str">
        <f t="shared" si="19"/>
        <v/>
      </c>
      <c r="X63" s="183" t="str">
        <f t="shared" si="19"/>
        <v/>
      </c>
    </row>
    <row r="64" spans="2:24" ht="16.2" thickBot="1" x14ac:dyDescent="0.3">
      <c r="B64" s="512"/>
      <c r="C64" s="176" t="str">
        <f>IF(T0登记表!P54=T0登记表!$T$38,"",IF(T0登记表!O54="浮动",T0登记表!I54,""))</f>
        <v/>
      </c>
      <c r="D64" s="177" t="str">
        <f>IF(C64="","",T0登记表!J54)</f>
        <v/>
      </c>
      <c r="E64" s="178" t="str">
        <f>IF(C64="","",T0登记表!K54)</f>
        <v/>
      </c>
      <c r="F64" s="172"/>
      <c r="G64" s="172"/>
      <c r="H64" s="172"/>
      <c r="I64" s="172"/>
      <c r="J64" s="172"/>
      <c r="K64" s="171" t="str">
        <f t="shared" ref="K64:K66" si="20">IF($C64="","",IF($D64&gt;=1,$E64*$C64,""))</f>
        <v/>
      </c>
      <c r="L64" s="171" t="str">
        <f t="shared" ref="L64:L66" si="21">IF($L$62="","",IF($C64="","",IF($D64&gt;=2,($L$62+$E64)*$C64,"")))</f>
        <v/>
      </c>
      <c r="M64" s="192" t="str">
        <f>IF($M$62="","",IF($C64="","",IF($D64&gt;=3,(SUM($L$62:M$62)+$E64)*$C64,"")))</f>
        <v/>
      </c>
      <c r="N64" s="171" t="str">
        <f>IF($N$62="","",IF($C64="","",IF($D64&gt;=4,(SUM($L$62:N$62)+$E64)*$C64,"")))</f>
        <v/>
      </c>
      <c r="P64" s="172"/>
      <c r="Q64" s="172"/>
      <c r="R64" s="172"/>
      <c r="S64" s="172"/>
      <c r="T64" s="172"/>
      <c r="U64" s="172"/>
      <c r="V64" s="183" t="str">
        <f t="shared" si="19"/>
        <v/>
      </c>
      <c r="W64" s="183" t="str">
        <f t="shared" si="19"/>
        <v/>
      </c>
      <c r="X64" s="183" t="str">
        <f t="shared" si="19"/>
        <v/>
      </c>
    </row>
    <row r="65" spans="2:24" ht="16.2" thickBot="1" x14ac:dyDescent="0.3">
      <c r="B65" s="512"/>
      <c r="C65" s="176" t="str">
        <f>IF(T0登记表!P55=T0登记表!$T$38,"",IF(T0登记表!O55="浮动",T0登记表!I55,""))</f>
        <v/>
      </c>
      <c r="D65" s="177" t="str">
        <f>IF(C65="","",T0登记表!J55)</f>
        <v/>
      </c>
      <c r="E65" s="178" t="str">
        <f>IF(C65="","",T0登记表!K55)</f>
        <v/>
      </c>
      <c r="F65" s="172"/>
      <c r="G65" s="172"/>
      <c r="H65" s="172"/>
      <c r="I65" s="172"/>
      <c r="J65" s="172"/>
      <c r="K65" s="171" t="str">
        <f t="shared" si="20"/>
        <v/>
      </c>
      <c r="L65" s="171" t="str">
        <f t="shared" si="21"/>
        <v/>
      </c>
      <c r="M65" s="192" t="str">
        <f>IF($M$62="","",IF($C65="","",IF($D65&gt;=3,(SUM($L$62:M$62)+$E65)*$C65,"")))</f>
        <v/>
      </c>
      <c r="N65" s="171" t="str">
        <f>IF($N$62="","",IF($C65="","",IF($D65&gt;=4,(SUM($L$62:N$62)+$E65)*$C65,"")))</f>
        <v/>
      </c>
      <c r="P65" s="172"/>
      <c r="Q65" s="172"/>
      <c r="R65" s="172"/>
      <c r="S65" s="172"/>
      <c r="T65" s="172"/>
      <c r="U65" s="172"/>
      <c r="V65" s="183" t="str">
        <f t="shared" si="19"/>
        <v/>
      </c>
      <c r="W65" s="183" t="str">
        <f t="shared" si="19"/>
        <v/>
      </c>
      <c r="X65" s="183" t="str">
        <f t="shared" si="19"/>
        <v/>
      </c>
    </row>
    <row r="66" spans="2:24" ht="16.2" thickBot="1" x14ac:dyDescent="0.3">
      <c r="B66" s="511"/>
      <c r="C66" s="176" t="str">
        <f>IF(T0登记表!P56=T0登记表!$T$38,"",IF(T0登记表!O56="浮动",T0登记表!I56,""))</f>
        <v/>
      </c>
      <c r="D66" s="177" t="str">
        <f>IF(C66="","",T0登记表!J56)</f>
        <v/>
      </c>
      <c r="E66" s="178" t="str">
        <f>IF(C66="","",T0登记表!K56)</f>
        <v/>
      </c>
      <c r="F66" s="172"/>
      <c r="G66" s="172"/>
      <c r="H66" s="172"/>
      <c r="I66" s="172"/>
      <c r="J66" s="172"/>
      <c r="K66" s="171" t="str">
        <f t="shared" si="20"/>
        <v/>
      </c>
      <c r="L66" s="171" t="str">
        <f t="shared" si="21"/>
        <v/>
      </c>
      <c r="M66" s="192" t="str">
        <f>IF($M$62="","",IF($C66="","",IF($D66&gt;=3,(SUM($L$62:M$62)+$E66)*$C66,"")))</f>
        <v/>
      </c>
      <c r="N66" s="171" t="str">
        <f>IF($N$62="","",IF($C66="","",IF($D66&gt;=4,(SUM($L$62:N$62)+$E66)*$C66,"")))</f>
        <v/>
      </c>
      <c r="P66" s="172"/>
      <c r="Q66" s="172"/>
      <c r="R66" s="172"/>
      <c r="S66" s="172"/>
      <c r="T66" s="172"/>
      <c r="U66" s="172"/>
      <c r="V66" s="183" t="str">
        <f t="shared" si="19"/>
        <v/>
      </c>
      <c r="W66" s="183" t="str">
        <f t="shared" si="19"/>
        <v/>
      </c>
      <c r="X66" s="183" t="str">
        <f t="shared" si="19"/>
        <v/>
      </c>
    </row>
    <row r="67" spans="2:24" ht="16.2" thickBot="1" x14ac:dyDescent="0.3">
      <c r="B67" s="198" t="s">
        <v>157</v>
      </c>
      <c r="C67" s="188"/>
      <c r="D67" s="188"/>
      <c r="E67" s="189"/>
      <c r="F67" s="162"/>
      <c r="G67" s="162"/>
      <c r="H67" s="162"/>
      <c r="I67" s="162"/>
      <c r="J67" s="162"/>
      <c r="K67" s="162"/>
      <c r="L67" s="162"/>
      <c r="M67" s="190"/>
      <c r="N67" s="188"/>
      <c r="P67" s="162"/>
      <c r="Q67" s="162"/>
      <c r="R67" s="162"/>
      <c r="S67" s="162"/>
      <c r="T67" s="162"/>
      <c r="U67" s="162"/>
      <c r="V67" s="162"/>
      <c r="W67" s="188"/>
      <c r="X67" s="188"/>
    </row>
    <row r="68" spans="2:24" ht="16.2" thickBot="1" x14ac:dyDescent="0.3">
      <c r="B68" s="168" t="s">
        <v>151</v>
      </c>
      <c r="C68" s="169" t="s">
        <v>152</v>
      </c>
      <c r="D68" s="169" t="s">
        <v>56</v>
      </c>
      <c r="E68" s="170" t="s">
        <v>153</v>
      </c>
      <c r="F68" s="172" t="s">
        <v>89</v>
      </c>
      <c r="G68" s="172" t="s">
        <v>102</v>
      </c>
      <c r="H68" s="172" t="s">
        <v>366</v>
      </c>
      <c r="I68" s="172" t="s">
        <v>369</v>
      </c>
      <c r="J68" s="172" t="s">
        <v>361</v>
      </c>
      <c r="K68" s="172" t="s">
        <v>161</v>
      </c>
      <c r="L68" s="171" t="s">
        <v>105</v>
      </c>
      <c r="M68" s="192" t="s">
        <v>106</v>
      </c>
      <c r="N68" s="196" t="s">
        <v>120</v>
      </c>
      <c r="P68" s="172" t="s">
        <v>89</v>
      </c>
      <c r="Q68" s="172" t="s">
        <v>102</v>
      </c>
      <c r="R68" s="172" t="s">
        <v>104</v>
      </c>
      <c r="S68" s="172" t="s">
        <v>360</v>
      </c>
      <c r="T68" s="172" t="s">
        <v>361</v>
      </c>
      <c r="U68" s="172" t="s">
        <v>161</v>
      </c>
      <c r="V68" s="172" t="s">
        <v>95</v>
      </c>
      <c r="W68" s="185" t="s">
        <v>106</v>
      </c>
      <c r="X68" s="197" t="s">
        <v>137</v>
      </c>
    </row>
    <row r="69" spans="2:24" ht="16.2" thickBot="1" x14ac:dyDescent="0.3">
      <c r="B69" s="510" t="s">
        <v>154</v>
      </c>
      <c r="C69" s="177" t="str">
        <f>IF(T0登记表!P59=T0登记表!$T$38,"",IF(T0登记表!O59="固定",T0登记表!I59,""))</f>
        <v/>
      </c>
      <c r="D69" s="177" t="str">
        <f>IF(C69="","",T0登记表!J59)</f>
        <v/>
      </c>
      <c r="E69" s="178" t="str">
        <f>IF(C69="","",T0登记表!K59)</f>
        <v/>
      </c>
      <c r="F69" s="172"/>
      <c r="G69" s="172"/>
      <c r="H69" s="172"/>
      <c r="I69" s="172"/>
      <c r="J69" s="172"/>
      <c r="K69" s="172"/>
      <c r="L69" s="171" t="str">
        <f>IF($C69="","",IF($D69&gt;=1,$E69*$C69,""))</f>
        <v/>
      </c>
      <c r="M69" s="192" t="str">
        <f>IF($C69="","",IF($D69&gt;=2,$E69*$C69,""))</f>
        <v/>
      </c>
      <c r="N69" s="171" t="str">
        <f>IF($C69="","",IF($D69&gt;=3,$E69*$C69,""))</f>
        <v/>
      </c>
      <c r="P69" s="172"/>
      <c r="Q69" s="172"/>
      <c r="R69" s="172"/>
      <c r="S69" s="172"/>
      <c r="T69" s="172"/>
      <c r="U69" s="172"/>
      <c r="V69" s="172"/>
      <c r="W69" s="199" t="str">
        <f t="shared" ref="W69:X72" si="22">L69</f>
        <v/>
      </c>
      <c r="X69" s="199" t="str">
        <f t="shared" si="22"/>
        <v/>
      </c>
    </row>
    <row r="70" spans="2:24" ht="16.2" thickBot="1" x14ac:dyDescent="0.3">
      <c r="B70" s="512"/>
      <c r="C70" s="177" t="str">
        <f>IF(T0登记表!P60=T0登记表!$T$38,"",IF(T0登记表!O60="固定",T0登记表!I60,""))</f>
        <v/>
      </c>
      <c r="D70" s="177" t="str">
        <f>IF(C70="","",T0登记表!J60)</f>
        <v/>
      </c>
      <c r="E70" s="178" t="str">
        <f>IF(C70="","",T0登记表!K60)</f>
        <v/>
      </c>
      <c r="F70" s="172"/>
      <c r="G70" s="172"/>
      <c r="H70" s="172"/>
      <c r="I70" s="172"/>
      <c r="J70" s="172"/>
      <c r="K70" s="172"/>
      <c r="L70" s="171" t="str">
        <f>IF($C70="","",IF($D70&gt;=1,$E70*$C70,""))</f>
        <v/>
      </c>
      <c r="M70" s="192" t="str">
        <f>IF($C70="","",IF($D70&gt;=2,$E70*$C70,""))</f>
        <v/>
      </c>
      <c r="N70" s="171" t="str">
        <f>IF($C70="","",IF($D70&gt;=3,$E70*$C70,""))</f>
        <v/>
      </c>
      <c r="P70" s="172"/>
      <c r="Q70" s="172"/>
      <c r="R70" s="172"/>
      <c r="S70" s="172"/>
      <c r="T70" s="172"/>
      <c r="U70" s="172"/>
      <c r="V70" s="172"/>
      <c r="W70" s="199" t="str">
        <f t="shared" si="22"/>
        <v/>
      </c>
      <c r="X70" s="199" t="str">
        <f t="shared" si="22"/>
        <v/>
      </c>
    </row>
    <row r="71" spans="2:24" ht="16.2" thickBot="1" x14ac:dyDescent="0.3">
      <c r="B71" s="512"/>
      <c r="C71" s="177" t="str">
        <f>IF(T0登记表!P61=T0登记表!$T$38,"",IF(T0登记表!O61="固定",T0登记表!I61,""))</f>
        <v/>
      </c>
      <c r="D71" s="177" t="str">
        <f>IF(C71="","",T0登记表!J61)</f>
        <v/>
      </c>
      <c r="E71" s="178" t="str">
        <f>IF(C71="","",T0登记表!K61)</f>
        <v/>
      </c>
      <c r="F71" s="172"/>
      <c r="G71" s="172"/>
      <c r="H71" s="172"/>
      <c r="I71" s="172"/>
      <c r="J71" s="172"/>
      <c r="K71" s="172"/>
      <c r="L71" s="171" t="str">
        <f>IF($C71="","",IF($D71&gt;=1,$E71*$C71,""))</f>
        <v/>
      </c>
      <c r="M71" s="192" t="str">
        <f>IF($C71="","",IF($D71&gt;=2,$E71*$C71,""))</f>
        <v/>
      </c>
      <c r="N71" s="171" t="str">
        <f>IF($C71="","",IF($D71&gt;=3,$E71*$C71,""))</f>
        <v/>
      </c>
      <c r="P71" s="172"/>
      <c r="Q71" s="172"/>
      <c r="R71" s="172"/>
      <c r="S71" s="172"/>
      <c r="T71" s="172"/>
      <c r="U71" s="172"/>
      <c r="V71" s="172"/>
      <c r="W71" s="199" t="str">
        <f t="shared" si="22"/>
        <v/>
      </c>
      <c r="X71" s="199" t="str">
        <f t="shared" si="22"/>
        <v/>
      </c>
    </row>
    <row r="72" spans="2:24" ht="16.2" thickBot="1" x14ac:dyDescent="0.3">
      <c r="B72" s="511"/>
      <c r="C72" s="177" t="str">
        <f>IF(T0登记表!P62=T0登记表!$T$38,"",IF(T0登记表!O62="固定",T0登记表!I62,""))</f>
        <v/>
      </c>
      <c r="D72" s="177" t="str">
        <f>IF(C72="","",T0登记表!J62)</f>
        <v/>
      </c>
      <c r="E72" s="178" t="str">
        <f>IF(C72="","",T0登记表!K62)</f>
        <v/>
      </c>
      <c r="F72" s="172"/>
      <c r="G72" s="172"/>
      <c r="H72" s="172"/>
      <c r="I72" s="172"/>
      <c r="J72" s="172"/>
      <c r="K72" s="172"/>
      <c r="L72" s="171" t="str">
        <f>IF($C72="","",IF($D72&gt;=1,$E72*$C72,""))</f>
        <v/>
      </c>
      <c r="M72" s="192" t="str">
        <f>IF($C72="","",IF($D72&gt;=2,$E72*$C72,""))</f>
        <v/>
      </c>
      <c r="N72" s="171" t="str">
        <f>IF($C72="","",IF($D72&gt;=3,$E72*$C72,""))</f>
        <v/>
      </c>
      <c r="P72" s="172"/>
      <c r="Q72" s="172"/>
      <c r="R72" s="172"/>
      <c r="S72" s="172"/>
      <c r="T72" s="172"/>
      <c r="U72" s="172"/>
      <c r="V72" s="172"/>
      <c r="W72" s="199" t="str">
        <f t="shared" si="22"/>
        <v/>
      </c>
      <c r="X72" s="199" t="str">
        <f t="shared" si="22"/>
        <v/>
      </c>
    </row>
    <row r="73" spans="2:24" ht="16.2" thickBot="1" x14ac:dyDescent="0.3">
      <c r="B73" s="507"/>
      <c r="C73" s="508"/>
      <c r="D73" s="508"/>
      <c r="E73" s="509"/>
      <c r="F73" s="187"/>
      <c r="G73" s="194"/>
      <c r="H73" s="194"/>
      <c r="I73" s="194"/>
      <c r="J73" s="194"/>
      <c r="K73" s="492" t="s">
        <v>160</v>
      </c>
      <c r="L73" s="493"/>
      <c r="M73" s="195">
        <f>IF(T0登记表!$N$13="","",T0登记表!$N$13)</f>
        <v>0</v>
      </c>
      <c r="N73" s="182" t="str">
        <f>IF(T0登记表!$N$14="","",T0登记表!$N$14)</f>
        <v/>
      </c>
      <c r="P73" s="513" t="s">
        <v>144</v>
      </c>
      <c r="Q73" s="514"/>
      <c r="R73" s="514"/>
      <c r="S73" s="514"/>
      <c r="T73" s="514"/>
      <c r="U73" s="514"/>
      <c r="V73" s="514"/>
      <c r="W73" s="515"/>
      <c r="X73" s="182" t="str">
        <f>IF(T0登记表!$N$14="","",T0登记表!$N$14)</f>
        <v/>
      </c>
    </row>
    <row r="74" spans="2:24" ht="16.2" thickBot="1" x14ac:dyDescent="0.3">
      <c r="B74" s="510" t="s">
        <v>155</v>
      </c>
      <c r="C74" s="176" t="str">
        <f>IF(T0登记表!P59=T0登记表!$T$38,"",IF(T0登记表!O59="浮动",T0登记表!I59,""))</f>
        <v/>
      </c>
      <c r="D74" s="177" t="str">
        <f>IF(C74="","",T0登记表!J59)</f>
        <v/>
      </c>
      <c r="E74" s="178" t="str">
        <f>IF(C74="","",T0登记表!K59)</f>
        <v/>
      </c>
      <c r="F74" s="172"/>
      <c r="G74" s="172"/>
      <c r="H74" s="172"/>
      <c r="I74" s="172"/>
      <c r="J74" s="172"/>
      <c r="K74" s="172"/>
      <c r="L74" s="171" t="str">
        <f>IF($C74="","",IF($D74&gt;=1,$E74*$C74,""))</f>
        <v/>
      </c>
      <c r="M74" s="192" t="str">
        <f>IF($M$73="","",IF($C74="","",IF($D74&gt;=2,($M$73+$E74)*$C74,"")))</f>
        <v/>
      </c>
      <c r="N74" s="171" t="str">
        <f>IF($N$73="","",IF($C74="","",IF($D74&gt;=3,(SUM($M$73:N$73)+$E74)*$C74,"")))</f>
        <v/>
      </c>
      <c r="P74" s="172"/>
      <c r="Q74" s="172"/>
      <c r="R74" s="172"/>
      <c r="S74" s="172"/>
      <c r="T74" s="172"/>
      <c r="U74" s="172"/>
      <c r="V74" s="172"/>
      <c r="W74" s="199" t="str">
        <f t="shared" ref="W74:X77" si="23">L74</f>
        <v/>
      </c>
      <c r="X74" s="199" t="str">
        <f t="shared" si="23"/>
        <v/>
      </c>
    </row>
    <row r="75" spans="2:24" ht="16.2" thickBot="1" x14ac:dyDescent="0.3">
      <c r="B75" s="512"/>
      <c r="C75" s="176" t="str">
        <f>IF(T0登记表!P60=T0登记表!$T$38,"",IF(T0登记表!O60="浮动",T0登记表!I60,""))</f>
        <v/>
      </c>
      <c r="D75" s="177" t="str">
        <f>IF(C75="","",T0登记表!J60)</f>
        <v/>
      </c>
      <c r="E75" s="178" t="str">
        <f>IF(C75="","",T0登记表!K60)</f>
        <v/>
      </c>
      <c r="F75" s="172"/>
      <c r="G75" s="172"/>
      <c r="H75" s="172"/>
      <c r="I75" s="172"/>
      <c r="J75" s="172"/>
      <c r="K75" s="172"/>
      <c r="L75" s="171" t="str">
        <f t="shared" ref="L75:L77" si="24">IF($C75="","",IF($D75&gt;=1,$E75*$C75,""))</f>
        <v/>
      </c>
      <c r="M75" s="192" t="str">
        <f t="shared" ref="M75:M77" si="25">IF($M$73="","",IF($C75="","",IF($D75&gt;=2,($M$73+$E75)*$C75,"")))</f>
        <v/>
      </c>
      <c r="N75" s="171" t="str">
        <f>IF($N$73="","",IF($C75="","",IF($D75&gt;=3,(SUM($M$73:N$73)+$E75)*$C75,"")))</f>
        <v/>
      </c>
      <c r="P75" s="172"/>
      <c r="Q75" s="172"/>
      <c r="R75" s="172"/>
      <c r="S75" s="172"/>
      <c r="T75" s="172"/>
      <c r="U75" s="172"/>
      <c r="V75" s="172"/>
      <c r="W75" s="199" t="str">
        <f t="shared" si="23"/>
        <v/>
      </c>
      <c r="X75" s="199" t="str">
        <f t="shared" si="23"/>
        <v/>
      </c>
    </row>
    <row r="76" spans="2:24" ht="16.2" thickBot="1" x14ac:dyDescent="0.3">
      <c r="B76" s="512"/>
      <c r="C76" s="176" t="str">
        <f>IF(T0登记表!P61=T0登记表!$T$38,"",IF(T0登记表!O61="浮动",T0登记表!I61,""))</f>
        <v/>
      </c>
      <c r="D76" s="177" t="str">
        <f>IF(C76="","",T0登记表!J61)</f>
        <v/>
      </c>
      <c r="E76" s="178" t="str">
        <f>IF(C76="","",T0登记表!K61)</f>
        <v/>
      </c>
      <c r="F76" s="172"/>
      <c r="G76" s="172"/>
      <c r="H76" s="172"/>
      <c r="I76" s="172"/>
      <c r="J76" s="172"/>
      <c r="K76" s="172"/>
      <c r="L76" s="171" t="str">
        <f t="shared" si="24"/>
        <v/>
      </c>
      <c r="M76" s="192" t="str">
        <f t="shared" si="25"/>
        <v/>
      </c>
      <c r="N76" s="171" t="str">
        <f>IF($N$73="","",IF($C76="","",IF($D76&gt;=3,(SUM($M$73:N$73)+$E76)*$C76,"")))</f>
        <v/>
      </c>
      <c r="P76" s="172"/>
      <c r="Q76" s="172"/>
      <c r="R76" s="172"/>
      <c r="S76" s="172"/>
      <c r="T76" s="172"/>
      <c r="U76" s="172"/>
      <c r="V76" s="172"/>
      <c r="W76" s="199" t="str">
        <f t="shared" si="23"/>
        <v/>
      </c>
      <c r="X76" s="199" t="str">
        <f t="shared" si="23"/>
        <v/>
      </c>
    </row>
    <row r="77" spans="2:24" ht="16.2" thickBot="1" x14ac:dyDescent="0.3">
      <c r="B77" s="511"/>
      <c r="C77" s="176" t="str">
        <f>IF(T0登记表!P62=T0登记表!$T$38,"",IF(T0登记表!O62="浮动",T0登记表!I62,""))</f>
        <v/>
      </c>
      <c r="D77" s="177" t="str">
        <f>IF(C77="","",T0登记表!J62)</f>
        <v/>
      </c>
      <c r="E77" s="178" t="str">
        <f>IF(C77="","",T0登记表!K62)</f>
        <v/>
      </c>
      <c r="F77" s="172"/>
      <c r="G77" s="172"/>
      <c r="H77" s="172"/>
      <c r="I77" s="172"/>
      <c r="J77" s="172"/>
      <c r="K77" s="172"/>
      <c r="L77" s="171" t="str">
        <f t="shared" si="24"/>
        <v/>
      </c>
      <c r="M77" s="192" t="str">
        <f t="shared" si="25"/>
        <v/>
      </c>
      <c r="N77" s="171" t="str">
        <f>IF($N$73="","",IF($C77="","",IF($D77&gt;=3,(SUM($M$73:N$73)+$E77)*$C77,"")))</f>
        <v/>
      </c>
      <c r="P77" s="172"/>
      <c r="Q77" s="172"/>
      <c r="R77" s="172"/>
      <c r="S77" s="172"/>
      <c r="T77" s="172"/>
      <c r="U77" s="172"/>
      <c r="V77" s="172"/>
      <c r="W77" s="199" t="str">
        <f t="shared" si="23"/>
        <v/>
      </c>
      <c r="X77" s="199" t="str">
        <f t="shared" si="23"/>
        <v/>
      </c>
    </row>
    <row r="78" spans="2:24" ht="16.2" thickBot="1" x14ac:dyDescent="0.3">
      <c r="B78" s="198" t="s">
        <v>158</v>
      </c>
      <c r="C78" s="188"/>
      <c r="D78" s="188"/>
      <c r="E78" s="189"/>
      <c r="F78" s="162"/>
      <c r="G78" s="162"/>
      <c r="H78" s="162"/>
      <c r="I78" s="162"/>
      <c r="J78" s="162"/>
      <c r="K78" s="162"/>
      <c r="L78" s="162"/>
      <c r="M78" s="184"/>
      <c r="N78" s="188"/>
      <c r="P78" s="162"/>
      <c r="Q78" s="162"/>
      <c r="R78" s="162"/>
      <c r="S78" s="162"/>
      <c r="T78" s="162"/>
      <c r="U78" s="162"/>
      <c r="V78" s="162"/>
      <c r="W78" s="162"/>
      <c r="X78" s="188"/>
    </row>
    <row r="79" spans="2:24" ht="16.2" thickBot="1" x14ac:dyDescent="0.3">
      <c r="B79" s="168" t="s">
        <v>151</v>
      </c>
      <c r="C79" s="169" t="s">
        <v>152</v>
      </c>
      <c r="D79" s="169" t="s">
        <v>56</v>
      </c>
      <c r="E79" s="170" t="s">
        <v>153</v>
      </c>
      <c r="F79" s="172" t="s">
        <v>374</v>
      </c>
      <c r="G79" s="172" t="s">
        <v>102</v>
      </c>
      <c r="H79" s="172" t="s">
        <v>375</v>
      </c>
      <c r="I79" s="172" t="s">
        <v>368</v>
      </c>
      <c r="J79" s="172" t="s">
        <v>361</v>
      </c>
      <c r="K79" s="172" t="s">
        <v>161</v>
      </c>
      <c r="L79" s="172" t="s">
        <v>95</v>
      </c>
      <c r="M79" s="192" t="s">
        <v>106</v>
      </c>
      <c r="N79" s="196" t="s">
        <v>120</v>
      </c>
      <c r="P79" s="172" t="s">
        <v>89</v>
      </c>
      <c r="Q79" s="172" t="s">
        <v>102</v>
      </c>
      <c r="R79" s="172" t="s">
        <v>104</v>
      </c>
      <c r="S79" s="172" t="s">
        <v>360</v>
      </c>
      <c r="T79" s="172" t="s">
        <v>361</v>
      </c>
      <c r="U79" s="172" t="s">
        <v>161</v>
      </c>
      <c r="V79" s="172" t="s">
        <v>95</v>
      </c>
      <c r="W79" s="172" t="s">
        <v>493</v>
      </c>
      <c r="X79" s="196" t="s">
        <v>97</v>
      </c>
    </row>
    <row r="80" spans="2:24" ht="16.2" thickBot="1" x14ac:dyDescent="0.3">
      <c r="B80" s="510" t="s">
        <v>138</v>
      </c>
      <c r="C80" s="177" t="str">
        <f>IF(T0登记表!P65=T0登记表!$T$38,"",IF(T0登记表!O65="固定",T0登记表!I65,""))</f>
        <v/>
      </c>
      <c r="D80" s="177" t="str">
        <f>IF(C80="","",T0登记表!J65)</f>
        <v/>
      </c>
      <c r="E80" s="178" t="str">
        <f>IF(C80="","",T0登记表!K65)</f>
        <v/>
      </c>
      <c r="F80" s="172"/>
      <c r="G80" s="172"/>
      <c r="H80" s="172"/>
      <c r="I80" s="172"/>
      <c r="J80" s="172"/>
      <c r="K80" s="172"/>
      <c r="L80" s="172"/>
      <c r="M80" s="192" t="str">
        <f>IF($C80="","",IF($D80&gt;=1,$E80*$C80,""))</f>
        <v/>
      </c>
      <c r="N80" s="171" t="str">
        <f>IF($C80="","",IF($D80&gt;=2,$E80*$C80,""))</f>
        <v/>
      </c>
      <c r="P80" s="172"/>
      <c r="Q80" s="172"/>
      <c r="R80" s="172"/>
      <c r="S80" s="172"/>
      <c r="T80" s="172"/>
      <c r="U80" s="172"/>
      <c r="V80" s="172"/>
      <c r="W80" s="172"/>
      <c r="X80" s="200" t="str">
        <f>M80</f>
        <v/>
      </c>
    </row>
    <row r="81" spans="2:24" ht="16.2" thickBot="1" x14ac:dyDescent="0.3">
      <c r="B81" s="512"/>
      <c r="C81" s="177" t="str">
        <f>IF(T0登记表!P66=T0登记表!$T$38,"",IF(T0登记表!O66="固定",T0登记表!I66,""))</f>
        <v/>
      </c>
      <c r="D81" s="177" t="str">
        <f>IF(C81="","",T0登记表!J66)</f>
        <v/>
      </c>
      <c r="E81" s="178" t="str">
        <f>IF(C81="","",T0登记表!K66)</f>
        <v/>
      </c>
      <c r="F81" s="172"/>
      <c r="G81" s="172"/>
      <c r="H81" s="172"/>
      <c r="I81" s="172"/>
      <c r="J81" s="172"/>
      <c r="K81" s="172"/>
      <c r="L81" s="172"/>
      <c r="M81" s="192" t="str">
        <f>IF($C81="","",IF($D81&gt;=1,$E81*$C81,""))</f>
        <v/>
      </c>
      <c r="N81" s="171" t="str">
        <f>IF($C81="","",IF($D81&gt;=2,$E81*$C81,""))</f>
        <v/>
      </c>
      <c r="P81" s="172"/>
      <c r="Q81" s="172"/>
      <c r="R81" s="172"/>
      <c r="S81" s="172"/>
      <c r="T81" s="172"/>
      <c r="U81" s="172"/>
      <c r="V81" s="172"/>
      <c r="W81" s="172"/>
      <c r="X81" s="200" t="str">
        <f>M81</f>
        <v/>
      </c>
    </row>
    <row r="82" spans="2:24" ht="16.2" thickBot="1" x14ac:dyDescent="0.3">
      <c r="B82" s="512"/>
      <c r="C82" s="177" t="str">
        <f>IF(T0登记表!P67=T0登记表!$T$38,"",IF(T0登记表!O67="固定",T0登记表!I67,""))</f>
        <v/>
      </c>
      <c r="D82" s="177" t="str">
        <f>IF(C82="","",T0登记表!J67)</f>
        <v/>
      </c>
      <c r="E82" s="178" t="str">
        <f>IF(C82="","",T0登记表!K67)</f>
        <v/>
      </c>
      <c r="F82" s="172"/>
      <c r="G82" s="172"/>
      <c r="H82" s="172"/>
      <c r="I82" s="172"/>
      <c r="J82" s="172"/>
      <c r="K82" s="172"/>
      <c r="L82" s="172"/>
      <c r="M82" s="192" t="str">
        <f>IF($C82="","",IF($D82&gt;=1,$E82*$C82,""))</f>
        <v/>
      </c>
      <c r="N82" s="171" t="str">
        <f>IF($C82="","",IF($D82&gt;=2,$E82*$C82,""))</f>
        <v/>
      </c>
      <c r="P82" s="172"/>
      <c r="Q82" s="172"/>
      <c r="R82" s="172"/>
      <c r="S82" s="172"/>
      <c r="T82" s="172"/>
      <c r="U82" s="172"/>
      <c r="V82" s="172"/>
      <c r="W82" s="172"/>
      <c r="X82" s="200" t="str">
        <f>M82</f>
        <v/>
      </c>
    </row>
    <row r="83" spans="2:24" ht="16.2" thickBot="1" x14ac:dyDescent="0.3">
      <c r="B83" s="511"/>
      <c r="C83" s="177" t="str">
        <f>IF(T0登记表!P68=T0登记表!$T$38,"",IF(T0登记表!O68="固定",T0登记表!I68,""))</f>
        <v/>
      </c>
      <c r="D83" s="177" t="str">
        <f>IF(C83="","",T0登记表!J68)</f>
        <v/>
      </c>
      <c r="E83" s="178" t="str">
        <f>IF(C83="","",T0登记表!K68)</f>
        <v/>
      </c>
      <c r="F83" s="172"/>
      <c r="G83" s="172"/>
      <c r="H83" s="172"/>
      <c r="I83" s="172"/>
      <c r="J83" s="172"/>
      <c r="K83" s="172"/>
      <c r="L83" s="172"/>
      <c r="M83" s="192" t="str">
        <f>IF($C83="","",IF($D83&gt;=1,$E83*$C83,""))</f>
        <v/>
      </c>
      <c r="N83" s="171" t="str">
        <f>IF($C83="","",IF($D83&gt;=2,$E83*$C83,""))</f>
        <v/>
      </c>
      <c r="P83" s="172"/>
      <c r="Q83" s="172"/>
      <c r="R83" s="172"/>
      <c r="S83" s="172"/>
      <c r="T83" s="172"/>
      <c r="U83" s="172"/>
      <c r="V83" s="172"/>
      <c r="W83" s="172"/>
      <c r="X83" s="200" t="str">
        <f>M83</f>
        <v/>
      </c>
    </row>
    <row r="84" spans="2:24" ht="17.25" customHeight="1" thickBot="1" x14ac:dyDescent="0.3">
      <c r="B84" s="507"/>
      <c r="C84" s="508"/>
      <c r="D84" s="508"/>
      <c r="E84" s="509"/>
      <c r="F84" s="187"/>
      <c r="G84" s="194"/>
      <c r="H84" s="194"/>
      <c r="I84" s="194"/>
      <c r="J84" s="194"/>
      <c r="L84" s="492" t="s">
        <v>160</v>
      </c>
      <c r="M84" s="493"/>
      <c r="N84" s="182" t="str">
        <f>IF(T0登记表!$N$14="","",T0登记表!$N$14)</f>
        <v/>
      </c>
      <c r="P84" s="516"/>
      <c r="Q84" s="517"/>
      <c r="R84" s="517"/>
      <c r="S84" s="517"/>
      <c r="T84" s="517"/>
      <c r="U84" s="517"/>
      <c r="V84" s="517"/>
      <c r="W84" s="517"/>
      <c r="X84" s="518"/>
    </row>
    <row r="85" spans="2:24" ht="18" customHeight="1" thickBot="1" x14ac:dyDescent="0.3">
      <c r="B85" s="510" t="s">
        <v>140</v>
      </c>
      <c r="C85" s="176">
        <f>IF(T0登记表!P65=T0登记表!$T$38,"",IF(T0登记表!O65="浮动",T0登记表!I65,""))</f>
        <v>0</v>
      </c>
      <c r="D85" s="177">
        <f>IF(C85="","",T0登记表!J65)</f>
        <v>0</v>
      </c>
      <c r="E85" s="178">
        <f>IF(C85="","",T0登记表!K65)</f>
        <v>0</v>
      </c>
      <c r="F85" s="172"/>
      <c r="G85" s="172"/>
      <c r="H85" s="172"/>
      <c r="I85" s="172"/>
      <c r="J85" s="172"/>
      <c r="K85" s="172"/>
      <c r="L85" s="172"/>
      <c r="M85" s="192" t="str">
        <f>IF($C85="","",IF($D85&gt;=1,$E85*$C85,""))</f>
        <v/>
      </c>
      <c r="N85" s="171" t="str">
        <f>IF($N$84="","",IF($C85="","",IF($D85&gt;=2,($N$84+$E85)*$C85,"")))</f>
        <v/>
      </c>
      <c r="P85" s="172"/>
      <c r="Q85" s="172"/>
      <c r="R85" s="172"/>
      <c r="S85" s="172"/>
      <c r="T85" s="172"/>
      <c r="U85" s="172"/>
      <c r="V85" s="172"/>
      <c r="W85" s="172"/>
      <c r="X85" s="200" t="str">
        <f>M85</f>
        <v/>
      </c>
    </row>
    <row r="86" spans="2:24" ht="16.2" thickBot="1" x14ac:dyDescent="0.3">
      <c r="B86" s="512"/>
      <c r="C86" s="176" t="str">
        <f>IF(T0登记表!P66=T0登记表!$T$38,"",IF(T0登记表!O66="浮动",T0登记表!I66,""))</f>
        <v/>
      </c>
      <c r="D86" s="177" t="str">
        <f>IF(C86="","",T0登记表!J66)</f>
        <v/>
      </c>
      <c r="E86" s="178" t="str">
        <f>IF(C86="","",T0登记表!K66)</f>
        <v/>
      </c>
      <c r="F86" s="172"/>
      <c r="G86" s="172"/>
      <c r="H86" s="172"/>
      <c r="I86" s="172"/>
      <c r="J86" s="172"/>
      <c r="K86" s="172"/>
      <c r="L86" s="172"/>
      <c r="M86" s="192" t="str">
        <f>IF($C86="","",IF($D86&gt;=1,$E86*$C86,""))</f>
        <v/>
      </c>
      <c r="N86" s="171" t="str">
        <f t="shared" ref="N86:N88" si="26">IF($N$84="","",IF($C86="","",IF($D86&gt;=2,($N$84+$E86)*$C86,"")))</f>
        <v/>
      </c>
      <c r="P86" s="172"/>
      <c r="Q86" s="172"/>
      <c r="R86" s="172"/>
      <c r="S86" s="172"/>
      <c r="T86" s="172"/>
      <c r="U86" s="172"/>
      <c r="V86" s="172"/>
      <c r="W86" s="172"/>
      <c r="X86" s="200" t="str">
        <f>M86</f>
        <v/>
      </c>
    </row>
    <row r="87" spans="2:24" ht="16.2" thickBot="1" x14ac:dyDescent="0.3">
      <c r="B87" s="512"/>
      <c r="C87" s="176" t="str">
        <f>IF(T0登记表!P67=T0登记表!$T$38,"",IF(T0登记表!O67="浮动",T0登记表!I67,""))</f>
        <v/>
      </c>
      <c r="D87" s="177" t="str">
        <f>IF(C87="","",T0登记表!J67)</f>
        <v/>
      </c>
      <c r="E87" s="178" t="str">
        <f>IF(C87="","",T0登记表!K67)</f>
        <v/>
      </c>
      <c r="F87" s="172"/>
      <c r="G87" s="172"/>
      <c r="H87" s="172"/>
      <c r="I87" s="172"/>
      <c r="J87" s="172"/>
      <c r="K87" s="172"/>
      <c r="L87" s="172"/>
      <c r="M87" s="192" t="str">
        <f>IF($C87="","",IF($D87&gt;=1,$E87*$C87,""))</f>
        <v/>
      </c>
      <c r="N87" s="171" t="str">
        <f t="shared" si="26"/>
        <v/>
      </c>
      <c r="P87" s="172"/>
      <c r="Q87" s="172"/>
      <c r="R87" s="172"/>
      <c r="S87" s="172"/>
      <c r="T87" s="172"/>
      <c r="U87" s="172"/>
      <c r="V87" s="172"/>
      <c r="W87" s="172"/>
      <c r="X87" s="200" t="str">
        <f>M87</f>
        <v/>
      </c>
    </row>
    <row r="88" spans="2:24" ht="16.2" thickBot="1" x14ac:dyDescent="0.3">
      <c r="B88" s="511"/>
      <c r="C88" s="176" t="str">
        <f>IF(T0登记表!P68=T0登记表!$T$38,"",IF(T0登记表!O68="浮动",T0登记表!I68,""))</f>
        <v/>
      </c>
      <c r="D88" s="177" t="str">
        <f>IF(C88="","",T0登记表!J68)</f>
        <v/>
      </c>
      <c r="E88" s="178" t="str">
        <f>IF(C88="","",T0登记表!K68)</f>
        <v/>
      </c>
      <c r="F88" s="172"/>
      <c r="G88" s="172"/>
      <c r="H88" s="172"/>
      <c r="I88" s="172"/>
      <c r="J88" s="172"/>
      <c r="K88" s="172"/>
      <c r="L88" s="172"/>
      <c r="M88" s="192" t="str">
        <f>IF($C88="","",IF($D88&gt;=1,$E88*$C88,""))</f>
        <v/>
      </c>
      <c r="N88" s="171" t="str">
        <f t="shared" si="26"/>
        <v/>
      </c>
      <c r="P88" s="172"/>
      <c r="Q88" s="172"/>
      <c r="R88" s="172"/>
      <c r="S88" s="172"/>
      <c r="T88" s="172"/>
      <c r="U88" s="172"/>
      <c r="V88" s="172"/>
      <c r="W88" s="172"/>
      <c r="X88" s="200" t="str">
        <f>M88</f>
        <v/>
      </c>
    </row>
    <row r="90" spans="2:24" x14ac:dyDescent="0.25">
      <c r="B90" s="201" t="s">
        <v>159</v>
      </c>
      <c r="C90" s="202"/>
      <c r="D90" s="202"/>
      <c r="E90" s="203"/>
    </row>
  </sheetData>
  <sheetProtection selectLockedCells="1"/>
  <mergeCells count="44">
    <mergeCell ref="B80:B83"/>
    <mergeCell ref="B84:E84"/>
    <mergeCell ref="B85:B88"/>
    <mergeCell ref="L84:M84"/>
    <mergeCell ref="P84:X84"/>
    <mergeCell ref="P73:W73"/>
    <mergeCell ref="P62:V62"/>
    <mergeCell ref="P40:T40"/>
    <mergeCell ref="P51:U51"/>
    <mergeCell ref="P29:S29"/>
    <mergeCell ref="P18:R18"/>
    <mergeCell ref="P4:X4"/>
    <mergeCell ref="P9:Q9"/>
    <mergeCell ref="P2:X3"/>
    <mergeCell ref="B74:B77"/>
    <mergeCell ref="E9:F9"/>
    <mergeCell ref="F18:G18"/>
    <mergeCell ref="G29:H29"/>
    <mergeCell ref="H40:I40"/>
    <mergeCell ref="I51:J51"/>
    <mergeCell ref="J62:K62"/>
    <mergeCell ref="K73:L73"/>
    <mergeCell ref="B62:E62"/>
    <mergeCell ref="B63:B66"/>
    <mergeCell ref="B69:B72"/>
    <mergeCell ref="B73:E73"/>
    <mergeCell ref="B58:B61"/>
    <mergeCell ref="B29:E29"/>
    <mergeCell ref="B30:B33"/>
    <mergeCell ref="B36:B39"/>
    <mergeCell ref="B40:E40"/>
    <mergeCell ref="B14:B17"/>
    <mergeCell ref="B18:E18"/>
    <mergeCell ref="B19:B22"/>
    <mergeCell ref="B25:B28"/>
    <mergeCell ref="B52:B55"/>
    <mergeCell ref="B41:B44"/>
    <mergeCell ref="B47:B50"/>
    <mergeCell ref="B51:E51"/>
    <mergeCell ref="B2:N3"/>
    <mergeCell ref="B4:E4"/>
    <mergeCell ref="F4:N4"/>
    <mergeCell ref="B7:B8"/>
    <mergeCell ref="B10:B11"/>
  </mergeCells>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tint="0.39997558519241921"/>
  </sheetPr>
  <dimension ref="B2:AH86"/>
  <sheetViews>
    <sheetView zoomScale="68" zoomScaleNormal="68" workbookViewId="0">
      <selection activeCell="E14" sqref="E14"/>
    </sheetView>
  </sheetViews>
  <sheetFormatPr defaultColWidth="8.77734375" defaultRowHeight="14.4" x14ac:dyDescent="0.25"/>
  <cols>
    <col min="1" max="1" customWidth="true" style="66" width="1.77734375" collapsed="true"/>
    <col min="2" max="2" customWidth="true" style="66" width="4.6640625" collapsed="true"/>
    <col min="3" max="3" customWidth="true" style="66" width="9.44140625" collapsed="true"/>
    <col min="4" max="8" customWidth="true" style="66" width="11.6640625" collapsed="true"/>
    <col min="9" max="9" customWidth="true" style="66" width="6.44140625" collapsed="true"/>
    <col min="10" max="10" customWidth="true" style="66" width="2.88671875" collapsed="true"/>
    <col min="11" max="11" customWidth="true" style="66" width="1.77734375" collapsed="true"/>
    <col min="12" max="12" customWidth="true" style="66" width="12.44140625" collapsed="true"/>
    <col min="13" max="17" customWidth="true" style="66" width="11.6640625" collapsed="true"/>
    <col min="18" max="18" customWidth="true" style="66" width="2.21875" collapsed="true"/>
    <col min="19" max="19" customWidth="true" style="66" width="3.21875" collapsed="true"/>
    <col min="20" max="20" customWidth="true" style="66" width="2.6640625" collapsed="true"/>
    <col min="21" max="21" customWidth="true" style="66" width="16.88671875" collapsed="true"/>
    <col min="22" max="26" customWidth="true" style="66" width="11.6640625" collapsed="true"/>
    <col min="27" max="27" customWidth="true" style="66" width="2.6640625" collapsed="true"/>
    <col min="28" max="16384" style="66" width="8.77734375" collapsed="true"/>
  </cols>
  <sheetData>
    <row r="2" spans="2:34" ht="23.4" x14ac:dyDescent="0.5">
      <c r="E2" s="67" t="s">
        <v>350</v>
      </c>
      <c r="F2" s="68" t="str">
        <f>T0登记表!K1</f>
        <v>abc</v>
      </c>
      <c r="M2" s="67" t="s">
        <v>350</v>
      </c>
      <c r="N2" s="68" t="str">
        <f>T0登记表!K1</f>
        <v>abc</v>
      </c>
      <c r="V2" s="67" t="s">
        <v>350</v>
      </c>
      <c r="W2" s="68" t="str">
        <f>T0登记表!K1</f>
        <v>abc</v>
      </c>
    </row>
    <row r="3" spans="2:34" x14ac:dyDescent="0.25">
      <c r="B3" s="519" t="s">
        <v>194</v>
      </c>
      <c r="C3" s="520"/>
      <c r="D3" s="520"/>
      <c r="E3" s="520"/>
      <c r="F3" s="520"/>
      <c r="G3" s="520"/>
      <c r="H3" s="520"/>
      <c r="I3" s="521"/>
      <c r="K3" s="476" t="s">
        <v>224</v>
      </c>
      <c r="L3" s="477"/>
      <c r="M3" s="477"/>
      <c r="N3" s="477"/>
      <c r="O3" s="477"/>
      <c r="P3" s="477"/>
      <c r="Q3" s="477"/>
      <c r="R3" s="478"/>
      <c r="T3" s="526" t="s">
        <v>229</v>
      </c>
      <c r="U3" s="527"/>
      <c r="V3" s="527"/>
      <c r="W3" s="527"/>
      <c r="X3" s="527"/>
      <c r="Y3" s="527"/>
      <c r="Z3" s="527"/>
      <c r="AA3" s="528"/>
    </row>
    <row r="4" spans="2:34" x14ac:dyDescent="0.25">
      <c r="B4" s="522"/>
      <c r="C4" s="523"/>
      <c r="D4" s="523"/>
      <c r="E4" s="523"/>
      <c r="F4" s="523"/>
      <c r="G4" s="523"/>
      <c r="H4" s="523"/>
      <c r="I4" s="524"/>
      <c r="K4" s="479"/>
      <c r="L4" s="480"/>
      <c r="M4" s="480"/>
      <c r="N4" s="480"/>
      <c r="O4" s="480"/>
      <c r="P4" s="480"/>
      <c r="Q4" s="480"/>
      <c r="R4" s="481"/>
      <c r="T4" s="529"/>
      <c r="U4" s="530"/>
      <c r="V4" s="530"/>
      <c r="W4" s="530"/>
      <c r="X4" s="530"/>
      <c r="Y4" s="530"/>
      <c r="Z4" s="530"/>
      <c r="AA4" s="531"/>
    </row>
    <row r="5" spans="2:34" ht="23.4" x14ac:dyDescent="0.25">
      <c r="B5" s="134"/>
      <c r="C5" s="135"/>
      <c r="D5" s="525" t="s">
        <v>528</v>
      </c>
      <c r="E5" s="525"/>
      <c r="F5" s="525"/>
      <c r="G5" s="525"/>
      <c r="H5" s="525"/>
      <c r="I5" s="134"/>
      <c r="K5" s="134"/>
      <c r="M5" s="134"/>
      <c r="N5" s="134"/>
      <c r="O5" s="134"/>
      <c r="P5" s="134"/>
      <c r="Q5" s="134"/>
      <c r="R5" s="134"/>
      <c r="T5" s="136"/>
      <c r="U5" s="136"/>
      <c r="V5" s="136"/>
      <c r="W5" s="136"/>
      <c r="X5" s="136"/>
      <c r="Y5" s="136"/>
      <c r="Z5" s="136"/>
      <c r="AA5" s="136"/>
    </row>
    <row r="6" spans="2:34" ht="23.4" x14ac:dyDescent="0.25">
      <c r="B6" s="134"/>
      <c r="C6" s="134"/>
      <c r="D6" s="134"/>
      <c r="E6" s="137" t="s">
        <v>195</v>
      </c>
      <c r="F6" s="137" t="s">
        <v>196</v>
      </c>
      <c r="G6" s="137" t="s">
        <v>197</v>
      </c>
      <c r="H6" s="134"/>
      <c r="I6" s="134"/>
      <c r="K6" s="134"/>
      <c r="L6" s="134" t="s">
        <v>225</v>
      </c>
      <c r="M6" s="134"/>
      <c r="N6" s="134"/>
      <c r="O6" s="134"/>
      <c r="P6" s="134"/>
      <c r="Q6" s="134"/>
      <c r="R6" s="134"/>
      <c r="T6" s="136"/>
      <c r="U6" s="76" t="s">
        <v>230</v>
      </c>
      <c r="V6" s="76"/>
      <c r="W6" s="76"/>
      <c r="X6" s="76"/>
      <c r="Y6" s="76"/>
      <c r="Z6" s="136"/>
      <c r="AA6" s="136"/>
      <c r="AD6" s="66" t="s">
        <v>652</v>
      </c>
      <c r="AE6" s="66" t="s">
        <v>653</v>
      </c>
      <c r="AF6" s="66" t="s">
        <v>654</v>
      </c>
      <c r="AG6" s="66" t="s">
        <v>655</v>
      </c>
      <c r="AH6" s="66" t="s">
        <v>656</v>
      </c>
    </row>
    <row r="7" spans="2:34" ht="18" thickBot="1" x14ac:dyDescent="0.3">
      <c r="B7" s="134"/>
      <c r="C7" s="134"/>
      <c r="D7" s="134"/>
      <c r="E7" s="137" t="s">
        <v>198</v>
      </c>
      <c r="F7" s="137">
        <v>0.18</v>
      </c>
      <c r="G7" s="137">
        <v>0.12</v>
      </c>
      <c r="H7" s="134"/>
      <c r="I7" s="134"/>
      <c r="K7" s="134"/>
      <c r="L7" s="134" t="s">
        <v>226</v>
      </c>
      <c r="M7" s="134"/>
      <c r="N7" s="134"/>
      <c r="O7" s="134"/>
      <c r="P7" s="134"/>
      <c r="Q7" s="134"/>
      <c r="R7" s="134"/>
      <c r="T7" s="76"/>
      <c r="U7" s="70"/>
      <c r="V7" s="70"/>
      <c r="W7" s="70"/>
      <c r="X7" s="70"/>
      <c r="Y7" s="70"/>
      <c r="Z7" s="76"/>
      <c r="AA7" s="76"/>
      <c r="AD7" s="66">
        <v>1</v>
      </c>
      <c r="AE7" s="66">
        <f>D16</f>
        <v>1616.3999999999999</v>
      </c>
      <c r="AF7" s="66">
        <f>M16</f>
        <v>8150.2199999999993</v>
      </c>
      <c r="AG7" s="66">
        <f>W15</f>
        <v>4549.8</v>
      </c>
      <c r="AH7" s="66">
        <f>T12监管表!D14</f>
        <v>0</v>
      </c>
    </row>
    <row r="8" spans="2:34" ht="18" thickBot="1" x14ac:dyDescent="0.3">
      <c r="B8" s="134"/>
      <c r="C8" s="134"/>
      <c r="D8" s="134"/>
      <c r="E8" s="134"/>
      <c r="F8" s="134"/>
      <c r="G8" s="134"/>
      <c r="H8" s="134"/>
      <c r="I8" s="134"/>
      <c r="K8" s="134"/>
      <c r="L8" s="134"/>
      <c r="M8" s="134"/>
      <c r="N8" s="134"/>
      <c r="O8" s="134"/>
      <c r="P8" s="134"/>
      <c r="Q8" s="134"/>
      <c r="R8" s="134"/>
      <c r="T8" s="71"/>
      <c r="U8" s="72"/>
      <c r="V8" s="72"/>
      <c r="W8" s="72"/>
      <c r="X8" s="72"/>
      <c r="Y8" s="72"/>
      <c r="Z8" s="72"/>
      <c r="AA8" s="73"/>
      <c r="AD8" s="66">
        <v>2</v>
      </c>
      <c r="AE8" s="66">
        <f>D25</f>
        <v>0</v>
      </c>
      <c r="AF8" s="66">
        <f>M25</f>
        <v>7531.0199999999995</v>
      </c>
      <c r="AG8" s="66">
        <f>W25</f>
        <v>3000</v>
      </c>
      <c r="AH8" s="66">
        <f>T12监管表!I14</f>
        <v>0</v>
      </c>
    </row>
    <row r="9" spans="2:34" ht="17.399999999999999" x14ac:dyDescent="0.25">
      <c r="B9" s="138"/>
      <c r="C9" s="139"/>
      <c r="D9" s="139"/>
      <c r="E9" s="139"/>
      <c r="F9" s="139"/>
      <c r="G9" s="139"/>
      <c r="H9" s="139"/>
      <c r="I9" s="140"/>
      <c r="K9" s="138"/>
      <c r="L9" s="139"/>
      <c r="M9" s="139"/>
      <c r="N9" s="139"/>
      <c r="O9" s="139"/>
      <c r="P9" s="139"/>
      <c r="Q9" s="139"/>
      <c r="R9" s="140"/>
      <c r="T9" s="74"/>
      <c r="U9" s="75" t="s">
        <v>85</v>
      </c>
      <c r="V9" s="141" t="s">
        <v>201</v>
      </c>
      <c r="W9" s="141" t="s">
        <v>202</v>
      </c>
      <c r="X9" s="141" t="s">
        <v>203</v>
      </c>
      <c r="Y9" s="141" t="s">
        <v>204</v>
      </c>
      <c r="Z9" s="141" t="s">
        <v>205</v>
      </c>
      <c r="AA9" s="142"/>
      <c r="AD9" s="66">
        <v>3</v>
      </c>
      <c r="AE9" s="66">
        <f>D34</f>
        <v>0</v>
      </c>
      <c r="AF9" s="66">
        <f>M34</f>
        <v>10171.02</v>
      </c>
      <c r="AG9" s="66">
        <f>W35</f>
        <v>2400</v>
      </c>
      <c r="AH9" s="66">
        <f>T12监管表!N14</f>
        <v>0</v>
      </c>
    </row>
    <row r="10" spans="2:34" ht="17.399999999999999" x14ac:dyDescent="0.25">
      <c r="B10" s="143"/>
      <c r="C10" s="144" t="s">
        <v>133</v>
      </c>
      <c r="D10" s="145" t="s">
        <v>199</v>
      </c>
      <c r="E10" s="134"/>
      <c r="F10" s="134"/>
      <c r="G10" s="134"/>
      <c r="H10" s="134"/>
      <c r="I10" s="146"/>
      <c r="K10" s="143"/>
      <c r="L10" s="75" t="s">
        <v>85</v>
      </c>
      <c r="M10" s="145" t="s">
        <v>227</v>
      </c>
      <c r="N10" s="134"/>
      <c r="O10" s="134"/>
      <c r="P10" s="134"/>
      <c r="Q10" s="134"/>
      <c r="R10" s="146"/>
      <c r="T10" s="74"/>
      <c r="U10" s="78" t="s">
        <v>231</v>
      </c>
      <c r="V10" s="147">
        <f>IF(T0登记表!$P25=T0登记表!$T$38,0,IF(T0登记表!$J25=1,IF(T0登记表!$O25=T0登记表!$T$41,T0登记表!$I25,0),0))+IF(T0登记表!$P26=T0登记表!$T$38,0,IF(T0登记表!$J26=1,IF(T0登记表!$O26=T0登记表!$T$41,T0登记表!$I26,0),0))</f>
        <v>4231</v>
      </c>
      <c r="W10" s="147">
        <f>IF(T0登记表!$P25=T0登记表!$T$38,0,IF(T0登记表!$J25=2,IF(T0登记表!$O25=T0登记表!$T$41,T0登记表!$I25,0),0))+IF(T0登记表!$P26=T0登记表!$T$38,0,IF(T0登记表!$J26=2,IF(T0登记表!$O26=T0登记表!$T$41,T0登记表!$I26,0),0))</f>
        <v>0</v>
      </c>
      <c r="X10" s="147">
        <f>IF(T0登记表!$P25=T0登记表!$T$38,0,IF(T0登记表!$J25=3,IF(T0登记表!$O25=T0登记表!$T$41,T0登记表!$I25,0),0))+IF(T0登记表!$P26=T0登记表!$T$38,0,IF(T0登记表!$J26=3,IF(T0登记表!$O26=T0登记表!$T$41,T0登记表!$I26,0),0))</f>
        <v>0</v>
      </c>
      <c r="Y10" s="147">
        <f>IF(T0登记表!$P25=T0登记表!$T$38,0,IF(T0登记表!$J25=4,IF(T0登记表!$O25=T0登记表!$T$41,T0登记表!$I25,0),0))+IF(T0登记表!$P26=T0登记表!$T$38,0,IF(T0登记表!$J26=4,IF(T0登记表!$O26=T0登记表!$T$41,T0登记表!$I26,0),0))</f>
        <v>0</v>
      </c>
      <c r="Z10" s="147">
        <f>IF(T0登记表!$P25=T0登记表!$T$38,0,IF(T0登记表!$J25=5,IF(T0登记表!$O25=T0登记表!$T$41,T0登记表!$I25,0),0))+IF(T0登记表!$P26=T0登记表!$T$38,0,IF(T0登记表!$J26=5,IF(T0登记表!$O26=T0登记表!$T$41,T0登记表!$I26,0),0))</f>
        <v>6000</v>
      </c>
      <c r="AA10" s="142"/>
      <c r="AD10" s="66">
        <v>4</v>
      </c>
      <c r="AE10" s="66">
        <f>D43</f>
        <v>0</v>
      </c>
      <c r="AF10" s="66">
        <f>M43</f>
        <v>10171.02</v>
      </c>
      <c r="AG10" s="66">
        <f>W45</f>
        <v>1800</v>
      </c>
      <c r="AH10" s="66">
        <f>T12监管表!S14</f>
        <v>0</v>
      </c>
    </row>
    <row r="11" spans="2:34" ht="17.399999999999999" x14ac:dyDescent="0.25">
      <c r="B11" s="143"/>
      <c r="C11" s="148" t="s">
        <v>200</v>
      </c>
      <c r="D11" s="141" t="s">
        <v>201</v>
      </c>
      <c r="E11" s="141" t="s">
        <v>202</v>
      </c>
      <c r="F11" s="141" t="s">
        <v>203</v>
      </c>
      <c r="G11" s="141" t="s">
        <v>204</v>
      </c>
      <c r="H11" s="141" t="s">
        <v>205</v>
      </c>
      <c r="I11" s="146"/>
      <c r="K11" s="143"/>
      <c r="L11" s="148" t="s">
        <v>214</v>
      </c>
      <c r="M11" s="141" t="s">
        <v>201</v>
      </c>
      <c r="N11" s="141" t="s">
        <v>202</v>
      </c>
      <c r="O11" s="141" t="s">
        <v>203</v>
      </c>
      <c r="P11" s="141" t="s">
        <v>204</v>
      </c>
      <c r="Q11" s="141" t="s">
        <v>205</v>
      </c>
      <c r="R11" s="146"/>
      <c r="T11" s="74"/>
      <c r="U11" s="149" t="s">
        <v>232</v>
      </c>
      <c r="V11" s="147">
        <f>IF(T0登记表!$C25=1,IF(T0登记表!$G25=T0登记表!$T$41,T0登记表!$B25,0),0)+IF(T0登记表!$C26=1,IF(T0登记表!$G26=T0登记表!$T$41,T0登记表!$B26,0),0)</f>
        <v>8980</v>
      </c>
      <c r="W11" s="147">
        <f>IF(T0登记表!$C25=2,IF(T0登记表!$G25=T0登记表!$T$41,T0登记表!$B25,0),0)+IF(T0登记表!$C26=2,IF(T0登记表!$G26=T0登记表!$T$41,T0登记表!$B26,0),0)</f>
        <v>0</v>
      </c>
      <c r="X11" s="147">
        <f>IF(T0登记表!$C25=3,IF(T0登记表!$G25=T0登记表!$T$41,T0登记表!$B25,0),0)+IF(T0登记表!$C26=3,IF(T0登记表!$G26=T0登记表!$T$41,T0登记表!$B26,0),0)</f>
        <v>0</v>
      </c>
      <c r="Y11" s="147">
        <f>IF(T0登记表!$C25=4,IF(T0登记表!$G25=T0登记表!$T$41,T0登记表!$B25,0),0)+IF(T0登记表!$C26=4,IF(T0登记表!$G26=T0登记表!$T$41,T0登记表!$B26,0),0)</f>
        <v>0</v>
      </c>
      <c r="Z11" s="147">
        <f>IF(T0登记表!$C25=5,IF(T0登记表!$G25=T0登记表!$T$41,T0登记表!$B25,0),0)+IF(T0登记表!$C26=5,IF(T0登记表!$G26=T0登记表!$T$41,T0登记表!$B26,0),0)</f>
        <v>0</v>
      </c>
      <c r="AA11" s="142"/>
      <c r="AD11" s="66">
        <v>5</v>
      </c>
      <c r="AE11" s="66">
        <f>D52</f>
        <v>0</v>
      </c>
      <c r="AF11" s="66">
        <f>M52</f>
        <v>7531.0199999999995</v>
      </c>
      <c r="AG11" s="66">
        <f>W55</f>
        <v>1200</v>
      </c>
      <c r="AH11" s="66">
        <f>T12监管表!D33</f>
        <v>0</v>
      </c>
    </row>
    <row r="12" spans="2:34" ht="17.399999999999999" x14ac:dyDescent="0.25">
      <c r="B12" s="143"/>
      <c r="C12" s="148" t="s">
        <v>206</v>
      </c>
      <c r="D12" s="150">
        <v>0</v>
      </c>
      <c r="E12" s="150">
        <v>0</v>
      </c>
      <c r="F12" s="150">
        <v>0</v>
      </c>
      <c r="G12" s="150">
        <v>0</v>
      </c>
      <c r="H12" s="150">
        <v>0</v>
      </c>
      <c r="I12" s="146"/>
      <c r="K12" s="143"/>
      <c r="L12" s="148" t="s">
        <v>206</v>
      </c>
      <c r="M12" s="150">
        <v>0</v>
      </c>
      <c r="N12" s="150">
        <v>0</v>
      </c>
      <c r="O12" s="150">
        <v>0</v>
      </c>
      <c r="P12" s="150">
        <v>0</v>
      </c>
      <c r="Q12" s="150">
        <v>0</v>
      </c>
      <c r="R12" s="146"/>
      <c r="T12" s="74"/>
      <c r="U12" s="151" t="s">
        <v>233</v>
      </c>
      <c r="V12" s="147">
        <f>ABS(V10-V11)</f>
        <v>4749</v>
      </c>
      <c r="W12" s="147">
        <f>ABS(W10-W11)</f>
        <v>0</v>
      </c>
      <c r="X12" s="147">
        <f>ABS(X10-X11)</f>
        <v>0</v>
      </c>
      <c r="Y12" s="147">
        <f>ABS(Y10-Y11)</f>
        <v>0</v>
      </c>
      <c r="Z12" s="147">
        <f>ABS(Z10-Z11)</f>
        <v>6000</v>
      </c>
      <c r="AA12" s="77"/>
      <c r="AD12" s="66">
        <v>6</v>
      </c>
      <c r="AE12" s="66">
        <f>D61</f>
        <v>0</v>
      </c>
      <c r="AF12" s="66">
        <f>M61</f>
        <v>0</v>
      </c>
      <c r="AG12" s="66">
        <f>W65</f>
        <v>0</v>
      </c>
      <c r="AH12" s="66">
        <f>T12监管表!I33</f>
        <v>0</v>
      </c>
    </row>
    <row r="13" spans="2:34" ht="17.399999999999999" x14ac:dyDescent="0.25">
      <c r="B13" s="143"/>
      <c r="C13" s="148" t="s">
        <v>207</v>
      </c>
      <c r="D13" s="150">
        <f>IF(T0登记表!$C$25=1,IF(T0登记表!$F$25=T0登记表!$T$15,T0登记表!$B$25*0.18,IF(T0登记表!$F$25=T0登记表!$T$16,T0登记表!$B$25*0.12,0)),0)+IF(T0登记表!$C$26=1,IF(T0登记表!$F$26=T0登记表!$T$15,T0登记表!$B$26*0.18,IF(T0登记表!$F$26=T0登记表!$T$16,T0登记表!$B$26*0.12,0)),0)</f>
        <v>1616.3999999999999</v>
      </c>
      <c r="E13" s="150">
        <f>IF(T0登记表!$C$25=2,IF(T0登记表!$F$25=T0登记表!$T$15,T0登记表!$B$25*0.18,IF(T0登记表!$F$25=T0登记表!$T$16,T0登记表!$B$25*0.12,0)),0)+IF(T0登记表!$C$26=2,IF(T0登记表!$F$26=T0登记表!$T$15,T0登记表!$B$26*0.18,IF(T0登记表!$F$26=T0登记表!$T$16,T0登记表!$B$26*0.12,0)),0)</f>
        <v>0</v>
      </c>
      <c r="F13" s="150">
        <f>IF(T0登记表!$C$25=3,IF(T0登记表!$F$25=T0登记表!$T$15,T0登记表!$B$25*0.18,IF(T0登记表!$F$25=T0登记表!$T$16,T0登记表!$B$25*0.12,0)),0)+IF(T0登记表!$C$26=3,IF(T0登记表!$F$26=T0登记表!$T$15,T0登记表!$B$26*0.18,IF(T0登记表!$F$26=T0登记表!$T$16,T0登记表!$B$26*0.12,0)),0)</f>
        <v>0</v>
      </c>
      <c r="G13" s="150">
        <f>IF(T0登记表!$C$25=4,IF(T0登记表!$F$25=T0登记表!$T$15,T0登记表!$B$25*0.18,IF(T0登记表!$F$25=T0登记表!$T$16,T0登记表!$B$25*0.12,0)),0)+IF(T0登记表!$C$26=4,IF(T0登记表!$F$26=T0登记表!$T$15,T0登记表!$B$26*0.18,IF(T0登记表!$F$26=T0登记表!$T$16,T0登记表!$B$26*0.12,0)),0)</f>
        <v>0</v>
      </c>
      <c r="H13" s="150">
        <f>IF(T0登记表!$C$25=5,IF(T0登记表!$F$25=T0登记表!$T$15,T0登记表!$B$25*0.18,IF(T0登记表!$F$25=T0登记表!$T$16,T0登记表!$B$25*0.12,0)),0)+IF(T0登记表!$C$26=5,IF(T0登记表!$F$26=T0登记表!$T$15,T0登记表!$B$26*0.18,IF(T0登记表!$F$26=T0登记表!$T$16,T0登记表!$B$26*0.12,0)),0)</f>
        <v>0</v>
      </c>
      <c r="I13" s="146"/>
      <c r="K13" s="143"/>
      <c r="L13" s="148" t="s">
        <v>207</v>
      </c>
      <c r="M13" s="150">
        <f>IF(T0登记表!$J25=1,T0登记表!$V25,0)+IF(T0登记表!$J26=1,T0登记表!$V26,0)</f>
        <v>619.20000000000005</v>
      </c>
      <c r="N13" s="150">
        <f>IF(T0登记表!$J25=2,T0登记表!$V25,0)+IF(T0登记表!$J26=2,T0登记表!$V26,0)</f>
        <v>0</v>
      </c>
      <c r="O13" s="150">
        <f>IF(T0登记表!$J25=3,T0登记表!$V25,0)+IF(T0登记表!$J26=3,T0登记表!$V26,0)</f>
        <v>0</v>
      </c>
      <c r="P13" s="150">
        <f>IF(T0登记表!$J25=4,T0登记表!$V25,0)+IF(T0登记表!$J26=4,T0登记表!$V26,0)</f>
        <v>0</v>
      </c>
      <c r="Q13" s="150">
        <f>IF(T0登记表!$J25=5,T0登记表!$V25,0)+IF(T0登记表!$J26=5,T0登记表!$V26,0)</f>
        <v>7531.0199999999995</v>
      </c>
      <c r="R13" s="146"/>
      <c r="T13" s="74"/>
      <c r="U13" s="152" t="s">
        <v>234</v>
      </c>
      <c r="V13" s="153">
        <v>0.2</v>
      </c>
      <c r="W13" s="153">
        <v>0.3</v>
      </c>
      <c r="X13" s="153">
        <v>0.4</v>
      </c>
      <c r="Y13" s="153">
        <v>0.5</v>
      </c>
      <c r="Z13" s="153">
        <v>0.6</v>
      </c>
      <c r="AA13" s="77"/>
    </row>
    <row r="14" spans="2:34" ht="19.5" customHeight="1" x14ac:dyDescent="0.25">
      <c r="B14" s="143"/>
      <c r="C14" s="148" t="s">
        <v>208</v>
      </c>
      <c r="D14" s="150">
        <f>D12+D13</f>
        <v>1616.3999999999999</v>
      </c>
      <c r="E14" s="150">
        <f>E12+E13</f>
        <v>0</v>
      </c>
      <c r="F14" s="150">
        <f>F12+F13</f>
        <v>0</v>
      </c>
      <c r="G14" s="150">
        <f>G12+G13</f>
        <v>0</v>
      </c>
      <c r="H14" s="150">
        <f>H12+H13</f>
        <v>0</v>
      </c>
      <c r="I14" s="146"/>
      <c r="K14" s="143"/>
      <c r="L14" s="148" t="s">
        <v>213</v>
      </c>
      <c r="M14" s="150">
        <f>M12+M13</f>
        <v>619.20000000000005</v>
      </c>
      <c r="N14" s="150">
        <f>N12+N13</f>
        <v>0</v>
      </c>
      <c r="O14" s="150">
        <f>O12+O13</f>
        <v>0</v>
      </c>
      <c r="P14" s="150">
        <f>P12+P13</f>
        <v>0</v>
      </c>
      <c r="Q14" s="150">
        <f>Q12+Q13</f>
        <v>7531.0199999999995</v>
      </c>
      <c r="R14" s="146"/>
      <c r="T14" s="74"/>
      <c r="U14" s="151" t="s">
        <v>235</v>
      </c>
      <c r="V14" s="154">
        <f>V12*V13</f>
        <v>949.80000000000007</v>
      </c>
      <c r="W14" s="154">
        <f>W12*W13</f>
        <v>0</v>
      </c>
      <c r="X14" s="154">
        <f>X12*X13</f>
        <v>0</v>
      </c>
      <c r="Y14" s="154">
        <f>Y12*Y13</f>
        <v>0</v>
      </c>
      <c r="Z14" s="147">
        <f>Z12*Z13</f>
        <v>3600</v>
      </c>
      <c r="AA14" s="77"/>
    </row>
    <row r="15" spans="2:34" ht="17.399999999999999" x14ac:dyDescent="0.25">
      <c r="B15" s="143"/>
      <c r="C15" s="134" t="s">
        <v>498</v>
      </c>
      <c r="E15" s="134"/>
      <c r="F15" s="134"/>
      <c r="G15" s="134"/>
      <c r="H15" s="134"/>
      <c r="I15" s="146"/>
      <c r="K15" s="143"/>
      <c r="L15" s="148"/>
      <c r="M15" s="134" t="s">
        <v>228</v>
      </c>
      <c r="N15" s="134"/>
      <c r="O15" s="134"/>
      <c r="P15" s="134"/>
      <c r="Q15" s="134"/>
      <c r="R15" s="146"/>
      <c r="T15" s="74"/>
      <c r="U15" s="69"/>
      <c r="V15" s="78" t="s">
        <v>236</v>
      </c>
      <c r="W15" s="86">
        <f>SUM(V14:Z14)</f>
        <v>4549.8</v>
      </c>
      <c r="X15" s="76"/>
      <c r="Y15" s="76"/>
      <c r="Z15" s="76"/>
      <c r="AA15" s="77"/>
    </row>
    <row r="16" spans="2:34" ht="18" thickBot="1" x14ac:dyDescent="0.3">
      <c r="B16" s="143"/>
      <c r="C16" s="155" t="s">
        <v>497</v>
      </c>
      <c r="D16" s="156">
        <f>SUM(D14:H14)</f>
        <v>1616.3999999999999</v>
      </c>
      <c r="E16" s="134"/>
      <c r="F16" s="134"/>
      <c r="G16" s="134"/>
      <c r="H16" s="134"/>
      <c r="I16" s="146"/>
      <c r="K16" s="143"/>
      <c r="L16" s="155" t="s">
        <v>496</v>
      </c>
      <c r="M16" s="156">
        <f>SUM(M14:Q14)</f>
        <v>8150.2199999999993</v>
      </c>
      <c r="N16" s="134"/>
      <c r="O16" s="134"/>
      <c r="P16" s="134"/>
      <c r="Q16" s="134"/>
      <c r="R16" s="146"/>
      <c r="T16" s="87"/>
      <c r="U16" s="88"/>
      <c r="V16" s="88"/>
      <c r="W16" s="88"/>
      <c r="X16" s="88"/>
      <c r="Y16" s="88"/>
      <c r="Z16" s="88"/>
      <c r="AA16" s="89"/>
    </row>
    <row r="17" spans="2:27" ht="18" thickBot="1" x14ac:dyDescent="0.3">
      <c r="B17" s="157"/>
      <c r="C17" s="158"/>
      <c r="D17" s="158"/>
      <c r="E17" s="158"/>
      <c r="F17" s="158"/>
      <c r="G17" s="158"/>
      <c r="H17" s="158"/>
      <c r="I17" s="159"/>
      <c r="K17" s="157"/>
      <c r="L17" s="158"/>
      <c r="M17" s="158"/>
      <c r="N17" s="158"/>
      <c r="O17" s="158"/>
      <c r="P17" s="158"/>
      <c r="Q17" s="158"/>
      <c r="R17" s="159"/>
      <c r="T17" s="69"/>
      <c r="U17" s="69"/>
      <c r="V17" s="69"/>
      <c r="W17" s="69"/>
      <c r="X17" s="69"/>
      <c r="Y17" s="69"/>
      <c r="Z17" s="69"/>
      <c r="AA17" s="69"/>
    </row>
    <row r="18" spans="2:27" ht="18" thickBot="1" x14ac:dyDescent="0.3">
      <c r="B18" s="134"/>
      <c r="C18" s="134"/>
      <c r="D18" s="134"/>
      <c r="E18" s="134"/>
      <c r="F18" s="134"/>
      <c r="G18" s="134"/>
      <c r="H18" s="134"/>
      <c r="I18" s="134"/>
      <c r="K18" s="134"/>
      <c r="L18" s="134"/>
      <c r="M18" s="134"/>
      <c r="N18" s="134"/>
      <c r="O18" s="134"/>
      <c r="P18" s="134"/>
      <c r="Q18" s="134"/>
      <c r="R18" s="134"/>
      <c r="T18" s="71"/>
      <c r="U18" s="72"/>
      <c r="V18" s="72"/>
      <c r="W18" s="72"/>
      <c r="X18" s="72"/>
      <c r="Y18" s="72"/>
      <c r="Z18" s="72"/>
      <c r="AA18" s="73"/>
    </row>
    <row r="19" spans="2:27" ht="17.399999999999999" x14ac:dyDescent="0.25">
      <c r="B19" s="138"/>
      <c r="C19" s="139"/>
      <c r="D19" s="139"/>
      <c r="E19" s="139"/>
      <c r="F19" s="139"/>
      <c r="G19" s="139"/>
      <c r="H19" s="139"/>
      <c r="I19" s="140"/>
      <c r="K19" s="138"/>
      <c r="L19" s="139"/>
      <c r="M19" s="139"/>
      <c r="N19" s="139"/>
      <c r="O19" s="139"/>
      <c r="P19" s="139"/>
      <c r="Q19" s="139"/>
      <c r="R19" s="140"/>
      <c r="T19" s="74"/>
      <c r="U19" s="75" t="s">
        <v>101</v>
      </c>
      <c r="V19" s="141" t="s">
        <v>201</v>
      </c>
      <c r="W19" s="141" t="s">
        <v>202</v>
      </c>
      <c r="X19" s="141" t="s">
        <v>203</v>
      </c>
      <c r="Y19" s="141" t="s">
        <v>204</v>
      </c>
      <c r="Z19" s="141" t="s">
        <v>205</v>
      </c>
      <c r="AA19" s="142"/>
    </row>
    <row r="20" spans="2:27" ht="17.399999999999999" x14ac:dyDescent="0.25">
      <c r="B20" s="143"/>
      <c r="C20" s="144" t="s">
        <v>141</v>
      </c>
      <c r="D20" s="145" t="s">
        <v>209</v>
      </c>
      <c r="E20" s="134"/>
      <c r="F20" s="134"/>
      <c r="G20" s="134"/>
      <c r="H20" s="134"/>
      <c r="I20" s="146"/>
      <c r="K20" s="143"/>
      <c r="L20" s="75" t="s">
        <v>101</v>
      </c>
      <c r="M20" s="145" t="s">
        <v>227</v>
      </c>
      <c r="N20" s="134"/>
      <c r="O20" s="134"/>
      <c r="P20" s="134"/>
      <c r="Q20" s="134"/>
      <c r="R20" s="146"/>
      <c r="T20" s="74"/>
      <c r="U20" s="78" t="s">
        <v>231</v>
      </c>
      <c r="V20" s="147">
        <f>IF(T0登记表!$P29=T0登记表!$T$38,0,IF(T0登记表!$J29=1,IF(T0登记表!$O29=T0登记表!$T$41,T0登记表!$I29,0),0))+IF(T0登记表!$P30=T0登记表!$T$38,0,IF(T0登记表!$J30=1,IF(T0登记表!$O30=T0登记表!$T$41,T0登记表!$I30,0),0))+IF(T0登记表!$P31=T0登记表!$T$38,0,IF(T0登记表!$J31=1,IF(T0登记表!$O31=T0登记表!$T$41,T0登记表!$I31,0),0))+IF(T0登记表!$P32=T0登记表!$T$38,0,IF(T0登记表!$J32=1,IF(T0登记表!$O32=T0登记表!$T$41,T0登记表!$I32,0),0))+W10</f>
        <v>0</v>
      </c>
      <c r="W20" s="147">
        <f>IF(T0登记表!$P29=T0登记表!$T$38,0,IF(T0登记表!$J29=2,IF(T0登记表!$O29=T0登记表!$T$41,T0登记表!$I29,0),0))+IF(T0登记表!$P30=T0登记表!$T$38,0,IF(T0登记表!$J30=2,IF(T0登记表!$O30=T0登记表!$T$41,T0登记表!$I30,0),0))+IF(T0登记表!$P31=T0登记表!$T$38,0,IF(T0登记表!$J31=2,IF(T0登记表!$O31=T0登记表!$T$41,T0登记表!$I31,0),0))+IF(T0登记表!$P32=T0登记表!$T$38,0,IF(T0登记表!$J32=2,IF(T0登记表!$O32=T0登记表!$T$41,T0登记表!$I32,0),0))+X10</f>
        <v>0</v>
      </c>
      <c r="X20" s="147">
        <f>IF(T0登记表!$P29=T0登记表!$T$38,0,IF(T0登记表!$J29=3,IF(T0登记表!$O29=T0登记表!$T$41,T0登记表!$I29,0),0))+IF(T0登记表!$P30=T0登记表!$T$38,0,IF(T0登记表!$J30=3,IF(T0登记表!$O30=T0登记表!$T$41,T0登记表!$I30,0),0))+IF(T0登记表!$P31=T0登记表!$T$38,0,IF(T0登记表!$J31=3,IF(T0登记表!$O31=T0登记表!$T$41,T0登记表!$I31,0),0))+IF(T0登记表!$P32=T0登记表!$T$38,0,IF(T0登记表!$J32=3,IF(T0登记表!$O32=T0登记表!$T$41,T0登记表!$I32,0),0))+Y10</f>
        <v>0</v>
      </c>
      <c r="Y20" s="147">
        <f>IF(T0登记表!$P29=T0登记表!$T$38,0,IF(T0登记表!$J29=4,IF(T0登记表!$O29=T0登记表!$T$41,T0登记表!$I29,0),0))+IF(T0登记表!$P30=T0登记表!$T$38,0,IF(T0登记表!$J30=4,IF(T0登记表!$O30=T0登记表!$T$41,T0登记表!$I30,0),0))+IF(T0登记表!$P31=T0登记表!$T$38,0,IF(T0登记表!$J31=4,IF(T0登记表!$O31=T0登记表!$T$41,T0登记表!$I31,0),0))+IF(T0登记表!$P32=T0登记表!$T$38,0,IF(T0登记表!$J32=4,IF(T0登记表!$O32=T0登记表!$T$41,T0登记表!$I32,0),0))+Z10</f>
        <v>6000</v>
      </c>
      <c r="Z20" s="147">
        <f>IF(T0登记表!$P29=T0登记表!$T$38,0,IF(T0登记表!$J29=5,IF(T0登记表!$O29=T0登记表!$T$41,T0登记表!$I29,0),0))+IF(T0登记表!$P30=T0登记表!$T$38,0,IF(T0登记表!$J30=5,IF(T0登记表!$O30=T0登记表!$T$41,T0登记表!$I30,0),0))+IF(T0登记表!$P31=T0登记表!$T$38,0,IF(T0登记表!$J31=5,IF(T0登记表!$O31=T0登记表!$T$41,T0登记表!$I31,0),0))+IF(T0登记表!$P32=T0登记表!$T$38,0,IF(T0登记表!$J32=5,IF(T0登记表!$O32=T0登记表!$T$41,T0登记表!$I32,0),0))</f>
        <v>0</v>
      </c>
      <c r="AA20" s="142"/>
    </row>
    <row r="21" spans="2:27" ht="17.399999999999999" x14ac:dyDescent="0.25">
      <c r="B21" s="143"/>
      <c r="C21" s="148" t="s">
        <v>210</v>
      </c>
      <c r="D21" s="141" t="s">
        <v>211</v>
      </c>
      <c r="E21" s="141" t="s">
        <v>202</v>
      </c>
      <c r="F21" s="141" t="s">
        <v>212</v>
      </c>
      <c r="G21" s="141" t="s">
        <v>204</v>
      </c>
      <c r="H21" s="141" t="s">
        <v>205</v>
      </c>
      <c r="I21" s="146"/>
      <c r="K21" s="143"/>
      <c r="L21" s="148" t="s">
        <v>214</v>
      </c>
      <c r="M21" s="141" t="s">
        <v>201</v>
      </c>
      <c r="N21" s="141" t="s">
        <v>202</v>
      </c>
      <c r="O21" s="141" t="s">
        <v>203</v>
      </c>
      <c r="P21" s="141" t="s">
        <v>204</v>
      </c>
      <c r="Q21" s="141" t="s">
        <v>205</v>
      </c>
      <c r="R21" s="146"/>
      <c r="T21" s="74"/>
      <c r="U21" s="149" t="s">
        <v>232</v>
      </c>
      <c r="V21" s="147">
        <f>IF(T0登记表!$C29=1,IF(T0登记表!$G29=T0登记表!$T$41,T0登记表!$B29,0),0)+IF(T0登记表!$C30=1,IF(T0登记表!$G30=T0登记表!$T$41,T0登记表!$B30,0),0)+IF(T0登记表!$C31=1,IF(T0登记表!$G31=T0登记表!$T$41,T0登记表!$B31,0),0)+IF(T0登记表!$C32=1,IF(T0登记表!$G32=T0登记表!$T$41,T0登记表!$B32,0),0)+W11</f>
        <v>0</v>
      </c>
      <c r="W21" s="147">
        <f>IF(T0登记表!$C29=2,IF(T0登记表!$G29=T0登记表!$T$41,T0登记表!$B29,0),0)+IF(T0登记表!$C30=2,IF(T0登记表!$G30=T0登记表!$T$41,T0登记表!$B30,0),0)+IF(T0登记表!$C31=2,IF(T0登记表!$G31=T0登记表!$T$41,T0登记表!$B31,0),0)+IF(T0登记表!$C32=2,IF(T0登记表!$G32=T0登记表!$T$41,T0登记表!$B32,0),0)+X11</f>
        <v>0</v>
      </c>
      <c r="X21" s="147">
        <f>IF(T0登记表!$C29=3,IF(T0登记表!$G29=T0登记表!$T$41,T0登记表!$B29,0),0)+IF(T0登记表!$C30=3,IF(T0登记表!$G30=T0登记表!$T$41,T0登记表!$B30,0),0)+IF(T0登记表!$C31=3,IF(T0登记表!$G31=T0登记表!$T$41,T0登记表!$B31,0),0)+IF(T0登记表!$C32=3,IF(T0登记表!$G32=T0登记表!$T$41,T0登记表!$B32,0),0)+Y11</f>
        <v>0</v>
      </c>
      <c r="Y21" s="147">
        <f>IF(T0登记表!$C29=4,IF(T0登记表!$G29=T0登记表!$T$41,T0登记表!$B29,0),0)+IF(T0登记表!$C30=4,IF(T0登记表!$G30=T0登记表!$T$41,T0登记表!$B30,0),0)+IF(T0登记表!$C31=4,IF(T0登记表!$G31=T0登记表!$T$41,T0登记表!$B31,0),0)+IF(T0登记表!$C32=4,IF(T0登记表!$G32=T0登记表!$T$41,T0登记表!$B32,0),0)+Z11</f>
        <v>0</v>
      </c>
      <c r="Z21" s="147">
        <f>IF(T0登记表!$C29=5,IF(T0登记表!$G29=T0登记表!$T$41,T0登记表!$B29,0),0)+IF(T0登记表!$C30=5,IF(T0登记表!$G30=T0登记表!$T$41,T0登记表!$B30,0),0)+IF(T0登记表!$C31=5,IF(T0登记表!$G31=T0登记表!$T$41,T0登记表!$B31,0),0)+IF(T0登记表!$C32=5,IF(T0登记表!$G32=T0登记表!$T$41,T0登记表!$B32,0),0)</f>
        <v>0</v>
      </c>
      <c r="AA21" s="142"/>
    </row>
    <row r="22" spans="2:27" ht="17.399999999999999" x14ac:dyDescent="0.25">
      <c r="B22" s="143"/>
      <c r="C22" s="148" t="s">
        <v>206</v>
      </c>
      <c r="D22" s="150">
        <f>E14</f>
        <v>0</v>
      </c>
      <c r="E22" s="150">
        <f>F14</f>
        <v>0</v>
      </c>
      <c r="F22" s="150">
        <f>G14</f>
        <v>0</v>
      </c>
      <c r="G22" s="150">
        <f>H14</f>
        <v>0</v>
      </c>
      <c r="H22" s="150"/>
      <c r="I22" s="146"/>
      <c r="K22" s="143"/>
      <c r="L22" s="148" t="s">
        <v>206</v>
      </c>
      <c r="M22" s="150">
        <f>N14</f>
        <v>0</v>
      </c>
      <c r="N22" s="150">
        <f>O14</f>
        <v>0</v>
      </c>
      <c r="O22" s="150">
        <f>P14</f>
        <v>0</v>
      </c>
      <c r="P22" s="150">
        <f>Q14</f>
        <v>7531.0199999999995</v>
      </c>
      <c r="Q22" s="150"/>
      <c r="R22" s="146"/>
      <c r="T22" s="74"/>
      <c r="U22" s="151" t="s">
        <v>233</v>
      </c>
      <c r="V22" s="147">
        <f>ABS(V20-V21)</f>
        <v>0</v>
      </c>
      <c r="W22" s="147">
        <f>ABS(W20-W21)</f>
        <v>0</v>
      </c>
      <c r="X22" s="147">
        <f>ABS(X20-X21)</f>
        <v>0</v>
      </c>
      <c r="Y22" s="147">
        <f>ABS(Y20-Y21)</f>
        <v>6000</v>
      </c>
      <c r="Z22" s="147">
        <f>ABS(Z20-Z21)</f>
        <v>0</v>
      </c>
      <c r="AA22" s="77"/>
    </row>
    <row r="23" spans="2:27" ht="17.399999999999999" x14ac:dyDescent="0.25">
      <c r="B23" s="143"/>
      <c r="C23" s="148" t="s">
        <v>207</v>
      </c>
      <c r="D23" s="150">
        <f>IF(T0登记表!$C$29=1,IF(T0登记表!$F$29=T0登记表!$T$15,T0登记表!$B$29*0.18,IF(T0登记表!$F$29=T0登记表!$T$16,T0登记表!$B$29*0.12,0)),0)+IF(T0登记表!$C$30=1,IF(T0登记表!$F$30=T0登记表!$T$15,T0登记表!$B$30*0.18,IF(T0登记表!$F$30=T0登记表!$T$16,T0登记表!$B$30*0.12,0)),0)+IF(T0登记表!$C$31=1,IF(T0登记表!$F$31=T0登记表!$T$15,T0登记表!$B$31*0.18,IF(T0登记表!$F$31=T0登记表!$T$16,T0登记表!$B$31*0.12,0)),0)+IF(T0登记表!$C$32=1,IF(T0登记表!$F$32=T0登记表!$T$15,T0登记表!$B$32*0.18,IF(T0登记表!$F$32=T0登记表!$T$16,T0登记表!$B$32*0.12,0)),0)</f>
        <v>0</v>
      </c>
      <c r="E23" s="150">
        <f>IF(T0登记表!$C$29=2,IF(T0登记表!$F$29=T0登记表!$T$15,T0登记表!$B$29*0.18,IF(T0登记表!$F$29=T0登记表!$T$16,T0登记表!$B$29*0.12,0)),0)+IF(T0登记表!$C$30=2,IF(T0登记表!$F$30=T0登记表!$T$15,T0登记表!$B$30*0.18,IF(T0登记表!$F$30=T0登记表!$T$16,T0登记表!$B$30*0.12,0)),0)+IF(T0登记表!$C$31=2,IF(T0登记表!$F$31=T0登记表!$T$15,T0登记表!$B$31*0.18,IF(T0登记表!$F$31=T0登记表!$T$16,T0登记表!$B$31*0.12,0)),0)+IF(T0登记表!$C$32=2,IF(T0登记表!$F$32=T0登记表!$T$15,T0登记表!$B$32*0.18,IF(T0登记表!$F$32=T0登记表!$T$16,T0登记表!$B$32*0.12,0)),0)</f>
        <v>0</v>
      </c>
      <c r="F23" s="150">
        <f>IF(T0登记表!$C$29=3,IF(T0登记表!$F$29=T0登记表!$T$15,T0登记表!$B$29*0.18,IF(T0登记表!$F$29=T0登记表!$T$16,T0登记表!$B$29*0.12,0)),0)+IF(T0登记表!$C$30=3,IF(T0登记表!$F$30=T0登记表!$T$15,T0登记表!$B$30*0.18,IF(T0登记表!$F$30=T0登记表!$T$16,T0登记表!$B$30*0.12,0)),0)+IF(T0登记表!$C$31=3,IF(T0登记表!$F$31=T0登记表!$T$15,T0登记表!$B$31*0.18,IF(T0登记表!$F$31=T0登记表!$T$16,T0登记表!$B$31*0.12,0)),0)+IF(T0登记表!$C$32=3,IF(T0登记表!$F$32=T0登记表!$T$15,T0登记表!$B$32*0.18,IF(T0登记表!$F$32=T0登记表!$T$16,T0登记表!$B$32*0.12,0)),0)</f>
        <v>0</v>
      </c>
      <c r="G23" s="150">
        <f>IF(T0登记表!$C$29=4,IF(T0登记表!$F$29=T0登记表!$T$15,T0登记表!$B$29*0.18,IF(T0登记表!$F$29=T0登记表!$T$16,T0登记表!$B$29*0.12,0)),0)+IF(T0登记表!$C$30=4,IF(T0登记表!$F$30=T0登记表!$T$15,T0登记表!$B$30*0.18,IF(T0登记表!$F$30=T0登记表!$T$16,T0登记表!$B$30*0.12,0)),0)+IF(T0登记表!$C$31=4,IF(T0登记表!$F$31=T0登记表!$T$15,T0登记表!$B$31*0.18,IF(T0登记表!$F$31=T0登记表!$T$16,T0登记表!$B$31*0.12,0)),0)+IF(T0登记表!$C$32=4,IF(T0登记表!$F$32=T0登记表!$T$15,T0登记表!$B$32*0.18,IF(T0登记表!$F$32=T0登记表!$T$16,T0登记表!$B$32*0.12,0)),0)</f>
        <v>0</v>
      </c>
      <c r="H23" s="150">
        <f>IF(T0登记表!$C$29=5,IF(T0登记表!$F$29=T0登记表!$T$15,T0登记表!$B$29*0.18,IF(T0登记表!$F$29=T0登记表!$T$16,T0登记表!$B$29*0.12,0)),0)+IF(T0登记表!$C$30=5,IF(T0登记表!$F$30=T0登记表!$T$15,T0登记表!$B$30*0.18,IF(T0登记表!$F$30=T0登记表!$T$16,T0登记表!$B$30*0.12,0)),0)+IF(T0登记表!$C$31=5,IF(T0登记表!$F$31=T0登记表!$T$15,T0登记表!$B$31*0.18,IF(T0登记表!$F$31=T0登记表!$T$16,T0登记表!$B$31*0.12,0)),0)+IF(T0登记表!$C$32=5,IF(T0登记表!$F$32=T0登记表!$T$15,T0登记表!$B$32*0.18,IF(T0登记表!$F$32=T0登记表!$T$16,T0登记表!$B$32*0.12,0)),0)</f>
        <v>0</v>
      </c>
      <c r="I23" s="146"/>
      <c r="K23" s="143"/>
      <c r="L23" s="148" t="s">
        <v>207</v>
      </c>
      <c r="M23" s="150">
        <f>IF(T0登记表!$J29=1,T0登记表!$V29,0)+IF(T0登记表!$J30=1,T0登记表!$V30,0)+IF(T0登记表!$J31=1,T0登记表!$V31,0)+IF(T0登记表!$J32=1,T0登记表!$V32,0)</f>
        <v>0</v>
      </c>
      <c r="N23" s="150">
        <f>IF(T0登记表!$J29=2,T0登记表!$V29,0)+IF(T0登记表!$J30=2,T0登记表!$V30,0)+IF(T0登记表!$J31=2,T0登记表!$V31,0)+IF(T0登记表!$J32=2,T0登记表!$V32,0)</f>
        <v>0</v>
      </c>
      <c r="O23" s="150">
        <f>IF(T0登记表!$J29=3,T0登记表!$V29,0)+IF(T0登记表!$J30=3,T0登记表!$V30,0)+IF(T0登记表!$J31=3,T0登记表!$V31,0)+IF(T0登记表!$J32=3,T0登记表!$V32,0)</f>
        <v>0</v>
      </c>
      <c r="P23" s="150">
        <f>IF(T0登记表!$J29=4,T0登记表!$V29,0)+IF(T0登记表!$J30=4,T0登记表!$V30,0)+IF(T0登记表!$J31=4,T0登记表!$V31,0)+IF(T0登记表!$J32=4,T0登记表!$V32,0)</f>
        <v>0</v>
      </c>
      <c r="Q23" s="150">
        <f>IF(T0登记表!$J29=5,T0登记表!$V29,0)+IF(T0登记表!$J30=5,T0登记表!$V30,0)+IF(T0登记表!$J31=5,T0登记表!$V31,0)+IF(T0登记表!$J32=5,T0登记表!$V32,0)</f>
        <v>0</v>
      </c>
      <c r="R23" s="146"/>
      <c r="T23" s="74"/>
      <c r="U23" s="152" t="s">
        <v>234</v>
      </c>
      <c r="V23" s="153">
        <v>0.2</v>
      </c>
      <c r="W23" s="153">
        <v>0.3</v>
      </c>
      <c r="X23" s="153">
        <v>0.4</v>
      </c>
      <c r="Y23" s="153">
        <v>0.5</v>
      </c>
      <c r="Z23" s="153">
        <v>0.6</v>
      </c>
      <c r="AA23" s="77"/>
    </row>
    <row r="24" spans="2:27" ht="17.399999999999999" x14ac:dyDescent="0.25">
      <c r="B24" s="143"/>
      <c r="C24" s="148" t="s">
        <v>213</v>
      </c>
      <c r="D24" s="150">
        <f>D22+D23</f>
        <v>0</v>
      </c>
      <c r="E24" s="150">
        <f>E22+E23</f>
        <v>0</v>
      </c>
      <c r="F24" s="150">
        <f>F22+F23</f>
        <v>0</v>
      </c>
      <c r="G24" s="150">
        <f>G22+G23</f>
        <v>0</v>
      </c>
      <c r="H24" s="150">
        <f>H22+H23</f>
        <v>0</v>
      </c>
      <c r="I24" s="146"/>
      <c r="K24" s="143"/>
      <c r="L24" s="148" t="s">
        <v>213</v>
      </c>
      <c r="M24" s="150">
        <f>M22+M23</f>
        <v>0</v>
      </c>
      <c r="N24" s="150">
        <f>N22+N23</f>
        <v>0</v>
      </c>
      <c r="O24" s="150">
        <f>O22+O23</f>
        <v>0</v>
      </c>
      <c r="P24" s="150">
        <f>P22+P23</f>
        <v>7531.0199999999995</v>
      </c>
      <c r="Q24" s="150">
        <f>Q22+Q23</f>
        <v>0</v>
      </c>
      <c r="R24" s="146"/>
      <c r="T24" s="74"/>
      <c r="U24" s="151" t="s">
        <v>235</v>
      </c>
      <c r="V24" s="154">
        <f>V22*V23</f>
        <v>0</v>
      </c>
      <c r="W24" s="154">
        <f>W22*W23</f>
        <v>0</v>
      </c>
      <c r="X24" s="154">
        <f>X22*X23</f>
        <v>0</v>
      </c>
      <c r="Y24" s="154">
        <f>Y22*Y23</f>
        <v>3000</v>
      </c>
      <c r="Z24" s="147">
        <f>Z22*Z23</f>
        <v>0</v>
      </c>
      <c r="AA24" s="77"/>
    </row>
    <row r="25" spans="2:27" ht="17.399999999999999" x14ac:dyDescent="0.25">
      <c r="B25" s="143"/>
      <c r="C25" s="155" t="s">
        <v>497</v>
      </c>
      <c r="D25" s="156">
        <f>SUM(D24:H24)</f>
        <v>0</v>
      </c>
      <c r="E25" s="134"/>
      <c r="F25" s="134"/>
      <c r="G25" s="134"/>
      <c r="H25" s="134"/>
      <c r="I25" s="146"/>
      <c r="K25" s="143"/>
      <c r="L25" s="155" t="s">
        <v>496</v>
      </c>
      <c r="M25" s="156">
        <f>SUM(M24:Q24)</f>
        <v>7531.0199999999995</v>
      </c>
      <c r="N25" s="134"/>
      <c r="O25" s="134"/>
      <c r="P25" s="134"/>
      <c r="Q25" s="134"/>
      <c r="R25" s="146"/>
      <c r="T25" s="74"/>
      <c r="U25" s="69"/>
      <c r="V25" s="78" t="s">
        <v>236</v>
      </c>
      <c r="W25" s="86">
        <f>SUM(V24:Z24)</f>
        <v>3000</v>
      </c>
      <c r="X25" s="76"/>
      <c r="Y25" s="76"/>
      <c r="Z25" s="76"/>
      <c r="AA25" s="77"/>
    </row>
    <row r="26" spans="2:27" ht="18" thickBot="1" x14ac:dyDescent="0.3">
      <c r="B26" s="157"/>
      <c r="C26" s="158"/>
      <c r="D26" s="158"/>
      <c r="E26" s="158"/>
      <c r="F26" s="158"/>
      <c r="G26" s="158"/>
      <c r="H26" s="158"/>
      <c r="I26" s="159"/>
      <c r="K26" s="157"/>
      <c r="L26" s="158"/>
      <c r="M26" s="158"/>
      <c r="N26" s="158"/>
      <c r="O26" s="158"/>
      <c r="P26" s="158"/>
      <c r="Q26" s="158"/>
      <c r="R26" s="159"/>
      <c r="T26" s="87"/>
      <c r="U26" s="88"/>
      <c r="V26" s="88"/>
      <c r="W26" s="88"/>
      <c r="X26" s="88"/>
      <c r="Y26" s="88"/>
      <c r="Z26" s="88"/>
      <c r="AA26" s="89"/>
    </row>
    <row r="27" spans="2:27" ht="18" thickBot="1" x14ac:dyDescent="0.3">
      <c r="B27" s="134"/>
      <c r="C27" s="134"/>
      <c r="D27" s="134"/>
      <c r="E27" s="134"/>
      <c r="F27" s="134"/>
      <c r="G27" s="134"/>
      <c r="H27" s="134"/>
      <c r="I27" s="134"/>
      <c r="K27" s="134"/>
      <c r="L27" s="134"/>
      <c r="M27" s="134"/>
      <c r="N27" s="134"/>
      <c r="O27" s="134"/>
      <c r="P27" s="134"/>
      <c r="Q27" s="134"/>
      <c r="R27" s="134"/>
      <c r="T27" s="69"/>
      <c r="U27" s="69"/>
      <c r="V27" s="69"/>
      <c r="W27" s="69"/>
      <c r="X27" s="69"/>
      <c r="Y27" s="69"/>
      <c r="Z27" s="69"/>
      <c r="AA27" s="69"/>
    </row>
    <row r="28" spans="2:27" ht="17.399999999999999" x14ac:dyDescent="0.25">
      <c r="B28" s="138"/>
      <c r="C28" s="139"/>
      <c r="D28" s="139"/>
      <c r="E28" s="139"/>
      <c r="F28" s="139"/>
      <c r="G28" s="139"/>
      <c r="H28" s="139"/>
      <c r="I28" s="140"/>
      <c r="K28" s="138"/>
      <c r="L28" s="139"/>
      <c r="M28" s="139"/>
      <c r="N28" s="139"/>
      <c r="O28" s="139"/>
      <c r="P28" s="139"/>
      <c r="Q28" s="139"/>
      <c r="R28" s="140"/>
      <c r="T28" s="71"/>
      <c r="U28" s="72"/>
      <c r="V28" s="72"/>
      <c r="W28" s="72"/>
      <c r="X28" s="72"/>
      <c r="Y28" s="72"/>
      <c r="Z28" s="72"/>
      <c r="AA28" s="73"/>
    </row>
    <row r="29" spans="2:27" ht="17.399999999999999" x14ac:dyDescent="0.25">
      <c r="B29" s="143"/>
      <c r="C29" s="144" t="s">
        <v>146</v>
      </c>
      <c r="D29" s="145" t="s">
        <v>199</v>
      </c>
      <c r="E29" s="134"/>
      <c r="F29" s="134"/>
      <c r="G29" s="134"/>
      <c r="H29" s="134"/>
      <c r="I29" s="146"/>
      <c r="K29" s="143"/>
      <c r="L29" s="75" t="s">
        <v>103</v>
      </c>
      <c r="M29" s="145" t="s">
        <v>227</v>
      </c>
      <c r="N29" s="134"/>
      <c r="O29" s="134"/>
      <c r="P29" s="134"/>
      <c r="Q29" s="134"/>
      <c r="R29" s="146"/>
      <c r="T29" s="74"/>
      <c r="U29" s="75" t="s">
        <v>103</v>
      </c>
      <c r="V29" s="141" t="s">
        <v>201</v>
      </c>
      <c r="W29" s="141" t="s">
        <v>202</v>
      </c>
      <c r="X29" s="141" t="s">
        <v>203</v>
      </c>
      <c r="Y29" s="141" t="s">
        <v>204</v>
      </c>
      <c r="Z29" s="141" t="s">
        <v>205</v>
      </c>
      <c r="AA29" s="142"/>
    </row>
    <row r="30" spans="2:27" ht="17.399999999999999" x14ac:dyDescent="0.25">
      <c r="B30" s="143"/>
      <c r="C30" s="148" t="s">
        <v>200</v>
      </c>
      <c r="D30" s="141" t="s">
        <v>211</v>
      </c>
      <c r="E30" s="141" t="s">
        <v>202</v>
      </c>
      <c r="F30" s="141" t="s">
        <v>212</v>
      </c>
      <c r="G30" s="141" t="s">
        <v>204</v>
      </c>
      <c r="H30" s="141" t="s">
        <v>205</v>
      </c>
      <c r="I30" s="146"/>
      <c r="K30" s="143"/>
      <c r="L30" s="148" t="s">
        <v>214</v>
      </c>
      <c r="M30" s="141" t="s">
        <v>201</v>
      </c>
      <c r="N30" s="141" t="s">
        <v>202</v>
      </c>
      <c r="O30" s="141" t="s">
        <v>203</v>
      </c>
      <c r="P30" s="141" t="s">
        <v>204</v>
      </c>
      <c r="Q30" s="141" t="s">
        <v>205</v>
      </c>
      <c r="R30" s="146"/>
      <c r="T30" s="74"/>
      <c r="U30" s="78" t="s">
        <v>231</v>
      </c>
      <c r="V30" s="147">
        <f>IF(T0登记表!$P35=T0登记表!$T$38,0,IF(T0登记表!$J35=1,IF(T0登记表!$O35=T0登记表!$T$41,T0登记表!$I35,0),0))+IF(T0登记表!$P36=T0登记表!$T$38,0,IF(T0登记表!$J36=1,IF(T0登记表!$O36=T0登记表!$T$41,T0登记表!$I36,0),0))+IF(T0登记表!$P37=T0登记表!$T$38,0,IF(T0登记表!$J37=1,IF(T0登记表!$O37=T0登记表!$T$41,T0登记表!$I37,0),0))+IF(T0登记表!$P38=T0登记表!$T$38,0,IF(T0登记表!$J38=1,IF(T0登记表!$O38=T0登记表!$T$41,T0登记表!$I38,0),0))+W20</f>
        <v>0</v>
      </c>
      <c r="W30" s="147">
        <f>IF(T0登记表!$P35=T0登记表!$T$38,0,IF(T0登记表!$J35=2,IF(T0登记表!$O35=T0登记表!$T$41,T0登记表!$I35,0),0))+IF(T0登记表!$P36=T0登记表!$T$38,0,IF(T0登记表!$J36=2,IF(T0登记表!$O36=T0登记表!$T$41,T0登记表!$I36,0),0))+IF(T0登记表!$P37=T0登记表!$T$38,0,IF(T0登记表!$J37=2,IF(T0登记表!$O37=T0登记表!$T$41,T0登记表!$I37,0),0))+IF(T0登记表!$P38=T0登记表!$T$38,0,IF(T0登记表!$J38=2,IF(T0登记表!$O38=T0登记表!$T$41,T0登记表!$I38,0),0))+X20</f>
        <v>0</v>
      </c>
      <c r="X30" s="147">
        <f>IF(T0登记表!$P35=T0登记表!$T$38,0,IF(T0登记表!$J35=3,IF(T0登记表!$O35=T0登记表!$T$41,T0登记表!$I35,0),0))+IF(T0登记表!$P36=T0登记表!$T$38,0,IF(T0登记表!$J36=3,IF(T0登记表!$O36=T0登记表!$T$41,T0登记表!$I36,0),0))+IF(T0登记表!$P37=T0登记表!$T$38,0,IF(T0登记表!$J37=3,IF(T0登记表!$O37=T0登记表!$T$41,T0登记表!$I37,0),0))+IF(T0登记表!$P38=T0登记表!$T$38,0,IF(T0登记表!$J38=3,IF(T0登记表!$O38=T0登记表!$T$41,T0登记表!$I38,0),0))+Y20</f>
        <v>6000</v>
      </c>
      <c r="Y30" s="147">
        <f>IF(T0登记表!$P35=T0登记表!$T$38,0,IF(T0登记表!$J35=4,IF(T0登记表!$O35=T0登记表!$T$41,T0登记表!$I35,0),0))+IF(T0登记表!$P36=T0登记表!$T$38,0,IF(T0登记表!$J36=4,IF(T0登记表!$O36=T0登记表!$T$41,T0登记表!$I36,0),0))+IF(T0登记表!$P37=T0登记表!$T$38,0,IF(T0登记表!$J37=4,IF(T0登记表!$O37=T0登记表!$T$41,T0登记表!$I37,0),0))+IF(T0登记表!$P38=T0登记表!$T$38,0,IF(T0登记表!$J38=4,IF(T0登记表!$O38=T0登记表!$T$41,T0登记表!$I38,0),0))+Z20</f>
        <v>0</v>
      </c>
      <c r="Z30" s="147">
        <f>IF(T0登记表!$P35=T0登记表!$T$38,0,IF(T0登记表!$J35=5,IF(T0登记表!$O35=T0登记表!$T$41,T0登记表!$I35,0),0))+IF(T0登记表!$P36=T0登记表!$T$38,0,IF(T0登记表!$J36=5,IF(T0登记表!$O36=T0登记表!$T$41,T0登记表!$I36,0),0))+IF(T0登记表!$P37=T0登记表!$T$38,0,IF(T0登记表!$J37=5,IF(T0登记表!$O37=T0登记表!$T$41,T0登记表!$I37,0),0))+IF(T0登记表!$P38=T0登记表!$T$38,0,IF(T0登记表!$J38=5,IF(T0登记表!$O38=T0登记表!$T$41,T0登记表!$I38,0),0))</f>
        <v>0</v>
      </c>
      <c r="AA30" s="142"/>
    </row>
    <row r="31" spans="2:27" ht="17.399999999999999" x14ac:dyDescent="0.25">
      <c r="B31" s="143"/>
      <c r="C31" s="148" t="s">
        <v>206</v>
      </c>
      <c r="D31" s="150">
        <f>E24</f>
        <v>0</v>
      </c>
      <c r="E31" s="150">
        <f>F24</f>
        <v>0</v>
      </c>
      <c r="F31" s="150">
        <f>G24</f>
        <v>0</v>
      </c>
      <c r="G31" s="150">
        <f>H24</f>
        <v>0</v>
      </c>
      <c r="H31" s="150"/>
      <c r="I31" s="146"/>
      <c r="K31" s="143"/>
      <c r="L31" s="148" t="s">
        <v>206</v>
      </c>
      <c r="M31" s="150">
        <f>N24</f>
        <v>0</v>
      </c>
      <c r="N31" s="150">
        <f>O24</f>
        <v>0</v>
      </c>
      <c r="O31" s="150">
        <f>P24</f>
        <v>7531.0199999999995</v>
      </c>
      <c r="P31" s="150">
        <f>Q24</f>
        <v>0</v>
      </c>
      <c r="Q31" s="150"/>
      <c r="R31" s="146"/>
      <c r="T31" s="74"/>
      <c r="U31" s="149" t="s">
        <v>232</v>
      </c>
      <c r="V31" s="147">
        <f>IF(T0登记表!$C35=1,IF(T0登记表!$G35=T0登记表!$T$41,T0登记表!$B35,0),0)+IF(T0登记表!$C36=1,IF(T0登记表!$G36=T0登记表!$T$41,T0登记表!$B36,0),0)+IF(T0登记表!$C37=1,IF(T0登记表!$G37=T0登记表!$T$41,T0登记表!$B37,0),0)+IF(T0登记表!$C38=1,IF(T0登记表!$G38=T0登记表!$T$41,T0登记表!$B38,0),0)+W21</f>
        <v>0</v>
      </c>
      <c r="W31" s="147">
        <f>IF(T0登记表!$C35=2,IF(T0登记表!$G35=T0登记表!$T$41,T0登记表!$B35,0),0)+IF(T0登记表!$C36=2,IF(T0登记表!$G36=T0登记表!$T$41,T0登记表!$B36,0),0)+IF(T0登记表!$C37=2,IF(T0登记表!$G37=T0登记表!$T$41,T0登记表!$B37,0),0)+IF(T0登记表!$C38=2,IF(T0登记表!$G38=T0登记表!$T$41,T0登记表!$B38,0),0)+X21</f>
        <v>0</v>
      </c>
      <c r="X31" s="147">
        <f>IF(T0登记表!$C35=3,IF(T0登记表!$G35=T0登记表!$T$41,T0登记表!$B35,0),0)+IF(T0登记表!$C36=3,IF(T0登记表!$G36=T0登记表!$T$41,T0登记表!$B36,0),0)+IF(T0登记表!$C37=3,IF(T0登记表!$G37=T0登记表!$T$41,T0登记表!$B37,0),0)+IF(T0登记表!$C38=3,IF(T0登记表!$G38=T0登记表!$T$41,T0登记表!$B38,0),0)+Y21</f>
        <v>0</v>
      </c>
      <c r="Y31" s="147">
        <f>IF(T0登记表!$C35=4,IF(T0登记表!$G35=T0登记表!$T$41,T0登记表!$B35,0),0)+IF(T0登记表!$C36=4,IF(T0登记表!$G36=T0登记表!$T$41,T0登记表!$B36,0),0)+IF(T0登记表!$C37=4,IF(T0登记表!$G37=T0登记表!$T$41,T0登记表!$B37,0),0)+IF(T0登记表!$C38=4,IF(T0登记表!$G38=T0登记表!$T$41,T0登记表!$B38,0),0)+Z21</f>
        <v>0</v>
      </c>
      <c r="Z31" s="147">
        <f>IF(T0登记表!$C35=5,IF(T0登记表!$G35=T0登记表!$T$41,T0登记表!$B35,0),0)+IF(T0登记表!$C36=5,IF(T0登记表!$G36=T0登记表!$T$41,T0登记表!$B36,0),0)+IF(T0登记表!$C37=5,IF(T0登记表!$G37=T0登记表!$T$41,T0登记表!$B37,0),0)+IF(T0登记表!$C38=5,IF(T0登记表!$G38=T0登记表!$T$41,T0登记表!$B38,0),0)</f>
        <v>0</v>
      </c>
      <c r="AA31" s="142"/>
    </row>
    <row r="32" spans="2:27" ht="17.399999999999999" x14ac:dyDescent="0.25">
      <c r="B32" s="143"/>
      <c r="C32" s="148" t="s">
        <v>207</v>
      </c>
      <c r="D32" s="150">
        <f>IF(T0登记表!$C$35=1,IF(T0登记表!$F$35=T0登记表!$T$15,T0登记表!$B$35*0.18,IF(T0登记表!$F$35=T0登记表!$T$16,T0登记表!$B$35*0.12,0)),0)+IF(T0登记表!$C$36=1,IF(T0登记表!$F$36=T0登记表!$T$15,T0登记表!$B$36*0.18,IF(T0登记表!$F$36=T0登记表!$T$16,T0登记表!$B$36*0.12,0)),0)+IF(T0登记表!$C$37=1,IF(T0登记表!$F$37=T0登记表!$T$15,T0登记表!$B$37*0.18,IF(T0登记表!$F$37=T0登记表!$T$16,T0登记表!$B$37*0.12,0)),0)+IF(T0登记表!$C$38=1,IF(T0登记表!$F$38=T0登记表!$T$15,T0登记表!$B$38*0.18,IF(T0登记表!$F$38=T0登记表!$T$16,T0登记表!$B$38*0.12,0)),0)</f>
        <v>0</v>
      </c>
      <c r="E32" s="150">
        <f>IF(T0登记表!$C$35=2,IF(T0登记表!$F$35=T0登记表!$T$15,T0登记表!$B$35*0.18,IF(T0登记表!$F$35=T0登记表!$T$16,T0登记表!$B$35*0.12,0)),0)+IF(T0登记表!$C$36=2,IF(T0登记表!$F$36=T0登记表!$T$15,T0登记表!$B$36*0.18,IF(T0登记表!$F$36=T0登记表!$T$16,T0登记表!$B$36*0.12,0)),0)+IF(T0登记表!$C$37=2,IF(T0登记表!$F$37=T0登记表!$T$15,T0登记表!$B$37*0.18,IF(T0登记表!$F$37=T0登记表!$T$16,T0登记表!$B$37*0.12,0)),0)+IF(T0登记表!$C$38=2,IF(T0登记表!$F$38=T0登记表!$T$15,T0登记表!$B$38*0.18,IF(T0登记表!$F$38=T0登记表!$T$16,T0登记表!$B$38*0.12,0)),0)</f>
        <v>0</v>
      </c>
      <c r="F32" s="150">
        <f>IF(T0登记表!$C$35=3,IF(T0登记表!$F$35=T0登记表!$T$15,T0登记表!$B$35*0.18,IF(T0登记表!$F$35=T0登记表!$T$16,T0登记表!$B$35*0.12,0)),0)+IF(T0登记表!$C$36=3,IF(T0登记表!$F$36=T0登记表!$T$15,T0登记表!$B$36*0.18,IF(T0登记表!$F$36=T0登记表!$T$16,T0登记表!$B$36*0.12,0)),0)+IF(T0登记表!$C$37=3,IF(T0登记表!$F$37=T0登记表!$T$15,T0登记表!$B$37*0.18,IF(T0登记表!$F$37=T0登记表!$T$16,T0登记表!$B$37*0.12,0)),0)+IF(T0登记表!$C$38=3,IF(T0登记表!$F$38=T0登记表!$T$15,T0登记表!$B$38*0.18,IF(T0登记表!$F$38=T0登记表!$T$16,T0登记表!$B$38*0.12,0)),0)</f>
        <v>0</v>
      </c>
      <c r="G32" s="150">
        <f>IF(T0登记表!$C$35=4,IF(T0登记表!$F$35=T0登记表!$T$15,T0登记表!$B$35*0.18,IF(T0登记表!$F$35=T0登记表!$T$16,T0登记表!$B$35*0.12,0)),0)+IF(T0登记表!$C$36=4,IF(T0登记表!$F$36=T0登记表!$T$15,T0登记表!$B$36*0.18,IF(T0登记表!$F$36=T0登记表!$T$16,T0登记表!$B$36*0.12,0)),0)+IF(T0登记表!$C$37=4,IF(T0登记表!$F$37=T0登记表!$T$15,T0登记表!$B$37*0.18,IF(T0登记表!$F$37=T0登记表!$T$16,T0登记表!$B$37*0.12,0)),0)+IF(T0登记表!$C$38=4,IF(T0登记表!$F$38=T0登记表!$T$15,T0登记表!$B$38*0.18,IF(T0登记表!$F$38=T0登记表!$T$16,T0登记表!$B$38*0.12,0)),0)</f>
        <v>0</v>
      </c>
      <c r="H32" s="150">
        <f>IF(T0登记表!$C$35=5,IF(T0登记表!$F$35=T0登记表!$T$15,T0登记表!$B$35*0.18,IF(T0登记表!$F$35=T0登记表!$T$16,T0登记表!$B$35*0.12,0)),0)+IF(T0登记表!$C$36=5,IF(T0登记表!$F$36=T0登记表!$T$15,T0登记表!$B$36*0.18,IF(T0登记表!$F$36=T0登记表!$T$16,T0登记表!$B$36*0.12,0)),0)+IF(T0登记表!$C$37=5,IF(T0登记表!$F$37=T0登记表!$T$15,T0登记表!$B$37*0.18,IF(T0登记表!$F$37=T0登记表!$T$16,T0登记表!$B$37*0.12,0)),0)+IF(T0登记表!$C$38=5,IF(T0登记表!$F$38=T0登记表!$T$15,T0登记表!$B$38*0.18,IF(T0登记表!$F$38=T0登记表!$T$16,T0登记表!$B$38*0.12,0)),0)</f>
        <v>0</v>
      </c>
      <c r="I32" s="146"/>
      <c r="K32" s="143"/>
      <c r="L32" s="148" t="s">
        <v>207</v>
      </c>
      <c r="M32" s="150">
        <f>IF(T0登记表!$J38=1,T0登记表!$V38,0)+IF(T0登记表!$J37=1,T0登记表!$V37,0)+IF(T0登记表!$J36=1,T0登记表!$V36,0)+IF(T0登记表!$J35=1,T0登记表!$V35,0)</f>
        <v>0</v>
      </c>
      <c r="N32" s="150">
        <f>IF(T0登记表!$J38=2,T0登记表!$V38,0)+IF(T0登记表!$J37=2,T0登记表!$V37,0)+IF(T0登记表!$J36=2,T0登记表!$V36,0)+IF(T0登记表!$J35=2,T0登记表!$V35,0)</f>
        <v>2640.0000000000005</v>
      </c>
      <c r="O32" s="150">
        <f>IF(T0登记表!$J38=3,T0登记表!$V38,0)+IF(T0登记表!$J37=3,T0登记表!$V37,0)+IF(T0登记表!$J36=3,T0登记表!$V36,0)+IF(T0登记表!$J35=3,T0登记表!$V35,0)</f>
        <v>0</v>
      </c>
      <c r="P32" s="150">
        <f>IF(T0登记表!$J38=4,T0登记表!$V38,0)+IF(T0登记表!$J37=4,T0登记表!$V37,0)+IF(T0登记表!$J36=4,T0登记表!$V36,0)+IF(T0登记表!$J35=4,T0登记表!$V35,0)</f>
        <v>0</v>
      </c>
      <c r="Q32" s="150">
        <f>IF(T0登记表!$J38=5,T0登记表!$V38,0)+IF(T0登记表!$J37=5,T0登记表!$V37,0)+IF(T0登记表!$J36=5,T0登记表!$V36,0)+IF(T0登记表!$J35=5,T0登记表!$V35,0)</f>
        <v>0</v>
      </c>
      <c r="R32" s="146"/>
      <c r="T32" s="74"/>
      <c r="U32" s="151" t="s">
        <v>233</v>
      </c>
      <c r="V32" s="147">
        <f>ABS(V30-V31)</f>
        <v>0</v>
      </c>
      <c r="W32" s="147">
        <f>ABS(W30-W31)</f>
        <v>0</v>
      </c>
      <c r="X32" s="147">
        <f>ABS(X30-X31)</f>
        <v>6000</v>
      </c>
      <c r="Y32" s="147">
        <f>ABS(Y30-Y31)</f>
        <v>0</v>
      </c>
      <c r="Z32" s="147">
        <f>ABS(Z30-Z31)</f>
        <v>0</v>
      </c>
      <c r="AA32" s="77"/>
    </row>
    <row r="33" spans="2:27" ht="17.399999999999999" x14ac:dyDescent="0.25">
      <c r="B33" s="143"/>
      <c r="C33" s="148" t="s">
        <v>213</v>
      </c>
      <c r="D33" s="150">
        <f>D31+D32</f>
        <v>0</v>
      </c>
      <c r="E33" s="150">
        <f>E31+E32</f>
        <v>0</v>
      </c>
      <c r="F33" s="150">
        <f>F31+F32</f>
        <v>0</v>
      </c>
      <c r="G33" s="150">
        <f>G31+G32</f>
        <v>0</v>
      </c>
      <c r="H33" s="150">
        <f>H31+H32</f>
        <v>0</v>
      </c>
      <c r="I33" s="146"/>
      <c r="K33" s="143"/>
      <c r="L33" s="148" t="s">
        <v>213</v>
      </c>
      <c r="M33" s="150">
        <f>M31+M32</f>
        <v>0</v>
      </c>
      <c r="N33" s="150">
        <f>N31+N32</f>
        <v>2640.0000000000005</v>
      </c>
      <c r="O33" s="150">
        <f>O31+O32</f>
        <v>7531.0199999999995</v>
      </c>
      <c r="P33" s="150">
        <f>P31+P32</f>
        <v>0</v>
      </c>
      <c r="Q33" s="150">
        <f>Q31+Q32</f>
        <v>0</v>
      </c>
      <c r="R33" s="146"/>
      <c r="T33" s="74"/>
      <c r="U33" s="152" t="s">
        <v>234</v>
      </c>
      <c r="V33" s="153">
        <v>0.2</v>
      </c>
      <c r="W33" s="153">
        <v>0.3</v>
      </c>
      <c r="X33" s="153">
        <v>0.4</v>
      </c>
      <c r="Y33" s="153">
        <v>0.5</v>
      </c>
      <c r="Z33" s="153">
        <v>0.6</v>
      </c>
      <c r="AA33" s="77"/>
    </row>
    <row r="34" spans="2:27" ht="17.399999999999999" x14ac:dyDescent="0.25">
      <c r="B34" s="143"/>
      <c r="C34" s="155" t="s">
        <v>497</v>
      </c>
      <c r="D34" s="156">
        <f>SUM(D33:H33)</f>
        <v>0</v>
      </c>
      <c r="E34" s="134"/>
      <c r="F34" s="134"/>
      <c r="G34" s="134"/>
      <c r="H34" s="134"/>
      <c r="I34" s="146"/>
      <c r="K34" s="143"/>
      <c r="L34" s="155" t="s">
        <v>496</v>
      </c>
      <c r="M34" s="156">
        <f>SUM(M33:Q33)</f>
        <v>10171.02</v>
      </c>
      <c r="N34" s="134"/>
      <c r="O34" s="134"/>
      <c r="P34" s="134"/>
      <c r="Q34" s="134"/>
      <c r="R34" s="146"/>
      <c r="T34" s="74"/>
      <c r="U34" s="151" t="s">
        <v>235</v>
      </c>
      <c r="V34" s="154">
        <f>V32*V33</f>
        <v>0</v>
      </c>
      <c r="W34" s="154">
        <f>W32*W33</f>
        <v>0</v>
      </c>
      <c r="X34" s="154">
        <f>X32*X33</f>
        <v>2400</v>
      </c>
      <c r="Y34" s="154">
        <f>Y32*Y33</f>
        <v>0</v>
      </c>
      <c r="Z34" s="147">
        <f>Z32*Z33</f>
        <v>0</v>
      </c>
      <c r="AA34" s="77"/>
    </row>
    <row r="35" spans="2:27" ht="18" thickBot="1" x14ac:dyDescent="0.3">
      <c r="B35" s="157"/>
      <c r="C35" s="158"/>
      <c r="D35" s="158"/>
      <c r="E35" s="158"/>
      <c r="F35" s="158"/>
      <c r="G35" s="158"/>
      <c r="H35" s="158"/>
      <c r="I35" s="159"/>
      <c r="K35" s="157"/>
      <c r="L35" s="158"/>
      <c r="M35" s="158"/>
      <c r="N35" s="158"/>
      <c r="O35" s="158"/>
      <c r="P35" s="158"/>
      <c r="Q35" s="158"/>
      <c r="R35" s="159"/>
      <c r="T35" s="74"/>
      <c r="U35" s="69"/>
      <c r="V35" s="78" t="s">
        <v>236</v>
      </c>
      <c r="W35" s="86">
        <f>SUM(V34:Z34)</f>
        <v>2400</v>
      </c>
      <c r="X35" s="76"/>
      <c r="Y35" s="76"/>
      <c r="Z35" s="76"/>
      <c r="AA35" s="77"/>
    </row>
    <row r="36" spans="2:27" ht="18" thickBot="1" x14ac:dyDescent="0.3">
      <c r="B36" s="134"/>
      <c r="C36" s="134"/>
      <c r="D36" s="134"/>
      <c r="E36" s="134"/>
      <c r="F36" s="134"/>
      <c r="G36" s="134"/>
      <c r="H36" s="134"/>
      <c r="I36" s="134"/>
      <c r="K36" s="135"/>
      <c r="L36" s="135"/>
      <c r="M36" s="135"/>
      <c r="N36" s="135"/>
      <c r="O36" s="135"/>
      <c r="P36" s="135"/>
      <c r="Q36" s="135"/>
      <c r="R36" s="135"/>
      <c r="T36" s="87"/>
      <c r="U36" s="88"/>
      <c r="V36" s="88"/>
      <c r="W36" s="88"/>
      <c r="X36" s="88"/>
      <c r="Y36" s="88"/>
      <c r="Z36" s="88"/>
      <c r="AA36" s="89"/>
    </row>
    <row r="37" spans="2:27" ht="18" thickBot="1" x14ac:dyDescent="0.3">
      <c r="B37" s="138"/>
      <c r="C37" s="139"/>
      <c r="D37" s="139"/>
      <c r="E37" s="139"/>
      <c r="F37" s="139"/>
      <c r="G37" s="139"/>
      <c r="H37" s="139"/>
      <c r="I37" s="140"/>
      <c r="K37" s="138"/>
      <c r="L37" s="139"/>
      <c r="M37" s="139"/>
      <c r="N37" s="139"/>
      <c r="O37" s="139"/>
      <c r="P37" s="139"/>
      <c r="Q37" s="139"/>
      <c r="R37" s="140"/>
    </row>
    <row r="38" spans="2:27" ht="17.399999999999999" x14ac:dyDescent="0.25">
      <c r="B38" s="143"/>
      <c r="C38" s="144" t="s">
        <v>149</v>
      </c>
      <c r="D38" s="145" t="s">
        <v>199</v>
      </c>
      <c r="E38" s="134"/>
      <c r="F38" s="134"/>
      <c r="G38" s="134"/>
      <c r="H38" s="134"/>
      <c r="I38" s="146"/>
      <c r="K38" s="143"/>
      <c r="L38" s="75" t="s">
        <v>108</v>
      </c>
      <c r="M38" s="145" t="s">
        <v>227</v>
      </c>
      <c r="N38" s="134"/>
      <c r="O38" s="134"/>
      <c r="P38" s="134"/>
      <c r="Q38" s="134"/>
      <c r="R38" s="146"/>
      <c r="T38" s="71"/>
      <c r="U38" s="72"/>
      <c r="V38" s="72"/>
      <c r="W38" s="72"/>
      <c r="X38" s="72"/>
      <c r="Y38" s="72"/>
      <c r="Z38" s="72"/>
      <c r="AA38" s="73"/>
    </row>
    <row r="39" spans="2:27" ht="17.399999999999999" x14ac:dyDescent="0.25">
      <c r="B39" s="143"/>
      <c r="C39" s="148" t="s">
        <v>214</v>
      </c>
      <c r="D39" s="141" t="s">
        <v>211</v>
      </c>
      <c r="E39" s="141" t="s">
        <v>202</v>
      </c>
      <c r="F39" s="141" t="s">
        <v>212</v>
      </c>
      <c r="G39" s="141" t="s">
        <v>204</v>
      </c>
      <c r="H39" s="141" t="s">
        <v>205</v>
      </c>
      <c r="I39" s="146"/>
      <c r="K39" s="143"/>
      <c r="L39" s="148" t="s">
        <v>214</v>
      </c>
      <c r="M39" s="141" t="s">
        <v>201</v>
      </c>
      <c r="N39" s="141" t="s">
        <v>202</v>
      </c>
      <c r="O39" s="141" t="s">
        <v>203</v>
      </c>
      <c r="P39" s="141" t="s">
        <v>204</v>
      </c>
      <c r="Q39" s="141" t="s">
        <v>205</v>
      </c>
      <c r="R39" s="146"/>
      <c r="T39" s="74"/>
      <c r="U39" s="75" t="s">
        <v>108</v>
      </c>
      <c r="V39" s="141" t="s">
        <v>201</v>
      </c>
      <c r="W39" s="141" t="s">
        <v>202</v>
      </c>
      <c r="X39" s="141" t="s">
        <v>203</v>
      </c>
      <c r="Y39" s="141" t="s">
        <v>204</v>
      </c>
      <c r="Z39" s="141" t="s">
        <v>205</v>
      </c>
      <c r="AA39" s="142"/>
    </row>
    <row r="40" spans="2:27" ht="17.399999999999999" x14ac:dyDescent="0.25">
      <c r="B40" s="143"/>
      <c r="C40" s="148" t="s">
        <v>206</v>
      </c>
      <c r="D40" s="150">
        <f>E33</f>
        <v>0</v>
      </c>
      <c r="E40" s="150">
        <f>F33</f>
        <v>0</v>
      </c>
      <c r="F40" s="150">
        <f>G33</f>
        <v>0</v>
      </c>
      <c r="G40" s="150">
        <f>H33</f>
        <v>0</v>
      </c>
      <c r="H40" s="150"/>
      <c r="I40" s="146"/>
      <c r="K40" s="143"/>
      <c r="L40" s="148" t="s">
        <v>206</v>
      </c>
      <c r="M40" s="150">
        <f>N33</f>
        <v>2640.0000000000005</v>
      </c>
      <c r="N40" s="150">
        <f>O33</f>
        <v>7531.0199999999995</v>
      </c>
      <c r="O40" s="150">
        <f>P33</f>
        <v>0</v>
      </c>
      <c r="P40" s="150">
        <f>Q33</f>
        <v>0</v>
      </c>
      <c r="Q40" s="150"/>
      <c r="R40" s="146"/>
      <c r="T40" s="74"/>
      <c r="U40" s="78" t="s">
        <v>231</v>
      </c>
      <c r="V40" s="147">
        <f>IF(T0登记表!$P41=T0登记表!$T$38,0,IF(T0登记表!$J41=1,IF(T0登记表!$O41=T0登记表!$T$41,T0登记表!$I41,0),0))+IF(T0登记表!$P42=T0登记表!$T$38,0,IF(T0登记表!$J42=1,IF(T0登记表!$O42=T0登记表!$T$41,T0登记表!$I42,0),0))+IF(T0登记表!$P43=T0登记表!$T$38,0,IF(T0登记表!$J43=1,IF(T0登记表!$O43=T0登记表!$T$41,T0登记表!$I43,0),0))+IF(T0登记表!$P44=T0登记表!$T$38,0,IF(T0登记表!$J44=1,IF(T0登记表!$O44=T0登记表!$T$41,T0登记表!$I44,0),0))+W30</f>
        <v>0</v>
      </c>
      <c r="W40" s="147">
        <f>IF(T0登记表!$P41=T0登记表!$T$38,0,IF(T0登记表!$J41=2,IF(T0登记表!$O41=T0登记表!$T$41,T0登记表!$I41,0),0))+IF(T0登记表!$P42=T0登记表!$T$38,0,IF(T0登记表!$J42=2,IF(T0登记表!$O42=T0登记表!$T$41,T0登记表!$I42,0),0))+IF(T0登记表!$P43=T0登记表!$T$38,0,IF(T0登记表!$J43=2,IF(T0登记表!$O43=T0登记表!$T$41,T0登记表!$I43,0),0))+IF(T0登记表!$P44=T0登记表!$T$38,0,IF(T0登记表!$J44=2,IF(T0登记表!$O44=T0登记表!$T$41,T0登记表!$I44,0),0))+X30</f>
        <v>6000</v>
      </c>
      <c r="X40" s="147">
        <f>IF(T0登记表!$P41=T0登记表!$T$38,0,IF(T0登记表!$J41=3,IF(T0登记表!$O41=T0登记表!$T$41,T0登记表!$I41,0),0))+IF(T0登记表!$P42=T0登记表!$T$38,0,IF(T0登记表!$J42=3,IF(T0登记表!$O42=T0登记表!$T$41,T0登记表!$I42,0),0))+IF(T0登记表!$P43=T0登记表!$T$38,0,IF(T0登记表!$J43=3,IF(T0登记表!$O43=T0登记表!$T$41,T0登记表!$I43,0),0))+IF(T0登记表!$P44=T0登记表!$T$38,0,IF(T0登记表!$J44=3,IF(T0登记表!$O44=T0登记表!$T$41,T0登记表!$I44,0),0))+Y30</f>
        <v>0</v>
      </c>
      <c r="Y40" s="147">
        <f>IF(T0登记表!$P41=T0登记表!$T$38,0,IF(T0登记表!$J41=4,IF(T0登记表!$O41=T0登记表!$T$41,T0登记表!$I41,0),0))+IF(T0登记表!$P42=T0登记表!$T$38,0,IF(T0登记表!$J42=4,IF(T0登记表!$O42=T0登记表!$T$41,T0登记表!$I42,0),0))+IF(T0登记表!$P43=T0登记表!$T$38,0,IF(T0登记表!$J43=4,IF(T0登记表!$O43=T0登记表!$T$41,T0登记表!$I43,0),0))+IF(T0登记表!$P44=T0登记表!$T$38,0,IF(T0登记表!$J44=4,IF(T0登记表!$O44=T0登记表!$T$41,T0登记表!$I44,0),0))+Z30</f>
        <v>0</v>
      </c>
      <c r="Z40" s="147">
        <f>IF(T0登记表!$P41=T0登记表!$T$38,0,IF(T0登记表!$J41=5,IF(T0登记表!$O41=T0登记表!$T$41,T0登记表!$I41,0),0))+IF(T0登记表!$P42=T0登记表!$T$38,0,IF(T0登记表!$J42=5,IF(T0登记表!$O42=T0登记表!$T$41,T0登记表!$I42,0),0))+IF(T0登记表!$P43=T0登记表!$T$38,0,IF(T0登记表!$J43=5,IF(T0登记表!$O43=T0登记表!$T$41,T0登记表!$I43,0),0))+IF(T0登记表!$P44=T0登记表!$T$38,0,IF(T0登记表!$J44=5,IF(T0登记表!$O44=T0登记表!$T$41,T0登记表!$I44,0),0))</f>
        <v>0</v>
      </c>
      <c r="AA40" s="142"/>
    </row>
    <row r="41" spans="2:27" ht="17.399999999999999" x14ac:dyDescent="0.25">
      <c r="B41" s="143"/>
      <c r="C41" s="148" t="s">
        <v>207</v>
      </c>
      <c r="D41" s="150">
        <f>IF(T0登记表!$C$41=1,IF(T0登记表!$F$41=T0登记表!$T$15,T0登记表!$B$41*0.18,IF(T0登记表!$F$41=T0登记表!$T$16,T0登记表!$B$41*0.12,0)),0)+IF(T0登记表!$C$42=1,IF(T0登记表!$F$42=T0登记表!$T$15,T0登记表!$B$42*0.18,IF(T0登记表!$F$42=T0登记表!$T$16,T0登记表!$B$42*0.12,0)),0)+IF(T0登记表!$C$43=1,IF(T0登记表!$F$43=T0登记表!$T$15,T0登记表!$B$43*0.18,IF(T0登记表!$F$43=T0登记表!$T$16,T0登记表!$B$43*0.12,0)),0)+IF(T0登记表!$C$44=1,IF(T0登记表!$F$44=T0登记表!$T$15,T0登记表!$B$44*0.18,IF(T0登记表!$F$44=T0登记表!$T$16,T0登记表!$B$44*0.12,0)),0)</f>
        <v>0</v>
      </c>
      <c r="E41" s="150">
        <f>IF(T0登记表!$C$41=2,IF(T0登记表!$F$41=T0登记表!$T$15,T0登记表!$B$41*0.18,IF(T0登记表!$F$41=T0登记表!$T$16,T0登记表!$B$41*0.12,0)),0)+IF(T0登记表!$C$42=2,IF(T0登记表!$F$42=T0登记表!$T$15,T0登记表!$B$42*0.18,IF(T0登记表!$F$42=T0登记表!$T$16,T0登记表!$B$42*0.12,0)),0)+IF(T0登记表!$C$43=2,IF(T0登记表!$F$43=T0登记表!$T$15,T0登记表!$B$43*0.18,IF(T0登记表!$F$43=T0登记表!$T$16,T0登记表!$B$43*0.12,0)),0)+IF(T0登记表!$C$44=2,IF(T0登记表!$F$44=T0登记表!$T$15,T0登记表!$B$44*0.18,IF(T0登记表!$F$44=T0登记表!$T$16,T0登记表!$B$44*0.12,0)),0)</f>
        <v>0</v>
      </c>
      <c r="F41" s="150">
        <f>IF(T0登记表!$C$41=3,IF(T0登记表!$F$41=T0登记表!$T$15,T0登记表!$B$41*0.18,IF(T0登记表!$F$41=T0登记表!$T$16,T0登记表!$B$41*0.12,0)),0)+IF(T0登记表!$C$42=3,IF(T0登记表!$F$42=T0登记表!$T$15,T0登记表!$B$42*0.18,IF(T0登记表!$F$42=T0登记表!$T$16,T0登记表!$B$42*0.12,0)),0)+IF(T0登记表!$C$43=3,IF(T0登记表!$F$43=T0登记表!$T$15,T0登记表!$B$43*0.18,IF(T0登记表!$F$43=T0登记表!$T$16,T0登记表!$B$43*0.12,0)),0)+IF(T0登记表!$C$44=3,IF(T0登记表!$F$44=T0登记表!$T$15,T0登记表!$B$44*0.18,IF(T0登记表!$F$44=T0登记表!$T$16,T0登记表!$B$44*0.12,0)),0)</f>
        <v>0</v>
      </c>
      <c r="G41" s="150">
        <f>IF(T0登记表!$C$41=4,IF(T0登记表!$F$41=T0登记表!$T$15,T0登记表!$B$41*0.18,IF(T0登记表!$F$41=T0登记表!$T$16,T0登记表!$B$41*0.12,0)),0)+IF(T0登记表!$C$42=4,IF(T0登记表!$F$42=T0登记表!$T$15,T0登记表!$B$42*0.18,IF(T0登记表!$F$42=T0登记表!$T$16,T0登记表!$B$42*0.12,0)),0)+IF(T0登记表!$C$43=4,IF(T0登记表!$F$43=T0登记表!$T$15,T0登记表!$B$43*0.18,IF(T0登记表!$F$43=T0登记表!$T$16,T0登记表!$B$43*0.12,0)),0)+IF(T0登记表!$C$44=4,IF(T0登记表!$F$44=T0登记表!$T$15,T0登记表!$B$44*0.18,IF(T0登记表!$F$44=T0登记表!$T$16,T0登记表!$B$44*0.12,0)),0)</f>
        <v>0</v>
      </c>
      <c r="H41" s="150">
        <f>IF(T0登记表!$C$41=5,IF(T0登记表!$F$41=T0登记表!$T$15,T0登记表!$B$41*0.18,IF(T0登记表!$F$41=T0登记表!$T$16,T0登记表!$B$41*0.12,0)),0)+IF(T0登记表!$C$42=5,IF(T0登记表!$F$42=T0登记表!$T$15,T0登记表!$B$42*0.18,IF(T0登记表!$F$42=T0登记表!$T$16,T0登记表!$B$42*0.12,0)),0)+IF(T0登记表!$C$43=5,IF(T0登记表!$F$43=T0登记表!$T$15,T0登记表!$B$43*0.18,IF(T0登记表!$F$43=T0登记表!$T$16,T0登记表!$B$43*0.12,0)),0)+IF(T0登记表!$C$44=5,IF(T0登记表!$F$44=T0登记表!$T$15,T0登记表!$B$44*0.18,IF(T0登记表!$F$44=T0登记表!$T$16,T0登记表!$B$44*0.12,0)),0)</f>
        <v>0</v>
      </c>
      <c r="I41" s="146"/>
      <c r="K41" s="143"/>
      <c r="L41" s="148" t="s">
        <v>207</v>
      </c>
      <c r="M41" s="150">
        <f>IF(T0登记表!$J41=1,T0登记表!$V41,0)+IF(T0登记表!$J42=1,T0登记表!$V42,0)+IF(T0登记表!$J43=1,T0登记表!$V43,0)+IF(T0登记表!$J44=1,T0登记表!$V44,0)</f>
        <v>0</v>
      </c>
      <c r="N41" s="150">
        <f>IF(T0登记表!$J41=2,T0登记表!$V41,0)+IF(T0登记表!$J42=2,T0登记表!$V42,0)+IF(T0登记表!$J43=2,T0登记表!$V43,0)+IF(T0登记表!$J44=2,T0登记表!$V44,0)</f>
        <v>0</v>
      </c>
      <c r="O41" s="150">
        <f>IF(T0登记表!$J41=3,T0登记表!$V41,0)+IF(T0登记表!$J42=3,T0登记表!$V42,0)+IF(T0登记表!$J43=3,T0登记表!$V43,0)+IF(T0登记表!$J44=3,T0登记表!$V44,0)</f>
        <v>0</v>
      </c>
      <c r="P41" s="150">
        <f>IF(T0登记表!$J41=4,T0登记表!$V41,0)+IF(T0登记表!$J42=4,T0登记表!$V42,0)+IF(T0登记表!$J43=4,T0登记表!$V43,0)+IF(T0登记表!$J44=4,T0登记表!$V44,0)</f>
        <v>0</v>
      </c>
      <c r="Q41" s="150">
        <f>IF(T0登记表!$J41=5,T0登记表!$V41,0)+IF(T0登记表!$J42=5,T0登记表!$V42,0)+IF(T0登记表!$J43=5,T0登记表!$V43,0)+IF(T0登记表!$J44=5,T0登记表!$V44,0)</f>
        <v>0</v>
      </c>
      <c r="R41" s="146"/>
      <c r="T41" s="74"/>
      <c r="U41" s="149" t="s">
        <v>232</v>
      </c>
      <c r="V41" s="147">
        <f>IF(T0登记表!$C41=1,IF(T0登记表!$G41=T0登记表!$T$41,T0登记表!$B41,0),0)+IF(T0登记表!$C42=1,IF(T0登记表!$G42=T0登记表!$T$41,T0登记表!$B42,0),0)+IF(T0登记表!$C43=1,IF(T0登记表!$G43=T0登记表!$T$41,T0登记表!$B43,0),0)+IF(T0登记表!$C44=1,IF(T0登记表!$G44=T0登记表!$T$41,T0登记表!$B44,0),0)+W31</f>
        <v>0</v>
      </c>
      <c r="W41" s="147">
        <f>IF(T0登记表!$C41=2,IF(T0登记表!$G41=T0登记表!$T$41,T0登记表!$B41,0),0)+IF(T0登记表!$C42=2,IF(T0登记表!$G42=T0登记表!$T$41,T0登记表!$B42,0),0)+IF(T0登记表!$C43=2,IF(T0登记表!$G43=T0登记表!$T$41,T0登记表!$B43,0),0)+IF(T0登记表!$C44=2,IF(T0登记表!$G44=T0登记表!$T$41,T0登记表!$B44,0),0)+X31</f>
        <v>0</v>
      </c>
      <c r="X41" s="147">
        <f>IF(T0登记表!$C41=3,IF(T0登记表!$G41=T0登记表!$T$41,T0登记表!$B41,0),0)+IF(T0登记表!$C42=3,IF(T0登记表!$G42=T0登记表!$T$41,T0登记表!$B42,0),0)+IF(T0登记表!$C43=3,IF(T0登记表!$G43=T0登记表!$T$41,T0登记表!$B43,0),0)+IF(T0登记表!$C44=3,IF(T0登记表!$G44=T0登记表!$T$41,T0登记表!$B44,0),0)+Y31</f>
        <v>0</v>
      </c>
      <c r="Y41" s="147">
        <f>IF(T0登记表!$C41=4,IF(T0登记表!$G41=T0登记表!$T$41,T0登记表!$B41,0),0)+IF(T0登记表!$C42=4,IF(T0登记表!$G42=T0登记表!$T$41,T0登记表!$B42,0),0)+IF(T0登记表!$C43=4,IF(T0登记表!$G43=T0登记表!$T$41,T0登记表!$B43,0),0)+IF(T0登记表!$C44=4,IF(T0登记表!$G44=T0登记表!$T$41,T0登记表!$B44,0),0)+Z31</f>
        <v>0</v>
      </c>
      <c r="Z41" s="147">
        <f>IF(T0登记表!$C41=5,IF(T0登记表!$G41=T0登记表!$T$41,T0登记表!$B41,0),0)+IF(T0登记表!$C42=5,IF(T0登记表!$G42=T0登记表!$T$41,T0登记表!$B42,0),0)+IF(T0登记表!$C43=5,IF(T0登记表!$G43=T0登记表!$T$41,T0登记表!$B43,0),0)+IF(T0登记表!$C44=5,IF(T0登记表!$G44=T0登记表!$T$41,T0登记表!$B44,0),0)</f>
        <v>0</v>
      </c>
      <c r="AA41" s="142"/>
    </row>
    <row r="42" spans="2:27" ht="17.399999999999999" x14ac:dyDescent="0.25">
      <c r="B42" s="143"/>
      <c r="C42" s="148" t="s">
        <v>213</v>
      </c>
      <c r="D42" s="150">
        <f>D40+D41</f>
        <v>0</v>
      </c>
      <c r="E42" s="150">
        <f>E40+E41</f>
        <v>0</v>
      </c>
      <c r="F42" s="150">
        <f>F40+F41</f>
        <v>0</v>
      </c>
      <c r="G42" s="150">
        <f>G40+G41</f>
        <v>0</v>
      </c>
      <c r="H42" s="150">
        <f>H40+H41</f>
        <v>0</v>
      </c>
      <c r="I42" s="146"/>
      <c r="K42" s="143"/>
      <c r="L42" s="148" t="s">
        <v>213</v>
      </c>
      <c r="M42" s="150">
        <f>M40+M41</f>
        <v>2640.0000000000005</v>
      </c>
      <c r="N42" s="150">
        <f>N40+N41</f>
        <v>7531.0199999999995</v>
      </c>
      <c r="O42" s="150">
        <f>O40+O41</f>
        <v>0</v>
      </c>
      <c r="P42" s="150">
        <f>P40+P41</f>
        <v>0</v>
      </c>
      <c r="Q42" s="150">
        <f>Q40+Q41</f>
        <v>0</v>
      </c>
      <c r="R42" s="146"/>
      <c r="T42" s="74"/>
      <c r="U42" s="151" t="s">
        <v>233</v>
      </c>
      <c r="V42" s="147">
        <f>ABS(V40-V41)</f>
        <v>0</v>
      </c>
      <c r="W42" s="147">
        <f>ABS(W40-W41)</f>
        <v>6000</v>
      </c>
      <c r="X42" s="147">
        <f>ABS(X40-X41)</f>
        <v>0</v>
      </c>
      <c r="Y42" s="147">
        <f>ABS(Y40-Y41)</f>
        <v>0</v>
      </c>
      <c r="Z42" s="147">
        <f>ABS(Z40-Z41)</f>
        <v>0</v>
      </c>
      <c r="AA42" s="77"/>
    </row>
    <row r="43" spans="2:27" ht="17.399999999999999" x14ac:dyDescent="0.25">
      <c r="B43" s="143"/>
      <c r="C43" s="155" t="s">
        <v>497</v>
      </c>
      <c r="D43" s="156">
        <f>SUM(D42:H42)</f>
        <v>0</v>
      </c>
      <c r="E43" s="134"/>
      <c r="F43" s="134"/>
      <c r="G43" s="134"/>
      <c r="H43" s="134"/>
      <c r="I43" s="146"/>
      <c r="K43" s="143"/>
      <c r="L43" s="155" t="s">
        <v>496</v>
      </c>
      <c r="M43" s="156">
        <f>SUM(M42:Q42)</f>
        <v>10171.02</v>
      </c>
      <c r="N43" s="134"/>
      <c r="O43" s="134"/>
      <c r="P43" s="134"/>
      <c r="Q43" s="134"/>
      <c r="R43" s="146"/>
      <c r="T43" s="74"/>
      <c r="U43" s="152" t="s">
        <v>234</v>
      </c>
      <c r="V43" s="153">
        <v>0.2</v>
      </c>
      <c r="W43" s="153">
        <v>0.3</v>
      </c>
      <c r="X43" s="153">
        <v>0.4</v>
      </c>
      <c r="Y43" s="153">
        <v>0.5</v>
      </c>
      <c r="Z43" s="153">
        <v>0.6</v>
      </c>
      <c r="AA43" s="77"/>
    </row>
    <row r="44" spans="2:27" ht="18" thickBot="1" x14ac:dyDescent="0.3">
      <c r="B44" s="157"/>
      <c r="C44" s="158"/>
      <c r="D44" s="158"/>
      <c r="E44" s="158"/>
      <c r="F44" s="158"/>
      <c r="G44" s="158"/>
      <c r="H44" s="158"/>
      <c r="I44" s="159"/>
      <c r="K44" s="157"/>
      <c r="L44" s="158"/>
      <c r="M44" s="158"/>
      <c r="N44" s="158"/>
      <c r="O44" s="158"/>
      <c r="P44" s="158"/>
      <c r="Q44" s="158"/>
      <c r="R44" s="159"/>
      <c r="T44" s="74"/>
      <c r="U44" s="151" t="s">
        <v>235</v>
      </c>
      <c r="V44" s="154">
        <f>V42*V43</f>
        <v>0</v>
      </c>
      <c r="W44" s="154">
        <f>W42*W43</f>
        <v>1800</v>
      </c>
      <c r="X44" s="154">
        <f>X42*X43</f>
        <v>0</v>
      </c>
      <c r="Y44" s="154">
        <f>Y42*Y43</f>
        <v>0</v>
      </c>
      <c r="Z44" s="147">
        <f>Z42*Z43</f>
        <v>0</v>
      </c>
      <c r="AA44" s="77"/>
    </row>
    <row r="45" spans="2:27" ht="18" thickBot="1" x14ac:dyDescent="0.3">
      <c r="B45" s="135"/>
      <c r="C45" s="135"/>
      <c r="D45" s="135"/>
      <c r="E45" s="135"/>
      <c r="F45" s="135"/>
      <c r="G45" s="135"/>
      <c r="H45" s="135"/>
      <c r="I45" s="135"/>
      <c r="K45" s="134"/>
      <c r="L45" s="134"/>
      <c r="M45" s="134"/>
      <c r="N45" s="134"/>
      <c r="O45" s="134"/>
      <c r="P45" s="134"/>
      <c r="Q45" s="134"/>
      <c r="R45" s="134"/>
      <c r="T45" s="74"/>
      <c r="U45" s="69"/>
      <c r="V45" s="78" t="s">
        <v>236</v>
      </c>
      <c r="W45" s="86">
        <f>SUM(V44:Z44)</f>
        <v>1800</v>
      </c>
      <c r="X45" s="76"/>
      <c r="Y45" s="76"/>
      <c r="Z45" s="76"/>
      <c r="AA45" s="77"/>
    </row>
    <row r="46" spans="2:27" ht="18" thickBot="1" x14ac:dyDescent="0.3">
      <c r="B46" s="138"/>
      <c r="C46" s="139"/>
      <c r="D46" s="139"/>
      <c r="E46" s="139"/>
      <c r="F46" s="139"/>
      <c r="G46" s="139"/>
      <c r="H46" s="139"/>
      <c r="I46" s="140"/>
      <c r="K46" s="138"/>
      <c r="L46" s="139"/>
      <c r="M46" s="139"/>
      <c r="N46" s="139"/>
      <c r="O46" s="139"/>
      <c r="P46" s="139"/>
      <c r="Q46" s="139"/>
      <c r="R46" s="140"/>
      <c r="T46" s="87"/>
      <c r="U46" s="88"/>
      <c r="V46" s="88"/>
      <c r="W46" s="88"/>
      <c r="X46" s="88"/>
      <c r="Y46" s="88"/>
      <c r="Z46" s="88"/>
      <c r="AA46" s="89"/>
    </row>
    <row r="47" spans="2:27" ht="18" thickBot="1" x14ac:dyDescent="0.3">
      <c r="B47" s="143"/>
      <c r="C47" s="144" t="s">
        <v>215</v>
      </c>
      <c r="D47" s="145" t="s">
        <v>216</v>
      </c>
      <c r="E47" s="134"/>
      <c r="F47" s="134"/>
      <c r="G47" s="134"/>
      <c r="H47" s="134"/>
      <c r="I47" s="146"/>
      <c r="K47" s="143"/>
      <c r="L47" s="75" t="s">
        <v>113</v>
      </c>
      <c r="M47" s="145" t="s">
        <v>227</v>
      </c>
      <c r="N47" s="134"/>
      <c r="O47" s="134"/>
      <c r="P47" s="134"/>
      <c r="Q47" s="134"/>
      <c r="R47" s="146"/>
      <c r="T47" s="69"/>
      <c r="U47" s="69"/>
      <c r="V47" s="69"/>
      <c r="W47" s="69"/>
      <c r="X47" s="69"/>
      <c r="Y47" s="69"/>
      <c r="Z47" s="69"/>
      <c r="AA47" s="69"/>
    </row>
    <row r="48" spans="2:27" ht="17.399999999999999" x14ac:dyDescent="0.25">
      <c r="B48" s="143"/>
      <c r="C48" s="148" t="s">
        <v>217</v>
      </c>
      <c r="D48" s="141" t="s">
        <v>218</v>
      </c>
      <c r="E48" s="141" t="s">
        <v>202</v>
      </c>
      <c r="F48" s="141" t="s">
        <v>219</v>
      </c>
      <c r="G48" s="141" t="s">
        <v>204</v>
      </c>
      <c r="H48" s="141" t="s">
        <v>205</v>
      </c>
      <c r="I48" s="146"/>
      <c r="K48" s="143"/>
      <c r="L48" s="148" t="s">
        <v>214</v>
      </c>
      <c r="M48" s="141" t="s">
        <v>201</v>
      </c>
      <c r="N48" s="141" t="s">
        <v>202</v>
      </c>
      <c r="O48" s="141" t="s">
        <v>203</v>
      </c>
      <c r="P48" s="141" t="s">
        <v>204</v>
      </c>
      <c r="Q48" s="141" t="s">
        <v>205</v>
      </c>
      <c r="R48" s="146"/>
      <c r="T48" s="71"/>
      <c r="U48" s="72"/>
      <c r="V48" s="72"/>
      <c r="W48" s="72"/>
      <c r="X48" s="72"/>
      <c r="Y48" s="72"/>
      <c r="Z48" s="72"/>
      <c r="AA48" s="73"/>
    </row>
    <row r="49" spans="2:27" ht="17.399999999999999" x14ac:dyDescent="0.25">
      <c r="B49" s="143"/>
      <c r="C49" s="148" t="s">
        <v>206</v>
      </c>
      <c r="D49" s="150">
        <f>E42</f>
        <v>0</v>
      </c>
      <c r="E49" s="150">
        <f>F42</f>
        <v>0</v>
      </c>
      <c r="F49" s="150">
        <f>G42</f>
        <v>0</v>
      </c>
      <c r="G49" s="150">
        <f>H42</f>
        <v>0</v>
      </c>
      <c r="H49" s="150"/>
      <c r="I49" s="146"/>
      <c r="K49" s="143"/>
      <c r="L49" s="148" t="s">
        <v>206</v>
      </c>
      <c r="M49" s="150">
        <f>N42</f>
        <v>7531.0199999999995</v>
      </c>
      <c r="N49" s="150">
        <f>O42</f>
        <v>0</v>
      </c>
      <c r="O49" s="150">
        <f>P42</f>
        <v>0</v>
      </c>
      <c r="P49" s="150">
        <f>Q42</f>
        <v>0</v>
      </c>
      <c r="Q49" s="150"/>
      <c r="R49" s="146"/>
      <c r="T49" s="74"/>
      <c r="U49" s="75" t="s">
        <v>113</v>
      </c>
      <c r="V49" s="141" t="s">
        <v>201</v>
      </c>
      <c r="W49" s="141" t="s">
        <v>202</v>
      </c>
      <c r="X49" s="141" t="s">
        <v>203</v>
      </c>
      <c r="Y49" s="141" t="s">
        <v>204</v>
      </c>
      <c r="Z49" s="141" t="s">
        <v>205</v>
      </c>
      <c r="AA49" s="142"/>
    </row>
    <row r="50" spans="2:27" ht="17.399999999999999" x14ac:dyDescent="0.25">
      <c r="B50" s="143"/>
      <c r="C50" s="148" t="s">
        <v>207</v>
      </c>
      <c r="D50" s="150">
        <f>IF(T0登记表!$C$47=1,IF(T0登记表!$F$47=T0登记表!$T$15,T0登记表!$B$47*0.18,IF(T0登记表!$F$47=T0登记表!$T$16,T0登记表!$B$47*0.12,0)),0)+IF(T0登记表!$C$48=1,IF(T0登记表!$F$48=T0登记表!$T$15,T0登记表!$B$48*0.18,IF(T0登记表!$F$48=T0登记表!$T$16,T0登记表!$B$48*0.12,0)),0)+IF(T0登记表!$C$49=1,IF(T0登记表!$F$49=T0登记表!$T$15,T0登记表!$B$49*0.18,IF(T0登记表!$F$49=T0登记表!$T$16,T0登记表!$B$49*0.12,0)),0)+IF(T0登记表!$C$50=1,IF(T0登记表!$F$50=T0登记表!$T$15,T0登记表!$B$50*0.18,IF(T0登记表!$F$50=T0登记表!$T$16,T0登记表!$B$50*0.12,0)),0)</f>
        <v>0</v>
      </c>
      <c r="E50" s="150">
        <f>IF(T0登记表!$C$47=2,IF(T0登记表!$F$47=T0登记表!$T$15,T0登记表!$B$47*0.18,IF(T0登记表!$F$47=T0登记表!$T$16,T0登记表!$B$47*0.12,0)),0)+IF(T0登记表!$C$48=2,IF(T0登记表!$F$48=T0登记表!$T$15,T0登记表!$B$48*0.18,IF(T0登记表!$F$48=T0登记表!$T$16,T0登记表!$B$48*0.12,0)),0)+IF(T0登记表!$C$49=2,IF(T0登记表!$F$49=T0登记表!$T$15,T0登记表!$B$49*0.18,IF(T0登记表!$F$49=T0登记表!$T$16,T0登记表!$B$49*0.12,0)),0)+IF(T0登记表!$C$50=2,IF(T0登记表!$F$50=T0登记表!$T$15,T0登记表!$B$50*0.18,IF(T0登记表!$F$50=T0登记表!$T$16,T0登记表!$B$50*0.12,0)),0)</f>
        <v>0</v>
      </c>
      <c r="F50" s="150">
        <f>IF(T0登记表!$C$47=3,IF(T0登记表!$F$47=T0登记表!$T$15,T0登记表!$B$47*0.18,IF(T0登记表!$F$47=T0登记表!$T$16,T0登记表!$B$47*0.12,0)),0)+IF(T0登记表!$C$48=3,IF(T0登记表!$F$48=T0登记表!$T$15,T0登记表!$B$48*0.18,IF(T0登记表!$F$48=T0登记表!$T$16,T0登记表!$B$48*0.12,0)),0)+IF(T0登记表!$C$49=3,IF(T0登记表!$F$49=T0登记表!$T$15,T0登记表!$B$49*0.18,IF(T0登记表!$F$49=T0登记表!$T$16,T0登记表!$B$49*0.12,0)),0)+IF(T0登记表!$C$50=3,IF(T0登记表!$F$50=T0登记表!$T$15,T0登记表!$B$50*0.18,IF(T0登记表!$F$50=T0登记表!$T$16,T0登记表!$B$50*0.12,0)),0)</f>
        <v>0</v>
      </c>
      <c r="G50" s="150">
        <f>IF(T0登记表!$C$47=4,IF(T0登记表!$F$47=T0登记表!$T$15,T0登记表!$B$47*0.18,IF(T0登记表!$F$47=T0登记表!$T$16,T0登记表!$B$47*0.12,0)),0)+IF(T0登记表!$C$48=4,IF(T0登记表!$F$48=T0登记表!$T$15,T0登记表!$B$48*0.18,IF(T0登记表!$F$48=T0登记表!$T$16,T0登记表!$B$48*0.12,0)),0)+IF(T0登记表!$C$49=4,IF(T0登记表!$F$49=T0登记表!$T$15,T0登记表!$B$49*0.18,IF(T0登记表!$F$49=T0登记表!$T$16,T0登记表!$B$49*0.12,0)),0)+IF(T0登记表!$C$50=4,IF(T0登记表!$F$50=T0登记表!$T$15,T0登记表!$B$50*0.18,IF(T0登记表!$F$50=T0登记表!$T$16,T0登记表!$B$50*0.12,0)),0)</f>
        <v>0</v>
      </c>
      <c r="H50" s="150">
        <f>IF(T0登记表!$C$47=5,IF(T0登记表!$F$47=T0登记表!$T$15,T0登记表!$B$47*0.18,IF(T0登记表!$F$47=T0登记表!$T$16,T0登记表!$B$47*0.12,0)),0)+IF(T0登记表!$C$48=5,IF(T0登记表!$F$48=T0登记表!$T$15,T0登记表!$B$48*0.18,IF(T0登记表!$F$48=T0登记表!$T$16,T0登记表!$B$48*0.12,0)),0)+IF(T0登记表!$C$49=5,IF(T0登记表!$F$49=T0登记表!$T$15,T0登记表!$B$49*0.18,IF(T0登记表!$F$49=T0登记表!$T$16,T0登记表!$B$49*0.12,0)),0)+IF(T0登记表!$C$50=5,IF(T0登记表!$F$50=T0登记表!$T$15,T0登记表!$B$50*0.18,IF(T0登记表!$F$50=T0登记表!$T$16,T0登记表!$B$50*0.12,0)),0)</f>
        <v>0</v>
      </c>
      <c r="I50" s="146"/>
      <c r="K50" s="143"/>
      <c r="L50" s="148" t="s">
        <v>207</v>
      </c>
      <c r="M50" s="150">
        <f>IF(T0登记表!$J47=1,T0登记表!$V47,0)+IF(T0登记表!$J48=1,T0登记表!$V48,0)+IF(T0登记表!$J49=1,T0登记表!$V49,0)+IF(T0登记表!$J50=1,T0登记表!$V50,0)</f>
        <v>0</v>
      </c>
      <c r="N50" s="150">
        <f>IF(T0登记表!$J47=2,T0登记表!$V47,0)+IF(T0登记表!$J48=2,T0登记表!$V48,0)+IF(T0登记表!$J49=2,T0登记表!$V49,0)+IF(T0登记表!$J50=2,T0登记表!$V50,0)</f>
        <v>0</v>
      </c>
      <c r="O50" s="150">
        <f>IF(T0登记表!$J47=3,T0登记表!$V47,0)+IF(T0登记表!$J48=3,T0登记表!$V48,0)+IF(T0登记表!$J49=3,T0登记表!$V49,0)+IF(T0登记表!$J50=3,T0登记表!$V50,0)</f>
        <v>0</v>
      </c>
      <c r="P50" s="150">
        <f>IF(T0登记表!$J47=4,T0登记表!$V47,0)+IF(T0登记表!$J48=4,T0登记表!$V48,0)+IF(T0登记表!$J49=4,T0登记表!$V49,0)+IF(T0登记表!$J50=4,T0登记表!$V50,0)</f>
        <v>0</v>
      </c>
      <c r="Q50" s="150">
        <f>IF(T0登记表!$J47=5,T0登记表!$V47,0)+IF(T0登记表!$J48=5,T0登记表!$V48,0)+IF(T0登记表!$J49=5,T0登记表!$V49,0)+IF(T0登记表!$J50=5,T0登记表!$V50,0)</f>
        <v>0</v>
      </c>
      <c r="R50" s="146"/>
      <c r="T50" s="74"/>
      <c r="U50" s="78" t="s">
        <v>231</v>
      </c>
      <c r="V50" s="147">
        <f>IF(T0登记表!$P47=T0登记表!$T$38,0,IF(T0登记表!$J47=1,IF(T0登记表!$O47=T0登记表!$T$41,T0登记表!$I47,0),0))+IF(T0登记表!$P48=T0登记表!$T$38,0,IF(T0登记表!$J48=1,IF(T0登记表!$O48=T0登记表!$T$41,T0登记表!$I48,0),0))+IF(T0登记表!$P49=T0登记表!$T$38,0,IF(T0登记表!$J49=1,IF(T0登记表!$O49=T0登记表!$T$41,T0登记表!$I49,0),0))+IF(T0登记表!$P50=T0登记表!$T$38,0,IF(T0登记表!$J50=1,IF(T0登记表!$O50=T0登记表!$T$41,T0登记表!$I50,0),0))+W40</f>
        <v>6000</v>
      </c>
      <c r="W50" s="147">
        <f>IF(T0登记表!$P47=T0登记表!$T$38,0,IF(T0登记表!$J47=2,IF(T0登记表!$O47=T0登记表!$T$41,T0登记表!$I47,0),0))+IF(T0登记表!$P48=T0登记表!$T$38,0,IF(T0登记表!$J48=2,IF(T0登记表!$O48=T0登记表!$T$41,T0登记表!$I48,0),0))+IF(T0登记表!$P49=T0登记表!$T$38,0,IF(T0登记表!$J49=2,IF(T0登记表!$O49=T0登记表!$T$41,T0登记表!$I49,0),0))+IF(T0登记表!$P50=T0登记表!$T$38,0,IF(T0登记表!$J50=2,IF(T0登记表!$O50=T0登记表!$T$41,T0登记表!$I50,0),0))+X40</f>
        <v>0</v>
      </c>
      <c r="X50" s="147">
        <f>IF(T0登记表!$P47=T0登记表!$T$38,0,IF(T0登记表!$J47=3,IF(T0登记表!$O47=T0登记表!$T$41,T0登记表!$I47,0),0))+IF(T0登记表!$P48=T0登记表!$T$38,0,IF(T0登记表!$J48=3,IF(T0登记表!$O48=T0登记表!$T$41,T0登记表!$I48,0),0))+IF(T0登记表!$P49=T0登记表!$T$38,0,IF(T0登记表!$J49=3,IF(T0登记表!$O49=T0登记表!$T$41,T0登记表!$I49,0),0))+IF(T0登记表!$P50=T0登记表!$T$38,0,IF(T0登记表!$J50=3,IF(T0登记表!$O50=T0登记表!$T$41,T0登记表!$I50,0),0))+Y40</f>
        <v>0</v>
      </c>
      <c r="Y50" s="147">
        <f>IF(T0登记表!$P47=T0登记表!$T$38,0,IF(T0登记表!$J47=4,IF(T0登记表!$O47=T0登记表!$T$41,T0登记表!$I47,0),0))+IF(T0登记表!$P48=T0登记表!$T$38,0,IF(T0登记表!$J48=4,IF(T0登记表!$O48=T0登记表!$T$41,T0登记表!$I48,0),0))+IF(T0登记表!$P49=T0登记表!$T$38,0,IF(T0登记表!$J49=4,IF(T0登记表!$O49=T0登记表!$T$41,T0登记表!$I49,0),0))+IF(T0登记表!$P50=T0登记表!$T$38,0,IF(T0登记表!$J50=4,IF(T0登记表!$O50=T0登记表!$T$41,T0登记表!$I50,0),0))+Z40</f>
        <v>0</v>
      </c>
      <c r="Z50" s="147">
        <f>IF(T0登记表!$P47=T0登记表!$T$38,0,IF(T0登记表!$J47=5,IF(T0登记表!$O47=T0登记表!$T$41,T0登记表!$I47,0),0))+IF(T0登记表!$P48=T0登记表!$T$38,0,IF(T0登记表!$J48=5,IF(T0登记表!$O48=T0登记表!$T$41,T0登记表!$I48,0),0))+IF(T0登记表!$P49=T0登记表!$T$38,0,IF(T0登记表!$J49=5,IF(T0登记表!$O49=T0登记表!$T$41,T0登记表!$I49,0),0))+IF(T0登记表!$P50=T0登记表!$T$38,0,IF(T0登记表!$J50=5,IF(T0登记表!$O50=T0登记表!$T$41,T0登记表!$I50,0),0))</f>
        <v>0</v>
      </c>
      <c r="AA50" s="142"/>
    </row>
    <row r="51" spans="2:27" ht="17.399999999999999" x14ac:dyDescent="0.25">
      <c r="B51" s="143"/>
      <c r="C51" s="148" t="s">
        <v>213</v>
      </c>
      <c r="D51" s="150">
        <f>D49+D50</f>
        <v>0</v>
      </c>
      <c r="E51" s="150">
        <f>E49+E50</f>
        <v>0</v>
      </c>
      <c r="F51" s="150">
        <f>F49+F50</f>
        <v>0</v>
      </c>
      <c r="G51" s="150">
        <f>G49+G50</f>
        <v>0</v>
      </c>
      <c r="H51" s="150">
        <f>H49+H50</f>
        <v>0</v>
      </c>
      <c r="I51" s="146"/>
      <c r="K51" s="143"/>
      <c r="L51" s="148" t="s">
        <v>213</v>
      </c>
      <c r="M51" s="150">
        <f>M49+M50</f>
        <v>7531.0199999999995</v>
      </c>
      <c r="N51" s="150">
        <f>N49+N50</f>
        <v>0</v>
      </c>
      <c r="O51" s="150">
        <f>O49+O50</f>
        <v>0</v>
      </c>
      <c r="P51" s="150">
        <f>P49+P50</f>
        <v>0</v>
      </c>
      <c r="Q51" s="150">
        <f>Q49+Q50</f>
        <v>0</v>
      </c>
      <c r="R51" s="146"/>
      <c r="T51" s="74"/>
      <c r="U51" s="149" t="s">
        <v>232</v>
      </c>
      <c r="V51" s="147">
        <f>IF(T0登记表!$C47=1,IF(T0登记表!$G47=T0登记表!$T$41,T0登记表!$B47,0),0)+IF(T0登记表!$C48=1,IF(T0登记表!$G48=T0登记表!$T$41,T0登记表!$B48,0),0)+IF(T0登记表!$C49=1,IF(T0登记表!$G49=T0登记表!$T$41,T0登记表!$B49,0),0)+IF(T0登记表!$C50=1,IF(T0登记表!$G50=T0登记表!$T$41,T0登记表!$B50,0),0)+W41</f>
        <v>0</v>
      </c>
      <c r="W51" s="147">
        <f>IF(T0登记表!$C47=2,IF(T0登记表!$G47=T0登记表!$T$41,T0登记表!$B47,0),0)+IF(T0登记表!$C48=2,IF(T0登记表!$G48=T0登记表!$T$41,T0登记表!$B48,0),0)+IF(T0登记表!$C49=2,IF(T0登记表!$G49=T0登记表!$T$41,T0登记表!$B49,0),0)+IF(T0登记表!$C50=2,IF(T0登记表!$G50=T0登记表!$T$41,T0登记表!$B50,0),0)+X41</f>
        <v>0</v>
      </c>
      <c r="X51" s="147">
        <f>IF(T0登记表!$C47=3,IF(T0登记表!$G47=T0登记表!$T$41,T0登记表!$B47,0),0)+IF(T0登记表!$C48=3,IF(T0登记表!$G48=T0登记表!$T$41,T0登记表!$B48,0),0)+IF(T0登记表!$C49=3,IF(T0登记表!$G49=T0登记表!$T$41,T0登记表!$B49,0),0)+IF(T0登记表!$C50=3,IF(T0登记表!$G50=T0登记表!$T$41,T0登记表!$B50,0),0)+Y41</f>
        <v>0</v>
      </c>
      <c r="Y51" s="147">
        <f>IF(T0登记表!$C47=4,IF(T0登记表!$G47=T0登记表!$T$41,T0登记表!$B47,0),0)+IF(T0登记表!$C48=4,IF(T0登记表!$G48=T0登记表!$T$41,T0登记表!$B48,0),0)+IF(T0登记表!$C49=4,IF(T0登记表!$G49=T0登记表!$T$41,T0登记表!$B49,0),0)+IF(T0登记表!$C50=4,IF(T0登记表!$G50=T0登记表!$T$41,T0登记表!$B50,0),0)+Z41</f>
        <v>0</v>
      </c>
      <c r="Z51" s="147">
        <f>IF(T0登记表!$C47=5,IF(T0登记表!$G47=T0登记表!$T$41,T0登记表!$B47,0),0)+IF(T0登记表!$C48=5,IF(T0登记表!$G48=T0登记表!$T$41,T0登记表!$B48,0),0)+IF(T0登记表!$C49=5,IF(T0登记表!$G49=T0登记表!$T$41,T0登记表!$B49,0),0)+IF(T0登记表!$C50=5,IF(T0登记表!$G50=T0登记表!$T$41,T0登记表!$B50,0),0)</f>
        <v>0</v>
      </c>
      <c r="AA51" s="142"/>
    </row>
    <row r="52" spans="2:27" ht="17.399999999999999" x14ac:dyDescent="0.25">
      <c r="B52" s="143"/>
      <c r="C52" s="155" t="s">
        <v>497</v>
      </c>
      <c r="D52" s="156">
        <f>SUM(D51:H51)</f>
        <v>0</v>
      </c>
      <c r="E52" s="134"/>
      <c r="F52" s="134"/>
      <c r="G52" s="134"/>
      <c r="H52" s="134"/>
      <c r="I52" s="146"/>
      <c r="K52" s="143"/>
      <c r="L52" s="155" t="s">
        <v>496</v>
      </c>
      <c r="M52" s="156">
        <f>SUM(M51:Q51)</f>
        <v>7531.0199999999995</v>
      </c>
      <c r="N52" s="134"/>
      <c r="O52" s="134"/>
      <c r="P52" s="134"/>
      <c r="Q52" s="134"/>
      <c r="R52" s="146"/>
      <c r="T52" s="74"/>
      <c r="U52" s="151" t="s">
        <v>233</v>
      </c>
      <c r="V52" s="147">
        <f>ABS(V50-V51)</f>
        <v>6000</v>
      </c>
      <c r="W52" s="147">
        <f>ABS(W50-W51)</f>
        <v>0</v>
      </c>
      <c r="X52" s="147">
        <f>ABS(X50-X51)</f>
        <v>0</v>
      </c>
      <c r="Y52" s="147">
        <f>ABS(Y50-Y51)</f>
        <v>0</v>
      </c>
      <c r="Z52" s="147">
        <f>ABS(Z50-Z51)</f>
        <v>0</v>
      </c>
      <c r="AA52" s="77"/>
    </row>
    <row r="53" spans="2:27" ht="18" thickBot="1" x14ac:dyDescent="0.3">
      <c r="B53" s="157"/>
      <c r="C53" s="158"/>
      <c r="D53" s="158"/>
      <c r="E53" s="158"/>
      <c r="F53" s="158"/>
      <c r="G53" s="158"/>
      <c r="H53" s="158"/>
      <c r="I53" s="159"/>
      <c r="K53" s="157"/>
      <c r="L53" s="158"/>
      <c r="M53" s="158"/>
      <c r="N53" s="158"/>
      <c r="O53" s="158"/>
      <c r="P53" s="158"/>
      <c r="Q53" s="158"/>
      <c r="R53" s="159"/>
      <c r="T53" s="74"/>
      <c r="U53" s="152" t="s">
        <v>234</v>
      </c>
      <c r="V53" s="153">
        <v>0.2</v>
      </c>
      <c r="W53" s="153">
        <v>0.3</v>
      </c>
      <c r="X53" s="153">
        <v>0.4</v>
      </c>
      <c r="Y53" s="153">
        <v>0.5</v>
      </c>
      <c r="Z53" s="153">
        <v>0.6</v>
      </c>
      <c r="AA53" s="77"/>
    </row>
    <row r="54" spans="2:27" ht="18" thickBot="1" x14ac:dyDescent="0.3">
      <c r="B54" s="134"/>
      <c r="C54" s="134"/>
      <c r="D54" s="134"/>
      <c r="E54" s="134"/>
      <c r="F54" s="134"/>
      <c r="G54" s="134"/>
      <c r="H54" s="134"/>
      <c r="I54" s="134"/>
      <c r="K54" s="134"/>
      <c r="L54" s="134"/>
      <c r="M54" s="134"/>
      <c r="N54" s="134"/>
      <c r="O54" s="134"/>
      <c r="P54" s="134"/>
      <c r="Q54" s="134"/>
      <c r="R54" s="134"/>
      <c r="T54" s="74"/>
      <c r="U54" s="151" t="s">
        <v>235</v>
      </c>
      <c r="V54" s="154">
        <f>V52*V53</f>
        <v>1200</v>
      </c>
      <c r="W54" s="154">
        <f>W52*W53</f>
        <v>0</v>
      </c>
      <c r="X54" s="154">
        <f>X52*X53</f>
        <v>0</v>
      </c>
      <c r="Y54" s="154">
        <f>Y52*Y53</f>
        <v>0</v>
      </c>
      <c r="Z54" s="147">
        <f>Z52*Z53</f>
        <v>0</v>
      </c>
      <c r="AA54" s="77"/>
    </row>
    <row r="55" spans="2:27" ht="17.399999999999999" x14ac:dyDescent="0.25">
      <c r="B55" s="138"/>
      <c r="C55" s="139"/>
      <c r="D55" s="139"/>
      <c r="E55" s="139"/>
      <c r="F55" s="139"/>
      <c r="G55" s="139"/>
      <c r="H55" s="139"/>
      <c r="I55" s="140"/>
      <c r="K55" s="138"/>
      <c r="L55" s="139"/>
      <c r="M55" s="139"/>
      <c r="N55" s="139"/>
      <c r="O55" s="139"/>
      <c r="P55" s="139"/>
      <c r="Q55" s="139"/>
      <c r="R55" s="140"/>
      <c r="T55" s="74"/>
      <c r="U55" s="69"/>
      <c r="V55" s="78" t="s">
        <v>236</v>
      </c>
      <c r="W55" s="86">
        <f>SUM(V54:Z54)</f>
        <v>1200</v>
      </c>
      <c r="X55" s="76"/>
      <c r="Y55" s="76"/>
      <c r="Z55" s="76"/>
      <c r="AA55" s="77"/>
    </row>
    <row r="56" spans="2:27" ht="18" thickBot="1" x14ac:dyDescent="0.3">
      <c r="B56" s="143"/>
      <c r="C56" s="144" t="s">
        <v>220</v>
      </c>
      <c r="D56" s="145" t="s">
        <v>216</v>
      </c>
      <c r="E56" s="134"/>
      <c r="F56" s="134"/>
      <c r="G56" s="134"/>
      <c r="H56" s="134"/>
      <c r="I56" s="146"/>
      <c r="K56" s="143"/>
      <c r="L56" s="75" t="s">
        <v>130</v>
      </c>
      <c r="M56" s="145" t="s">
        <v>227</v>
      </c>
      <c r="N56" s="134"/>
      <c r="O56" s="134"/>
      <c r="P56" s="134"/>
      <c r="Q56" s="134"/>
      <c r="R56" s="146"/>
      <c r="T56" s="87"/>
      <c r="U56" s="88"/>
      <c r="V56" s="88"/>
      <c r="W56" s="88"/>
      <c r="X56" s="88"/>
      <c r="Y56" s="88"/>
      <c r="Z56" s="88"/>
      <c r="AA56" s="89"/>
    </row>
    <row r="57" spans="2:27" ht="18" thickBot="1" x14ac:dyDescent="0.3">
      <c r="B57" s="143"/>
      <c r="C57" s="148" t="s">
        <v>217</v>
      </c>
      <c r="D57" s="141" t="s">
        <v>218</v>
      </c>
      <c r="E57" s="141" t="s">
        <v>202</v>
      </c>
      <c r="F57" s="141" t="s">
        <v>219</v>
      </c>
      <c r="G57" s="141" t="s">
        <v>204</v>
      </c>
      <c r="H57" s="141" t="s">
        <v>205</v>
      </c>
      <c r="I57" s="146"/>
      <c r="K57" s="143"/>
      <c r="L57" s="148" t="s">
        <v>214</v>
      </c>
      <c r="M57" s="141" t="s">
        <v>201</v>
      </c>
      <c r="N57" s="141" t="s">
        <v>202</v>
      </c>
      <c r="O57" s="141" t="s">
        <v>203</v>
      </c>
      <c r="P57" s="141" t="s">
        <v>204</v>
      </c>
      <c r="Q57" s="141" t="s">
        <v>205</v>
      </c>
      <c r="R57" s="146"/>
      <c r="T57" s="69"/>
      <c r="U57" s="69"/>
      <c r="V57" s="69"/>
      <c r="W57" s="69"/>
      <c r="X57" s="69"/>
      <c r="Y57" s="69"/>
      <c r="Z57" s="69"/>
      <c r="AA57" s="69"/>
    </row>
    <row r="58" spans="2:27" ht="17.399999999999999" x14ac:dyDescent="0.25">
      <c r="B58" s="143"/>
      <c r="C58" s="148" t="s">
        <v>206</v>
      </c>
      <c r="D58" s="150">
        <f>E51</f>
        <v>0</v>
      </c>
      <c r="E58" s="150">
        <f>F51</f>
        <v>0</v>
      </c>
      <c r="F58" s="150">
        <f>G51</f>
        <v>0</v>
      </c>
      <c r="G58" s="150">
        <f>H51</f>
        <v>0</v>
      </c>
      <c r="H58" s="150"/>
      <c r="I58" s="146"/>
      <c r="K58" s="143"/>
      <c r="L58" s="148" t="s">
        <v>206</v>
      </c>
      <c r="M58" s="150">
        <f>N51</f>
        <v>0</v>
      </c>
      <c r="N58" s="150">
        <f>O51</f>
        <v>0</v>
      </c>
      <c r="O58" s="150">
        <f>P51</f>
        <v>0</v>
      </c>
      <c r="P58" s="150">
        <f>Q51</f>
        <v>0</v>
      </c>
      <c r="Q58" s="150"/>
      <c r="R58" s="146"/>
      <c r="T58" s="71"/>
      <c r="U58" s="72"/>
      <c r="V58" s="72"/>
      <c r="W58" s="72"/>
      <c r="X58" s="72"/>
      <c r="Y58" s="72"/>
      <c r="Z58" s="72"/>
      <c r="AA58" s="73"/>
    </row>
    <row r="59" spans="2:27" ht="17.399999999999999" x14ac:dyDescent="0.25">
      <c r="B59" s="143"/>
      <c r="C59" s="148" t="s">
        <v>207</v>
      </c>
      <c r="D59" s="150">
        <f>IF(T0登记表!$C$53=1,IF(T0登记表!$F$53=T0登记表!$T$15,T0登记表!$B$53*0.18,IF(T0登记表!$F$53=T0登记表!$T$16,T0登记表!$B$53*0.12,0)),0)+IF(T0登记表!$C$54=1,IF(T0登记表!$F$54=T0登记表!$T$15,T0登记表!$B$54*0.18,IF(T0登记表!$F$54=T0登记表!$T$16,T0登记表!$B$54*0.12,0)),0)+IF(T0登记表!$C$55=1,IF(T0登记表!$F$55=T0登记表!$T$15,T0登记表!$B$55*0.18,IF(T0登记表!$F$55=T0登记表!$T$16,T0登记表!$B$55*0.12,0)),0)+IF(T0登记表!$C$56=1,IF(T0登记表!$F$56=T0登记表!$T$15,T0登记表!$B$56*0.18,IF(T0登记表!$F$56=T0登记表!$T$16,T0登记表!$B$56*0.12,0)),0)</f>
        <v>0</v>
      </c>
      <c r="E59" s="150">
        <f>IF(T0登记表!$C$53=2,IF(T0登记表!$F$53=T0登记表!$T$15,T0登记表!$B$53*0.18,IF(T0登记表!$F$53=T0登记表!$T$16,T0登记表!$B$53*0.12,0)),0)+IF(T0登记表!$C$54=2,IF(T0登记表!$F$54=T0登记表!$T$15,T0登记表!$B$54*0.18,IF(T0登记表!$F$54=T0登记表!$T$16,T0登记表!$B$54*0.12,0)),0)+IF(T0登记表!$C$55=2,IF(T0登记表!$F$55=T0登记表!$T$15,T0登记表!$B$55*0.18,IF(T0登记表!$F$55=T0登记表!$T$16,T0登记表!$B$55*0.12,0)),0)+IF(T0登记表!$C$56=2,IF(T0登记表!$F$56=T0登记表!$T$15,T0登记表!$B$56*0.18,IF(T0登记表!$F$56=T0登记表!$T$16,T0登记表!$B$56*0.12,0)),0)</f>
        <v>0</v>
      </c>
      <c r="F59" s="150">
        <f>IF(T0登记表!$C$53=3,IF(T0登记表!$F$53=T0登记表!$T$15,T0登记表!$B$53*0.18,IF(T0登记表!$F$53=T0登记表!$T$16,T0登记表!$B$53*0.12,0)),0)+IF(T0登记表!$C$54=3,IF(T0登记表!$F$54=T0登记表!$T$15,T0登记表!$B$54*0.18,IF(T0登记表!$F$54=T0登记表!$T$16,T0登记表!$B$54*0.12,0)),0)+IF(T0登记表!$C$55=3,IF(T0登记表!$F$55=T0登记表!$T$15,T0登记表!$B$55*0.18,IF(T0登记表!$F$55=T0登记表!$T$16,T0登记表!$B$55*0.12,0)),0)+IF(T0登记表!$C$56=3,IF(T0登记表!$F$56=T0登记表!$T$15,T0登记表!$B$56*0.18,IF(T0登记表!$F$56=T0登记表!$T$16,T0登记表!$B$56*0.12,0)),0)</f>
        <v>0</v>
      </c>
      <c r="G59" s="150">
        <f>IF(T0登记表!$C$53=4,IF(T0登记表!$F$53=T0登记表!$T$15,T0登记表!$B$53*0.18,IF(T0登记表!$F$53=T0登记表!$T$16,T0登记表!$B$53*0.12,0)),0)+IF(T0登记表!$C$54=4,IF(T0登记表!$F$54=T0登记表!$T$15,T0登记表!$B$54*0.18,IF(T0登记表!$F$54=T0登记表!$T$16,T0登记表!$B$54*0.12,0)),0)+IF(T0登记表!$C$55=4,IF(T0登记表!$F$55=T0登记表!$T$15,T0登记表!$B$55*0.18,IF(T0登记表!$F$55=T0登记表!$T$16,T0登记表!$B$55*0.12,0)),0)+IF(T0登记表!$C$56=4,IF(T0登记表!$F$56=T0登记表!$T$15,T0登记表!$B$56*0.18,IF(T0登记表!$F$56=T0登记表!$T$16,T0登记表!$B$56*0.12,0)),0)</f>
        <v>0</v>
      </c>
      <c r="H59" s="150">
        <f>IF(T0登记表!$C$53=5,IF(T0登记表!$F$53=T0登记表!$T$15,T0登记表!$B$53*0.18,IF(T0登记表!$F$53=T0登记表!$T$16,T0登记表!$B$53*0.12,0)),0)+IF(T0登记表!$C$54=5,IF(T0登记表!$F$54=T0登记表!$T$15,T0登记表!$B$54*0.18,IF(T0登记表!$F$54=T0登记表!$T$16,T0登记表!$B$54*0.12,0)),0)+IF(T0登记表!$C$55=5,IF(T0登记表!$F$55=T0登记表!$T$15,T0登记表!$B$55*0.18,IF(T0登记表!$F$55=T0登记表!$T$16,T0登记表!$B$55*0.12,0)),0)+IF(T0登记表!$C$56=5,IF(T0登记表!$F$56=T0登记表!$T$15,T0登记表!$B$56*0.18,IF(T0登记表!$F$56=T0登记表!$T$16,T0登记表!$B$56*0.12,0)),0)</f>
        <v>0</v>
      </c>
      <c r="I59" s="146"/>
      <c r="K59" s="143"/>
      <c r="L59" s="148" t="s">
        <v>207</v>
      </c>
      <c r="M59" s="150">
        <f>IF(T0登记表!$J53=1,T0登记表!$V53,0)+IF(T0登记表!$J54=1,T0登记表!$V54,0)+IF(T0登记表!$J55=1,T0登记表!$V55,0)+IF(T0登记表!$J56=1,T0登记表!$V56,0)</f>
        <v>0</v>
      </c>
      <c r="N59" s="150">
        <f>IF(T0登记表!$J53=2,T0登记表!$V53,0)+IF(T0登记表!$J54=2,T0登记表!$V54,0)+IF(T0登记表!$J55=2,T0登记表!$V55,0)+IF(T0登记表!$J56=2,T0登记表!$V56,0)</f>
        <v>0</v>
      </c>
      <c r="O59" s="150">
        <f>IF(T0登记表!$J53=3,T0登记表!$V53,0)+IF(T0登记表!$J54=3,T0登记表!$V54,0)+IF(T0登记表!$J55=3,T0登记表!$V55,0)+IF(T0登记表!$J56=3,T0登记表!$V56,0)</f>
        <v>0</v>
      </c>
      <c r="P59" s="150">
        <f>IF(T0登记表!$J53=4,T0登记表!$V53,0)+IF(T0登记表!$J54=4,T0登记表!$V54,0)+IF(T0登记表!$J55=4,T0登记表!$V55,0)+IF(T0登记表!$J56=4,T0登记表!$V56,0)</f>
        <v>0</v>
      </c>
      <c r="Q59" s="150">
        <f>IF(T0登记表!$J53=5,T0登记表!$V53,0)+IF(T0登记表!$J54=5,T0登记表!$V54,0)+IF(T0登记表!$J55=5,T0登记表!$V55,0)+IF(T0登记表!$J56=5,T0登记表!$V56,0)</f>
        <v>0</v>
      </c>
      <c r="R59" s="146"/>
      <c r="T59" s="74"/>
      <c r="U59" s="75" t="s">
        <v>130</v>
      </c>
      <c r="V59" s="141" t="s">
        <v>201</v>
      </c>
      <c r="W59" s="141" t="s">
        <v>202</v>
      </c>
      <c r="X59" s="141" t="s">
        <v>203</v>
      </c>
      <c r="Y59" s="141" t="s">
        <v>204</v>
      </c>
      <c r="Z59" s="141" t="s">
        <v>205</v>
      </c>
      <c r="AA59" s="142"/>
    </row>
    <row r="60" spans="2:27" ht="17.399999999999999" x14ac:dyDescent="0.25">
      <c r="B60" s="143"/>
      <c r="C60" s="148" t="s">
        <v>213</v>
      </c>
      <c r="D60" s="150">
        <f>D58+D59</f>
        <v>0</v>
      </c>
      <c r="E60" s="150">
        <f>E58+E59</f>
        <v>0</v>
      </c>
      <c r="F60" s="150">
        <f>F58+F59</f>
        <v>0</v>
      </c>
      <c r="G60" s="150">
        <f>G58+G59</f>
        <v>0</v>
      </c>
      <c r="H60" s="150">
        <f>H58+H59</f>
        <v>0</v>
      </c>
      <c r="I60" s="146"/>
      <c r="K60" s="143"/>
      <c r="L60" s="148" t="s">
        <v>213</v>
      </c>
      <c r="M60" s="150">
        <f>M58+M59</f>
        <v>0</v>
      </c>
      <c r="N60" s="150">
        <f>N58+N59</f>
        <v>0</v>
      </c>
      <c r="O60" s="150">
        <f>O58+O59</f>
        <v>0</v>
      </c>
      <c r="P60" s="150">
        <f>P58+P59</f>
        <v>0</v>
      </c>
      <c r="Q60" s="150">
        <f>Q58+Q59</f>
        <v>0</v>
      </c>
      <c r="R60" s="146"/>
      <c r="T60" s="74"/>
      <c r="U60" s="78" t="s">
        <v>231</v>
      </c>
      <c r="V60" s="147">
        <f>IF(T0登记表!$P53=T0登记表!$T$38,0,IF(T0登记表!$J53=1,IF(T0登记表!$O53=T0登记表!$T$41,T0登记表!$I53,0),0))+IF(T0登记表!$P54=T0登记表!$T$38,0,IF(T0登记表!$J54=1,IF(T0登记表!$O54=T0登记表!$T$41,T0登记表!$I54,0),0))+IF(T0登记表!$P55=T0登记表!$T$38,0,IF(T0登记表!$J55=1,IF(T0登记表!$O55=T0登记表!$T$41,T0登记表!$I55,0),0))+IF(T0登记表!$P56=T0登记表!$T$38,0,IF(T0登记表!$J56=1,IF(T0登记表!$O56=T0登记表!$T$41,T0登记表!$I56,0),0))+W50</f>
        <v>0</v>
      </c>
      <c r="W60" s="147">
        <f>IF(T0登记表!$P53=T0登记表!$T$38,0,IF(T0登记表!$J53=2,IF(T0登记表!$O53=T0登记表!$T$41,T0登记表!$I53,0),0))+IF(T0登记表!$P54=T0登记表!$T$38,0,IF(T0登记表!$J54=2,IF(T0登记表!$O54=T0登记表!$T$41,T0登记表!$I54,0),0))+IF(T0登记表!$P55=T0登记表!$T$38,0,IF(T0登记表!$J55=2,IF(T0登记表!$O55=T0登记表!$T$41,T0登记表!$I55,0),0))+IF(T0登记表!$P56=T0登记表!$T$38,0,IF(T0登记表!$J56=2,IF(T0登记表!$O56=T0登记表!$T$41,T0登记表!$I56,0),0))+X50</f>
        <v>0</v>
      </c>
      <c r="X60" s="147">
        <f>IF(T0登记表!$P53=T0登记表!$T$38,0,IF(T0登记表!$J53=3,IF(T0登记表!$O53=T0登记表!$T$41,T0登记表!$I53,0),0))+IF(T0登记表!$P54=T0登记表!$T$38,0,IF(T0登记表!$J54=3,IF(T0登记表!$O54=T0登记表!$T$41,T0登记表!$I54,0),0))+IF(T0登记表!$P55=T0登记表!$T$38,0,IF(T0登记表!$J55=3,IF(T0登记表!$O55=T0登记表!$T$41,T0登记表!$I55,0),0))+IF(T0登记表!$P56=T0登记表!$T$38,0,IF(T0登记表!$J56=3,IF(T0登记表!$O56=T0登记表!$T$41,T0登记表!$I56,0),0))+Y50</f>
        <v>0</v>
      </c>
      <c r="Y60" s="147">
        <f>IF(T0登记表!$P53=T0登记表!$T$38,0,IF(T0登记表!$J53=4,IF(T0登记表!$O53=T0登记表!$T$41,T0登记表!$I53,0),0))+IF(T0登记表!$P54=T0登记表!$T$38,0,IF(T0登记表!$J54=4,IF(T0登记表!$O54=T0登记表!$T$41,T0登记表!$I54,0),0))+IF(T0登记表!$P55=T0登记表!$T$38,0,IF(T0登记表!$J55=4,IF(T0登记表!$O55=T0登记表!$T$41,T0登记表!$I55,0),0))+IF(T0登记表!$P56=T0登记表!$T$38,0,IF(T0登记表!$J56=4,IF(T0登记表!$O56=T0登记表!$T$41,T0登记表!$I56,0),0))+Z50</f>
        <v>0</v>
      </c>
      <c r="Z60" s="147">
        <f>IF(T0登记表!$P53=T0登记表!$T$38,0,IF(T0登记表!$J53=5,IF(T0登记表!$O53=T0登记表!$T$41,T0登记表!$I53,0),0))+IF(T0登记表!$P54=T0登记表!$T$38,0,IF(T0登记表!$J54=5,IF(T0登记表!$O54=T0登记表!$T$41,T0登记表!$I54,0),0))+IF(T0登记表!$P55=T0登记表!$T$38,0,IF(T0登记表!$J55=5,IF(T0登记表!$O55=T0登记表!$T$41,T0登记表!$I55,0),0))+IF(T0登记表!$P56=T0登记表!$T$38,0,IF(T0登记表!$J56=5,IF(T0登记表!$O56=T0登记表!$T$41,T0登记表!$I56,0),0))</f>
        <v>0</v>
      </c>
      <c r="AA60" s="142"/>
    </row>
    <row r="61" spans="2:27" ht="17.399999999999999" x14ac:dyDescent="0.25">
      <c r="B61" s="143"/>
      <c r="C61" s="155" t="s">
        <v>497</v>
      </c>
      <c r="D61" s="156">
        <f>SUM(D60:H60)</f>
        <v>0</v>
      </c>
      <c r="E61" s="134"/>
      <c r="F61" s="134"/>
      <c r="G61" s="134"/>
      <c r="H61" s="134"/>
      <c r="I61" s="146"/>
      <c r="K61" s="143"/>
      <c r="L61" s="155" t="s">
        <v>496</v>
      </c>
      <c r="M61" s="156">
        <f>SUM(M60:Q60)</f>
        <v>0</v>
      </c>
      <c r="N61" s="134"/>
      <c r="O61" s="134"/>
      <c r="P61" s="134"/>
      <c r="Q61" s="134"/>
      <c r="R61" s="146"/>
      <c r="T61" s="74"/>
      <c r="U61" s="149" t="s">
        <v>232</v>
      </c>
      <c r="V61" s="147">
        <f>IF(T0登记表!$C53=1,IF(T0登记表!$G53=T0登记表!$T$41,T0登记表!$B53,0),0)+IF(T0登记表!$C54=1,IF(T0登记表!$G54=T0登记表!$T$41,T0登记表!$B54,0),0)+IF(T0登记表!$C55=1,IF(T0登记表!$G55=T0登记表!$T$41,T0登记表!$B55,0),0)+IF(T0登记表!$C56=1,IF(T0登记表!$G56=T0登记表!$T$41,T0登记表!$B56,0),0)+W51</f>
        <v>0</v>
      </c>
      <c r="W61" s="147">
        <f>IF(T0登记表!$C53=2,IF(T0登记表!$G53=T0登记表!$T$41,T0登记表!$B53,0),0)+IF(T0登记表!$C54=2,IF(T0登记表!$G54=T0登记表!$T$41,T0登记表!$B54,0),0)+IF(T0登记表!$C55=2,IF(T0登记表!$G55=T0登记表!$T$41,T0登记表!$B55,0),0)+IF(T0登记表!$C56=2,IF(T0登记表!$G56=T0登记表!$T$41,T0登记表!$B56,0),0)+X51</f>
        <v>0</v>
      </c>
      <c r="X61" s="147">
        <f>IF(T0登记表!$C53=3,IF(T0登记表!$G53=T0登记表!$T$41,T0登记表!$B53,0),0)+IF(T0登记表!$C54=3,IF(T0登记表!$G54=T0登记表!$T$41,T0登记表!$B54,0),0)+IF(T0登记表!$C55=3,IF(T0登记表!$G55=T0登记表!$T$41,T0登记表!$B55,0),0)+IF(T0登记表!$C56=3,IF(T0登记表!$G56=T0登记表!$T$41,T0登记表!$B56,0),0)+Y51</f>
        <v>0</v>
      </c>
      <c r="Y61" s="147">
        <f>IF(T0登记表!$C53=4,IF(T0登记表!$G53=T0登记表!$T$41,T0登记表!$B53,0),0)+IF(T0登记表!$C54=4,IF(T0登记表!$G54=T0登记表!$T$41,T0登记表!$B54,0),0)+IF(T0登记表!$C55=4,IF(T0登记表!$G55=T0登记表!$T$41,T0登记表!$B55,0),0)+IF(T0登记表!$C56=4,IF(T0登记表!$G56=T0登记表!$T$41,T0登记表!$B56,0),0)+Z51</f>
        <v>0</v>
      </c>
      <c r="Z61" s="147">
        <f>IF(T0登记表!$C53=5,IF(T0登记表!$G53=T0登记表!$T$41,T0登记表!$B53,0),0)+IF(T0登记表!$C54=5,IF(T0登记表!$G54=T0登记表!$T$41,T0登记表!$B54,0),0)+IF(T0登记表!$C55=5,IF(T0登记表!$G55=T0登记表!$T$41,T0登记表!$B55,0),0)+IF(T0登记表!$C56=5,IF(T0登记表!$G56=T0登记表!$T$41,T0登记表!$B56,0),0)</f>
        <v>0</v>
      </c>
      <c r="AA61" s="142"/>
    </row>
    <row r="62" spans="2:27" ht="18" thickBot="1" x14ac:dyDescent="0.3">
      <c r="B62" s="157"/>
      <c r="C62" s="158"/>
      <c r="D62" s="158"/>
      <c r="E62" s="158"/>
      <c r="F62" s="158"/>
      <c r="G62" s="158"/>
      <c r="H62" s="158"/>
      <c r="I62" s="159"/>
      <c r="K62" s="157"/>
      <c r="L62" s="158"/>
      <c r="M62" s="158"/>
      <c r="N62" s="158"/>
      <c r="O62" s="158"/>
      <c r="P62" s="158"/>
      <c r="Q62" s="158"/>
      <c r="R62" s="159"/>
      <c r="T62" s="74"/>
      <c r="U62" s="151" t="s">
        <v>233</v>
      </c>
      <c r="V62" s="147">
        <f>ABS(V60-V61)</f>
        <v>0</v>
      </c>
      <c r="W62" s="147">
        <f>ABS(W60-W61)</f>
        <v>0</v>
      </c>
      <c r="X62" s="147">
        <f>ABS(X60-X61)</f>
        <v>0</v>
      </c>
      <c r="Y62" s="147">
        <f>ABS(Y60-Y61)</f>
        <v>0</v>
      </c>
      <c r="Z62" s="147">
        <f>ABS(Z60-Z61)</f>
        <v>0</v>
      </c>
      <c r="AA62" s="77"/>
    </row>
    <row r="63" spans="2:27" ht="18" thickBot="1" x14ac:dyDescent="0.3">
      <c r="B63" s="134"/>
      <c r="C63" s="134"/>
      <c r="D63" s="134"/>
      <c r="E63" s="134"/>
      <c r="F63" s="134"/>
      <c r="G63" s="134"/>
      <c r="H63" s="134"/>
      <c r="I63" s="134"/>
      <c r="K63" s="135"/>
      <c r="L63" s="135"/>
      <c r="M63" s="135"/>
      <c r="N63" s="135"/>
      <c r="O63" s="135"/>
      <c r="P63" s="135"/>
      <c r="Q63" s="135"/>
      <c r="R63" s="135"/>
      <c r="T63" s="74"/>
      <c r="U63" s="152" t="s">
        <v>234</v>
      </c>
      <c r="V63" s="153">
        <v>0.2</v>
      </c>
      <c r="W63" s="153">
        <v>0.3</v>
      </c>
      <c r="X63" s="153">
        <v>0.4</v>
      </c>
      <c r="Y63" s="153">
        <v>0.5</v>
      </c>
      <c r="Z63" s="153">
        <v>0.6</v>
      </c>
      <c r="AA63" s="77"/>
    </row>
    <row r="64" spans="2:27" ht="17.399999999999999" x14ac:dyDescent="0.25">
      <c r="B64" s="138"/>
      <c r="C64" s="139"/>
      <c r="D64" s="139"/>
      <c r="E64" s="139"/>
      <c r="F64" s="139"/>
      <c r="G64" s="139"/>
      <c r="H64" s="139"/>
      <c r="I64" s="140"/>
      <c r="K64" s="138"/>
      <c r="L64" s="139"/>
      <c r="M64" s="139"/>
      <c r="N64" s="139"/>
      <c r="O64" s="139"/>
      <c r="P64" s="139"/>
      <c r="Q64" s="139"/>
      <c r="R64" s="140"/>
      <c r="T64" s="74"/>
      <c r="U64" s="151" t="s">
        <v>235</v>
      </c>
      <c r="V64" s="154">
        <f>V62*V63</f>
        <v>0</v>
      </c>
      <c r="W64" s="154">
        <f>W62*W63</f>
        <v>0</v>
      </c>
      <c r="X64" s="154">
        <f>X62*X63</f>
        <v>0</v>
      </c>
      <c r="Y64" s="154">
        <f>Y62*Y63</f>
        <v>0</v>
      </c>
      <c r="Z64" s="147">
        <f>Z62*Z63</f>
        <v>0</v>
      </c>
      <c r="AA64" s="77"/>
    </row>
    <row r="65" spans="2:27" ht="17.399999999999999" x14ac:dyDescent="0.25">
      <c r="B65" s="143"/>
      <c r="C65" s="144" t="s">
        <v>221</v>
      </c>
      <c r="D65" s="145" t="s">
        <v>216</v>
      </c>
      <c r="E65" s="134"/>
      <c r="F65" s="134"/>
      <c r="G65" s="134"/>
      <c r="H65" s="134"/>
      <c r="I65" s="146"/>
      <c r="K65" s="143"/>
      <c r="L65" s="144" t="s">
        <v>157</v>
      </c>
      <c r="M65" s="145" t="s">
        <v>227</v>
      </c>
      <c r="N65" s="134"/>
      <c r="O65" s="134"/>
      <c r="P65" s="134"/>
      <c r="Q65" s="134"/>
      <c r="R65" s="146"/>
      <c r="T65" s="74"/>
      <c r="U65" s="69"/>
      <c r="V65" s="78" t="s">
        <v>236</v>
      </c>
      <c r="W65" s="86">
        <f>SUM(V64:Z64)</f>
        <v>0</v>
      </c>
      <c r="X65" s="76"/>
      <c r="Y65" s="76"/>
      <c r="Z65" s="76"/>
      <c r="AA65" s="77"/>
    </row>
    <row r="66" spans="2:27" ht="18" thickBot="1" x14ac:dyDescent="0.3">
      <c r="B66" s="143"/>
      <c r="C66" s="148" t="s">
        <v>217</v>
      </c>
      <c r="D66" s="141" t="s">
        <v>218</v>
      </c>
      <c r="E66" s="141" t="s">
        <v>202</v>
      </c>
      <c r="F66" s="141" t="s">
        <v>219</v>
      </c>
      <c r="G66" s="141" t="s">
        <v>204</v>
      </c>
      <c r="H66" s="141" t="s">
        <v>205</v>
      </c>
      <c r="I66" s="146"/>
      <c r="K66" s="143"/>
      <c r="L66" s="148" t="s">
        <v>214</v>
      </c>
      <c r="M66" s="141" t="s">
        <v>201</v>
      </c>
      <c r="N66" s="141" t="s">
        <v>202</v>
      </c>
      <c r="O66" s="141" t="s">
        <v>203</v>
      </c>
      <c r="P66" s="141" t="s">
        <v>204</v>
      </c>
      <c r="Q66" s="141" t="s">
        <v>205</v>
      </c>
      <c r="R66" s="146"/>
      <c r="T66" s="87"/>
      <c r="U66" s="88"/>
      <c r="V66" s="88"/>
      <c r="W66" s="88"/>
      <c r="X66" s="88"/>
      <c r="Y66" s="88"/>
      <c r="Z66" s="88"/>
      <c r="AA66" s="89"/>
    </row>
    <row r="67" spans="2:27" ht="18" thickBot="1" x14ac:dyDescent="0.3">
      <c r="B67" s="143"/>
      <c r="C67" s="148" t="s">
        <v>206</v>
      </c>
      <c r="D67" s="150">
        <f>E60</f>
        <v>0</v>
      </c>
      <c r="E67" s="150">
        <f>F60</f>
        <v>0</v>
      </c>
      <c r="F67" s="150">
        <f>G60</f>
        <v>0</v>
      </c>
      <c r="G67" s="150">
        <f>H60</f>
        <v>0</v>
      </c>
      <c r="H67" s="150"/>
      <c r="I67" s="146"/>
      <c r="K67" s="143"/>
      <c r="L67" s="148" t="s">
        <v>206</v>
      </c>
      <c r="M67" s="150">
        <f>N60</f>
        <v>0</v>
      </c>
      <c r="N67" s="150">
        <f>O60</f>
        <v>0</v>
      </c>
      <c r="O67" s="150">
        <f>P60</f>
        <v>0</v>
      </c>
      <c r="P67" s="150">
        <f>Q60</f>
        <v>0</v>
      </c>
      <c r="Q67" s="150"/>
      <c r="R67" s="146"/>
      <c r="T67" s="69"/>
      <c r="U67" s="69"/>
      <c r="V67" s="69"/>
      <c r="W67" s="69"/>
      <c r="X67" s="69"/>
      <c r="Y67" s="69"/>
      <c r="Z67" s="69"/>
      <c r="AA67" s="69"/>
    </row>
    <row r="68" spans="2:27" ht="17.399999999999999" x14ac:dyDescent="0.25">
      <c r="B68" s="143"/>
      <c r="C68" s="148" t="s">
        <v>207</v>
      </c>
      <c r="D68" s="150">
        <f>IF(T0登记表!$C$59=1,IF(T0登记表!$F$59=T0登记表!$T$15,T0登记表!$B$59*0.18,IF(T0登记表!$F$59=T0登记表!$T$16,T0登记表!$B$59*0.12,0)),0)+IF(T0登记表!$C$60=1,IF(T0登记表!$F$60=T0登记表!$T$15,T0登记表!$B$60*0.18,IF(T0登记表!$F$60=T0登记表!$T$16,T0登记表!$B$60*0.12,0)),0)+IF(T0登记表!$C$61=1,IF(T0登记表!$F$61=T0登记表!$T$15,T0登记表!$B$61*0.18,IF(T0登记表!$F$61=T0登记表!$T$16,T0登记表!$B$61*0.12,0)),0)+IF(T0登记表!$C$62=1,IF(T0登记表!$F$62=T0登记表!$T$15,T0登记表!$B$62*0.18,IF(T0登记表!$F$62=T0登记表!$T$16,T0登记表!$B$62*0.12,0)),0)</f>
        <v>0</v>
      </c>
      <c r="E68" s="150">
        <f>IF(T0登记表!$C$59=2,IF(T0登记表!$F$59=T0登记表!$T$15,T0登记表!$B$59*0.18,IF(T0登记表!$F$59=T0登记表!$T$16,T0登记表!$B$59*0.12,0)),0)+IF(T0登记表!$C$60=2,IF(T0登记表!$F$60=T0登记表!$T$15,T0登记表!$B$60*0.18,IF(T0登记表!$F$60=T0登记表!$T$16,T0登记表!$B$60*0.12,0)),0)+IF(T0登记表!$C$61=2,IF(T0登记表!$F$61=T0登记表!$T$15,T0登记表!$B$61*0.18,IF(T0登记表!$F$61=T0登记表!$T$16,T0登记表!$B$61*0.12,0)),0)+IF(T0登记表!$C$62=2,IF(T0登记表!$F$62=T0登记表!$T$15,T0登记表!$B$62*0.18,IF(T0登记表!$F$62=T0登记表!$T$16,T0登记表!$B$62*0.12,0)),0)</f>
        <v>0</v>
      </c>
      <c r="F68" s="150">
        <f>IF(T0登记表!$C$59=3,IF(T0登记表!$F$59=T0登记表!$T$15,T0登记表!$B$59*0.18,IF(T0登记表!$F$59=T0登记表!$T$16,T0登记表!$B$59*0.12,0)),0)+IF(T0登记表!$C$60=3,IF(T0登记表!$F$60=T0登记表!$T$15,T0登记表!$B$60*0.18,IF(T0登记表!$F$60=T0登记表!$T$16,T0登记表!$B$60*0.12,0)),0)+IF(T0登记表!$C$61=3,IF(T0登记表!$F$61=T0登记表!$T$15,T0登记表!$B$61*0.18,IF(T0登记表!$F$61=T0登记表!$T$16,T0登记表!$B$61*0.12,0)),0)+IF(T0登记表!$C$62=3,IF(T0登记表!$F$62=T0登记表!$T$15,T0登记表!$B$62*0.18,IF(T0登记表!$F$62=T0登记表!$T$16,T0登记表!$B$62*0.12,0)),0)</f>
        <v>0</v>
      </c>
      <c r="G68" s="150">
        <f>IF(T0登记表!$C$59=4,IF(T0登记表!$F$59=T0登记表!$T$15,T0登记表!$B$59*0.18,IF(T0登记表!$F$59=T0登记表!$T$16,T0登记表!$B$59*0.12,0)),0)+IF(T0登记表!$C$60=4,IF(T0登记表!$F$60=T0登记表!$T$15,T0登记表!$B$60*0.18,IF(T0登记表!$F$60=T0登记表!$T$16,T0登记表!$B$60*0.12,0)),0)+IF(T0登记表!$C$61=4,IF(T0登记表!$F$61=T0登记表!$T$15,T0登记表!$B$61*0.18,IF(T0登记表!$F$61=T0登记表!$T$16,T0登记表!$B$61*0.12,0)),0)+IF(T0登记表!$C$62=4,IF(T0登记表!$F$62=T0登记表!$T$15,T0登记表!$B$62*0.18,IF(T0登记表!$F$62=T0登记表!$T$16,T0登记表!$B$62*0.12,0)),0)</f>
        <v>0</v>
      </c>
      <c r="H68" s="150">
        <f>IF(T0登记表!$C$59=5,IF(T0登记表!$F$59=T0登记表!$T$15,T0登记表!$B$59*0.18,IF(T0登记表!$F$59=T0登记表!$T$16,T0登记表!$B$59*0.12,0)),0)+IF(T0登记表!$C$60=5,IF(T0登记表!$F$60=T0登记表!$T$15,T0登记表!$B$60*0.18,IF(T0登记表!$F$60=T0登记表!$T$16,T0登记表!$B$60*0.12,0)),0)+IF(T0登记表!$C$61=5,IF(T0登记表!$F$61=T0登记表!$T$15,T0登记表!$B$61*0.18,IF(T0登记表!$F$61=T0登记表!$T$16,T0登记表!$B$61*0.12,0)),0)+IF(T0登记表!$C$62=5,IF(T0登记表!$F$62=T0登记表!$T$15,T0登记表!$B$62*0.18,IF(T0登记表!$F$62=T0登记表!$T$16,T0登记表!$B$62*0.12,0)),0)</f>
        <v>0</v>
      </c>
      <c r="I68" s="146"/>
      <c r="K68" s="143"/>
      <c r="L68" s="148" t="s">
        <v>207</v>
      </c>
      <c r="M68" s="150">
        <f>IF(T0登记表!$J59=1,T0登记表!$V59,0)+IF(T0登记表!$J60=1,T0登记表!$V60,0)+IF(T0登记表!$J61=1,T0登记表!$V61,0)+IF(T0登记表!$J62=1,T0登记表!$V62,0)</f>
        <v>0</v>
      </c>
      <c r="N68" s="150">
        <f>IF(T0登记表!$J59=2,T0登记表!$V59,0)+IF(T0登记表!$J60=2,T0登记表!$V60,0)+IF(T0登记表!$J61=2,T0登记表!$V61,0)+IF(T0登记表!$J62=2,T0登记表!$V62,0)</f>
        <v>0</v>
      </c>
      <c r="O68" s="150">
        <f>IF(T0登记表!$J59=3,T0登记表!$V59,0)+IF(T0登记表!$J60=3,T0登记表!$V60,0)+IF(T0登记表!$J61=3,T0登记表!$V61,0)+IF(T0登记表!$J62=3,T0登记表!$V62,0)</f>
        <v>0</v>
      </c>
      <c r="P68" s="150">
        <f>IF(T0登记表!$J59=4,T0登记表!$V59,0)+IF(T0登记表!$J60=4,T0登记表!$V60,0)+IF(T0登记表!$J61=4,T0登记表!$V61,0)+IF(T0登记表!$J62=4,T0登记表!$V62,0)</f>
        <v>0</v>
      </c>
      <c r="Q68" s="150">
        <f>IF(T0登记表!$J59=5,T0登记表!$V59,0)+IF(T0登记表!$J60=5,T0登记表!$V60,0)+IF(T0登记表!$J61=5,T0登记表!$V61,0)+IF(T0登记表!$J62=5,T0登记表!$V62,0)</f>
        <v>0</v>
      </c>
      <c r="R68" s="146"/>
      <c r="T68" s="71"/>
      <c r="U68" s="72"/>
      <c r="V68" s="72"/>
      <c r="W68" s="72"/>
      <c r="X68" s="72"/>
      <c r="Y68" s="72"/>
      <c r="Z68" s="72"/>
      <c r="AA68" s="73"/>
    </row>
    <row r="69" spans="2:27" ht="17.399999999999999" x14ac:dyDescent="0.25">
      <c r="B69" s="143"/>
      <c r="C69" s="148" t="s">
        <v>213</v>
      </c>
      <c r="D69" s="150">
        <f>D67+D68</f>
        <v>0</v>
      </c>
      <c r="E69" s="150">
        <f>E67+E68</f>
        <v>0</v>
      </c>
      <c r="F69" s="150">
        <f>F67+F68</f>
        <v>0</v>
      </c>
      <c r="G69" s="150">
        <f>G67+G68</f>
        <v>0</v>
      </c>
      <c r="H69" s="150">
        <f>H67+H68</f>
        <v>0</v>
      </c>
      <c r="I69" s="146"/>
      <c r="K69" s="143"/>
      <c r="L69" s="148" t="s">
        <v>213</v>
      </c>
      <c r="M69" s="150">
        <f>M67+M68</f>
        <v>0</v>
      </c>
      <c r="N69" s="150">
        <f>N67+N68</f>
        <v>0</v>
      </c>
      <c r="O69" s="150">
        <f>O67+O68</f>
        <v>0</v>
      </c>
      <c r="P69" s="150">
        <f>P67+P68</f>
        <v>0</v>
      </c>
      <c r="Q69" s="150">
        <f>Q67+Q68</f>
        <v>0</v>
      </c>
      <c r="R69" s="146"/>
      <c r="T69" s="74"/>
      <c r="U69" s="75" t="s">
        <v>121</v>
      </c>
      <c r="V69" s="141" t="s">
        <v>201</v>
      </c>
      <c r="W69" s="141" t="s">
        <v>202</v>
      </c>
      <c r="X69" s="141" t="s">
        <v>203</v>
      </c>
      <c r="Y69" s="141" t="s">
        <v>204</v>
      </c>
      <c r="Z69" s="141" t="s">
        <v>205</v>
      </c>
      <c r="AA69" s="142"/>
    </row>
    <row r="70" spans="2:27" ht="17.399999999999999" x14ac:dyDescent="0.25">
      <c r="B70" s="143"/>
      <c r="C70" s="155" t="s">
        <v>497</v>
      </c>
      <c r="D70" s="156">
        <f>SUM(D69:H69)</f>
        <v>0</v>
      </c>
      <c r="E70" s="134"/>
      <c r="F70" s="134"/>
      <c r="G70" s="134"/>
      <c r="H70" s="134"/>
      <c r="I70" s="146"/>
      <c r="K70" s="143"/>
      <c r="L70" s="155" t="s">
        <v>496</v>
      </c>
      <c r="M70" s="156">
        <f>SUM(M69:Q69)</f>
        <v>0</v>
      </c>
      <c r="N70" s="134"/>
      <c r="O70" s="134"/>
      <c r="P70" s="134"/>
      <c r="Q70" s="134"/>
      <c r="R70" s="146"/>
      <c r="T70" s="74"/>
      <c r="U70" s="78" t="s">
        <v>231</v>
      </c>
      <c r="V70" s="147">
        <f>IF(T0登记表!$P59=T0登记表!$T$38,0,IF(T0登记表!$J59=1,IF(T0登记表!$O59=T0登记表!$T$41,T0登记表!$I59,0),0))+IF(T0登记表!$P60=T0登记表!$T$38,0,IF(T0登记表!$J60=1,IF(T0登记表!$O60=T0登记表!$T$41,T0登记表!$I60,0),0))+IF(T0登记表!$P61=T0登记表!$T$38,0,IF(T0登记表!$J61=1,IF(T0登记表!$O61=T0登记表!$T$41,T0登记表!$I61,0),0))+IF(T0登记表!$P62=T0登记表!$T$38,0,IF(T0登记表!$J62=1,IF(T0登记表!$O62=T0登记表!$T$41,T0登记表!$I62,0),0))+W60</f>
        <v>0</v>
      </c>
      <c r="W70" s="147">
        <f>IF(T0登记表!$P59=T0登记表!$T$38,0,IF(T0登记表!$J59=2,IF(T0登记表!$O59=T0登记表!$T$41,T0登记表!$I59,0),0))+IF(T0登记表!$P60=T0登记表!$T$38,0,IF(T0登记表!$J60=2,IF(T0登记表!$O60=T0登记表!$T$41,T0登记表!$I60,0),0))+IF(T0登记表!$P61=T0登记表!$T$38,0,IF(T0登记表!$J61=2,IF(T0登记表!$O61=T0登记表!$T$41,T0登记表!$I61,0),0))+IF(T0登记表!$P62=T0登记表!$T$38,0,IF(T0登记表!$J62=2,IF(T0登记表!$O62=T0登记表!$T$41,T0登记表!$I62,0),0))+X60</f>
        <v>0</v>
      </c>
      <c r="X70" s="147">
        <f>IF(T0登记表!$P59=T0登记表!$T$38,0,IF(T0登记表!$J59=3,IF(T0登记表!$O59=T0登记表!$T$41,T0登记表!$I59,0),0))+IF(T0登记表!$P60=T0登记表!$T$38,0,IF(T0登记表!$J60=3,IF(T0登记表!$O60=T0登记表!$T$41,T0登记表!$I60,0),0))+IF(T0登记表!$P61=T0登记表!$T$38,0,IF(T0登记表!$J61=3,IF(T0登记表!$O61=T0登记表!$T$41,T0登记表!$I61,0),0))+IF(T0登记表!$P62=T0登记表!$T$38,0,IF(T0登记表!$J62=3,IF(T0登记表!$O62=T0登记表!$T$41,T0登记表!$I62,0),0))+Y60</f>
        <v>0</v>
      </c>
      <c r="Y70" s="147">
        <f>IF(T0登记表!$P59=T0登记表!$T$38,0,IF(T0登记表!$J59=4,IF(T0登记表!$O59=T0登记表!$T$41,T0登记表!$I59,0),0))+IF(T0登记表!$P60=T0登记表!$T$38,0,IF(T0登记表!$J60=4,IF(T0登记表!$O60=T0登记表!$T$41,T0登记表!$I60,0),0))+IF(T0登记表!$P61=T0登记表!$T$38,0,IF(T0登记表!$J61=4,IF(T0登记表!$O61=T0登记表!$T$41,T0登记表!$I61,0),0))+IF(T0登记表!$P62=T0登记表!$T$38,0,IF(T0登记表!$J62=4,IF(T0登记表!$O62=T0登记表!$T$41,T0登记表!$I62,0),0))+Z60</f>
        <v>0</v>
      </c>
      <c r="Z70" s="147">
        <f>IF(T0登记表!$P59=T0登记表!$T$38,0,IF(T0登记表!$J59=5,IF(T0登记表!$O59=T0登记表!$T$41,T0登记表!$I59,0),0))+IF(T0登记表!$P60=T0登记表!$T$38,0,IF(T0登记表!$J60=5,IF(T0登记表!$O60=T0登记表!$T$41,T0登记表!$I60,0),0))+IF(T0登记表!$P61=T0登记表!$T$38,0,IF(T0登记表!$J61=5,IF(T0登记表!$O61=T0登记表!$T$41,T0登记表!$I61,0),0))+IF(T0登记表!$P62=T0登记表!$T$38,0,IF(T0登记表!$J62=5,IF(T0登记表!$O62=T0登记表!$T$41,T0登记表!$I62,0),0))</f>
        <v>0</v>
      </c>
      <c r="AA70" s="142"/>
    </row>
    <row r="71" spans="2:27" ht="18" thickBot="1" x14ac:dyDescent="0.3">
      <c r="B71" s="157"/>
      <c r="C71" s="158"/>
      <c r="D71" s="158"/>
      <c r="E71" s="158"/>
      <c r="F71" s="158"/>
      <c r="G71" s="158"/>
      <c r="H71" s="158"/>
      <c r="I71" s="159"/>
      <c r="K71" s="157"/>
      <c r="L71" s="158"/>
      <c r="M71" s="158"/>
      <c r="N71" s="158"/>
      <c r="O71" s="158"/>
      <c r="P71" s="158"/>
      <c r="Q71" s="158"/>
      <c r="R71" s="159"/>
      <c r="T71" s="74"/>
      <c r="U71" s="149" t="s">
        <v>232</v>
      </c>
      <c r="V71" s="147">
        <f>IF(T0登记表!$C59=1,IF(T0登记表!$G59=T0登记表!$T$41,T0登记表!$B59,0),0)+IF(T0登记表!$C60=1,IF(T0登记表!$G60=T0登记表!$T$41,T0登记表!$B60,0),0)+IF(T0登记表!$C61=1,IF(T0登记表!$G61=T0登记表!$T$41,T0登记表!$B61,0),0)+IF(T0登记表!$C62=1,IF(T0登记表!$G62=T0登记表!$T$41,T0登记表!$B62,0),0)+W61</f>
        <v>0</v>
      </c>
      <c r="W71" s="147">
        <f>IF(T0登记表!$C59=2,IF(T0登记表!$G59=T0登记表!$T$41,T0登记表!$B59,0),0)+IF(T0登记表!$C60=2,IF(T0登记表!$G60=T0登记表!$T$41,T0登记表!$B60,0),0)+IF(T0登记表!$C61=2,IF(T0登记表!$G61=T0登记表!$T$41,T0登记表!$B61,0),0)+IF(T0登记表!$C62=2,IF(T0登记表!$G62=T0登记表!$T$41,T0登记表!$B62,0),0)+X61</f>
        <v>0</v>
      </c>
      <c r="X71" s="147">
        <f>IF(T0登记表!$C59=3,IF(T0登记表!$G59=T0登记表!$T$41,T0登记表!$B59,0),0)+IF(T0登记表!$C60=3,IF(T0登记表!$G60=T0登记表!$T$41,T0登记表!$B60,0),0)+IF(T0登记表!$C61=3,IF(T0登记表!$G61=T0登记表!$T$41,T0登记表!$B61,0),0)+IF(T0登记表!$C62=3,IF(T0登记表!$G62=T0登记表!$T$41,T0登记表!$B62,0),0)+Y61</f>
        <v>0</v>
      </c>
      <c r="Y71" s="147">
        <f>IF(T0登记表!$C59=4,IF(T0登记表!$G59=T0登记表!$T$41,T0登记表!$B59,0),0)+IF(T0登记表!$C60=4,IF(T0登记表!$G60=T0登记表!$T$41,T0登记表!$B60,0),0)+IF(T0登记表!$C61=4,IF(T0登记表!$G61=T0登记表!$T$41,T0登记表!$B61,0),0)+IF(T0登记表!$C62=4,IF(T0登记表!$G62=T0登记表!$T$41,T0登记表!$B62,0),0)+Z61</f>
        <v>0</v>
      </c>
      <c r="Z71" s="147">
        <f>IF(T0登记表!$C59=5,IF(T0登记表!$G59=T0登记表!$T$41,T0登记表!$B59,0),0)+IF(T0登记表!$C60=5,IF(T0登记表!$G60=T0登记表!$T$41,T0登记表!$B60,0),0)+IF(T0登记表!$C61=5,IF(T0登记表!$G61=T0登记表!$T$41,T0登记表!$B61,0),0)+IF(T0登记表!$C62=5,IF(T0登记表!$G62=T0登记表!$T$41,T0登记表!$B62,0),0)</f>
        <v>0</v>
      </c>
      <c r="AA71" s="142"/>
    </row>
    <row r="72" spans="2:27" ht="18" thickBot="1" x14ac:dyDescent="0.3">
      <c r="B72" s="134"/>
      <c r="C72" s="134"/>
      <c r="D72" s="134"/>
      <c r="E72" s="134"/>
      <c r="F72" s="134"/>
      <c r="G72" s="134"/>
      <c r="H72" s="134"/>
      <c r="I72" s="134"/>
      <c r="K72" s="135"/>
      <c r="L72" s="135"/>
      <c r="M72" s="135"/>
      <c r="N72" s="135"/>
      <c r="O72" s="135"/>
      <c r="P72" s="135"/>
      <c r="Q72" s="135"/>
      <c r="R72" s="135"/>
      <c r="T72" s="74"/>
      <c r="U72" s="151" t="s">
        <v>233</v>
      </c>
      <c r="V72" s="147">
        <f>ABS(V70-V71)</f>
        <v>0</v>
      </c>
      <c r="W72" s="147">
        <f>ABS(W70-W71)</f>
        <v>0</v>
      </c>
      <c r="X72" s="147">
        <f>ABS(X70-X71)</f>
        <v>0</v>
      </c>
      <c r="Y72" s="147">
        <f>ABS(Y70-Y71)</f>
        <v>0</v>
      </c>
      <c r="Z72" s="147">
        <f>ABS(Z70-Z71)</f>
        <v>0</v>
      </c>
      <c r="AA72" s="77"/>
    </row>
    <row r="73" spans="2:27" ht="17.399999999999999" x14ac:dyDescent="0.25">
      <c r="B73" s="138"/>
      <c r="C73" s="139"/>
      <c r="D73" s="139"/>
      <c r="E73" s="139"/>
      <c r="F73" s="139"/>
      <c r="G73" s="139"/>
      <c r="H73" s="139"/>
      <c r="I73" s="140"/>
      <c r="K73" s="138"/>
      <c r="L73" s="139"/>
      <c r="M73" s="139"/>
      <c r="N73" s="139"/>
      <c r="O73" s="139"/>
      <c r="P73" s="139"/>
      <c r="Q73" s="139"/>
      <c r="R73" s="140"/>
      <c r="T73" s="74"/>
      <c r="U73" s="152" t="s">
        <v>234</v>
      </c>
      <c r="V73" s="153">
        <v>0.2</v>
      </c>
      <c r="W73" s="153">
        <v>0.3</v>
      </c>
      <c r="X73" s="153">
        <v>0.4</v>
      </c>
      <c r="Y73" s="153">
        <v>0.5</v>
      </c>
      <c r="Z73" s="153">
        <v>0.6</v>
      </c>
      <c r="AA73" s="77"/>
    </row>
    <row r="74" spans="2:27" ht="17.399999999999999" x14ac:dyDescent="0.25">
      <c r="B74" s="143"/>
      <c r="C74" s="144" t="s">
        <v>222</v>
      </c>
      <c r="D74" s="145" t="s">
        <v>216</v>
      </c>
      <c r="E74" s="134"/>
      <c r="F74" s="134"/>
      <c r="G74" s="134"/>
      <c r="H74" s="134"/>
      <c r="I74" s="146"/>
      <c r="K74" s="143"/>
      <c r="L74" s="144" t="s">
        <v>158</v>
      </c>
      <c r="M74" s="145" t="s">
        <v>227</v>
      </c>
      <c r="N74" s="134"/>
      <c r="O74" s="134"/>
      <c r="P74" s="134"/>
      <c r="Q74" s="134"/>
      <c r="R74" s="146"/>
      <c r="T74" s="74"/>
      <c r="U74" s="151" t="s">
        <v>235</v>
      </c>
      <c r="V74" s="154">
        <f>V72*V73</f>
        <v>0</v>
      </c>
      <c r="W74" s="154">
        <f>W72*W73</f>
        <v>0</v>
      </c>
      <c r="X74" s="154">
        <f>X72*X73</f>
        <v>0</v>
      </c>
      <c r="Y74" s="154">
        <f>Y72*Y73</f>
        <v>0</v>
      </c>
      <c r="Z74" s="147">
        <f>Z72*Z73</f>
        <v>0</v>
      </c>
      <c r="AA74" s="77"/>
    </row>
    <row r="75" spans="2:27" ht="17.399999999999999" x14ac:dyDescent="0.25">
      <c r="B75" s="143"/>
      <c r="C75" s="148" t="s">
        <v>223</v>
      </c>
      <c r="D75" s="141" t="s">
        <v>218</v>
      </c>
      <c r="E75" s="141" t="s">
        <v>202</v>
      </c>
      <c r="F75" s="141" t="s">
        <v>219</v>
      </c>
      <c r="G75" s="141" t="s">
        <v>204</v>
      </c>
      <c r="H75" s="141" t="s">
        <v>205</v>
      </c>
      <c r="I75" s="146"/>
      <c r="K75" s="143"/>
      <c r="L75" s="148" t="s">
        <v>214</v>
      </c>
      <c r="M75" s="141" t="s">
        <v>201</v>
      </c>
      <c r="N75" s="141" t="s">
        <v>202</v>
      </c>
      <c r="O75" s="141" t="s">
        <v>203</v>
      </c>
      <c r="P75" s="141" t="s">
        <v>204</v>
      </c>
      <c r="Q75" s="141" t="s">
        <v>205</v>
      </c>
      <c r="R75" s="146"/>
      <c r="T75" s="74"/>
      <c r="U75" s="69"/>
      <c r="V75" s="78" t="s">
        <v>236</v>
      </c>
      <c r="W75" s="86">
        <f>SUM(V74:Z74)</f>
        <v>0</v>
      </c>
      <c r="X75" s="76"/>
      <c r="Y75" s="76"/>
      <c r="Z75" s="76"/>
      <c r="AA75" s="77"/>
    </row>
    <row r="76" spans="2:27" ht="18" thickBot="1" x14ac:dyDescent="0.3">
      <c r="B76" s="143"/>
      <c r="C76" s="148" t="s">
        <v>206</v>
      </c>
      <c r="D76" s="150">
        <f>E69</f>
        <v>0</v>
      </c>
      <c r="E76" s="150">
        <f>F69</f>
        <v>0</v>
      </c>
      <c r="F76" s="150">
        <f>G69</f>
        <v>0</v>
      </c>
      <c r="G76" s="150">
        <f>H69</f>
        <v>0</v>
      </c>
      <c r="H76" s="150"/>
      <c r="I76" s="146"/>
      <c r="K76" s="143"/>
      <c r="L76" s="148" t="s">
        <v>206</v>
      </c>
      <c r="M76" s="150">
        <f>N69</f>
        <v>0</v>
      </c>
      <c r="N76" s="150">
        <f>O69</f>
        <v>0</v>
      </c>
      <c r="O76" s="150">
        <f>P69</f>
        <v>0</v>
      </c>
      <c r="P76" s="150">
        <f>Q69</f>
        <v>0</v>
      </c>
      <c r="Q76" s="150"/>
      <c r="R76" s="146"/>
      <c r="T76" s="87"/>
      <c r="U76" s="88"/>
      <c r="V76" s="88"/>
      <c r="W76" s="88"/>
      <c r="X76" s="88"/>
      <c r="Y76" s="88"/>
      <c r="Z76" s="88"/>
      <c r="AA76" s="89"/>
    </row>
    <row r="77" spans="2:27" ht="18" thickBot="1" x14ac:dyDescent="0.3">
      <c r="B77" s="143"/>
      <c r="C77" s="148" t="s">
        <v>207</v>
      </c>
      <c r="D77" s="150">
        <f>IF(T0登记表!$C$65=1,IF(T0登记表!$F$65=T0登记表!$T$15,T0登记表!$B$65*0.18,IF(T0登记表!$F$65=T0登记表!$T$16,T0登记表!$B$65*0.12,0)),0)+IF(T0登记表!$C$66=1,IF(T0登记表!$F$66=T0登记表!$T$15,T0登记表!$B$66*0.18,IF(T0登记表!$F$66=T0登记表!$T$16,T0登记表!$B$66*0.12,0)),0)+IF(T0登记表!$C$67=1,IF(T0登记表!$F$67=T0登记表!$T$15,T0登记表!$B$67*0.18,IF(T0登记表!$F$67=T0登记表!$T$16,T0登记表!$B$67*0.12,0)),0)+IF(T0登记表!$C$68=1,IF(T0登记表!$F$68=T0登记表!$T$15,T0登记表!$B$68*0.18,IF(T0登记表!$F$68=T0登记表!$T$16,T0登记表!$B$68*0.12,0)),0)</f>
        <v>0</v>
      </c>
      <c r="E77" s="150">
        <f>IF(T0登记表!$C$65=2,IF(T0登记表!$F$65=T0登记表!$T$15,T0登记表!$B$65*0.18,IF(T0登记表!$F$65=T0登记表!$T$16,T0登记表!$B$65*0.12,0)),0)+IF(T0登记表!$C$66=2,IF(T0登记表!$F$66=T0登记表!$T$15,T0登记表!$B$66*0.18,IF(T0登记表!$F$66=T0登记表!$T$16,T0登记表!$B$66*0.12,0)),0)+IF(T0登记表!$C$67=2,IF(T0登记表!$F$67=T0登记表!$T$15,T0登记表!$B$67*0.18,IF(T0登记表!$F$67=T0登记表!$T$16,T0登记表!$B$67*0.12,0)),0)+IF(T0登记表!$C$68=2,IF(T0登记表!$F$68=T0登记表!$T$15,T0登记表!$B$68*0.18,IF(T0登记表!$F$68=T0登记表!$T$16,T0登记表!$B$68*0.12,0)),0)</f>
        <v>0</v>
      </c>
      <c r="F77" s="150">
        <f>IF(T0登记表!$C$65=3,IF(T0登记表!$F$65=T0登记表!$T$15,T0登记表!$B$65*0.18,IF(T0登记表!$F$65=T0登记表!$T$16,T0登记表!$B$65*0.12,0)),0)+IF(T0登记表!$C$66=3,IF(T0登记表!$F$66=T0登记表!$T$15,T0登记表!$B$66*0.18,IF(T0登记表!$F$66=T0登记表!$T$16,T0登记表!$B$66*0.12,0)),0)+IF(T0登记表!$C$67=3,IF(T0登记表!$F$67=T0登记表!$T$15,T0登记表!$B$67*0.18,IF(T0登记表!$F$67=T0登记表!$T$16,T0登记表!$B$67*0.12,0)),0)+IF(T0登记表!$C$68=3,IF(T0登记表!$F$68=T0登记表!$T$15,T0登记表!$B$68*0.18,IF(T0登记表!$F$68=T0登记表!$T$16,T0登记表!$B$68*0.12,0)),0)</f>
        <v>0</v>
      </c>
      <c r="G77" s="150">
        <f>IF(T0登记表!$C$65=4,IF(T0登记表!$F$65=T0登记表!$T$15,T0登记表!$B$65*0.18,IF(T0登记表!$F$65=T0登记表!$T$16,T0登记表!$B$65*0.12,0)),0)+IF(T0登记表!$C$66=4,IF(T0登记表!$F$66=T0登记表!$T$15,T0登记表!$B$66*0.18,IF(T0登记表!$F$66=T0登记表!$T$16,T0登记表!$B$66*0.12,0)),0)+IF(T0登记表!$C$67=4,IF(T0登记表!$F$67=T0登记表!$T$15,T0登记表!$B$67*0.18,IF(T0登记表!$F$67=T0登记表!$T$16,T0登记表!$B$67*0.12,0)),0)+IF(T0登记表!$C$68=4,IF(T0登记表!$F$68=T0登记表!$T$15,T0登记表!$B$68*0.18,IF(T0登记表!$F$68=T0登记表!$T$16,T0登记表!$B$68*0.12,0)),0)</f>
        <v>0</v>
      </c>
      <c r="H77" s="150">
        <f>IF(T0登记表!$C$65=5,IF(T0登记表!$F$65=T0登记表!$T$15,T0登记表!$B$65*0.18,IF(T0登记表!$F$65=T0登记表!$T$16,T0登记表!$B$65*0.12,0)),0)+IF(T0登记表!$C$66=5,IF(T0登记表!$F$66=T0登记表!$T$15,T0登记表!$B$66*0.18,IF(T0登记表!$F$66=T0登记表!$T$16,T0登记表!$B$66*0.12,0)),0)+IF(T0登记表!$C$67=5,IF(T0登记表!$F$67=T0登记表!$T$15,T0登记表!$B$67*0.18,IF(T0登记表!$F$67=T0登记表!$T$16,T0登记表!$B$67*0.12,0)),0)+IF(T0登记表!$C$68=5,IF(T0登记表!$F$68=T0登记表!$T$15,T0登记表!$B$68*0.18,IF(T0登记表!$F$68=T0登记表!$T$16,T0登记表!$B$68*0.12,0)),0)</f>
        <v>0</v>
      </c>
      <c r="I77" s="146"/>
      <c r="K77" s="143"/>
      <c r="L77" s="148" t="s">
        <v>207</v>
      </c>
      <c r="M77" s="150">
        <f>IF(T0登记表!$J65=1,T0登记表!$V65,0)+IF(T0登记表!$J66=1,T0登记表!$V66,0)+IF(T0登记表!$J67=1,T0登记表!$V67,0)+IF(T0登记表!$J68=1,T0登记表!$V68,0)</f>
        <v>0</v>
      </c>
      <c r="N77" s="150">
        <f>IF(T0登记表!$J65=2,T0登记表!$V65,0)+IF(T0登记表!$J66=2,T0登记表!$V66,0)+IF(T0登记表!$J67=2,T0登记表!$V67,0)+IF(T0登记表!$J68=2,T0登记表!$V68,0)</f>
        <v>0</v>
      </c>
      <c r="O77" s="150">
        <f>IF(T0登记表!$J65=3,T0登记表!$V65,0)+IF(T0登记表!$J66=3,T0登记表!$V66,0)+IF(T0登记表!$J67=3,T0登记表!$V67,0)+IF(T0登记表!$J68=3,T0登记表!$V68,0)</f>
        <v>0</v>
      </c>
      <c r="P77" s="150">
        <f>IF(T0登记表!$J65=4,T0登记表!$V65,0)+IF(T0登记表!$J66=4,T0登记表!$V66,0)+IF(T0登记表!$J67=4,T0登记表!$V67,0)+IF(T0登记表!$J68=4,T0登记表!$V68,0)</f>
        <v>0</v>
      </c>
      <c r="Q77" s="150">
        <f>IF(T0登记表!$J65=5,T0登记表!$V65,0)+IF(T0登记表!$J66=5,T0登记表!$V66,0)+IF(T0登记表!$J67=5,T0登记表!$V67,0)+IF(T0登记表!$J68=5,T0登记表!$V68,0)</f>
        <v>0</v>
      </c>
      <c r="R77" s="146"/>
      <c r="T77" s="69"/>
      <c r="U77" s="69"/>
      <c r="V77" s="69"/>
      <c r="W77" s="69"/>
      <c r="X77" s="69"/>
      <c r="Y77" s="69"/>
      <c r="Z77" s="69"/>
      <c r="AA77" s="69"/>
    </row>
    <row r="78" spans="2:27" ht="17.399999999999999" x14ac:dyDescent="0.25">
      <c r="B78" s="143"/>
      <c r="C78" s="148" t="s">
        <v>213</v>
      </c>
      <c r="D78" s="150">
        <f>D76+D77</f>
        <v>0</v>
      </c>
      <c r="E78" s="150">
        <f>E76+E77</f>
        <v>0</v>
      </c>
      <c r="F78" s="150">
        <f>F76+F77</f>
        <v>0</v>
      </c>
      <c r="G78" s="150">
        <f>G76+G77</f>
        <v>0</v>
      </c>
      <c r="H78" s="150">
        <f>H76+H77</f>
        <v>0</v>
      </c>
      <c r="I78" s="146"/>
      <c r="K78" s="143"/>
      <c r="L78" s="148" t="s">
        <v>213</v>
      </c>
      <c r="M78" s="150">
        <f>M76+M77</f>
        <v>0</v>
      </c>
      <c r="N78" s="150">
        <f>N76+N77</f>
        <v>0</v>
      </c>
      <c r="O78" s="150">
        <f>O76+O77</f>
        <v>0</v>
      </c>
      <c r="P78" s="150">
        <f>P76+P77</f>
        <v>0</v>
      </c>
      <c r="Q78" s="150">
        <f>Q76+Q77</f>
        <v>0</v>
      </c>
      <c r="R78" s="146"/>
      <c r="T78" s="71"/>
      <c r="U78" s="72"/>
      <c r="V78" s="72"/>
      <c r="W78" s="72"/>
      <c r="X78" s="72"/>
      <c r="Y78" s="72"/>
      <c r="Z78" s="72"/>
      <c r="AA78" s="73"/>
    </row>
    <row r="79" spans="2:27" ht="17.399999999999999" x14ac:dyDescent="0.25">
      <c r="B79" s="143"/>
      <c r="C79" s="155" t="s">
        <v>497</v>
      </c>
      <c r="D79" s="156">
        <f>SUM(D78:H78)</f>
        <v>0</v>
      </c>
      <c r="E79" s="134"/>
      <c r="F79" s="134"/>
      <c r="G79" s="134"/>
      <c r="H79" s="134"/>
      <c r="I79" s="146"/>
      <c r="K79" s="143"/>
      <c r="L79" s="155" t="s">
        <v>496</v>
      </c>
      <c r="M79" s="156">
        <f>SUM(M78:Q78)</f>
        <v>0</v>
      </c>
      <c r="N79" s="134"/>
      <c r="O79" s="134"/>
      <c r="P79" s="134"/>
      <c r="Q79" s="134"/>
      <c r="R79" s="146"/>
      <c r="T79" s="74"/>
      <c r="U79" s="75" t="s">
        <v>125</v>
      </c>
      <c r="V79" s="141" t="s">
        <v>201</v>
      </c>
      <c r="W79" s="141" t="s">
        <v>202</v>
      </c>
      <c r="X79" s="141" t="s">
        <v>203</v>
      </c>
      <c r="Y79" s="141" t="s">
        <v>204</v>
      </c>
      <c r="Z79" s="141" t="s">
        <v>205</v>
      </c>
      <c r="AA79" s="142"/>
    </row>
    <row r="80" spans="2:27" ht="18" thickBot="1" x14ac:dyDescent="0.3">
      <c r="B80" s="157"/>
      <c r="C80" s="158"/>
      <c r="D80" s="158"/>
      <c r="E80" s="158"/>
      <c r="F80" s="158"/>
      <c r="G80" s="158"/>
      <c r="H80" s="158"/>
      <c r="I80" s="159"/>
      <c r="K80" s="157"/>
      <c r="L80" s="158"/>
      <c r="M80" s="158"/>
      <c r="N80" s="158"/>
      <c r="O80" s="158"/>
      <c r="P80" s="158"/>
      <c r="Q80" s="158"/>
      <c r="R80" s="159"/>
      <c r="T80" s="74"/>
      <c r="U80" s="78" t="s">
        <v>231</v>
      </c>
      <c r="V80" s="147">
        <f>IF(T0登记表!$P65=T0登记表!$T$38,0,IF(T0登记表!$J65=1,IF(T0登记表!$O65=T0登记表!$T$41,T0登记表!$I65,0),0))+IF(T0登记表!$P66=T0登记表!$T$38,0,IF(T0登记表!$J66=1,IF(T0登记表!$O66=T0登记表!$T$41,T0登记表!$I66,0),0))+IF(T0登记表!$P67=T0登记表!$T$38,0,IF(T0登记表!$J67=1,IF(T0登记表!$O67=T0登记表!$T$41,T0登记表!$I67,0),0))+IF(T0登记表!$P68=T0登记表!$T$38,0,IF(T0登记表!$J68=1,IF(T0登记表!$O68=T0登记表!$T$41,T0登记表!$I68,0),0))+W70</f>
        <v>0</v>
      </c>
      <c r="W80" s="147">
        <f>IF(T0登记表!$P65=T0登记表!$T$38,0,IF(T0登记表!$J65=2,IF(T0登记表!$O65=T0登记表!$T$41,T0登记表!$I65,0),0))+IF(T0登记表!$P66=T0登记表!$T$38,0,IF(T0登记表!$J66=2,IF(T0登记表!$O66=T0登记表!$T$41,T0登记表!$I66,0),0))+IF(T0登记表!$P67=T0登记表!$T$38,0,IF(T0登记表!$J67=2,IF(T0登记表!$O67=T0登记表!$T$41,T0登记表!$I67,0),0))+IF(T0登记表!$P68=T0登记表!$T$38,0,IF(T0登记表!$J68=2,IF(T0登记表!$O68=T0登记表!$T$41,T0登记表!$I68,0),0))+X70</f>
        <v>0</v>
      </c>
      <c r="X80" s="147">
        <f>IF(T0登记表!$P65=T0登记表!$T$38,0,IF(T0登记表!$J65=3,IF(T0登记表!$O65=T0登记表!$T$41,T0登记表!$I65,0),0))+IF(T0登记表!$P66=T0登记表!$T$38,0,IF(T0登记表!$J66=3,IF(T0登记表!$O66=T0登记表!$T$41,T0登记表!$I66,0),0))+IF(T0登记表!$P67=T0登记表!$T$38,0,IF(T0登记表!$J67=3,IF(T0登记表!$O67=T0登记表!$T$41,T0登记表!$I67,0),0))+IF(T0登记表!$P68=T0登记表!$T$38,0,IF(T0登记表!$J68=3,IF(T0登记表!$O68=T0登记表!$T$41,T0登记表!$I68,0),0))+Y70</f>
        <v>0</v>
      </c>
      <c r="Y80" s="147">
        <f>IF(T0登记表!$P65=T0登记表!$T$38,0,IF(T0登记表!$J65=4,IF(T0登记表!$O65=T0登记表!$T$41,T0登记表!$I65,0),0))+IF(T0登记表!$P66=T0登记表!$T$38,0,IF(T0登记表!$J66=4,IF(T0登记表!$O66=T0登记表!$T$41,T0登记表!$I66,0),0))+IF(T0登记表!$P67=T0登记表!$T$38,0,IF(T0登记表!$J67=4,IF(T0登记表!$O67=T0登记表!$T$41,T0登记表!$I67,0),0))+IF(T0登记表!$P68=T0登记表!$T$38,0,IF(T0登记表!$J68=4,IF(T0登记表!$O68=T0登记表!$T$41,T0登记表!$I68,0),0))+Z70</f>
        <v>0</v>
      </c>
      <c r="Z80" s="147">
        <f>IF(T0登记表!$P65=T0登记表!$T$38,0,IF(T0登记表!$J65=5,IF(T0登记表!$O65=T0登记表!$T$41,T0登记表!$I65,0),0))+IF(T0登记表!$P66=T0登记表!$T$38,0,IF(T0登记表!$J66=5,IF(T0登记表!$O66=T0登记表!$T$41,T0登记表!$I66,0),0))+IF(T0登记表!$P67=T0登记表!$T$38,0,IF(T0登记表!$J67=5,IF(T0登记表!$O67=T0登记表!$T$41,T0登记表!$I67,0),0))+IF(T0登记表!$P68=T0登记表!$T$38,0,IF(T0登记表!$J68=5,IF(T0登记表!$O68=T0登记表!$T$41,T0登记表!$I68,0),0))</f>
        <v>0</v>
      </c>
      <c r="AA80" s="142"/>
    </row>
    <row r="81" spans="20:27" ht="17.399999999999999" x14ac:dyDescent="0.25">
      <c r="T81" s="74"/>
      <c r="U81" s="149" t="s">
        <v>232</v>
      </c>
      <c r="V81" s="147">
        <f>IF(T0登记表!$C65=1,IF(T0登记表!$G65=T0登记表!$T$41,T0登记表!$B65,0),0)+IF(T0登记表!$C66=1,IF(T0登记表!$G66=T0登记表!$T$41,T0登记表!$B66,0),0)+IF(T0登记表!$C67=1,IF(T0登记表!$G67=T0登记表!$T$41,T0登记表!$B67,0),0)+IF(T0登记表!$C68=1,IF(T0登记表!$G68=T0登记表!$T$41,T0登记表!$B68,0),0)+W71</f>
        <v>0</v>
      </c>
      <c r="W81" s="147">
        <f>IF(T0登记表!$C65=2,IF(T0登记表!$G65=T0登记表!$T$41,T0登记表!$B65,0),0)+IF(T0登记表!$C66=2,IF(T0登记表!$G66=T0登记表!$T$41,T0登记表!$B66,0),0)+IF(T0登记表!$C67=2,IF(T0登记表!$G67=T0登记表!$T$41,T0登记表!$B67,0),0)+IF(T0登记表!$C68=2,IF(T0登记表!$G68=T0登记表!$T$41,T0登记表!$B68,0),0)+X71</f>
        <v>0</v>
      </c>
      <c r="X81" s="147">
        <f>IF(T0登记表!$C65=3,IF(T0登记表!$G65=T0登记表!$T$41,T0登记表!$B65,0),0)+IF(T0登记表!$C66=3,IF(T0登记表!$G66=T0登记表!$T$41,T0登记表!$B66,0),0)+IF(T0登记表!$C67=3,IF(T0登记表!$G67=T0登记表!$T$41,T0登记表!$B67,0),0)+IF(T0登记表!$C68=3,IF(T0登记表!$G68=T0登记表!$T$41,T0登记表!$B68,0),0)+Y71</f>
        <v>0</v>
      </c>
      <c r="Y81" s="147">
        <f>IF(T0登记表!$C65=4,IF(T0登记表!$G65=T0登记表!$T$41,T0登记表!$B65,0),0)+IF(T0登记表!$C66=4,IF(T0登记表!$G66=T0登记表!$T$41,T0登记表!$B66,0),0)+IF(T0登记表!$C67=4,IF(T0登记表!$G67=T0登记表!$T$41,T0登记表!$B67,0),0)+IF(T0登记表!$C68=4,IF(T0登记表!$G68=T0登记表!$T$41,T0登记表!$B68,0),0)+Z71</f>
        <v>0</v>
      </c>
      <c r="Z81" s="147">
        <f>IF(T0登记表!$C65=5,IF(T0登记表!$G65=T0登记表!$T$41,T0登记表!$B65,0),0)+IF(T0登记表!$C66=5,IF(T0登记表!$G66=T0登记表!$T$41,T0登记表!$B66,0),0)+IF(T0登记表!$C67=5,IF(T0登记表!$G67=T0登记表!$T$41,T0登记表!$B67,0),0)+IF(T0登记表!$C68=5,IF(T0登记表!$G68=T0登记表!$T$41,T0登记表!$B68,0),0)</f>
        <v>0</v>
      </c>
      <c r="AA81" s="142"/>
    </row>
    <row r="82" spans="20:27" ht="17.399999999999999" x14ac:dyDescent="0.25">
      <c r="T82" s="74"/>
      <c r="U82" s="151" t="s">
        <v>233</v>
      </c>
      <c r="V82" s="147">
        <f>ABS(V80-V81)</f>
        <v>0</v>
      </c>
      <c r="W82" s="147">
        <f>ABS(W80-W81)</f>
        <v>0</v>
      </c>
      <c r="X82" s="147">
        <f>ABS(X80-X81)</f>
        <v>0</v>
      </c>
      <c r="Y82" s="147">
        <f>ABS(Y80-Y81)</f>
        <v>0</v>
      </c>
      <c r="Z82" s="147">
        <f>ABS(Z80-Z81)</f>
        <v>0</v>
      </c>
      <c r="AA82" s="77"/>
    </row>
    <row r="83" spans="20:27" ht="17.399999999999999" x14ac:dyDescent="0.25">
      <c r="T83" s="74"/>
      <c r="U83" s="152" t="s">
        <v>234</v>
      </c>
      <c r="V83" s="153">
        <v>0.2</v>
      </c>
      <c r="W83" s="153">
        <v>0.3</v>
      </c>
      <c r="X83" s="153">
        <v>0.4</v>
      </c>
      <c r="Y83" s="153">
        <v>0.5</v>
      </c>
      <c r="Z83" s="153">
        <v>0.6</v>
      </c>
      <c r="AA83" s="77"/>
    </row>
    <row r="84" spans="20:27" ht="17.399999999999999" x14ac:dyDescent="0.25">
      <c r="T84" s="74"/>
      <c r="U84" s="151" t="s">
        <v>235</v>
      </c>
      <c r="V84" s="154">
        <f>V82*V83</f>
        <v>0</v>
      </c>
      <c r="W84" s="154">
        <f>W82*W83</f>
        <v>0</v>
      </c>
      <c r="X84" s="154">
        <f>X82*X83</f>
        <v>0</v>
      </c>
      <c r="Y84" s="154">
        <f>Y82*Y83</f>
        <v>0</v>
      </c>
      <c r="Z84" s="147">
        <f>Z82*Z83</f>
        <v>0</v>
      </c>
      <c r="AA84" s="77"/>
    </row>
    <row r="85" spans="20:27" ht="17.399999999999999" x14ac:dyDescent="0.25">
      <c r="T85" s="74"/>
      <c r="U85" s="69"/>
      <c r="V85" s="78" t="s">
        <v>236</v>
      </c>
      <c r="W85" s="86">
        <f>SUM(V84:Z84)</f>
        <v>0</v>
      </c>
      <c r="X85" s="76"/>
      <c r="Y85" s="76"/>
      <c r="Z85" s="76"/>
      <c r="AA85" s="77"/>
    </row>
    <row r="86" spans="20:27" ht="18" thickBot="1" x14ac:dyDescent="0.3">
      <c r="T86" s="87"/>
      <c r="U86" s="88"/>
      <c r="V86" s="88"/>
      <c r="W86" s="88"/>
      <c r="X86" s="88"/>
      <c r="Y86" s="88"/>
      <c r="Z86" s="88"/>
      <c r="AA86" s="89"/>
    </row>
  </sheetData>
  <sheetProtection selectLockedCells="1"/>
  <mergeCells count="4">
    <mergeCell ref="B3:I4"/>
    <mergeCell ref="D5:H5"/>
    <mergeCell ref="K3:R4"/>
    <mergeCell ref="T3:AA4"/>
  </mergeCells>
  <phoneticPr fontId="4"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sheetPr>
  <dimension ref="B1:L40"/>
  <sheetViews>
    <sheetView zoomScale="80" zoomScaleNormal="80" workbookViewId="0">
      <selection activeCell="C7" sqref="C7"/>
    </sheetView>
  </sheetViews>
  <sheetFormatPr defaultColWidth="8.77734375" defaultRowHeight="14.4" x14ac:dyDescent="0.25"/>
  <cols>
    <col min="1" max="1" customWidth="true" style="66" width="5.21875" collapsed="true"/>
    <col min="2" max="2" customWidth="true" style="66" width="22.0" collapsed="true"/>
    <col min="3" max="10" customWidth="true" style="92" width="11.0" collapsed="true"/>
    <col min="11" max="16384" style="66" width="8.77734375" collapsed="true"/>
  </cols>
  <sheetData>
    <row r="1" spans="2:11" ht="23.4" x14ac:dyDescent="0.5">
      <c r="C1" s="93" t="s">
        <v>350</v>
      </c>
      <c r="D1" s="116" t="str">
        <f>T0登记表!K1</f>
        <v>abc</v>
      </c>
    </row>
    <row r="2" spans="2:11" ht="23.4" x14ac:dyDescent="0.25">
      <c r="B2" s="532" t="s">
        <v>237</v>
      </c>
      <c r="C2" s="533"/>
      <c r="D2" s="533"/>
      <c r="E2" s="533"/>
      <c r="F2" s="533"/>
      <c r="G2" s="533"/>
      <c r="H2" s="533"/>
      <c r="I2" s="533"/>
      <c r="J2" s="533"/>
    </row>
    <row r="3" spans="2:11" ht="20.399999999999999" x14ac:dyDescent="0.25">
      <c r="B3" s="128" t="s">
        <v>238</v>
      </c>
      <c r="C3" s="129" t="s">
        <v>239</v>
      </c>
      <c r="D3" s="129" t="s">
        <v>240</v>
      </c>
      <c r="E3" s="129" t="s">
        <v>241</v>
      </c>
      <c r="F3" s="129" t="s">
        <v>242</v>
      </c>
      <c r="G3" s="129" t="s">
        <v>243</v>
      </c>
      <c r="H3" s="129" t="s">
        <v>244</v>
      </c>
      <c r="I3" s="129" t="s">
        <v>245</v>
      </c>
      <c r="J3" s="129" t="s">
        <v>246</v>
      </c>
    </row>
    <row r="4" spans="2:11" ht="20.399999999999999" x14ac:dyDescent="0.25">
      <c r="B4" s="130" t="s">
        <v>247</v>
      </c>
      <c r="C4" s="129">
        <f>T0登记表!D4</f>
        <v>8000</v>
      </c>
      <c r="D4" s="129">
        <f>C38</f>
        <v>-4559.3999999999996</v>
      </c>
      <c r="E4" s="129">
        <f t="shared" ref="E4:J4" si="0">D38</f>
        <v>14747.820000000002</v>
      </c>
      <c r="F4" s="129">
        <f t="shared" si="0"/>
        <v>27828.17</v>
      </c>
      <c r="G4" s="129">
        <f t="shared" si="0"/>
        <v>41369.519999999997</v>
      </c>
      <c r="H4" s="129">
        <f t="shared" si="0"/>
        <v>59959.519999999997</v>
      </c>
      <c r="I4" s="129">
        <f t="shared" si="0"/>
        <v>79380.51999999999</v>
      </c>
      <c r="J4" s="129">
        <f t="shared" si="0"/>
        <v>92000.76999999999</v>
      </c>
    </row>
    <row r="5" spans="2:11" ht="20.399999999999999" x14ac:dyDescent="0.25">
      <c r="B5" s="131" t="s">
        <v>248</v>
      </c>
      <c r="C5" s="122">
        <f t="shared" ref="C5:J5" si="1">SUM(C6:C19)</f>
        <v>265</v>
      </c>
      <c r="D5" s="122">
        <f t="shared" si="1"/>
        <v>22514.620000000003</v>
      </c>
      <c r="E5" s="122">
        <f t="shared" si="1"/>
        <v>16455.349999999999</v>
      </c>
      <c r="F5" s="122">
        <f t="shared" si="1"/>
        <v>18209.349999999999</v>
      </c>
      <c r="G5" s="122">
        <f t="shared" si="1"/>
        <v>22265</v>
      </c>
      <c r="H5" s="122">
        <f t="shared" si="1"/>
        <v>24019</v>
      </c>
      <c r="I5" s="122">
        <f t="shared" si="1"/>
        <v>16265.25</v>
      </c>
      <c r="J5" s="122">
        <f t="shared" si="1"/>
        <v>18019.25</v>
      </c>
    </row>
    <row r="6" spans="2:11" ht="15.6" x14ac:dyDescent="0.25">
      <c r="B6" s="325" t="s">
        <v>609</v>
      </c>
      <c r="C6" s="122">
        <v>0</v>
      </c>
      <c r="D6" s="122">
        <f>T0登记表!E4</f>
        <v>8953</v>
      </c>
      <c r="E6" s="122">
        <f>T0登记表!F4</f>
        <v>8000</v>
      </c>
      <c r="F6" s="122">
        <f>T0登记表!G4</f>
        <v>8953</v>
      </c>
      <c r="G6" s="122">
        <f>T0登记表!H4</f>
        <v>8000</v>
      </c>
      <c r="H6" s="122">
        <f>T0登记表!I4</f>
        <v>8953</v>
      </c>
      <c r="I6" s="122">
        <f>T0登记表!J4</f>
        <v>8000</v>
      </c>
      <c r="J6" s="122">
        <f>T0登记表!K4</f>
        <v>8953</v>
      </c>
    </row>
    <row r="7" spans="2:11" ht="15.6" x14ac:dyDescent="0.25">
      <c r="B7" s="325" t="s">
        <v>610</v>
      </c>
      <c r="C7" s="122">
        <f>T0登记表!$B$25+T0登记表!$B$26</f>
        <v>0</v>
      </c>
      <c r="D7" s="122">
        <f>SUM(T0登记表!$B29:$B32)</f>
        <v>0</v>
      </c>
      <c r="E7" s="122">
        <f>SUM(T0登记表!$B35:$B38)</f>
        <v>0</v>
      </c>
      <c r="F7" s="122">
        <f>SUM(T0登记表!$B41:$B44)</f>
        <v>0</v>
      </c>
      <c r="G7" s="122">
        <f>SUM(T0登记表!$B47:$B50)</f>
        <v>0</v>
      </c>
      <c r="H7" s="122">
        <f>SUM(T0登记表!$B53:$B56)</f>
        <v>0</v>
      </c>
      <c r="I7" s="122">
        <f>SUM(T0登记表!$B59:$B62)</f>
        <v>0</v>
      </c>
      <c r="J7" s="122">
        <f>SUM(T0登记表!$B65:$B68)</f>
        <v>0</v>
      </c>
    </row>
    <row r="8" spans="2:11" ht="15.6" x14ac:dyDescent="0.25">
      <c r="B8" s="325" t="s">
        <v>611</v>
      </c>
      <c r="C8" s="122">
        <v>0</v>
      </c>
      <c r="D8" s="122">
        <f>IF(AND(OR(T0登记表!$P$25=T0登记表!$T$36,T0登记表!$P$25=T0登记表!$T$37),T0登记表!$J$25=1),T0登记表!$I$25,0)+IF(AND(OR(T0登记表!$P$26=T0登记表!$T$37,T0登记表!$P$26=T0登记表!$T$36),T0登记表!$J$26=1),T0登记表!$I$26,0)</f>
        <v>4231</v>
      </c>
      <c r="E8" s="122">
        <f>IF(AND(OR(T0登记表!$P$25=T0登记表!$T$36,T0登记表!$P$25=T0登记表!$T$37),T0登记表!$J$25=2),T0登记表!$I$25,0)+IF(AND(OR(T0登记表!$P$26=T0登记表!$T$37,T0登记表!$P$26=T0登记表!$T$36),T0登记表!$J$26=2),T0登记表!$I$26,0)+IF(AND(OR(T0登记表!$P$29=T0登记表!$T$36,T0登记表!$P$29=T0登记表!$T$37),T0登记表!$J$29=1),T0登记表!$I$29,0)+IF(AND(OR(T0登记表!$P$30=T0登记表!$T$37,T0登记表!$P$30=T0登记表!$T$36),T0登记表!$J$30=1),T0登记表!$I$30,0)+IF(AND(OR(T0登记表!$P$31=T0登记表!$T$36,T0登记表!$P$31=T0登记表!$T$37),T0登记表!$J$31=1),T0登记表!$I$31,0)+IF(AND(OR(T0登记表!$P$32=T0登记表!$T$37,T0登记表!$P$32=T0登记表!$T$36),T0登记表!$J$32=1),T0登记表!$I$32,0)</f>
        <v>0</v>
      </c>
      <c r="F8" s="122">
        <f>IF(AND(OR(T0登记表!$P$25=T0登记表!$T$36,T0登记表!$P$25=T0登记表!$T$37),T0登记表!$J$25=3),T0登记表!$I$25,0)+IF(AND(OR(T0登记表!$P$26=T0登记表!$T$37,T0登记表!$P$26=T0登记表!$T$36),T0登记表!$J$26=3),T0登记表!$I$26,0)+IF(AND(OR(T0登记表!$P$29=T0登记表!$T$36,T0登记表!$P$29=T0登记表!$T$37),T0登记表!$J$29=2),T0登记表!$I$29,0)+IF(AND(OR(T0登记表!$P$30=T0登记表!$T$37,T0登记表!$P$30=T0登记表!$T$36),T0登记表!$J$30=2),T0登记表!$I$30,0)+IF(AND(OR(T0登记表!$P$31=T0登记表!$T$36,T0登记表!$P$31=T0登记表!$T$37),T0登记表!$J$31=2),T0登记表!$I$31,0)+IF(AND(OR(T0登记表!$P$32=T0登记表!$T$37,T0登记表!$P$32=T0登记表!$T$36),T0登记表!$J$32=2),T0登记表!$I$32,0)+IF(AND(OR(T0登记表!$P$35=T0登记表!$T$36,T0登记表!$P$35=T0登记表!$T$37),T0登记表!$J$35=1),T0登记表!$I$35,0)+IF(AND(OR(T0登记表!$P$36=T0登记表!$T$37,T0登记表!$P$36=T0登记表!$T$36),T0登记表!$J$36=1),T0登记表!$I$36,0)+IF(AND(OR(T0登记表!$P$37=T0登记表!$T$36,T0登记表!$P$37=T0登记表!$T$37),T0登记表!$J$37=1),T0登记表!$I$37,0)+IF(AND(OR(T0登记表!$P$38=T0登记表!$T$37,T0登记表!$P$38=T0登记表!$T$36),T0登记表!$J$38=1),T0登记表!$I$38,0)</f>
        <v>0</v>
      </c>
      <c r="G8" s="122">
        <f>IF(AND(OR(T0登记表!$P$25=T0登记表!$T$36,T0登记表!$P$25=T0登记表!$T$37),T0登记表!$J$25=4),T0登记表!$I$25,0)+IF(AND(OR(T0登记表!$P$26=T0登记表!$T$37,T0登记表!$P$26=T0登记表!$T$36),T0登记表!$J$26=4),T0登记表!$I$26,0)+IF(AND(OR(T0登记表!$P$29=T0登记表!$T$36,T0登记表!$P$29=T0登记表!$T$37),T0登记表!$J$29=3),T0登记表!$I$29,0)+IF(AND(OR(T0登记表!$P$30=T0登记表!$T$37,T0登记表!$P$30=T0登记表!$T$36),T0登记表!$J$30=3),T0登记表!$I$30,0)+IF(AND(OR(T0登记表!$P$31=T0登记表!$T$36,T0登记表!$P$31=T0登记表!$T$37),T0登记表!$J$31=3),T0登记表!$I$31,0)+IF(AND(OR(T0登记表!$P$32=T0登记表!$T$37,T0登记表!$P$32=T0登记表!$T$36),T0登记表!$J$32=3),T0登记表!$I$32,0)+IF(AND(OR(T0登记表!$P$35=T0登记表!$T$36,T0登记表!$P$35=T0登记表!$T$37),T0登记表!$J$35=2),T0登记表!$I$35,0)+IF(AND(OR(T0登记表!$P$36=T0登记表!$T$37,T0登记表!$P$36=T0登记表!$T$36),T0登记表!$J$36=2),T0登记表!$I$36,0)+IF(AND(OR(T0登记表!$P$37=T0登记表!$T$36,T0登记表!$P$37=T0登记表!$T$37),T0登记表!$J$37=2),T0登记表!$I$37,0)+IF(AND(OR(T0登记表!$P$38=T0登记表!$T$37,T0登记表!$P$38=T0登记表!$T$36),T0登记表!$J$38=2),T0登记表!$I$38,0)+IF(AND(OR(T0登记表!$P$41=T0登记表!$T$36,T0登记表!$P$41=T0登记表!$T$37),T0登记表!$J$41=1),T0登记表!$I$41,0)+IF(AND(OR(T0登记表!$P$42=T0登记表!$T$37,T0登记表!$P$42=T0登记表!$T$36),T0登记表!$J$42=1),T0登记表!$I$42,0)+IF(AND(OR(T0登记表!$P$43=T0登记表!$T$36,T0登记表!$P$43=T0登记表!$T$37),T0登记表!$J$43=1),T0登记表!$I$43,0)+IF(AND(OR(T0登记表!$P$44=T0登记表!$T$37,T0登记表!$P$44=T0登记表!$T$36),T0登记表!$J$44=1),T0登记表!$I$44,0)</f>
        <v>6000</v>
      </c>
      <c r="H8" s="122">
        <f>IF(AND(OR(T0登记表!$P$25=T0登记表!$T$36,T0登记表!$P$25=T0登记表!$T$37),T0登记表!$J$25=5),T0登记表!$I$25,0)+IF(AND(OR(T0登记表!$P$26=T0登记表!$T$37,T0登记表!$P$26=T0登记表!$T$36),T0登记表!$J$26=5),T0登记表!$I$26,0)+IF(AND(OR(T0登记表!$P$29=T0登记表!$T$36,T0登记表!$P$29=T0登记表!$T$37),T0登记表!$J$29=4),T0登记表!$I$29,0)+IF(AND(OR(T0登记表!$P$30=T0登记表!$T$37,T0登记表!$P$30=T0登记表!$T$36),T0登记表!$J$30=4),T0登记表!$I$30,0)+IF(AND(OR(T0登记表!$P$31=T0登记表!$T$36,T0登记表!$P$31=T0登记表!$T$37),T0登记表!$J$31=4),T0登记表!$I$31,0)+IF(AND(OR(T0登记表!$P$32=T0登记表!$T$37,T0登记表!$P$32=T0登记表!$T$36),T0登记表!$J$32=4),T0登记表!$I$32,0)+IF(AND(OR(T0登记表!$P$35=T0登记表!$T$36,T0登记表!$P$35=T0登记表!$T$37),T0登记表!$J$35=3),T0登记表!$I$35,0)+IF(AND(OR(T0登记表!$P$36=T0登记表!$T$37,T0登记表!$P$36=T0登记表!$T$36),T0登记表!$J$36=3),T0登记表!$I$36,0)+IF(AND(OR(T0登记表!$P$37=T0登记表!$T$36,T0登记表!$P$37=T0登记表!$T$37),T0登记表!$J$37=3),T0登记表!$I$37,0)+IF(AND(OR(T0登记表!$P$38=T0登记表!$T$37,T0登记表!$P$38=T0登记表!$T$36),T0登记表!$J$38=3),T0登记表!$I$38,0)+IF(AND(OR(T0登记表!$P$41=T0登记表!$T$36,T0登记表!$P$41=T0登记表!$T$37),T0登记表!$J$41=2),T0登记表!$I$41,0)+IF(AND(OR(T0登记表!$P$42=T0登记表!$T$37,T0登记表!$P$42=T0登记表!$T$36),T0登记表!$J$42=2),T0登记表!$I$42,0)+IF(AND(OR(T0登记表!$P$43=T0登记表!$T$36,T0登记表!$P$43=T0登记表!$T$37),T0登记表!$J$43=2),T0登记表!$I$43,0)+IF(AND(OR(T0登记表!$P$44=T0登记表!$T$37,T0登记表!$P$44=T0登记表!$T$36),T0登记表!$J$44=2),T0登记表!$I$44,0)+IF(AND(OR(T0登记表!$P$47=T0登记表!$T$36,T0登记表!$P$47=T0登记表!$T$37),T0登记表!$J$47=1),T0登记表!$I$47,0)+IF(AND(OR(T0登记表!$P$48=T0登记表!$T$37,T0登记表!$P$48=T0登记表!$T$36),T0登记表!$J$48=1),T0登记表!$I$48,0)+IF(AND(OR(T0登记表!$P$49=T0登记表!$T$36,T0登记表!$P$49=T0登记表!$T$37),T0登记表!$J$49=1),T0登记表!$I$49,0)+IF(AND(OR(T0登记表!$P$50=T0登记表!$T$37,T0登记表!$P$50=T0登记表!$T$36),T0登记表!$J$50=1),T0登记表!$I$50,0)</f>
        <v>6000</v>
      </c>
      <c r="I8" s="122">
        <f>IF(AND(OR(T0登记表!$P$25=T0登记表!$T$36,T0登记表!$P$25=T0登记表!$T$37),T0登记表!$J$25=6),T0登记表!$I$25,0)+IF(AND(OR(T0登记表!$P$26=T0登记表!$T$37,T0登记表!$P$26=T0登记表!$T$36),T0登记表!$J$26=6),T0登记表!$I$26,0)+IF(AND(OR(T0登记表!$P$29=T0登记表!$T$36,T0登记表!$P$29=T0登记表!$T$37),T0登记表!$J$29=5),T0登记表!$I$29,0)+IF(AND(OR(T0登记表!$P$30=T0登记表!$T$37,T0登记表!$P$30=T0登记表!$T$36),T0登记表!$J$30=5),T0登记表!$I$30,0)+IF(AND(OR(T0登记表!$P$31=T0登记表!$T$36,T0登记表!$P$31=T0登记表!$T$37),T0登记表!$J$31=5),T0登记表!$I$31,0)+IF(AND(OR(T0登记表!$P$32=T0登记表!$T$37,T0登记表!$P$32=T0登记表!$T$36),T0登记表!$J$32=5),T0登记表!$I$32,0)+IF(AND(OR(T0登记表!$P$35=T0登记表!$T$36,T0登记表!$P$35=T0登记表!$T$37),T0登记表!$J$35=4),T0登记表!$I$35,0)+IF(AND(OR(T0登记表!$P$36=T0登记表!$T$37,T0登记表!$P$36=T0登记表!$T$36),T0登记表!$J$36=4),T0登记表!$I$36,0)+IF(AND(OR(T0登记表!$P$37=T0登记表!$T$36,T0登记表!$P$37=T0登记表!$T$37),T0登记表!$J$37=4),T0登记表!$I$37,0)+IF(AND(OR(T0登记表!$P$38=T0登记表!$T$37,T0登记表!$P$38=T0登记表!$T$36),T0登记表!$J$38=4),T0登记表!$I$38,0)+IF(AND(OR(T0登记表!$P$41=T0登记表!$T$36,T0登记表!$P$41=T0登记表!$T$37),T0登记表!$J$41=3),T0登记表!$I$41,0)+IF(AND(OR(T0登记表!$P$42=T0登记表!$T$37,T0登记表!$P$42=T0登记表!$T$36),T0登记表!$J$42=3),T0登记表!$I$42,0)+IF(AND(OR(T0登记表!$P$43=T0登记表!$T$36,T0登记表!$P$43=T0登记表!$T$37),T0登记表!$J$43=3),T0登记表!$I$43,0)+IF(AND(OR(T0登记表!$P$44=T0登记表!$T$37,T0登记表!$P$44=T0登记表!$T$36),T0登记表!$J$44=3),T0登记表!$I$44,0)+IF(AND(OR(T0登记表!$P$47=T0登记表!$T$36,T0登记表!$P$47=T0登记表!$T$37),T0登记表!$J$47=2),T0登记表!$I$47,0)+IF(AND(OR(T0登记表!$P$48=T0登记表!$T$37,T0登记表!$P$48=T0登记表!$T$36),T0登记表!$J$48=2),T0登记表!$I$48,0)+IF(AND(OR(T0登记表!$P$49=T0登记表!$T$36,T0登记表!$P$49=T0登记表!$T$37),T0登记表!$J$49=2),T0登记表!$I$49,0)+IF(AND(OR(T0登记表!$P$50=T0登记表!$T$37,T0登记表!$P$50=T0登记表!$T$36),T0登记表!$J$50=2),T0登记表!$I$50,0)+IF(AND(OR(T0登记表!$P$53=T0登记表!$T$36,T0登记表!$P$53=T0登记表!$T$37),T0登记表!$J$53=1),T0登记表!$I$53,0)+IF(AND(OR(T0登记表!$P$54=T0登记表!$T$37,T0登记表!$P$54=T0登记表!$T$36),T0登记表!$J$54=1),T0登记表!$I$54,0)+IF(AND(OR(T0登记表!$P$55=T0登记表!$T$36,T0登记表!$P$55=T0登记表!$T$37),T0登记表!$J$55=1),T0登记表!$I$55,0)+IF(AND(OR(T0登记表!$P$56=T0登记表!$T$37,T0登记表!$P$56=T0登记表!$T$36),T0登记表!$J$56=1),T0登记表!$I$56,0)</f>
        <v>0</v>
      </c>
      <c r="J8" s="122">
        <f>IF(AND(OR(T0登记表!$P$25=T0登记表!$T$36,T0登记表!$P$25=T0登记表!$T$37),T0登记表!$J$25=7),T0登记表!$I$25,0)+IF(AND(OR(T0登记表!$P$26=T0登记表!$T$37,T0登记表!$P$26=T0登记表!$T$36),T0登记表!$J$26=7),T0登记表!$I$26,0)+IF(AND(OR(T0登记表!$P$29=T0登记表!$T$36,T0登记表!$P$29=T0登记表!$T$37),T0登记表!$J$29=6),T0登记表!$I$29,0)+IF(AND(OR(T0登记表!$P$30=T0登记表!$T$37,T0登记表!$P$30=T0登记表!$T$36),T0登记表!$J$30=6),T0登记表!$I$30,0)+IF(AND(OR(T0登记表!$P$31=T0登记表!$T$36,T0登记表!$P$31=T0登记表!$T$37),T0登记表!$J$31=6),T0登记表!$I$31,0)+IF(AND(OR(T0登记表!$P$32=T0登记表!$T$37,T0登记表!$P$32=T0登记表!$T$36),T0登记表!$J$32=6),T0登记表!$I$32,0)+IF(AND(OR(T0登记表!$P$35=T0登记表!$T$36,T0登记表!$P$35=T0登记表!$T$37),T0登记表!$J$35=5),T0登记表!$I$35,0)+IF(AND(OR(T0登记表!$P$36=T0登记表!$T$37,T0登记表!$P$36=T0登记表!$T$36),T0登记表!$J$36=5),T0登记表!$I$36,0)+IF(AND(OR(T0登记表!$P$37=T0登记表!$T$36,T0登记表!$P$37=T0登记表!$T$37),T0登记表!$J$37=5),T0登记表!$I$37,0)+IF(AND(OR(T0登记表!$P$38=T0登记表!$T$37,T0登记表!$P$38=T0登记表!$T$36),T0登记表!$J$38=5),T0登记表!$I$38,0)+IF(AND(OR(T0登记表!$P$41=T0登记表!$T$36,T0登记表!$P$41=T0登记表!$T$37),T0登记表!$J$41=4),T0登记表!$I$41,0)+IF(AND(OR(T0登记表!$P$42=T0登记表!$T$37,T0登记表!$P$42=T0登记表!$T$36),T0登记表!$J$42=4),T0登记表!$I$42,0)+IF(AND(OR(T0登记表!$P$43=T0登记表!$T$36,T0登记表!$P$43=T0登记表!$T$37),T0登记表!$J$43=4),T0登记表!$I$43,0)+IF(AND(OR(T0登记表!$P$44=T0登记表!$T$37,T0登记表!$P$44=T0登记表!$T$36),T0登记表!$J$44=4),T0登记表!$I$44,0)+IF(AND(OR(T0登记表!$P$47=T0登记表!$T$36,T0登记表!$P$47=T0登记表!$T$37),T0登记表!$J$47=3),T0登记表!$I$47,0)+IF(AND(OR(T0登记表!$P$48=T0登记表!$T$37,T0登记表!$P$48=T0登记表!$T$36),T0登记表!$J$48=3),T0登记表!$I$48,0)+IF(AND(OR(T0登记表!$P$49=T0登记表!$T$36,T0登记表!$P$49=T0登记表!$T$37),T0登记表!$J$49=3),T0登记表!$I$49,0)+IF(AND(OR(T0登记表!$P$50=T0登记表!$T$37,T0登记表!$P$50=T0登记表!$T$36),T0登记表!$J$50=3),T0登记表!$I$50,0)+IF(AND(OR(T0登记表!$P$53=T0登记表!$T$36,T0登记表!$P$53=T0登记表!$T$37),T0登记表!$J$53=2),T0登记表!$I$53,0)+IF(AND(OR(T0登记表!$P$54=T0登记表!$T$37,T0登记表!$P$54=T0登记表!$T$36),T0登记表!$J$54=2),T0登记表!$I$54,0)+IF(AND(OR(T0登记表!$P$55=T0登记表!$T$36,T0登记表!$P$55=T0登记表!$T$37),T0登记表!$J$55=2),T0登记表!$I$55,0)+IF(AND(OR(T0登记表!$P$56=T0登记表!$T$37,T0登记表!$P$56=T0登记表!$T$36),T0登记表!$J$56=2),T0登记表!$I$56,0)+IF(AND(OR(T0登记表!$P$59=T0登记表!$T$36,T0登记表!$P$59=T0登记表!$T$37),T0登记表!$J$59=1),T0登记表!$I$59,0)+IF(AND(OR(T0登记表!$P$60=T0登记表!$T$37,T0登记表!$P$60=T0登记表!$T$36),T0登记表!$J$60=1),T0登记表!$I$60,0)+IF(AND(OR(T0登记表!$P$61=T0登记表!$T$36,T0登记表!$P$61=T0登记表!$T$37),T0登记表!$J$61=1),T0登记表!$I$61,0)+IF(AND(OR(T0登记表!$P$62=T0登记表!$T$37,T0登记表!$P$62=T0登记表!$T$36),T0登记表!$J$62=1),T0登记表!$I$62,0)</f>
        <v>0</v>
      </c>
    </row>
    <row r="9" spans="2:11" ht="15.6" x14ac:dyDescent="0.25">
      <c r="B9" s="325" t="s">
        <v>612</v>
      </c>
      <c r="C9" s="123">
        <v>0</v>
      </c>
      <c r="D9" s="123">
        <f>C23</f>
        <v>0</v>
      </c>
      <c r="E9" s="123">
        <f t="shared" ref="E9:J9" si="2">D23</f>
        <v>0</v>
      </c>
      <c r="F9" s="123">
        <f t="shared" si="2"/>
        <v>0</v>
      </c>
      <c r="G9" s="123">
        <f t="shared" si="2"/>
        <v>0</v>
      </c>
      <c r="H9" s="123">
        <f t="shared" si="2"/>
        <v>0</v>
      </c>
      <c r="I9" s="123">
        <f t="shared" si="2"/>
        <v>0</v>
      </c>
      <c r="J9" s="123">
        <f t="shared" si="2"/>
        <v>0</v>
      </c>
    </row>
    <row r="10" spans="2:11" ht="15.6" x14ac:dyDescent="0.25">
      <c r="B10" s="325" t="s">
        <v>613</v>
      </c>
      <c r="C10" s="122">
        <f>IF('T3-T4'!$U$6='T3-T4'!$Y$5,'T3-T4'!$Q$6,0)+IF('T3-T4'!$U$7='T3-T4'!$Y$5,'T3-T4'!$Q$7,0)+IF('T3-T4'!$U$8='T3-T4'!$Y$5,'T3-T4'!$Q$8,0)+IF('T3-T4'!$U$9='T3-T4'!$Y$5,'T3-T4'!$Q$9,0)+IF('T3-T4'!$U$10='T3-T4'!$Y$5,'T3-T4'!$Q$10,0)+IF('T3-T4'!$U$11='T3-T4'!$Y$5,'T3-T4'!$Q$11,0)+IF('T3-T4'!$U$12='T3-T4'!$Y$5,'T3-T4'!$Q$12,0)+IF('T3-T4'!$U$13='T3-T4'!$Y$5,'T3-T4'!$Q$13,0)+IF('T3-T4'!$U$14='T3-T4'!$Y$5,'T3-T4'!$Q$14,0)+IF('T3-T4'!$U$15='T3-T4'!$Y$5,'T3-T4'!$Q$15,0)+IF('T3-T4'!$U$16='T3-T4'!$Y$5,'T3-T4'!$Q$16,0)+IF('T3-T4'!$U$17='T3-T4'!$Y$5,'T3-T4'!$Q$17,0)</f>
        <v>0</v>
      </c>
      <c r="D10" s="122">
        <f>IF('T3-T4'!$U$6='T3-T4'!$Y$6,'T3-T4'!$Q$6,0)+IF('T3-T4'!$U$7='T3-T4'!$Y$6,'T3-T4'!$Q$7,0)+IF('T3-T4'!$U$8='T3-T4'!$Y$6,'T3-T4'!$Q$8,0)+IF('T3-T4'!$U$9='T3-T4'!$Y$6,'T3-T4'!$Q$9,0)+IF('T3-T4'!$U$10='T3-T4'!$Y$6,'T3-T4'!$Q$10,0)+IF('T3-T4'!$U$11='T3-T4'!$Y$6,'T3-T4'!$Q$11,0)+IF('T3-T4'!$U$12='T3-T4'!$Y$6,'T3-T4'!$Q$12,0)+IF('T3-T4'!$U$13='T3-T4'!$Y$6,'T3-T4'!$Q$13,0)+IF('T3-T4'!$U$14='T3-T4'!$Y$6,'T3-T4'!$Q$14,0)+IF('T3-T4'!$U$15='T3-T4'!$Y$6,'T3-T4'!$Q$15,0)+IF('T3-T4'!$U$16='T3-T4'!$Y$6,'T3-T4'!$Q$16,0)+IF('T3-T4'!$U$17='T3-T4'!$Y$6,'T3-T4'!$Q$17,0)</f>
        <v>0</v>
      </c>
      <c r="E10" s="122">
        <f>IF('T3-T4'!$U$6='T3-T4'!$Y$7,'T3-T4'!$Q$6,0)+IF('T3-T4'!$U$7='T3-T4'!$Y$7,'T3-T4'!$Q$7,0)+IF('T3-T4'!$U$8='T3-T4'!$Y$7,'T3-T4'!$Q$8,0)+IF('T3-T4'!$U$9='T3-T4'!$Y$7,'T3-T4'!$Q$9,0)+IF('T3-T4'!$U$10='T3-T4'!$Y$7,'T3-T4'!$Q$10,0)+IF('T3-T4'!$U$11='T3-T4'!$Y$7,'T3-T4'!$Q$11,0)+IF('T3-T4'!$U$12='T3-T4'!$Y$7,'T3-T4'!$Q$12,0)+IF('T3-T4'!$U$13='T3-T4'!$Y$7,'T3-T4'!$Q$13,0)+IF('T3-T4'!$U$14='T3-T4'!$Y$7,'T3-T4'!$Q$14,0)+IF('T3-T4'!$U$15='T3-T4'!$Y$7,'T3-T4'!$Q$15,0)+IF('T3-T4'!$U$16='T3-T4'!$Y$7,'T3-T4'!$Q$16,0)+IF('T3-T4'!$U$17='T3-T4'!$Y$7,'T3-T4'!$Q$17,0)</f>
        <v>0</v>
      </c>
      <c r="F10" s="122">
        <f>IF('T3-T4'!$U$6='T3-T4'!$Y$8,'T3-T4'!$Q$6,0)+IF('T3-T4'!$U$7='T3-T4'!$Y$8,'T3-T4'!$Q$7,0)+IF('T3-T4'!$U$8='T3-T4'!$Y$8,'T3-T4'!$Q$8,0)+IF('T3-T4'!$U$9='T3-T4'!$Y$8,'T3-T4'!$Q$9,0)+IF('T3-T4'!$U$10='T3-T4'!$Y$8,'T3-T4'!$Q$10,0)+IF('T3-T4'!$U$11='T3-T4'!$Y$8,'T3-T4'!$Q$11,0)+IF('T3-T4'!$U$12='T3-T4'!$Y$8,'T3-T4'!$Q$12,0)+IF('T3-T4'!$U$13='T3-T4'!$Y$8,'T3-T4'!$Q$13,0)+IF('T3-T4'!$U$14='T3-T4'!$Y$8,'T3-T4'!$Q$14,0)+IF('T3-T4'!$U$15='T3-T4'!$Y$8,'T3-T4'!$Q$15,0)+IF('T3-T4'!$U$16='T3-T4'!$Y$8,'T3-T4'!$Q$16,0)+IF('T3-T4'!$U$17='T3-T4'!$Y$8,'T3-T4'!$Q$17,0)</f>
        <v>0</v>
      </c>
      <c r="G10" s="122">
        <f>IF('T3-T4'!$U$6='T3-T4'!$Y$9,'T3-T4'!$Q$6,0)+IF('T3-T4'!$U$7='T3-T4'!$Y$9,'T3-T4'!$Q$7,0)+IF('T3-T4'!$U$8='T3-T4'!$Y$9,'T3-T4'!$Q$8,0)+IF('T3-T4'!$U$9='T3-T4'!$Y$9,'T3-T4'!$Q$9,0)+IF('T3-T4'!$U$10='T3-T4'!$Y$9,'T3-T4'!$Q$10,0)+IF('T3-T4'!$U$11='T3-T4'!$Y$9,'T3-T4'!$Q$11,0)+IF('T3-T4'!$U$12='T3-T4'!$Y$9,'T3-T4'!$Q$12,0)+IF('T3-T4'!$U$13='T3-T4'!$Y$9,'T3-T4'!$Q$13,0)+IF('T3-T4'!$U$14='T3-T4'!$Y$9,'T3-T4'!$Q$14,0)+IF('T3-T4'!$U$15='T3-T4'!$Y$9,'T3-T4'!$Q$15,0)+IF('T3-T4'!$U$16='T3-T4'!$Y$9,'T3-T4'!$Q$16,0)+IF('T3-T4'!$U$17='T3-T4'!$Y$9,'T3-T4'!$Q$17,0)</f>
        <v>0</v>
      </c>
      <c r="H10" s="122">
        <f>IF('T3-T4'!$U$6='T3-T4'!$Y$10,'T3-T4'!$Q$6,0)+IF('T3-T4'!$U$7='T3-T4'!$Y$10,'T3-T4'!$Q$7,0)+IF('T3-T4'!$U$8='T3-T4'!$Y$10,'T3-T4'!$Q$8,0)+IF('T3-T4'!$U$9='T3-T4'!$Y$10,'T3-T4'!$Q$9,0)+IF('T3-T4'!$U$10='T3-T4'!$Y$10,'T3-T4'!$Q$10,0)+IF('T3-T4'!$U$11='T3-T4'!$Y$10,'T3-T4'!$Q$11,0)+IF('T3-T4'!$U$12='T3-T4'!$Y$10,'T3-T4'!$Q$12,0)+IF('T3-T4'!$U$13='T3-T4'!$Y$10,'T3-T4'!$Q$13,0)+IF('T3-T4'!$U$14='T3-T4'!$Y$10,'T3-T4'!$Q$14,0)+IF('T3-T4'!$U$15='T3-T4'!$Y$10,'T3-T4'!$Q$15,0)+IF('T3-T4'!$U$16='T3-T4'!$Y$10,'T3-T4'!$Q$16,0)+IF('T3-T4'!$U$17='T3-T4'!$Y$10,'T3-T4'!$Q$17,0)</f>
        <v>0</v>
      </c>
      <c r="I10" s="122">
        <f>IF('T3-T4'!$U$6='T3-T4'!$Y$11,'T3-T4'!$Q$6,0)+IF('T3-T4'!$U$7='T3-T4'!$Y$11,'T3-T4'!$Q$7,0)+IF('T3-T4'!$U$8='T3-T4'!$Y$11,'T3-T4'!$Q$8,0)+IF('T3-T4'!$U$9='T3-T4'!$Y$11,'T3-T4'!$Q$9,0)+IF('T3-T4'!$U$10='T3-T4'!$Y$11,'T3-T4'!$Q$10,0)+IF('T3-T4'!$U$11='T3-T4'!$Y$11,'T3-T4'!$Q$11,0)+IF('T3-T4'!$U$12='T3-T4'!$Y$11,'T3-T4'!$Q$12,0)+IF('T3-T4'!$U$13='T3-T4'!$Y$11,'T3-T4'!$Q$13,0)+IF('T3-T4'!$U$14='T3-T4'!$Y$11,'T3-T4'!$Q$14,0)+IF('T3-T4'!$U$15='T3-T4'!$Y$11,'T3-T4'!$Q$15,0)+IF('T3-T4'!$U$16='T3-T4'!$Y$11,'T3-T4'!$Q$16,0)+IF('T3-T4'!$U$17='T3-T4'!$Y$11,'T3-T4'!$Q$17,0)</f>
        <v>0</v>
      </c>
      <c r="J10" s="122">
        <f>IF('T3-T4'!$U$6='T3-T4'!$Y$12,'T3-T4'!$Q$6,0)+IF('T3-T4'!$U$7='T3-T4'!$Y$12,'T3-T4'!$Q$7,0)+IF('T3-T4'!$U$8='T3-T4'!$Y$12,'T3-T4'!$Q$8,0)+IF('T3-T4'!$U$9='T3-T4'!$Y$12,'T3-T4'!$Q$9,0)+IF('T3-T4'!$U$10='T3-T4'!$Y$12,'T3-T4'!$Q$10,0)+IF('T3-T4'!$U$11='T3-T4'!$Y$12,'T3-T4'!$Q$11,0)+IF('T3-T4'!$U$12='T3-T4'!$Y$12,'T3-T4'!$Q$12,0)+IF('T3-T4'!$U$13='T3-T4'!$Y$12,'T3-T4'!$Q$13,0)+IF('T3-T4'!$U$14='T3-T4'!$Y$12,'T3-T4'!$Q$14,0)+IF('T3-T4'!$U$15='T3-T4'!$Y$12,'T3-T4'!$Q$15,0)+IF('T3-T4'!$U$16='T3-T4'!$Y$12,'T3-T4'!$Q$16,0)+IF('T3-T4'!$U$17='T3-T4'!$Y$12,'T3-T4'!$Q$17,0)</f>
        <v>0</v>
      </c>
    </row>
    <row r="11" spans="2:11" ht="15.6" x14ac:dyDescent="0.25">
      <c r="B11" s="325" t="s">
        <v>614</v>
      </c>
      <c r="C11" s="122">
        <v>0</v>
      </c>
      <c r="D11" s="122">
        <f>IF('T3-T4'!$U$20='T3-T4'!$Y$5,'T3-T4'!$Q$20,0)+IF('T3-T4'!$U$21='T3-T4'!$Y$5,'T3-T4'!$Q$21,0)+IF('T3-T4'!$U$22='T3-T4'!$Y$5,'T3-T4'!$Q$22,0)+IF('T3-T4'!$U$23='T3-T4'!$Y$5,'T3-T4'!$Q$23,0)+IF('T3-T4'!$U$24='T3-T4'!$Y$5,'T3-T4'!$Q$24,0)+IF('T3-T4'!$U$25='T3-T4'!$Y$5,'T3-T4'!$Q$25,0)+IF('T3-T4'!$U$26='T3-T4'!$Y$5,'T3-T4'!$Q$26,0)+IF('T3-T4'!$U$27='T3-T4'!$Y$5,'T3-T4'!$Q$27,0)+IF('T3-T4'!$U$28='T3-T4'!$Y$5,'T3-T4'!$Q$28,0)+IF('T3-T4'!$U$29='T3-T4'!$Y$5,'T3-T4'!$Q$29,0)+IF('T3-T4'!$U$30='T3-T4'!$Y$5,'T3-T4'!$Q$30,0)+IF('T3-T4'!$U$31='T3-T4'!$Y$5,'T3-T4'!$Q$31,0)</f>
        <v>0</v>
      </c>
      <c r="E11" s="122">
        <f>IF('T3-T4'!$U$20='T3-T4'!$Y$6,'T3-T4'!$Q$20,0)+IF('T3-T4'!$U$21='T3-T4'!$Y$6,'T3-T4'!$Q$21,0)+IF('T3-T4'!$U$22='T3-T4'!$Y$6,'T3-T4'!$Q$22,0)+IF('T3-T4'!$U$23='T3-T4'!$Y$6,'T3-T4'!$Q$23,0)+IF('T3-T4'!$U$24='T3-T4'!$Y$6,'T3-T4'!$Q$24,0)+IF('T3-T4'!$U$25='T3-T4'!$Y$6,'T3-T4'!$Q$25,0)+IF('T3-T4'!$U$26='T3-T4'!$Y$6,'T3-T4'!$Q$26,0)+IF('T3-T4'!$U$27='T3-T4'!$Y$6,'T3-T4'!$Q$27,0)+IF('T3-T4'!$U$28='T3-T4'!$Y$6,'T3-T4'!$Q$28,0)+IF('T3-T4'!$U$29='T3-T4'!$Y$6,'T3-T4'!$Q$29,0)+IF('T3-T4'!$U$30='T3-T4'!$Y$6,'T3-T4'!$Q$30,0)+IF('T3-T4'!$U$31='T3-T4'!$Y$6,'T3-T4'!$Q$31,0)</f>
        <v>0</v>
      </c>
      <c r="F11" s="122">
        <f>IF('T3-T4'!$U$20='T3-T4'!$Y$7,'T3-T4'!$Q$20,0)+IF('T3-T4'!$U$21='T3-T4'!$Y$7,'T3-T4'!$Q$21,0)+IF('T3-T4'!$U$22='T3-T4'!$Y$7,'T3-T4'!$Q$22,0)+IF('T3-T4'!$U$23='T3-T4'!$Y$7,'T3-T4'!$Q$23,0)+IF('T3-T4'!$U$24='T3-T4'!$Y$7,'T3-T4'!$Q$24,0)+IF('T3-T4'!$U$25='T3-T4'!$Y$7,'T3-T4'!$Q$25,0)+IF('T3-T4'!$U$26='T3-T4'!$Y$7,'T3-T4'!$Q$26,0)+IF('T3-T4'!$U$27='T3-T4'!$Y$7,'T3-T4'!$Q$27,0)+IF('T3-T4'!$U$28='T3-T4'!$Y$7,'T3-T4'!$Q$28,0)+IF('T3-T4'!$U$29='T3-T4'!$Y$7,'T3-T4'!$Q$29,0)+IF('T3-T4'!$U$30='T3-T4'!$Y$7,'T3-T4'!$Q$30,0)+IF('T3-T4'!$U$31='T3-T4'!$Y$7,'T3-T4'!$Q$31,0)</f>
        <v>0</v>
      </c>
      <c r="G11" s="122">
        <f>IF('T3-T4'!$U$20='T3-T4'!$Y$8,'T3-T4'!$Q$20,0)+IF('T3-T4'!$U$21='T3-T4'!$Y$8,'T3-T4'!$Q$21,0)+IF('T3-T4'!$U$22='T3-T4'!$Y$8,'T3-T4'!$Q$22,0)+IF('T3-T4'!$U$23='T3-T4'!$Y$8,'T3-T4'!$Q$23,0)+IF('T3-T4'!$U$24='T3-T4'!$Y$8,'T3-T4'!$Q$24,0)+IF('T3-T4'!$U$25='T3-T4'!$Y$8,'T3-T4'!$Q$25,0)+IF('T3-T4'!$U$26='T3-T4'!$Y$8,'T3-T4'!$Q$26,0)+IF('T3-T4'!$U$27='T3-T4'!$Y$8,'T3-T4'!$Q$27,0)+IF('T3-T4'!$U$28='T3-T4'!$Y$8,'T3-T4'!$Q$28,0)+IF('T3-T4'!$U$29='T3-T4'!$Y$8,'T3-T4'!$Q$29,0)+IF('T3-T4'!$U$30='T3-T4'!$Y$8,'T3-T4'!$Q$30,0)+IF('T3-T4'!$U$31='T3-T4'!$Y$8,'T3-T4'!$Q$31,0)</f>
        <v>0</v>
      </c>
      <c r="H11" s="122">
        <f>IF('T3-T4'!$U$20='T3-T4'!$Y$9,'T3-T4'!$Q$20,0)+IF('T3-T4'!$U$21='T3-T4'!$Y$9,'T3-T4'!$Q$21,0)+IF('T3-T4'!$U$22='T3-T4'!$Y$9,'T3-T4'!$Q$22,0)+IF('T3-T4'!$U$23='T3-T4'!$Y$9,'T3-T4'!$Q$23,0)+IF('T3-T4'!$U$24='T3-T4'!$Y$9,'T3-T4'!$Q$24,0)+IF('T3-T4'!$U$25='T3-T4'!$Y$9,'T3-T4'!$Q$25,0)+IF('T3-T4'!$U$26='T3-T4'!$Y$9,'T3-T4'!$Q$26,0)+IF('T3-T4'!$U$27='T3-T4'!$Y$9,'T3-T4'!$Q$27,0)+IF('T3-T4'!$U$28='T3-T4'!$Y$9,'T3-T4'!$Q$28,0)+IF('T3-T4'!$U$29='T3-T4'!$Y$9,'T3-T4'!$Q$29,0)+IF('T3-T4'!$U$30='T3-T4'!$Y$9,'T3-T4'!$Q$30,0)+IF('T3-T4'!$U$31='T3-T4'!$Y$9,'T3-T4'!$Q$31,0)</f>
        <v>0</v>
      </c>
      <c r="I11" s="122">
        <f>IF('T3-T4'!$U$20='T3-T4'!$Y$10,'T3-T4'!$Q$20,0)+IF('T3-T4'!$U$21='T3-T4'!$Y$10,'T3-T4'!$Q$21,0)+IF('T3-T4'!$U$22='T3-T4'!$Y$10,'T3-T4'!$Q$22,0)+IF('T3-T4'!$U$23='T3-T4'!$Y$10,'T3-T4'!$Q$23,0)+IF('T3-T4'!$U$24='T3-T4'!$Y$10,'T3-T4'!$Q$24,0)+IF('T3-T4'!$U$25='T3-T4'!$Y$10,'T3-T4'!$Q$25,0)+IF('T3-T4'!$U$26='T3-T4'!$Y$10,'T3-T4'!$Q$26,0)+IF('T3-T4'!$U$27='T3-T4'!$Y$10,'T3-T4'!$Q$27,0)+IF('T3-T4'!$U$28='T3-T4'!$Y$10,'T3-T4'!$Q$28,0)+IF('T3-T4'!$U$29='T3-T4'!$Y$10,'T3-T4'!$Q$29,0)+IF('T3-T4'!$U$30='T3-T4'!$Y$10,'T3-T4'!$Q$30,0)+IF('T3-T4'!$U$31='T3-T4'!$Y$10,'T3-T4'!$Q$31,0)</f>
        <v>0</v>
      </c>
      <c r="J11" s="122">
        <f>IF('T3-T4'!$U$20='T3-T4'!$Y$11,'T3-T4'!$Q$20,0)+IF('T3-T4'!$U$21='T3-T4'!$Y$11,'T3-T4'!$Q$21,0)+IF('T3-T4'!$U$22='T3-T4'!$Y$11,'T3-T4'!$Q$22,0)+IF('T3-T4'!$U$23='T3-T4'!$Y$11,'T3-T4'!$Q$23,0)+IF('T3-T4'!$U$24='T3-T4'!$Y$11,'T3-T4'!$Q$24,0)+IF('T3-T4'!$U$25='T3-T4'!$Y$11,'T3-T4'!$Q$25,0)+IF('T3-T4'!$U$26='T3-T4'!$Y$11,'T3-T4'!$Q$26,0)+IF('T3-T4'!$U$27='T3-T4'!$Y$11,'T3-T4'!$Q$27,0)+IF('T3-T4'!$U$28='T3-T4'!$Y$11,'T3-T4'!$Q$28,0)+IF('T3-T4'!$U$29='T3-T4'!$Y$11,'T3-T4'!$Q$29,0)+IF('T3-T4'!$U$30='T3-T4'!$Y$11,'T3-T4'!$Q$30,0)+IF('T3-T4'!$U$31='T3-T4'!$Y$11,'T3-T4'!$Q$31,0)</f>
        <v>0</v>
      </c>
    </row>
    <row r="12" spans="2:11" ht="15.6" x14ac:dyDescent="0.25">
      <c r="B12" s="325" t="s">
        <v>615</v>
      </c>
      <c r="C12" s="122">
        <f>0</f>
        <v>0</v>
      </c>
      <c r="D12" s="122">
        <f>SUM(T2贷款利息表!Q7:Q8)+SUM(T2贷款利息表!Q10:Q11)</f>
        <v>264.62</v>
      </c>
      <c r="E12" s="122">
        <f>SUM(T2贷款利息表!R7:R8)+SUM(T2贷款利息表!R10:R11)+SUM(T2贷款利息表!R14:R17)+SUM(T2贷款利息表!R19:R22)</f>
        <v>119.99999999999999</v>
      </c>
      <c r="F12" s="122">
        <f>SUM(T2贷款利息表!S7:S8)+SUM(T2贷款利息表!S10:S11)+SUM(T2贷款利息表!S14:S17)+SUM(T2贷款利息表!S19:S22)+SUM(T2贷款利息表!S25:S28)+SUM(T2贷款利息表!S30:S33)</f>
        <v>119.99999999999999</v>
      </c>
      <c r="G12" s="122">
        <f>SUM(T2贷款利息表!T7:T8)+SUM(T2贷款利息表!T10:T11)+SUM(T2贷款利息表!T14:T17)+SUM(T2贷款利息表!T19:T22)+SUM(T2贷款利息表!T25:T28)+SUM(T2贷款利息表!T30:T33)+SUM(T2贷款利息表!T36:T39)+SUM(T2贷款利息表!T41:T44)</f>
        <v>0</v>
      </c>
      <c r="H12" s="122">
        <f>SUM(T2贷款利息表!U7:U8)+SUM(T2贷款利息表!U10:U11)+SUM(T2贷款利息表!U14:U17)+SUM(T2贷款利息表!U19:U22)+SUM(T2贷款利息表!U25:U28)+SUM(T2贷款利息表!U30:U33)+SUM(T2贷款利息表!U36:U39)+SUM(T2贷款利息表!U41:U44)+SUM(T2贷款利息表!U47:U50)+SUM(T2贷款利息表!U52:U55)</f>
        <v>0</v>
      </c>
      <c r="I12" s="122">
        <f>SUM(T2贷款利息表!V7:V8)+SUM(T2贷款利息表!V10:V11)+SUM(T2贷款利息表!V14:V17)+SUM(T2贷款利息表!V19:V22)+SUM(T2贷款利息表!V25:V28)+SUM(T2贷款利息表!V30:V33)+SUM(T2贷款利息表!V36:V39)+SUM(T2贷款利息表!V41:V44)+SUM(T2贷款利息表!V47:V50)+SUM(T2贷款利息表!V52:V55)+SUM(T2贷款利息表!V58:V61)+SUM(T2贷款利息表!V63:V66)</f>
        <v>0</v>
      </c>
      <c r="J12" s="122">
        <f>SUM(T2贷款利息表!W7:W8)+SUM(T2贷款利息表!W10:W11)+SUM(T2贷款利息表!W14:W17)+SUM(T2贷款利息表!W19:W22)+SUM(T2贷款利息表!W25:W28)+SUM(T2贷款利息表!W30:W33)+SUM(T2贷款利息表!W36:W39)+SUM(T2贷款利息表!W41:W44)+SUM(T2贷款利息表!W47:W50)+SUM(T2贷款利息表!W52:W55)+SUM(T2贷款利息表!W58:W61)+SUM(T2贷款利息表!W63:W66)+SUM(T2贷款利息表!W69:W72)+SUM(T2贷款利息表!W74:W77)</f>
        <v>0</v>
      </c>
    </row>
    <row r="13" spans="2:11" ht="15.6" x14ac:dyDescent="0.25">
      <c r="B13" s="325" t="s">
        <v>616</v>
      </c>
      <c r="C13" s="123">
        <f>0</f>
        <v>0</v>
      </c>
      <c r="D13" s="123">
        <f>'T3-T4'!$AN18</f>
        <v>0</v>
      </c>
      <c r="E13" s="123">
        <f>'T3-T4'!$AN19</f>
        <v>0</v>
      </c>
      <c r="F13" s="123">
        <f>'T3-T4'!$AN20</f>
        <v>0</v>
      </c>
      <c r="G13" s="123">
        <f>'T3-T4'!$AN21</f>
        <v>0</v>
      </c>
      <c r="H13" s="123">
        <f>'T3-T4'!$AN22</f>
        <v>0</v>
      </c>
      <c r="I13" s="123">
        <f>'T3-T4'!$AN23</f>
        <v>0</v>
      </c>
      <c r="J13" s="123">
        <f>'T3-T4'!$AN124</f>
        <v>0</v>
      </c>
    </row>
    <row r="14" spans="2:11" ht="17.399999999999999" x14ac:dyDescent="0.25">
      <c r="B14" s="323" t="s">
        <v>617</v>
      </c>
      <c r="C14" s="123">
        <f>0</f>
        <v>0</v>
      </c>
      <c r="D14" s="123">
        <f>SUM('T3-T4'!G17:G24)+'T3-T4'!G5</f>
        <v>0</v>
      </c>
      <c r="E14" s="123">
        <f>SUM('T3-T4'!H17:H24)+SUM('T3-T4'!H5:H6)</f>
        <v>70.349999999999994</v>
      </c>
      <c r="F14" s="123">
        <f>SUM('T3-T4'!I17:I24)+SUM('T3-T4'!I5:I7)</f>
        <v>70.349999999999994</v>
      </c>
      <c r="G14" s="123">
        <f>SUM('T3-T4'!J17:J24)+SUM('T3-T4'!J6:J8)</f>
        <v>0</v>
      </c>
      <c r="H14" s="123">
        <f>SUM('T3-T4'!K17:K24)+SUM('T3-T4'!K7:K9)</f>
        <v>0</v>
      </c>
      <c r="I14" s="123">
        <f>SUM('T3-T4'!L17:L24)+SUM('T3-T4'!L8:L10)</f>
        <v>0.25</v>
      </c>
      <c r="J14" s="123">
        <f>SUM('T3-T4'!M17:M24)+SUM('T3-T4'!M9:M11)</f>
        <v>0.25</v>
      </c>
      <c r="K14" s="240"/>
    </row>
    <row r="15" spans="2:11" ht="15.6" x14ac:dyDescent="0.25">
      <c r="B15" s="323" t="s">
        <v>622</v>
      </c>
      <c r="C15" s="122">
        <f>0</f>
        <v>0</v>
      </c>
      <c r="D15" s="122">
        <f>0</f>
        <v>0</v>
      </c>
      <c r="E15" s="122">
        <f>'T3-T4'!$AC$5</f>
        <v>0</v>
      </c>
      <c r="F15" s="122">
        <f>'T3-T4'!$AC$6</f>
        <v>0</v>
      </c>
      <c r="G15" s="122">
        <f>'T3-T4'!$AC$7</f>
        <v>0</v>
      </c>
      <c r="H15" s="122">
        <f>'T3-T4'!$AC$8</f>
        <v>0</v>
      </c>
      <c r="I15" s="122">
        <f>'T3-T4'!$AC$9</f>
        <v>0</v>
      </c>
      <c r="J15" s="122">
        <f>'T3-T4'!$AC$10</f>
        <v>0</v>
      </c>
    </row>
    <row r="16" spans="2:11" ht="15.6" x14ac:dyDescent="0.25">
      <c r="B16" s="323" t="s">
        <v>618</v>
      </c>
      <c r="C16" s="123">
        <f>IF(T0登记表!$L$25=T0登记表!$T$26,T0登记表!$R$25,0)+IF(T0登记表!$L$26=T0登记表!$T$26,T0登记表!$R$26,0)</f>
        <v>0</v>
      </c>
      <c r="D16" s="123">
        <f>IF(T0登记表!$L$25=T0登记表!$T$25,T0登记表!$R$25,0)+IF(T0登记表!$L$26=T0登记表!$T$25,T0登记表!$R$26,0)+IF(T0登记表!$L$29=T0登记表!$T$26,T0登记表!$R$29,0)+IF(T0登记表!$L$30=T0登记表!$T$26,T0登记表!$R$30,0)+IF(T0登记表!$L$31=T0登记表!$T$26,T0登记表!$R$31,0)+IF(T0登记表!$L$32=T0登记表!$T$26,T0登记表!$R$32,0)</f>
        <v>0</v>
      </c>
      <c r="E16" s="123">
        <f>IF(T0登记表!$L$25=T0登记表!$T$24,T0登记表!$R$25,0)+IF(T0登记表!$L$26=T0登记表!$T$24,T0登记表!$R$26,0)+IF(T0登记表!$L$29=T0登记表!$T$25,T0登记表!$R$29,0)+IF(T0登记表!$L$30=T0登记表!$T$25,T0登记表!$R$30,0)+IF(T0登记表!$L$31=T0登记表!$T$25,T0登记表!$R$31,0)+IF(T0登记表!$L$32=T0登记表!$T$25,T0登记表!$R$32,0)+IF(T0登记表!$L$35=T0登记表!$T$26,T0登记表!$R$35,0)+IF(T0登记表!$L$36=T0登记表!$T$26,T0登记表!$R$36,0)+IF(T0登记表!$L$37=T0登记表!$T$26,T0登记表!$R$37,0)+IF(T0登记表!$L$38=T0登记表!$T$26,T0登记表!$R$38,0)</f>
        <v>0</v>
      </c>
      <c r="F16" s="123">
        <f>IF(T0登记表!$L$29=T0登记表!$T$24,T0登记表!$R$29,0)+IF(T0登记表!$L$30=T0登记表!$T$24,T0登记表!$R$30,0)+IF(T0登记表!$L$31=T0登记表!$T$24,T0登记表!$R$31,0)+IF(T0登记表!$L$32=T0登记表!$T$24,T0登记表!$R$32,0)+IF(T0登记表!$L$35=T0登记表!$T$25,T0登记表!$R$35,0)+IF(T0登记表!$L$36=T0登记表!$T$25,T0登记表!$R$36,0)+IF(T0登记表!$L$37=T0登记表!$T$25,T0登记表!$R$37,0)+IF(T0登记表!$L$38=T0登记表!$T$25,T0登记表!$R$38,0)+IF(T0登记表!$L$41=T0登记表!$T$26,T0登记表!$R$41,0)+IF(T0登记表!$L$42=T0登记表!$T$26,T0登记表!$R$42,0)+IF(T0登记表!$L$43=T0登记表!$T$26,T0登记表!$R$43,0)+IF(T0登记表!$L$44=T0登记表!$T$26,T0登记表!$R$44,0)</f>
        <v>0</v>
      </c>
      <c r="G16" s="123">
        <f>IF(T0登记表!$L$35=T0登记表!$T$24,T0登记表!$R$35,0)+IF(T0登记表!$L$36=T0登记表!$T$24,T0登记表!$R$36,0)+IF(T0登记表!$L$37=T0登记表!$T$24,T0登记表!$R$37,0)+IF(T0登记表!$L$38=T0登记表!$T$24,T0登记表!$R$38,0)+IF(T0登记表!$L$41=T0登记表!$T$25,T0登记表!$R$41,0)+IF(T0登记表!$L$42=T0登记表!$T$25,T0登记表!$R$42,0)+IF(T0登记表!$L$43=T0登记表!$T$25,T0登记表!$R$43,0)+IF(T0登记表!$L$44=T0登记表!$T$25,T0登记表!$R$44,0)+IF(T0登记表!$L$47=T0登记表!$T$26,T0登记表!$R$47,0)+IF(T0登记表!$L$48=T0登记表!$T$26,T0登记表!$R$48,0)+IF(T0登记表!$L$49=T0登记表!$T$26,T0登记表!$R$49,0)+IF(T0登记表!$L$50=T0登记表!$T$26,T0登记表!$R$50,0)</f>
        <v>0</v>
      </c>
      <c r="H16" s="123">
        <f>IF(T0登记表!$L$41=T0登记表!$T$24,T0登记表!$R$41,0)+IF(T0登记表!$L$42=T0登记表!$T$24,T0登记表!$R$42,0)+IF(T0登记表!$L$43=T0登记表!$T$24,T0登记表!$R$43,0)+IF(T0登记表!$L$44=T0登记表!$T$24,T0登记表!$R$44,0)+IF(T0登记表!$L$47=T0登记表!$T$25,T0登记表!$R$47,0)+IF(T0登记表!$L$48=T0登记表!$T$25,T0登记表!$R$48,0)+IF(T0登记表!$L$49=T0登记表!$T$25,T0登记表!$R$49,0)+IF(T0登记表!$L$50=T0登记表!$T$25,T0登记表!$R$50,0)+IF(T0登记表!$L$53=T0登记表!$T$26,T0登记表!$R$53,0)+IF(T0登记表!$L$54=T0登记表!$T$26,T0登记表!$R$54,0)+IF(T0登记表!$L$55=T0登记表!$T$26,T0登记表!$R$55,0)+IF(T0登记表!$L$56=T0登记表!$T$26,T0登记表!$R$56,0)</f>
        <v>0</v>
      </c>
      <c r="I16" s="123">
        <f>IF(T0登记表!$L$47=T0登记表!$T$24,T0登记表!$R$47,0)+IF(T0登记表!$L$48=T0登记表!$T$24,T0登记表!$R$48,0)+IF(T0登记表!$L$49=T0登记表!$T$24,T0登记表!$R$49,0)+IF(T0登记表!$L$50=T0登记表!$T$24,T0登记表!$R$50,0)+IF(T0登记表!$L$53=T0登记表!$T$25,T0登记表!$R$53,0)+IF(T0登记表!$L$54=T0登记表!$T$25,T0登记表!$R$54,0)+IF(T0登记表!$L$55=T0登记表!$T$25,T0登记表!$R$55,0)+IF(T0登记表!$L$56=T0登记表!$T$25,T0登记表!$R$56,0)+IF(T0登记表!$L$59=T0登记表!$T$26,T0登记表!$R$59,0)+IF(T0登记表!$L$60=T0登记表!$T$26,T0登记表!$R$60,0)+IF(T0登记表!$L$61=T0登记表!$T$26,T0登记表!$R$61,0)+IF(T0登记表!$L$62=T0登记表!$T$26,T0登记表!$R$62,0)</f>
        <v>0</v>
      </c>
      <c r="J16" s="123">
        <f>IF(T0登记表!$L$53=T0登记表!$T$24,T0登记表!$R$53,0)+IF(T0登记表!$L$54=T0登记表!$T$24,T0登记表!$R$54,0)+IF(T0登记表!$L$55=T0登记表!$T$24,T0登记表!$R$55,0)+IF(T0登记表!$L$56=T0登记表!$T$24,T0登记表!$R$56,0)+IF(T0登记表!$L$59=T0登记表!$T$25,T0登记表!$R$59,0)+IF(T0登记表!$L$60=T0登记表!$T$25,T0登记表!$R$60,0)+IF(T0登记表!$L$61=T0登记表!$T$25,T0登记表!$R$61,0)+IF(T0登记表!$L$62=T0登记表!$T$25,T0登记表!$R$62,0)+IF(T0登记表!$L$65=T0登记表!$T$26,T0登记表!$R$65,0)+IF(T0登记表!$L$66=T0登记表!$T$26,T0登记表!$R$66,0)+IF(T0登记表!$L$67=T0登记表!$T$26,T0登记表!$R$67,0)+IF(T0登记表!$L$68=T0登记表!$T$26,T0登记表!$R$68,0)</f>
        <v>0</v>
      </c>
    </row>
    <row r="17" spans="2:12" ht="15.6" x14ac:dyDescent="0.25">
      <c r="B17" s="323" t="s">
        <v>619</v>
      </c>
      <c r="C17" s="122">
        <f>T0登记表!$S$25+T0登记表!$S$26</f>
        <v>0</v>
      </c>
      <c r="D17" s="122">
        <f>T0登记表!$S$29+T0登记表!$S$30+T0登记表!$S$31+T0登记表!$S$32</f>
        <v>0</v>
      </c>
      <c r="E17" s="122">
        <f>T0登记表!$S$35+T0登记表!$S$36+T0登记表!$S$37+T0登记表!$S$38</f>
        <v>0</v>
      </c>
      <c r="F17" s="122">
        <f>T0登记表!$S$41+T0登记表!$S$42+T0登记表!$S$43+T0登记表!$S$44</f>
        <v>0</v>
      </c>
      <c r="G17" s="122">
        <f>T0登记表!$S$47+T0登记表!$S$48+T0登记表!$S$49+T0登记表!$S$50</f>
        <v>0</v>
      </c>
      <c r="H17" s="122">
        <f>T0登记表!$S$53+T0登记表!$S$54+T0登记表!$S$55+T0登记表!$S$56</f>
        <v>0</v>
      </c>
      <c r="I17" s="122">
        <f>T0登记表!$S$59+T0登记表!$S$60+T0登记表!$S$61+T0登记表!$S$62</f>
        <v>0</v>
      </c>
      <c r="J17" s="122">
        <f>T0登记表!$S$65+T0登记表!$S$66+T0登记表!$S$67+T0登记表!$S$68</f>
        <v>0</v>
      </c>
    </row>
    <row r="18" spans="2:12" ht="17.399999999999999" x14ac:dyDescent="0.25">
      <c r="B18" s="323" t="s">
        <v>620</v>
      </c>
      <c r="C18" s="123">
        <f>IF('T3-T4'!W20='T3-T4'!$B5,'T3-T4'!V20,0)+IF('T3-T4'!W21='T3-T4'!$B5,'T3-T4'!V21,0)+IF('T3-T4'!W22='T3-T4'!$B5,'T3-T4'!V22,0)+IF('T3-T4'!W23='T3-T4'!$B5,'T3-T4'!V23,0)+IF('T3-T4'!W24='T3-T4'!$B5,'T3-T4'!V24,0)+IF('T3-T4'!W25='T3-T4'!$B5,'T3-T4'!V25,0)+IF('T3-T4'!W26='T3-T4'!$B5,'T3-T4'!V26,0)+IF('T3-T4'!W27='T3-T4'!$B5,'T3-T4'!V27,0)+IF('T3-T4'!W28='T3-T4'!$B5,'T3-T4'!V28,0)+IF('T3-T4'!W29='T3-T4'!$B5,'T3-T4'!V29,0)+IF('T3-T4'!W30='T3-T4'!$B5,'T3-T4'!V30,0)+IF('T3-T4'!W31='T3-T4'!$B5,'T3-T4'!V31,0)</f>
        <v>0</v>
      </c>
      <c r="D18" s="123">
        <f>IF('T3-T4'!W20='T3-T4'!$B6,'T3-T4'!V20,0)+IF('T3-T4'!W21='T3-T4'!$B6,'T3-T4'!V21,0)+IF('T3-T4'!W22='T3-T4'!$B6,'T3-T4'!V22,0)+IF('T3-T4'!W23='T3-T4'!$B6,'T3-T4'!V23,0)+IF('T3-T4'!W24='T3-T4'!$B6,'T3-T4'!V24,0)+IF('T3-T4'!W25='T3-T4'!$B6,'T3-T4'!V25,0)+IF('T3-T4'!W26='T3-T4'!$B6,'T3-T4'!V26,0)+IF('T3-T4'!W27='T3-T4'!$B6,'T3-T4'!V27,0)+IF('T3-T4'!W28='T3-T4'!$B6,'T3-T4'!V28,0)+IF('T3-T4'!W29='T3-T4'!$B6,'T3-T4'!V29,0)+IF('T3-T4'!W30='T3-T4'!$B6,'T3-T4'!V30,0)+IF('T3-T4'!W31='T3-T4'!$B6,'T3-T4'!V31,0)</f>
        <v>0</v>
      </c>
      <c r="E18" s="123">
        <f>IF('T3-T4'!W20='T3-T4'!$B7,'T3-T4'!V20,0)+IF('T3-T4'!W21='T3-T4'!$B7,'T3-T4'!V21,0)+IF('T3-T4'!W22='T3-T4'!$B7,'T3-T4'!V22,0)+IF('T3-T4'!W23='T3-T4'!$B7,'T3-T4'!V23,0)+IF('T3-T4'!W24='T3-T4'!$B7,'T3-T4'!V24,0)+IF('T3-T4'!W25='T3-T4'!$B7,'T3-T4'!V25,0)+IF('T3-T4'!W26='T3-T4'!$B7,'T3-T4'!V26,0)+IF('T3-T4'!W27='T3-T4'!$B7,'T3-T4'!V27,0)+IF('T3-T4'!W28='T3-T4'!$B7,'T3-T4'!V28,0)+IF('T3-T4'!W29='T3-T4'!$B7,'T3-T4'!V29,0)+IF('T3-T4'!W30='T3-T4'!$B7,'T3-T4'!V30,0)+IF('T3-T4'!W31='T3-T4'!$B7,'T3-T4'!V31,0)</f>
        <v>0</v>
      </c>
      <c r="F18" s="123">
        <f>IF('T3-T4'!W20='T3-T4'!$B8,'T3-T4'!V20,0)+IF('T3-T4'!W21='T3-T4'!$B8,'T3-T4'!V21,0)+IF('T3-T4'!W22='T3-T4'!$B8,'T3-T4'!V22,0)+IF('T3-T4'!W23='T3-T4'!$B8,'T3-T4'!V23,0)+IF('T3-T4'!W24='T3-T4'!$B8,'T3-T4'!V24,0)+IF('T3-T4'!W25='T3-T4'!$B8,'T3-T4'!V25,0)+IF('T3-T4'!W26='T3-T4'!$B8,'T3-T4'!V26,0)+IF('T3-T4'!W27='T3-T4'!$B8,'T3-T4'!V27,0)+IF('T3-T4'!W28='T3-T4'!$B8,'T3-T4'!V28,0)+IF('T3-T4'!W29='T3-T4'!$B8,'T3-T4'!V29,0)+IF('T3-T4'!W30='T3-T4'!$B8,'T3-T4'!V30,0)+IF('T3-T4'!W31='T3-T4'!$B8,'T3-T4'!V31,0)</f>
        <v>0</v>
      </c>
      <c r="G18" s="123">
        <f>IF('T3-T4'!W20='T3-T4'!$B9,'T3-T4'!V20,0)+IF('T3-T4'!W21='T3-T4'!$B9,'T3-T4'!V21,0)+IF('T3-T4'!W22='T3-T4'!$B9,'T3-T4'!V22,0)+IF('T3-T4'!W23='T3-T4'!$B9,'T3-T4'!V23,0)+IF('T3-T4'!W24='T3-T4'!$B9,'T3-T4'!V24,0)+IF('T3-T4'!W25='T3-T4'!$B9,'T3-T4'!V25,0)+IF('T3-T4'!W26='T3-T4'!$B9,'T3-T4'!V26,0)+IF('T3-T4'!W27='T3-T4'!$B9,'T3-T4'!V27,0)+IF('T3-T4'!W28='T3-T4'!$B9,'T3-T4'!V28,0)+IF('T3-T4'!W29='T3-T4'!$B9,'T3-T4'!V29,0)+IF('T3-T4'!W30='T3-T4'!$B9,'T3-T4'!V30,0)+IF('T3-T4'!W31='T3-T4'!$B9,'T3-T4'!V31,0)</f>
        <v>0</v>
      </c>
      <c r="H18" s="123">
        <f>IF('T3-T4'!W20='T3-T4'!$B10,'T3-T4'!V20,0)+IF('T3-T4'!W21='T3-T4'!$B10,'T3-T4'!V21,0)+IF('T3-T4'!W22='T3-T4'!$B10,'T3-T4'!V22,0)+IF('T3-T4'!W23='T3-T4'!$B10,'T3-T4'!V23,0)+IF('T3-T4'!W24='T3-T4'!$B10,'T3-T4'!V24,0)+IF('T3-T4'!W25='T3-T4'!$B10,'T3-T4'!V25,0)+IF('T3-T4'!W26='T3-T4'!$B10,'T3-T4'!V26,0)+IF('T3-T4'!W27='T3-T4'!$B10,'T3-T4'!V27,0)+IF('T3-T4'!W28='T3-T4'!$B10,'T3-T4'!V28,0)+IF('T3-T4'!W29='T3-T4'!$B10,'T3-T4'!V29,0)+IF('T3-T4'!W30='T3-T4'!$B10,'T3-T4'!V30,0)+IF('T3-T4'!W31='T3-T4'!$B10,'T3-T4'!V31,0)</f>
        <v>0</v>
      </c>
      <c r="I18" s="123">
        <f>IF('T3-T4'!W20='T3-T4'!$B11,'T3-T4'!V20,0)+IF('T3-T4'!W21='T3-T4'!$B11,'T3-T4'!V21,0)+IF('T3-T4'!W22='T3-T4'!$B11,'T3-T4'!V22,0)+IF('T3-T4'!W23='T3-T4'!$B11,'T3-T4'!V23,0)+IF('T3-T4'!W24='T3-T4'!$B11,'T3-T4'!V24,0)+IF('T3-T4'!W25='T3-T4'!$B11,'T3-T4'!V25,0)+IF('T3-T4'!W26='T3-T4'!$B11,'T3-T4'!V26,0)+IF('T3-T4'!W27='T3-T4'!$B11,'T3-T4'!V27,0)+IF('T3-T4'!W28='T3-T4'!$B11,'T3-T4'!V28,0)+IF('T3-T4'!W29='T3-T4'!$B11,'T3-T4'!V29,0)+IF('T3-T4'!W30='T3-T4'!$B11,'T3-T4'!V30,0)+IF('T3-T4'!W31='T3-T4'!$B11,'T3-T4'!V31,0)</f>
        <v>0</v>
      </c>
      <c r="J18" s="123">
        <f>IF('T3-T4'!W20='T3-T4'!$B12,'T3-T4'!V20,0)+IF('T3-T4'!W21='T3-T4'!$B12,'T3-T4'!V21,0)+IF('T3-T4'!W22='T3-T4'!$B12,'T3-T4'!V22,0)+IF('T3-T4'!W23='T3-T4'!$B12,'T3-T4'!V23,0)+IF('T3-T4'!W24='T3-T4'!$B12,'T3-T4'!V24,0)+IF('T3-T4'!W25='T3-T4'!$B12,'T3-T4'!V25,0)+IF('T3-T4'!W26='T3-T4'!$B12,'T3-T4'!V26,0)+IF('T3-T4'!W27='T3-T4'!$B12,'T3-T4'!V27,0)+IF('T3-T4'!W28='T3-T4'!$B12,'T3-T4'!V28,0)+IF('T3-T4'!W29='T3-T4'!$B12,'T3-T4'!V29,0)+IF('T3-T4'!W30='T3-T4'!$B12,'T3-T4'!V30,0)+IF('T3-T4'!W31='T3-T4'!$B12,'T3-T4'!V31,0)</f>
        <v>0</v>
      </c>
      <c r="K18" s="240"/>
    </row>
    <row r="19" spans="2:12" ht="15.6" x14ac:dyDescent="0.25">
      <c r="B19" s="323" t="s">
        <v>621</v>
      </c>
      <c r="C19" s="123">
        <f>T0登记表!D17</f>
        <v>265</v>
      </c>
      <c r="D19" s="123">
        <f>T0登记表!E17+T0登记表!E4</f>
        <v>9066</v>
      </c>
      <c r="E19" s="123">
        <f>T0登记表!F17+T0登记表!F4</f>
        <v>8265</v>
      </c>
      <c r="F19" s="123">
        <f>T0登记表!G17+T0登记表!G4</f>
        <v>9066</v>
      </c>
      <c r="G19" s="123">
        <f>T0登记表!H17+T0登记表!H4</f>
        <v>8265</v>
      </c>
      <c r="H19" s="123">
        <f>T0登记表!I17+T0登记表!I4</f>
        <v>9066</v>
      </c>
      <c r="I19" s="123">
        <f>T0登记表!J17+T0登记表!J4</f>
        <v>8265</v>
      </c>
      <c r="J19" s="123">
        <f>T0登记表!K17+T0登记表!K4</f>
        <v>9066</v>
      </c>
      <c r="K19" s="127"/>
      <c r="L19" s="127"/>
    </row>
    <row r="20" spans="2:12" ht="20.399999999999999" x14ac:dyDescent="0.25">
      <c r="B20" s="131" t="s">
        <v>250</v>
      </c>
      <c r="C20" s="122">
        <f t="shared" ref="C20:J20" si="3">SUM(C21:C37)</f>
        <v>12824.4</v>
      </c>
      <c r="D20" s="122">
        <f t="shared" si="3"/>
        <v>3207.4</v>
      </c>
      <c r="E20" s="122">
        <f t="shared" si="3"/>
        <v>3375</v>
      </c>
      <c r="F20" s="122">
        <f t="shared" si="3"/>
        <v>4668</v>
      </c>
      <c r="G20" s="122">
        <f t="shared" si="3"/>
        <v>3675</v>
      </c>
      <c r="H20" s="122">
        <f t="shared" si="3"/>
        <v>4598</v>
      </c>
      <c r="I20" s="122">
        <f t="shared" si="3"/>
        <v>3645</v>
      </c>
      <c r="J20" s="122">
        <f t="shared" si="3"/>
        <v>4558</v>
      </c>
      <c r="K20" s="240"/>
    </row>
    <row r="21" spans="2:12" ht="15.6" x14ac:dyDescent="0.25">
      <c r="B21" s="326" t="s">
        <v>589</v>
      </c>
      <c r="C21" s="122">
        <f>SUM(T0登记表!I25:I26)</f>
        <v>10231</v>
      </c>
      <c r="D21" s="122">
        <f>SUM(T0登记表!I29:I32)</f>
        <v>0</v>
      </c>
      <c r="E21" s="122">
        <f>SUM(T0登记表!I35:I38)</f>
        <v>0</v>
      </c>
      <c r="F21" s="122">
        <f>SUM(T0登记表!I41:I44)</f>
        <v>0</v>
      </c>
      <c r="G21" s="122">
        <f>SUM(T0登记表!I47:I50)</f>
        <v>0</v>
      </c>
      <c r="H21" s="122">
        <f>SUM(T0登记表!I53:I56)</f>
        <v>0</v>
      </c>
      <c r="I21" s="122">
        <f>SUM(T0登记表!I59:I62)</f>
        <v>0</v>
      </c>
      <c r="J21" s="122">
        <f>SUM(T0登记表!I65:I68)</f>
        <v>0</v>
      </c>
    </row>
    <row r="22" spans="2:12" ht="15.6" x14ac:dyDescent="0.25">
      <c r="B22" s="326" t="s">
        <v>590</v>
      </c>
      <c r="C22" s="122">
        <v>0</v>
      </c>
      <c r="D22" s="122">
        <f>IF(T0登记表!$C$25=1,T0登记表!$B$25,0)+IF(T0登记表!$C$26=1,T0登记表!$B$26,0)</f>
        <v>0</v>
      </c>
      <c r="E22" s="122">
        <f>IF(T0登记表!$C$25=2,T0登记表!$B$25,0)+IF(T0登记表!$C$26=2,T0登记表!$B$26,0)+IF(T0登记表!$C$29=1,T0登记表!$B$29,0)+IF(T0登记表!$C$30=1,T0登记表!$B$30,0)+IF(T0登记表!$C$31=1,T0登记表!$B$31,0)+IF(T0登记表!$C$32=1,T0登记表!$B$32,0)</f>
        <v>0</v>
      </c>
      <c r="F22" s="122">
        <f>IF(T0登记表!$C$25=3,T0登记表!$B$25,0)+IF(T0登记表!$C$26=3,T0登记表!$B$26,0)+IF(T0登记表!$C$29=2,T0登记表!$B$29,0)+IF(T0登记表!$C$30=2,T0登记表!$B$30,0)+IF(T0登记表!$C$31=2,T0登记表!$B$31,0)+IF(T0登记表!$C$32=2,T0登记表!$B$32,0)+IF(T0登记表!$C$35=1,T0登记表!$B$35,0)+IF(T0登记表!$C$36=1,T0登记表!$B$36,0)+IF(T0登记表!$C$37=1,T0登记表!$B$37,0)+IF(T0登记表!$C$38=1,T0登记表!$B$38,0)</f>
        <v>0</v>
      </c>
      <c r="G22" s="122">
        <f>IF(T0登记表!$C$25=4,T0登记表!$B$25,0)+IF(T0登记表!$C$26=4,T0登记表!$B$26,0)+IF(T0登记表!$C$29=3,T0登记表!$B$29,0)+IF(T0登记表!$C$30=3,T0登记表!$B$30,0)+IF(T0登记表!$C$31=3,T0登记表!$B$31,0)+IF(T0登记表!$C$32=3,T0登记表!$B$32,0)+IF(T0登记表!$C$35=2,T0登记表!$B$35,0)+IF(T0登记表!$C$36=2,T0登记表!$B$36,0)+IF(T0登记表!$C$37=2,T0登记表!$B$37,0)+IF(T0登记表!$C$38=2,T0登记表!$B$38,0)+IF(T0登记表!$C$41=1,T0登记表!$B$41,0)+IF(T0登记表!$C$42=1,T0登记表!$B$42,0)+IF(T0登记表!$C$43=1,T0登记表!$B$43,0)+IF(T0登记表!$C$44=1,T0登记表!$B$44,0)</f>
        <v>0</v>
      </c>
      <c r="H22" s="122">
        <f>IF(T0登记表!$C$25=5,T0登记表!$B$25,0)+IF(T0登记表!$C$26=5,T0登记表!$B$26,0)+IF(T0登记表!$C$29=4,T0登记表!$B$29,0)+IF(T0登记表!$C$30=4,T0登记表!$B$30,0)+IF(T0登记表!$C$31=4,T0登记表!$B$31,0)+IF(T0登记表!$C$32=4,T0登记表!$B$32,0)+IF(T0登记表!$C$35=3,T0登记表!$B$35,0)+IF(T0登记表!$C$36=3,T0登记表!$B$36,0)+IF(T0登记表!$C$37=3,T0登记表!$B$37,0)+IF(T0登记表!$C$38=3,T0登记表!$B$38,0)+IF(T0登记表!$C$41=2,T0登记表!$B$41,0)+IF(T0登记表!$C$42=2,T0登记表!$B$42,0)+IF(T0登记表!$C$43=2,T0登记表!$B$43,0)+IF(T0登记表!$C$44=2,T0登记表!$B$44,0)+IF(T0登记表!$C$47=1,T0登记表!$B$47,0)+IF(T0登记表!$C$48=1,T0登记表!$B$48,0)+IF(T0登记表!$C$49=1,T0登记表!$B$49,0)+IF(T0登记表!$C$50=1,T0登记表!$B$50,0)</f>
        <v>0</v>
      </c>
      <c r="I22" s="122">
        <f>IF(T0登记表!$C$25=6,T0登记表!$B$25,0)+IF(T0登记表!$C$26=6,T0登记表!$B$26,0)+IF(T0登记表!$C$29=5,T0登记表!$B$29,0)+IF(T0登记表!$C$30=5,T0登记表!$B$30,0)+IF(T0登记表!$C$31=5,T0登记表!$B$31,0)+IF(T0登记表!$C$32=5,T0登记表!$B$32,0)+IF(T0登记表!$C$35=4,T0登记表!$B$35,0)+IF(T0登记表!$C$36=4,T0登记表!$B$36,0)+IF(T0登记表!$C$37=4,T0登记表!$B$37,0)+IF(T0登记表!$C$38=4,T0登记表!$B$38,0)+IF(T0登记表!$C$41=3,T0登记表!$B$41,0)+IF(T0登记表!$C$42=3,T0登记表!$B$42,0)+IF(T0登记表!$C$43=3,T0登记表!$B$43,0)+IF(T0登记表!$C$44=3,T0登记表!$B$44,0)+IF(T0登记表!$C$47=2,T0登记表!$B$47,0)+IF(T0登记表!$C$48=2,T0登记表!$B$48,0)+IF(T0登记表!$C$49=2,T0登记表!$B$49,0)+IF(T0登记表!$C$50=2,T0登记表!$B$50,0)+IF(T0登记表!$C$53=1,T0登记表!$B$53,0)+IF(T0登记表!$C$54=1,T0登记表!$B$54,0)+IF(T0登记表!$C$55=1,T0登记表!$B$55,0)+IF(T0登记表!$C$56=1,T0登记表!$B$56,0)</f>
        <v>0</v>
      </c>
      <c r="J22" s="122">
        <f>IF(T0登记表!$C$25=7,T0登记表!$B$25,0)+IF(T0登记表!$C$26=7,T0登记表!$B$26,0)+IF(T0登记表!$C$29=6,T0登记表!$B$29,0)+IF(T0登记表!$C$30=6,T0登记表!$B$30,0)+IF(T0登记表!$C$31=6,T0登记表!$B$31,0)+IF(T0登记表!$C$32=6,T0登记表!$B$32,0)+IF(T0登记表!$C$35=5,T0登记表!$B$35,0)+IF(T0登记表!$C$36=5,T0登记表!$B$36,0)+IF(T0登记表!$C$37=5,T0登记表!$B$37,0)+IF(T0登记表!$C$38=5,T0登记表!$B$38,0)+IF(T0登记表!$C$41=4,T0登记表!$B$41,0)+IF(T0登记表!$C$42=4,T0登记表!$B$42,0)+IF(T0登记表!$C$43=4,T0登记表!$B$43,0)+IF(T0登记表!$C$44=4,T0登记表!$B$44,0)+IF(T0登记表!$C$47=3,T0登记表!$B$47,0)+IF(T0登记表!$C$48=3,T0登记表!$B$48,0)+IF(T0登记表!$C$49=3,T0登记表!$B$49,0)+IF(T0登记表!$C$50=3,T0登记表!$B$50,0)+IF(T0登记表!$C$53=2,T0登记表!$B$53,0)+IF(T0登记表!$C$54=2,T0登记表!$B$54,0)+IF(T0登记表!$C$55=2,T0登记表!$B$55,0)+IF(T0登记表!$C$56=2,T0登记表!$B$56,0)+IF(T0登记表!$C$59=1,T0登记表!$B$59,0)+IF(T0登记表!$C$60=1,T0登记表!$B$60,0)+IF(T0登记表!$C$61=1,T0登记表!$B$61,0)+IF(T0登记表!$C$62=1,T0登记表!$B$62,0)</f>
        <v>0</v>
      </c>
    </row>
    <row r="23" spans="2:12" ht="15.6" x14ac:dyDescent="0.25">
      <c r="B23" s="326" t="s">
        <v>591</v>
      </c>
      <c r="C23" s="123">
        <f>IF(T11资产负债表!$G$5&gt;60000,7000,IF(T11资产负债表!$G$5&gt;50000,6000,IF(T11资产负债表!$G$5&gt;40000,5000,IF(T11资产负债表!$G$5&gt;30000,4000,IF(T11资产负债表!$G$5&gt;20000,3000,IF(T11资产负债表!$G$5&gt;10000,2000,IF(T11资产负债表!$G$5&gt;=1000,1000,0)))))))</f>
        <v>0</v>
      </c>
      <c r="D23" s="123">
        <f>IF(T11资产负债表!$N$5&gt;60000,7000,IF(T11资产负债表!$N$5&gt;50000,6000,IF(T11资产负债表!$N$5&gt;40000,5000,IF(T11资产负债表!$N$5&gt;30000,4000,IF(T11资产负债表!$N$5&gt;20000,3000,IF(T11资产负债表!$N$5&gt;10000,2000,IF(T11资产负债表!$N$5&gt;=1000,1000,0)))))))</f>
        <v>0</v>
      </c>
      <c r="E23" s="123">
        <f>IF(T11资产负债表!$G$21&gt;60000,7000,IF(T11资产负债表!$G$21&gt;50000,6000,IF(T11资产负债表!$G$21&gt;40000,5000,IF(T11资产负债表!$G$21&gt;30000,4000,IF(T11资产负债表!$G$21&gt;20000,3000,IF(T11资产负债表!$G$21&gt;10000,2000,IF(T11资产负债表!$G$21&gt;=1000,1000,0)))))))</f>
        <v>0</v>
      </c>
      <c r="F23" s="123">
        <f>IF(T11资产负债表!$N$21&gt;60000,7000,IF(T11资产负债表!$N$21&gt;50000,6000,IF(T11资产负债表!$N$21&gt;40000,5000,IF(T11资产负债表!$N$21&gt;30000,4000,IF(T11资产负债表!$N$21&gt;20000,3000,IF(T11资产负债表!$N$21&gt;10000,2000,IF(T11资产负债表!$N$21&gt;=1000,1000,0)))))))</f>
        <v>0</v>
      </c>
      <c r="G23" s="123">
        <f>IF(T11资产负债表!$G$37&gt;60000,7000,IF(T11资产负债表!$G$37&gt;50000,6000,IF(T11资产负债表!$G$37&gt;40000,5000,IF(T11资产负债表!$G$37&gt;30000,4000,IF(T11资产负债表!$G$37&gt;20000,3000,IF(T11资产负债表!$G$37&gt;10000,2000,IF(T11资产负债表!$G$37&gt;=1000,1000,0)))))))</f>
        <v>0</v>
      </c>
      <c r="H23" s="123">
        <f>IF(T11资产负债表!$N$37&gt;60000,7000,IF(T11资产负债表!$N$37&gt;50000,6000,IF(T11资产负债表!$N$37&gt;40000,5000,IF(T11资产负债表!$N$37&gt;30000,4000,IF(T11资产负债表!$N$37&gt;20000,3000,IF(T11资产负债表!$N$37&gt;10000,2000,IF(T11资产负债表!$N$37&gt;=1000,1000,0)))))))</f>
        <v>0</v>
      </c>
      <c r="I23" s="123">
        <f>IF(T11资产负债表!$G$53&gt;60000,7000,IF(T11资产负债表!$G$53&gt;50000,6000,IF(T11资产负债表!$G$53&gt;40000,5000,IF(T11资产负债表!$G$53&gt;30000,4000,IF(T11资产负债表!$G$53&gt;20000,3000,IF(T11资产负债表!$G$53&gt;10000,2000,IF(T11资产负债表!$G$53&gt;=1000,1000,0)))))))</f>
        <v>0</v>
      </c>
      <c r="J23" s="123">
        <f>IF(T11资产负债表!$N$53&gt;60000,7000,IF(T11资产负债表!$N$53&gt;50000,6000,IF(T11资产负债表!$N$53&gt;40000,5000,IF(T11资产负债表!$N$53&gt;30000,4000,IF(T11资产负债表!$N$53&gt;20000,3000,IF(T11资产负债表!$N$53&gt;10000,2000,IF(T11资产负债表!$N$53&gt;=1000,1000,0)))))))</f>
        <v>0</v>
      </c>
    </row>
    <row r="24" spans="2:12" ht="15.6" x14ac:dyDescent="0.25">
      <c r="B24" s="326" t="s">
        <v>592</v>
      </c>
      <c r="C24" s="122">
        <f>IF('T3-T4'!$U$20='T3-T4'!$Y$5,'T3-T4'!$Q$20,0)+IF('T3-T4'!$U$21='T3-T4'!$Y$5,'T3-T4'!$Q$21,0)+IF('T3-T4'!$U$22='T3-T4'!$Y$5,'T3-T4'!$Q$22,0)+IF('T3-T4'!$U$23='T3-T4'!$Y$5,'T3-T4'!$Q$23,0)+IF('T3-T4'!$U$24='T3-T4'!$Y$5,'T3-T4'!$Q$24,0)+IF('T3-T4'!$U$25='T3-T4'!$Y$5,'T3-T4'!$Q$25,0)+IF('T3-T4'!$U$26='T3-T4'!$Y$5,'T3-T4'!$Q$26,0)+IF('T3-T4'!$U$27='T3-T4'!$Y$5,'T3-T4'!$Q$27,0)+IF('T3-T4'!$U$28='T3-T4'!$Y$5,'T3-T4'!$Q$28,0)+IF('T3-T4'!$U$29='T3-T4'!$Y$5,'T3-T4'!$Q$29,0)+IF('T3-T4'!$U$30='T3-T4'!$Y$5,'T3-T4'!$Q$30,0)+IF('T3-T4'!$U$31='T3-T4'!$Y$5,'T3-T4'!$Q$31,0)</f>
        <v>0</v>
      </c>
      <c r="D24" s="122">
        <f>IF('T3-T4'!$U$20='T3-T4'!$Y$6,'T3-T4'!$Q$20,0)+IF('T3-T4'!$U$21='T3-T4'!$Y$6,'T3-T4'!$Q$21,0)+IF('T3-T4'!$U$22='T3-T4'!$Y$6,'T3-T4'!$Q$22,0)+IF('T3-T4'!$U$23='T3-T4'!$Y$6,'T3-T4'!$Q$23,0)+IF('T3-T4'!$U$24='T3-T4'!$Y$6,'T3-T4'!$Q$24,0)+IF('T3-T4'!$U$25='T3-T4'!$Y$6,'T3-T4'!$Q$25,0)+IF('T3-T4'!$U$26='T3-T4'!$Y$6,'T3-T4'!$Q$26,0)+IF('T3-T4'!$U$27='T3-T4'!$Y$6,'T3-T4'!$Q$27,0)+IF('T3-T4'!$U$28='T3-T4'!$Y$6,'T3-T4'!$Q$28,0)+IF('T3-T4'!$U$29='T3-T4'!$Y$6,'T3-T4'!$Q$29,0)+IF('T3-T4'!$U$30='T3-T4'!$Y$6,'T3-T4'!$Q$30,0)+IF('T3-T4'!$U$31='T3-T4'!$Y$6,'T3-T4'!$Q$31,0)</f>
        <v>0</v>
      </c>
      <c r="E24" s="122">
        <f>IF('T3-T4'!$U$20='T3-T4'!$Y$7,'T3-T4'!$Q$20,0)+IF('T3-T4'!$U$21='T3-T4'!$Y$7,'T3-T4'!$Q$21,0)+IF('T3-T4'!$U$22='T3-T4'!$Y$7,'T3-T4'!$Q$22,0)+IF('T3-T4'!$U$23='T3-T4'!$Y$7,'T3-T4'!$Q$23,0)+IF('T3-T4'!$U$24='T3-T4'!$Y$7,'T3-T4'!$Q$24,0)+IF('T3-T4'!$U$25='T3-T4'!$Y$7,'T3-T4'!$Q$25,0)+IF('T3-T4'!$U$26='T3-T4'!$Y$7,'T3-T4'!$Q$26,0)+IF('T3-T4'!$U$27='T3-T4'!$Y$7,'T3-T4'!$Q$27,0)+IF('T3-T4'!$U$28='T3-T4'!$Y$7,'T3-T4'!$Q$28,0)+IF('T3-T4'!$U$29='T3-T4'!$Y$7,'T3-T4'!$Q$29,0)+IF('T3-T4'!$U$30='T3-T4'!$Y$7,'T3-T4'!$Q$30,0)+IF('T3-T4'!$U$31='T3-T4'!$Y$7,'T3-T4'!$Q$31,0)</f>
        <v>0</v>
      </c>
      <c r="F24" s="122">
        <f>IF('T3-T4'!$U$20='T3-T4'!$Y$8,'T3-T4'!$Q$20,0)+IF('T3-T4'!$U$21='T3-T4'!$Y$8,'T3-T4'!$Q$21,0)+IF('T3-T4'!$U$22='T3-T4'!$Y$8,'T3-T4'!$Q$22,0)+IF('T3-T4'!$U$23='T3-T4'!$Y$8,'T3-T4'!$Q$23,0)+IF('T3-T4'!$U$24='T3-T4'!$Y$8,'T3-T4'!$Q$24,0)+IF('T3-T4'!$U$25='T3-T4'!$Y$8,'T3-T4'!$Q$25,0)+IF('T3-T4'!$U$26='T3-T4'!$Y$8,'T3-T4'!$Q$26,0)+IF('T3-T4'!$U$27='T3-T4'!$Y$8,'T3-T4'!$Q$27,0)+IF('T3-T4'!$U$28='T3-T4'!$Y$8,'T3-T4'!$Q$28,0)+IF('T3-T4'!$U$29='T3-T4'!$Y$8,'T3-T4'!$Q$29,0)+IF('T3-T4'!$U$30='T3-T4'!$Y$8,'T3-T4'!$Q$30,0)+IF('T3-T4'!$U$31='T3-T4'!$Y$8,'T3-T4'!$Q$31,0)</f>
        <v>0</v>
      </c>
      <c r="G24" s="122">
        <f>IF('T3-T4'!$U$20='T3-T4'!$Y$9,'T3-T4'!$Q$20,0)+IF('T3-T4'!$U$21='T3-T4'!$Y$9,'T3-T4'!$Q$21,0)+IF('T3-T4'!$U$22='T3-T4'!$Y$9,'T3-T4'!$Q$22,0)+IF('T3-T4'!$U$23='T3-T4'!$Y$9,'T3-T4'!$Q$23,0)+IF('T3-T4'!$U$24='T3-T4'!$Y$9,'T3-T4'!$Q$24,0)+IF('T3-T4'!$U$25='T3-T4'!$Y$9,'T3-T4'!$Q$25,0)+IF('T3-T4'!$U$26='T3-T4'!$Y$9,'T3-T4'!$Q$26,0)+IF('T3-T4'!$U$27='T3-T4'!$Y$9,'T3-T4'!$Q$27,0)+IF('T3-T4'!$U$28='T3-T4'!$Y$9,'T3-T4'!$Q$28,0)+IF('T3-T4'!$U$29='T3-T4'!$Y$9,'T3-T4'!$Q$29,0)+IF('T3-T4'!$U$30='T3-T4'!$Y$9,'T3-T4'!$Q$30,0)+IF('T3-T4'!$U$31='T3-T4'!$Y$9,'T3-T4'!$Q$31,0)</f>
        <v>0</v>
      </c>
      <c r="H24" s="122">
        <f>IF('T3-T4'!$U$20='T3-T4'!$Y$10,'T3-T4'!$Q$20,0)+IF('T3-T4'!$U$21='T3-T4'!$Y$10,'T3-T4'!$Q$21,0)+IF('T3-T4'!$U$22='T3-T4'!$Y$10,'T3-T4'!$Q$22,0)+IF('T3-T4'!$U$23='T3-T4'!$Y$10,'T3-T4'!$Q$23,0)+IF('T3-T4'!$U$24='T3-T4'!$Y$10,'T3-T4'!$Q$24,0)+IF('T3-T4'!$U$25='T3-T4'!$Y$10,'T3-T4'!$Q$25,0)+IF('T3-T4'!$U$26='T3-T4'!$Y$10,'T3-T4'!$Q$26,0)+IF('T3-T4'!$U$27='T3-T4'!$Y$10,'T3-T4'!$Q$27,0)+IF('T3-T4'!$U$28='T3-T4'!$Y$10,'T3-T4'!$Q$28,0)+IF('T3-T4'!$U$29='T3-T4'!$Y$10,'T3-T4'!$Q$29,0)+IF('T3-T4'!$U$30='T3-T4'!$Y$10,'T3-T4'!$Q$30,0)+IF('T3-T4'!$U$31='T3-T4'!$Y$10,'T3-T4'!$Q$31,0)</f>
        <v>0</v>
      </c>
      <c r="I24" s="122">
        <f>IF('T3-T4'!$U$20='T3-T4'!$Y$11,'T3-T4'!$Q$20,0)+IF('T3-T4'!$U$21='T3-T4'!$Y$11,'T3-T4'!$Q$21,0)+IF('T3-T4'!$U$22='T3-T4'!$Y$11,'T3-T4'!$Q$22,0)+IF('T3-T4'!$U$23='T3-T4'!$Y$11,'T3-T4'!$Q$23,0)+IF('T3-T4'!$U$24='T3-T4'!$Y$11,'T3-T4'!$Q$24,0)+IF('T3-T4'!$U$25='T3-T4'!$Y$11,'T3-T4'!$Q$25,0)+IF('T3-T4'!$U$26='T3-T4'!$Y$11,'T3-T4'!$Q$26,0)+IF('T3-T4'!$U$27='T3-T4'!$Y$11,'T3-T4'!$Q$27,0)+IF('T3-T4'!$U$28='T3-T4'!$Y$11,'T3-T4'!$Q$28,0)+IF('T3-T4'!$U$29='T3-T4'!$Y$11,'T3-T4'!$Q$29,0)+IF('T3-T4'!$U$30='T3-T4'!$Y$11,'T3-T4'!$Q$30,0)+IF('T3-T4'!$U$31='T3-T4'!$Y$11,'T3-T4'!$Q$31,0)</f>
        <v>0</v>
      </c>
      <c r="J24" s="122">
        <f>IF('T3-T4'!$U$20='T3-T4'!$Y$12,'T3-T4'!$Q$20,0)+IF('T3-T4'!$U$21='T3-T4'!$Y$12,'T3-T4'!$Q$21,0)+IF('T3-T4'!$U$22='T3-T4'!$Y$12,'T3-T4'!$Q$22,0)+IF('T3-T4'!$U$23='T3-T4'!$Y$12,'T3-T4'!$Q$23,0)+IF('T3-T4'!$U$24='T3-T4'!$Y$12,'T3-T4'!$Q$24,0)+IF('T3-T4'!$U$25='T3-T4'!$Y$12,'T3-T4'!$Q$25,0)+IF('T3-T4'!$U$26='T3-T4'!$Y$12,'T3-T4'!$Q$26,0)+IF('T3-T4'!$U$27='T3-T4'!$Y$12,'T3-T4'!$Q$27,0)+IF('T3-T4'!$U$28='T3-T4'!$Y$12,'T3-T4'!$Q$28,0)+IF('T3-T4'!$U$29='T3-T4'!$Y$12,'T3-T4'!$Q$29,0)+IF('T3-T4'!$U$30='T3-T4'!$Y$11,'T3-T4'!$Q$30,0)+IF('T3-T4'!$U$31='T3-T4'!$Y$12,'T3-T4'!$Q$31,0)</f>
        <v>0</v>
      </c>
    </row>
    <row r="25" spans="2:12" ht="15.6" x14ac:dyDescent="0.25">
      <c r="B25" s="326" t="s">
        <v>593</v>
      </c>
      <c r="C25" s="122">
        <f>0</f>
        <v>0</v>
      </c>
      <c r="D25" s="122">
        <f>IF('T3-T4'!$U$6='T3-T4'!$Y$5,'T3-T4'!$Q$6,0)+IF('T3-T4'!$U$7='T3-T4'!$Y$5,'T3-T4'!$Q$7,0)+IF('T3-T4'!$U$8='T3-T4'!$Y$5,'T3-T4'!$Q$8,0)+IF('T3-T4'!$U$9='T3-T4'!$Y$5,'T3-T4'!$Q$9,0)+IF('T3-T4'!$U$10='T3-T4'!$Y$5,'T3-T4'!$Q$10,0)+IF('T3-T4'!$U$11='T3-T4'!$Y$5,'T3-T4'!$Q$11,0)+IF('T3-T4'!$U$12='T3-T4'!$Y$5,'T3-T4'!$Q$12,0)+IF('T3-T4'!$U$13='T3-T4'!$Y$5,'T3-T4'!$Q$13,0)+IF('T3-T4'!$U$14='T3-T4'!$Y$5,'T3-T4'!$Q$14,0)+IF('T3-T4'!$U$15='T3-T4'!$Y$5,'T3-T4'!$Q$15,0)+IF('T3-T4'!$U$16='T3-T4'!$Y$5,'T3-T4'!$Q$16,0)+IF('T3-T4'!$U$17='T3-T4'!$Y$5,'T3-T4'!$Q$17,0)</f>
        <v>0</v>
      </c>
      <c r="E25" s="122">
        <f>IF('T3-T4'!$U$6='T3-T4'!$Y$6,'T3-T4'!$Q$6,0)+IF('T3-T4'!$U$7='T3-T4'!$Y$6,'T3-T4'!$Q$7,0)+IF('T3-T4'!$U$8='T3-T4'!$Y$6,'T3-T4'!$Q$8,0)+IF('T3-T4'!$U$9='T3-T4'!$Y$6,'T3-T4'!$Q$9,0)+IF('T3-T4'!$U$10='T3-T4'!$Y$6,'T3-T4'!$Q$10,0)+IF('T3-T4'!$U$11='T3-T4'!$Y$6,'T3-T4'!$Q$11,0)+IF('T3-T4'!$U$12='T3-T4'!$Y$6,'T3-T4'!$Q$12,0)+IF('T3-T4'!$U$13='T3-T4'!$Y$6,'T3-T4'!$Q$13,0)+IF('T3-T4'!$U$14='T3-T4'!$Y$6,'T3-T4'!$Q$14,0)+IF('T3-T4'!$U$15='T3-T4'!$Y$6,'T3-T4'!$Q$15,0)+IF('T3-T4'!$U$16='T3-T4'!$Y$6,'T3-T4'!$Q$16,0)+IF('T3-T4'!$U$17='T3-T4'!$Y$6,'T3-T4'!$Q$17,0)</f>
        <v>0</v>
      </c>
      <c r="F25" s="122">
        <f>IF('T3-T4'!$U$6='T3-T4'!$Y$7,'T3-T4'!$Q$6,0)+IF('T3-T4'!$U$7='T3-T4'!$Y$7,'T3-T4'!$Q$7,0)+IF('T3-T4'!$U$8='T3-T4'!$Y$7,'T3-T4'!$Q$8,0)+IF('T3-T4'!$U$9='T3-T4'!$Y$7,'T3-T4'!$Q$9,0)+IF('T3-T4'!$U$10='T3-T4'!$Y$7,'T3-T4'!$Q$10,0)+IF('T3-T4'!$U$11='T3-T4'!$Y$7,'T3-T4'!$Q$11,0)+IF('T3-T4'!$U$12='T3-T4'!$Y$7,'T3-T4'!$Q$12,0)+IF('T3-T4'!$U$13='T3-T4'!$Y$7,'T3-T4'!$Q$13,0)+IF('T3-T4'!$U$14='T3-T4'!$Y$7,'T3-T4'!$Q$14,0)+IF('T3-T4'!$U$15='T3-T4'!$Y$7,'T3-T4'!$Q$15,0)+IF('T3-T4'!$U$16='T3-T4'!$Y$7,'T3-T4'!$Q$16,0)+IF('T3-T4'!$U$17='T3-T4'!$Y$7,'T3-T4'!$Q$17,0)</f>
        <v>0</v>
      </c>
      <c r="G25" s="122">
        <f>IF('T3-T4'!$U$6='T3-T4'!$Y$8,'T3-T4'!$Q$6,0)+IF('T3-T4'!$U$7='T3-T4'!$Y$8,'T3-T4'!$Q$7,0)+IF('T3-T4'!$U$8='T3-T4'!$Y$8,'T3-T4'!$Q$8,0)+IF('T3-T4'!$U$9='T3-T4'!$Y$8,'T3-T4'!$Q$9,0)+IF('T3-T4'!$U$10='T3-T4'!$Y$8,'T3-T4'!$Q$10,0)+IF('T3-T4'!$U$11='T3-T4'!$Y$8,'T3-T4'!$Q$11,0)+IF('T3-T4'!$U$12='T3-T4'!$Y$8,'T3-T4'!$Q$12,0)+IF('T3-T4'!$U$13='T3-T4'!$Y$8,'T3-T4'!$Q$13,0)+IF('T3-T4'!$U$14='T3-T4'!$Y$8,'T3-T4'!$Q$14,0)+IF('T3-T4'!$U$15='T3-T4'!$Y$8,'T3-T4'!$Q$15,0)+IF('T3-T4'!$U$16='T3-T4'!$Y$8,'T3-T4'!$Q$16,0)+IF('T3-T4'!$U$17='T3-T4'!$Y$8,'T3-T4'!$Q$17,0)</f>
        <v>0</v>
      </c>
      <c r="H25" s="122">
        <f>IF('T3-T4'!$U$6='T3-T4'!$Y$9,'T3-T4'!$Q$6,0)+IF('T3-T4'!$U$7='T3-T4'!$Y$9,'T3-T4'!$Q$7,0)+IF('T3-T4'!$U$8='T3-T4'!$Y$9,'T3-T4'!$Q$8,0)+IF('T3-T4'!$U$9='T3-T4'!$Y$9,'T3-T4'!$Q$9,0)+IF('T3-T4'!$U$10='T3-T4'!$Y$9,'T3-T4'!$Q$10,0)+IF('T3-T4'!$U$11='T3-T4'!$Y$9,'T3-T4'!$Q$11,0)+IF('T3-T4'!$U$12='T3-T4'!$Y$9,'T3-T4'!$Q$12,0)+IF('T3-T4'!$U$13='T3-T4'!$Y$9,'T3-T4'!$Q$13,0)+IF('T3-T4'!$U$14='T3-T4'!$Y$9,'T3-T4'!$Q$14,0)+IF('T3-T4'!$U$15='T3-T4'!$Y$9,'T3-T4'!$Q$15,0)+IF('T3-T4'!$U$16='T3-T4'!$Y$9,'T3-T4'!$Q$16,0)+IF('T3-T4'!$U$17='T3-T4'!$Y$9,'T3-T4'!$Q$17,0)</f>
        <v>0</v>
      </c>
      <c r="I25" s="122">
        <f>IF('T3-T4'!$U$6='T3-T4'!$Y$10,'T3-T4'!$Q$6,0)+IF('T3-T4'!$U$7='T3-T4'!$Y$10,'T3-T4'!$Q$7,0)+IF('T3-T4'!$U$8='T3-T4'!$Y$10,'T3-T4'!$Q$8,0)+IF('T3-T4'!$U$9='T3-T4'!$Y$10,'T3-T4'!$Q$9,0)+IF('T3-T4'!$U$10='T3-T4'!$Y$10,'T3-T4'!$Q$10,0)+IF('T3-T4'!$U$11='T3-T4'!$Y$10,'T3-T4'!$Q$11,0)+IF('T3-T4'!$U$12='T3-T4'!$Y$10,'T3-T4'!$Q$12,0)+IF('T3-T4'!$U$13='T3-T4'!$Y$10,'T3-T4'!$Q$13,0)+IF('T3-T4'!$U$14='T3-T4'!$Y$10,'T3-T4'!$Q$14,0)+IF('T3-T4'!$U$15='T3-T4'!$Y$10,'T3-T4'!$Q$15,0)+IF('T3-T4'!$U$16='T3-T4'!$Y$10,'T3-T4'!$Q$16,0)+IF('T3-T4'!$U$17='T3-T4'!$Y$10,'T3-T4'!$Q$17,0)</f>
        <v>0</v>
      </c>
      <c r="J25" s="122">
        <f>IF('T3-T4'!$U$6='T3-T4'!$Y$11,'T3-T4'!$Q$6,0)+IF('T3-T4'!$U$7='T3-T4'!$Y$11,'T3-T4'!$Q$7,0)+IF('T3-T4'!$U$8='T3-T4'!$Y$11,'T3-T4'!$Q$8,0)+IF('T3-T4'!$U$9='T3-T4'!$Y$11,'T3-T4'!$Q$9,0)+IF('T3-T4'!$U$10='T3-T4'!$Y$11,'T3-T4'!$Q$10,0)+IF('T3-T4'!$U$11='T3-T4'!$Y$11,'T3-T4'!$Q$11,0)+IF('T3-T4'!$U$12='T3-T4'!$Y$11,'T3-T4'!$Q$12,0)+IF('T3-T4'!$U$13='T3-T4'!$Y$11,'T3-T4'!$Q$13,0)+IF('T3-T4'!$U$14='T3-T4'!$Y$11,'T3-T4'!$Q$14,0)+IF('T3-T4'!$U$15='T3-T4'!$Y$11,'T3-T4'!$Q$15,0)+IF('T3-T4'!$U$16='T3-T4'!$Y$11,'T3-T4'!$Q$16,0)+IF('T3-T4'!$U$17='T3-T4'!$Y$11,'T3-T4'!$Q$17,0)</f>
        <v>0</v>
      </c>
    </row>
    <row r="26" spans="2:12" ht="15.6" x14ac:dyDescent="0.25">
      <c r="B26" s="326" t="s">
        <v>594</v>
      </c>
      <c r="C26" s="123">
        <f>'T3-T4'!$C$5+IF('T3-T4'!$B$17='T3-T4'!$B$5,'T3-T4'!$C$17*IF('T3-T4'!$O$17='T3-T4'!$AE$4,1,0),0)+IF('T3-T4'!$B$18='T3-T4'!$B$5,'T3-T4'!$C$18*IF('T3-T4'!$O$18='T3-T4'!$AE$4,1,0),0)+IF('T3-T4'!$B$19='T3-T4'!$B$5,'T3-T4'!$C$19*IF('T3-T4'!$O$19='T3-T4'!$AE$4,1,0),0)+IF('T3-T4'!$B$20='T3-T4'!$B$5,'T3-T4'!$C$20*IF('T3-T4'!$O$20='T3-T4'!$AE$4,1,0),0)+IF('T3-T4'!$B$21='T3-T4'!$B$5,'T3-T4'!$C$21*IF('T3-T4'!$O$21='T3-T4'!$AE$4,1,0),0)+IF('T3-T4'!$B$22='T3-T4'!$B$5,'T3-T4'!$C$22*IF('T3-T4'!$O$22='T3-T4'!$AE$4,1,0),0)+IF('T3-T4'!$B$23='T3-T4'!$B$5,'T3-T4'!$C$23*IF('T3-T4'!$O$23='T3-T4'!$AE$4,1,0),0)+IF('T3-T4'!$B$24='T3-T4'!$B$5,'T3-T4'!$C$24*IF('T3-T4'!$O$24='T3-T4'!$AE$4,1,0),0)</f>
        <v>0</v>
      </c>
      <c r="D26" s="123">
        <f>'T3-T4'!$C$6+IF('T3-T4'!$B$17='T3-T4'!$B$6,'T3-T4'!$C$17*IF('T3-T4'!$O$17='T3-T4'!$AE$4,1,0),0)+IF('T3-T4'!$B$18='T3-T4'!$B$6,'T3-T4'!$C$18*IF('T3-T4'!$O$18='T3-T4'!$AE$4,1,0),0)+IF('T3-T4'!$B$19='T3-T4'!$B$6,'T3-T4'!$C$19*IF('T3-T4'!$O$19='T3-T4'!$AE$4,1,0),0)+IF('T3-T4'!$B$20='T3-T4'!$B$6,'T3-T4'!$C$20*IF('T3-T4'!$O$20='T3-T4'!$AE$4,1,0),0)+IF('T3-T4'!$B$21='T3-T4'!$B$6,'T3-T4'!$C$21*IF('T3-T4'!$O$21='T3-T4'!$AE$4,1,0),0)+IF('T3-T4'!$B$22='T3-T4'!$B$6,'T3-T4'!$C$22*IF('T3-T4'!$O$22='T3-T4'!$AE$4,1,0),0)+IF('T3-T4'!$B$23='T3-T4'!$B$6,'T3-T4'!$C$23*IF('T3-T4'!$O$23='T3-T4'!$AE$4,1,0),0)+IF('T3-T4'!$B$24='T3-T4'!$B$6,'T3-T4'!$C$24*IF('T3-T4'!$O$24='T3-T4'!$AE$4,1,0),0)</f>
        <v>0</v>
      </c>
      <c r="E26" s="123">
        <f>'T3-T4'!$C$7+IF('T3-T4'!$B$17='T3-T4'!$B$7,'T3-T4'!$C$17*IF('T3-T4'!$O$17='T3-T4'!$AE$4,1,0),0)+IF('T3-T4'!$B$18='T3-T4'!$B$7,'T3-T4'!$C$18*IF('T3-T4'!$O$18='T3-T4'!$AE$4,1,0),0)+IF('T3-T4'!$B$19='T3-T4'!$B$7,'T3-T4'!$C$19*IF('T3-T4'!$O$19='T3-T4'!$AE$4,1,0),0)+IF('T3-T4'!$B$20='T3-T4'!$B$7,'T3-T4'!$C$20*IF('T3-T4'!$O$20='T3-T4'!$AE$4,1,0),0)+IF('T3-T4'!$B$21='T3-T4'!$B$7,'T3-T4'!$C$21*IF('T3-T4'!$O$21='T3-T4'!$AE$4,1,0),0)+IF('T3-T4'!$B$22='T3-T4'!$B$7,'T3-T4'!$C$22*IF('T3-T4'!$O$22='T3-T4'!$AE$4,1,0),0)+IF('T3-T4'!$B$23='T3-T4'!$B$7,'T3-T4'!$C$23*IF('T3-T4'!$O$23='T3-T4'!$AE$4,1,0),0)+IF('T3-T4'!$B$24='T3-T4'!$B$7,'T3-T4'!$C$24*IF('T3-T4'!$O$24='T3-T4'!$AE$4,1,0),0)</f>
        <v>0</v>
      </c>
      <c r="F26" s="123">
        <f>'T3-T4'!$C$8+IF('T3-T4'!$B$17='T3-T4'!$B$8,'T3-T4'!$C$17*IF('T3-T4'!$O$17='T3-T4'!$AE$4,1,0),0)+IF('T3-T4'!$B$18='T3-T4'!$B$8,'T3-T4'!$C$18*IF('T3-T4'!$O$18='T3-T4'!$AE$4,1,0),0)+IF('T3-T4'!$B$19='T3-T4'!$B$8,'T3-T4'!$C$19*IF('T3-T4'!$O$19='T3-T4'!$AE$4,1,0),0)+IF('T3-T4'!$B$20='T3-T4'!$B$8,'T3-T4'!$C$20*IF('T3-T4'!$O$20='T3-T4'!$AE$4,1,0))+IF('T3-T4'!$B$21='T3-T4'!$B$8,'T3-T4'!$C$21*IF('T3-T4'!$O$21='T3-T4'!$AE$4,1,0),0)+IF('T3-T4'!$B$22='T3-T4'!$B$8,'T3-T4'!$C$22*IF('T3-T4'!$O$22='T3-T4'!$AE$4,1,0),0)+IF('T3-T4'!$B$23='T3-T4'!$B$8,'T3-T4'!$C$23*IF('T3-T4'!$O$23='T3-T4'!$AE$4,1,0),0)+IF('T3-T4'!$B$24='T3-T4'!$B$8,'T3-T4'!$C$24*IF('T3-T4'!$O$24='T3-T4'!$AE$4,1,0),0)</f>
        <v>0</v>
      </c>
      <c r="G26" s="123">
        <f>'T3-T4'!$C$9+IF('T3-T4'!$B$17='T3-T4'!$B$9,'T3-T4'!$C$17*IF('T3-T4'!$O$17='T3-T4'!$AE$4,1,0),0)+IF('T3-T4'!$B$18='T3-T4'!$B$9,'T3-T4'!$C$18*IF('T3-T4'!$O$18='T3-T4'!$AE$4,1,0),0)+IF('T3-T4'!$B$19='T3-T4'!$B$9,'T3-T4'!$C$19*IF('T3-T4'!$O$19='T3-T4'!$AE$4,1,0),0)+IF('T3-T4'!$B$20='T3-T4'!$B$9,'T3-T4'!$C$20*IF('T3-T4'!$O$20='T3-T4'!$AE$4,1,0),0)+IF('T3-T4'!$B$21='T3-T4'!$B$9,'T3-T4'!$C$21*IF('T3-T4'!$O$21='T3-T4'!$AE$4,1,0),0)+IF('T3-T4'!$B$22='T3-T4'!$B$9,'T3-T4'!$C$22*IF('T3-T4'!$O$22='T3-T4'!$AE$4,1,0),0)+IF('T3-T4'!$B$23='T3-T4'!$B$9,'T3-T4'!$C$23*IF('T3-T4'!$O$23='T3-T4'!$AE$4,1,0),0)+IF('T3-T4'!$B$24='T3-T4'!$B$9,'T3-T4'!$C$24*IF('T3-T4'!$O$24='T3-T4'!$AE$4,1,0),0)</f>
        <v>0</v>
      </c>
      <c r="H26" s="123">
        <f>'T3-T4'!$C$10+IF('T3-T4'!$B$17='T3-T4'!$B$10,'T3-T4'!$C$17*IF('T3-T4'!$O$17='T3-T4'!$AE$4,1,0),0)+IF('T3-T4'!$B$18='T3-T4'!$B$10,'T3-T4'!$C$18*IF('T3-T4'!$O$18='T3-T4'!$AE$4,1,0),0)+IF('T3-T4'!$B$19='T3-T4'!$B$10,'T3-T4'!$C$19*IF('T3-T4'!$O$19='T3-T4'!$AE$4,1,0),0)+IF('T3-T4'!$B$20='T3-T4'!$B$10,'T3-T4'!$C$20*IF('T3-T4'!$O$20='T3-T4'!$AE$4,1,0),0)+IF('T3-T4'!$B$21='T3-T4'!$B$10,'T3-T4'!$C$21*IF('T3-T4'!$O$21='T3-T4'!$AE$4,1,0),0)+IF('T3-T4'!$B$22='T3-T4'!$B$10,'T3-T4'!$C$22*IF('T3-T4'!$O$22='T3-T4'!$AE$4,1,0),0)+IF('T3-T4'!$B$23='T3-T4'!$B$10,'T3-T4'!$C$23*IF('T3-T4'!$O$23='T3-T4'!$AE$4,1,0),0)+IF('T3-T4'!$B$24='T3-T4'!$B$10,'T3-T4'!$C$24*IF('T3-T4'!$O$24='T3-T4'!$AE$4,1,0),0)</f>
        <v>0</v>
      </c>
      <c r="I26" s="123">
        <f>'T3-T4'!$C$11+IF('T3-T4'!$B$17='T3-T4'!$B$11,'T3-T4'!$C$17*IF('T3-T4'!$O$17='T3-T4'!$AE$4,1,0),0)+IF('T3-T4'!$B$18='T3-T4'!$B$11,'T3-T4'!$C$18*IF('T3-T4'!$O$18='T3-T4'!$AE$4,1,0),0)+IF('T3-T4'!$B$19='T3-T4'!$B$11,'T3-T4'!$C$19*IF('T3-T4'!$O$19='T3-T4'!$AE$4,1,0),0)+IF('T3-T4'!$B$20='T3-T4'!$B$11,'T3-T4'!$C$20*IF('T3-T4'!$O$20='T3-T4'!$AE$4,1,0),0)+IF('T3-T4'!$B$21='T3-T4'!$B$11,'T3-T4'!$C$21*IF('T3-T4'!$O$21='T3-T4'!$AE$4,1,0),0)+IF('T3-T4'!$B$22='T3-T4'!$B$11,'T3-T4'!$C$22*IF('T3-T4'!$O$22='T3-T4'!$AE$4,1,0),0)+IF('T3-T4'!$B$23='T3-T4'!$B$11,'T3-T4'!$C$23*IF('T3-T4'!$O$23='T3-T4'!$AE$4,1,0),0)+IF('T3-T4'!$B$24='T3-T4'!$B$11,'T3-T4'!$C$24*IF('T3-T4'!$O$24='T3-T4'!$AE$4,1,0),0)</f>
        <v>0</v>
      </c>
      <c r="J26" s="123">
        <f>'T3-T4'!$C$12+IF('T3-T4'!$B$17='T3-T4'!$B$12,'T3-T4'!$C$17*IF('T3-T4'!$O$17='T3-T4'!$AE$4,1,0),0)+IF('T3-T4'!$B$18='T3-T4'!$B$12,'T3-T4'!$C$18*IF('T3-T4'!$O$18='T3-T4'!$AE$4,1,0),0)+IF('T3-T4'!$B$19='T3-T4'!$B$12,'T3-T4'!$C$19*IF('T3-T4'!$O$19='T3-T4'!$AE$4,1,0),0)+IF('T3-T4'!$B$20='T3-T4'!$B$12,'T3-T4'!$C$20*IF('T3-T4'!$O$20='T3-T4'!$AE$4,1,0),0)+IF('T3-T4'!$B$21='T3-T4'!$B$12,'T3-T4'!$C$21*IF('T3-T4'!$O$21='T3-T4'!$AE$4,1,0),0)+IF('T3-T4'!$B$22='T3-T4'!$B$12,'T3-T4'!$C$22*IF('T3-T4'!$O$22='T3-T4'!$AE$4,1,0),0)+IF('T3-T4'!$B$23='T3-T4'!$B$12,'T3-T4'!$C$23*IF('T3-T4'!$O$23='T3-T4'!$AE$4,1,0),0)+IF('T3-T4'!$B$24='T3-T4'!$B$12,'T3-T4'!$C$24*IF('T3-T4'!$O$24='T3-T4'!$AE$4,1,0),0)</f>
        <v>0</v>
      </c>
    </row>
    <row r="27" spans="2:12" ht="15.6" x14ac:dyDescent="0.25">
      <c r="B27" s="132" t="s">
        <v>251</v>
      </c>
      <c r="C27" s="122">
        <f>0</f>
        <v>0</v>
      </c>
      <c r="D27" s="122">
        <f>IF(T1存款利息表!$R$7="",0,T1存款利息表!$R$7)+IF(T1存款利息表!$R$8="",0,T1存款利息表!$R$8)+IF(T1存款利息表!$R$11="",0,T1存款利息表!$R$11)+IF(T1存款利息表!$R$10="",0,T1存款利息表!$R$10)</f>
        <v>269.39999999999998</v>
      </c>
      <c r="E27" s="122">
        <f>IF(T1存款利息表!$S$7="",0,T1存款利息表!S$7)+IF(T1存款利息表!$S$8="",0,T1存款利息表!$S$8)+IF(T1存款利息表!$S$11="",0,T1存款利息表!$S$11)+IF(T1存款利息表!$S$10="",0,T1存款利息表!$S$10)+IF(T1存款利息表!$S$14="",0,T1存款利息表!S$14)+IF(T1存款利息表!$S$15="",0,T1存款利息表!$S$15)+IF(T1存款利息表!$S$16="",0,T1存款利息表!$S$16)+IF(T1存款利息表!$S$17="",0,T1存款利息表!$S$17)+IF(T1存款利息表!$S$19="",0,T1存款利息表!S$19)+IF(T1存款利息表!$S$20="",0,T1存款利息表!$S$20)+IF(T1存款利息表!$S$21="",0,T1存款利息表!$S$21)+IF(T1存款利息表!$S$22="",0,T1存款利息表!$S$22)</f>
        <v>0</v>
      </c>
      <c r="F27" s="122">
        <f>IF(T1存款利息表!$T$7="",0,T1存款利息表!T$7)+IF(T1存款利息表!$T$8="",0,T1存款利息表!$T$8)+IF(T1存款利息表!$T$11="",0,T1存款利息表!$T$11)+IF(T1存款利息表!$T$10="",0,T1存款利息表!$T$10)+IF(T1存款利息表!$T$14="",0,T1存款利息表!T$14)+IF(T1存款利息表!$T$15="",0,T1存款利息表!$T$15)+IF(T1存款利息表!$T$16="",0,T1存款利息表!$T$16)+IF(T1存款利息表!$T$17="",0,T1存款利息表!$T$17)+IF(T1存款利息表!$T$19="",0,T1存款利息表!T$19)+IF(T1存款利息表!$T$20="",0,T1存款利息表!$T$20)+IF(T1存款利息表!$T$21="",0,T1存款利息表!$T$21)+IF(T1存款利息表!$T$22="",0,T1存款利息表!$T$22)+IF(T1存款利息表!$T$25="",0,T1存款利息表!T$25)+IF(T1存款利息表!$T$26="",0,T1存款利息表!$T$26)+IF(T1存款利息表!$T$27="",0,T1存款利息表!$T$27)+IF(T1存款利息表!$T$28="",0,T1存款利息表!$T$28)+IF(T1存款利息表!$T$30="",0,T1存款利息表!T$30)+IF(T1存款利息表!$T$31="",0,T1存款利息表!$T$31)+IF(T1存款利息表!$T$32="",0,T1存款利息表!$T$32)+IF(T1存款利息表!$T$33="",0,T1存款利息表!$T$33)</f>
        <v>0</v>
      </c>
      <c r="G27" s="122">
        <f>IF(T1存款利息表!U$7="",0,T1存款利息表!U$7)+SUM(T1存款利息表!U8,T1存款利息表!U10:U11,T1存款利息表!U14:U17,T1存款利息表!U19:U22,T1存款利息表!U25:U28,T1存款利息表!U31:U33,T1存款利息表!U36:U39,T1存款利息表!U41:U44,T1存款利息表!U30)</f>
        <v>0</v>
      </c>
      <c r="H27" s="122">
        <f>IF(T1存款利息表!V$7="",0,T1存款利息表!V$7)+SUM(T1存款利息表!V7:V8,T1存款利息表!V10:V11,T1存款利息表!V14:V17,T1存款利息表!V19:V22,T1存款利息表!V25:V28,T1存款利息表!V30:V33,T1存款利息表!V36:V39,T1存款利息表!V41:V44,T1存款利息表!V47:V50,T1存款利息表!V52:V55)</f>
        <v>0</v>
      </c>
      <c r="I27" s="122">
        <f>IF(T1存款利息表!W$14="",0,T1存款利息表!W$14)+SUM(T1存款利息表!W15:W17,T1存款利息表!W19:W22,T1存款利息表!W25:W28,T1存款利息表!W30:W33,T1存款利息表!W36:W39,T1存款利息表!W41:W44,T1存款利息表!W47:W50,T1存款利息表!W52:W55,T1存款利息表!W58:W61,T1存款利息表!W63:W66)</f>
        <v>0</v>
      </c>
      <c r="J27" s="122">
        <f>IF(T1存款利息表!X$25="",0,T1存款利息表!X$25)+SUM(T1存款利息表!X26:X28,T1存款利息表!X30:X33,T1存款利息表!X36:X39,T1存款利息表!X41:X44,T1存款利息表!X47:X50,T1存款利息表!X52:X55,T1存款利息表!X58:X61,T1存款利息表!X63:X66,T1存款利息表!X69:X72,T1存款利息表!X74:X77)</f>
        <v>0</v>
      </c>
    </row>
    <row r="28" spans="2:12" ht="15.6" x14ac:dyDescent="0.25">
      <c r="B28" s="132" t="s">
        <v>252</v>
      </c>
      <c r="C28" s="123">
        <f>IF(IF(T0登记表!$F25="对公",T0登记表!$B25*4%,IF(T0登记表!F25="零售",T0登记表!$B25*2%,0))+IF(T0登记表!$F26="对公",T0登记表!$B26*4%,IF(T0登记表!$F26="零售",T0登记表!$B26*2%,0))&gt;=T0登记表!D15,2*(IF(T0登记表!$F25="对公",T0登记表!$B25*4%,IF(T0登记表!$F25="零售",T0登记表!$B25*2%,0))+IF(T0登记表!$F26="对公",T0登记表!$B26*4%,IF(T0登记表!$F26="零售",T0登记表!$B26*2%,0))-T0登记表!D15),0)+T0登记表!D15</f>
        <v>578.4</v>
      </c>
      <c r="D28" s="123">
        <f>IF(IF(T0登记表!$F29="对公",T0登记表!$B29*4%,IF(T0登记表!$F29="零售",T0登记表!$B29*2%,0))+IF(T0登记表!$F30="对公",T0登记表!$B30*4%,IF(T0登记表!$F30="零售",T0登记表!$B30*2%,0))+IF(T0登记表!$F31="对公",T0登记表!$B31*4%,IF(T0登记表!$F31="零售",T0登记表!$B31*2%,0))+IF(T0登记表!$F32="对公",T0登记表!$B32*4%,IF(T0登记表!$F32="零售",T0登记表!$B32*2%,0))&gt;=T0登记表!E15,2*(IF(T0登记表!$F29="对公",T0登记表!$B29*4%,IF(T0登记表!$F29="零售",T0登记表!$B29*2%,0))+IF(T0登记表!$F30="对公",T0登记表!$B30*4%,IF(T0登记表!$F30="零售",T0登记表!$B30*2%,0)+IF(T0登记表!$F31="对公",T0登记表!$B31*4%,IF(T0登记表!$F31="零售",T0登记表!$B31*2%,0))+IF(T0登记表!$F32="对公",T0登记表!$B32*4%,IF(T0登记表!$F32="零售",T0登记表!$B32*2%,0)))-T0登记表!E15),0)+T0登记表!E15</f>
        <v>265</v>
      </c>
      <c r="E28" s="123">
        <f>IF(IF(T0登记表!$F35="对公",T0登记表!$B35*4%,IF(T0登记表!$F35="零售",T0登记表!$B35*2%,0))+IF(T0登记表!$F36="对公",T0登记表!$B36*4%,IF(T0登记表!$F36="零售",T0登记表!$B36*2%,0))+IF(T0登记表!$F37="对公",T0登记表!$B37*4%,IF(T0登记表!$F37="零售",T0登记表!$B37*2%,0))+IF(T0登记表!$F38="对公",T0登记表!$B38*4%,IF(T0登记表!$F38="零售",T0登记表!$B38*2%,0))&gt;=T0登记表!F15,2*(IF(T0登记表!$F35="对公",T0登记表!$B35*4%,IF(T0登记表!$F35="零售",T0登记表!$B35*2%,0))+IF(T0登记表!$F36="对公",T0登记表!$B36*4%,IF(T0登记表!$F36="零售",T0登记表!$B36*2%,0))+IF(T0登记表!$F37="对公",T0登记表!$B37*4%,IF(T0登记表!$F37="零售",T0登记表!$B37*2%,0))+IF(T0登记表!$F38="对公",T0登记表!$B38*4%,IF(T0登记表!$F38="零售",T0登记表!$B38*2%,0))-T0登记表!F15),0)+T0登记表!F15</f>
        <v>140</v>
      </c>
      <c r="F28" s="123">
        <f>IF(IF(T0登记表!$F41="对公",T0登记表!$B41*4%,IF(T0登记表!$F41="零售",T0登记表!$B41*2%,0))+IF(T0登记表!$F42="对公",T0登记表!$B42*4%,IF(T0登记表!$F42="零售",T0登记表!$B42*2%,0))+IF(T0登记表!$F43="对公",T0登记表!$B43*4%,IF(T0登记表!$F43="零售",T0登记表!$B43*2%,0))+IF(T0登记表!$F44="对公",T0登记表!$B44*4%,IF(T0登记表!$F44="零售",T0登记表!$B44*2%,0))&gt;=T0登记表!G15,2*(IF(T0登记表!$F41="对公",T0登记表!$B41*4%,IF(T0登记表!$F41="零售",T0登记表!$B41*2%,0))+IF(T0登记表!$F42="对公",T0登记表!$B42*4%,IF(T0登记表!$F42="零售",T0登记表!$B42*2%,0))+IF(T0登记表!$F43="对公",T0登记表!$B43*4%,IF(T0登记表!$F43="零售",T0登记表!$B43*2%,0))+IF(T0登记表!$F44="对公",T0登记表!$B44*4%,IF(T0登记表!$F44="零售",T0登记表!$B44*2%,0))-T0登记表!G15),0)+T0登记表!G15</f>
        <v>265</v>
      </c>
      <c r="G28" s="123">
        <f>IF(IF(T0登记表!$F47="对公",T0登记表!$B47*4%,IF(T0登记表!$F47="零售",T0登记表!$B47*2%,0))+IF(T0登记表!$F48="对公",T0登记表!$B48*4%,IF(T0登记表!$F48="零售",T0登记表!$B48*2%,0))+IF(T0登记表!$F49="对公",T0登记表!$B49*4%,IF(T0登记表!$F49="零售",T0登记表!$B49*2%,0))+IF(T0登记表!$F50="对公",T0登记表!$B50*4%,IF(T0登记表!$F50="零售",T0登记表!$B50*2%,0))&gt;=T0登记表!H15,2*(IF(T0登记表!$F47="对公",T0登记表!$B47*4%,IF(T0登记表!$F47="零售",T0登记表!$B47*2%,0))+IF(T0登记表!$F48="对公",T0登记表!$B48*4%,IF(T0登记表!$F48="零售",T0登记表!$B48*2%,0))+IF(T0登记表!$F49="对公",T0登记表!$B49*4%,IF(T0登记表!$F49="零售",T0登记表!$B49*2%,0))+IF(T0登记表!$F50="对公",T0登记表!$B50*4%,IF(T0登记表!$F50="零售",T0登记表!$B50*2%,0))-T0登记表!H15),0)+T0登记表!H15</f>
        <v>140</v>
      </c>
      <c r="H28" s="123">
        <f>IF(IF(T0登记表!$F53="对公",T0登记表!$B53*4%,IF(T0登记表!$F53="零售",T0登记表!$B53*2%,0))+IF(T0登记表!$F54="对公",T0登记表!$B54*4%,IF(T0登记表!$F54="零售",T0登记表!$B54*2%,0))+IF(T0登记表!$F55="对公",T0登记表!$B55*4%,IF(T0登记表!$F55="零售",T0登记表!$B55*2%,0))+IF(T0登记表!$F56="对公",T0登记表!$B56*4%,IF(T0登记表!$F56="零售",T0登记表!$B56*2%,0))&gt;=T0登记表!I15,2*(IF(T0登记表!$F53="对公",T0登记表!$B53*4%,IF(T0登记表!$F53="零售",T0登记表!$B53*2%,0))+IF(T0登记表!$F54="对公",T0登记表!$B54*4%,IF(T0登记表!$F54="零售",T0登记表!$B54*2%,0))+IF(T0登记表!$F55="对公",T0登记表!$B55*4%,IF(T0登记表!$F55="零售",T0登记表!$B55*2%,0))+IF(T0登记表!$F56="对公",T0登记表!$B56*4%,IF(T0登记表!$F56="零售",T0登记表!$B56*2%,0))-T0登记表!I15),0)+T0登记表!I15</f>
        <v>265</v>
      </c>
      <c r="I28" s="123">
        <f>IF(IF(T0登记表!$F59="对公",T0登记表!$B59*4%,IF(T0登记表!$F59="零售",T0登记表!$B59*2%,0))+IF(T0登记表!$F60="对公",T0登记表!$B60*4%,IF(T0登记表!$F60="零售",T0登记表!$B60*2%,0))+IF(T0登记表!$F61="对公",T0登记表!$B61*4%,IF(T0登记表!$F61="零售",T0登记表!$B61*2%,0))+IF(T0登记表!$F62="对公",T0登记表!$B62*4%,IF(T0登记表!$F62="零售",T0登记表!$B62*2%,0))&gt;=T0登记表!J15,2*(IF(T0登记表!$F59="对公",T0登记表!$B59*4%,IF(T0登记表!$F59="零售",T0登记表!$B59*2%,0))+IF(T0登记表!$F60="对公",T0登记表!$B60*4%,IF(T0登记表!$F60="零售",T0登记表!$B60*2%,0))+IF(T0登记表!$F61="对公",T0登记表!$B61*4%,IF(T0登记表!$F61="零售",T0登记表!$B61*2%,0))+IF(T0登记表!$F62="对公",T0登记表!$B62*4%,IF(T0登记表!$F62="零售",T0登记表!$B62*2%,0))-T0登记表!J15),0)+T0登记表!J15</f>
        <v>140</v>
      </c>
      <c r="J28" s="123">
        <f>IF(IF(T0登记表!$F65="对公",T0登记表!$B65*4%,IF(T0登记表!$F65="零售",T0登记表!$B65*2%,0))+IF(T0登记表!$F66="对公",T0登记表!$B66*4%,IF(T0登记表!$F66="零售",T0登记表!$B66*2%,0))+IF(T0登记表!$F67="对公",T0登记表!$B67*4%,IF(T0登记表!$F67="零售",T0登记表!$B67*2%,0))+IF(T0登记表!$F68="对公",T0登记表!$B68*4%,IF(T0登记表!$F68="零售",T0登记表!$B68*2%,0))&gt;=T0登记表!K15,2*(IF(T0登记表!$F65="对公",T0登记表!$B65*4%,IF(T0登记表!$F65="零售",T0登记表!$B65*2%,0))+IF(T0登记表!$F66="对公",T0登记表!$B66*4%,IF(T0登记表!$F66="零售",T0登记表!$B66*2%,0))+IF(T0登记表!$F67="对公",T0登记表!$B67*4%,IF(T0登记表!$F67="零售",T0登记表!$B67*2%,0))+IF(T0登记表!$F68="对公",T0登记表!$B68*4%,IF(T0登记表!$F68="零售",T0登记表!$B68*2%,0))-T0登记表!K15),0)+T0登记表!K15</f>
        <v>265</v>
      </c>
    </row>
    <row r="29" spans="2:12" ht="15.6" x14ac:dyDescent="0.25">
      <c r="B29" s="133" t="s">
        <v>253</v>
      </c>
      <c r="C29" s="123">
        <f>IF((T0登记表!$I25+T0登记表!$I26)*1%&gt;=T0登记表!D16,2*((T0登记表!$I25+T0登记表!$I26)*1%-T0登记表!D16),0)+T0登记表!D16</f>
        <v>150</v>
      </c>
      <c r="D29" s="123">
        <f>IF((T0登记表!$I29+T0登记表!$I30+T0登记表!$I31+T0登记表!$I32)*1%&gt;=T0登记表!E16,2*((T0登记表!$I29+T0登记表!$I30+T0登记表!$I31+T0登记表!$I32)*1%-T0登记表!E16),0)+T0登记表!E16</f>
        <v>751</v>
      </c>
      <c r="E29" s="123">
        <f>IF((T0登记表!$I35+T0登记表!$I36+T0登记表!$I37+T0登记表!$I38)*1%&gt;=T0登记表!F16,2*((T0登记表!$I35+T0登记表!$I36+T0登记表!$I37+T0登记表!$I38)*1%-T0登记表!F16),0)+T0登记表!F16</f>
        <v>150</v>
      </c>
      <c r="F29" s="123">
        <f>IF((T0登记表!$I41+T0登记表!$I42+T0登记表!$I43+T0登记表!$I44)*1%&gt;=T0登记表!G16,2*((T0登记表!$I41+T0登记表!$I42+T0登记表!$I43+T0登记表!$I44)*1%-T0登记表!F16),0)+T0登记表!G16</f>
        <v>751</v>
      </c>
      <c r="G29" s="123">
        <f>IF((T0登记表!$I47+T0登记表!$I48+T0登记表!$I49+T0登记表!$I50)*1%&gt;=T0登记表!H16,2*((T0登记表!$I47+T0登记表!$I48+T0登记表!$I49+T0登记表!$I50)*1%-T0登记表!H16),0)+T0登记表!H16</f>
        <v>150</v>
      </c>
      <c r="H29" s="123">
        <f>IF((T0登记表!$I53+T0登记表!$I54+T0登记表!$I55+T0登记表!$I56)*1%&gt;=T0登记表!I16,2*((T0登记表!$I53+T0登记表!$I54+T0登记表!$I55+T0登记表!$I56)*1%-T0登记表!I16),0)+T0登记表!I16</f>
        <v>751</v>
      </c>
      <c r="I29" s="123">
        <f>IF((T0登记表!$I59+T0登记表!$I60+T0登记表!$I61+T0登记表!$I62)*1%&gt;=T0登记表!J16,2*((T0登记表!$I59+T0登记表!$I60+T0登记表!$I61+T0登记表!$I62)*1%-T0登记表!J16),0)+T0登记表!J16</f>
        <v>150</v>
      </c>
      <c r="J29" s="123">
        <f>IF((T0登记表!$I65+T0登记表!$I66+T0登记表!$I67+T0登记表!$I68)*1%&gt;=T0登记表!K16,2*((T0登记表!$I65+T0登记表!$I66+T0登记表!$I67+T0登记表!$I68)*1%-T0登记表!K16),0)+T0登记表!K16</f>
        <v>751</v>
      </c>
    </row>
    <row r="30" spans="2:12" ht="15.6" x14ac:dyDescent="0.25">
      <c r="B30" s="132" t="s">
        <v>254</v>
      </c>
      <c r="C30" s="122">
        <f>IF(AND(T0登记表!D6="",T0登记表!D7="",T0登记表!D8="",T0登记表!D9=""),0,600)+IF(T0登记表!$D6=T0登记表!$T$4,200,0)+IF(T0登记表!$D7=T0登记表!$T$4,200,0)+IF(T0登记表!$D8=T0登记表!$T$4,200,0)+IF(T0登记表!$D9=T0登记表!$T$4,200,0)</f>
        <v>1200</v>
      </c>
      <c r="D30" s="122">
        <f>IF(T0登记表!$E6=T0登记表!$T$4,200,0)+IF(T0登记表!$E7=T0登记表!$T$4,200,0)+IF(T0登记表!$E8=T0登记表!$T$4,200,0)+IF(T0登记表!$E9=T0登记表!$T$4,200,0)</f>
        <v>600</v>
      </c>
      <c r="E30" s="122">
        <f>IF(T0登记表!$F6=T0登记表!$T$4,200,0)+IF(T0登记表!$F7=T0登记表!$T$4,200,0)+IF(T0登记表!$F8=T0登记表!$T$4,200,0)+IF(T0登记表!$F9=T0登记表!$T$4,200,0)</f>
        <v>600</v>
      </c>
      <c r="F30" s="122">
        <f>IF(T0登记表!$G6=T0登记表!$T$4,200,0)+IF(T0登记表!$G7=T0登记表!$T$4,200,0)+IF(T0登记表!$G8=T0登记表!$T$4,200,0)+IF(T0登记表!$G9=T0登记表!$T$4,200,0)</f>
        <v>600</v>
      </c>
      <c r="G30" s="122">
        <f>IF(T0登记表!$H6=T0登记表!$T$4,200,0)+IF(T0登记表!$H7=T0登记表!$T$4,200,0)+IF(T0登记表!$H8=T0登记表!$T$4,200,0)+IF(T0登记表!$H9=T0登记表!$T$4,200,0)</f>
        <v>600</v>
      </c>
      <c r="H30" s="122">
        <f>IF(T0登记表!$I6=T0登记表!$T$4,200,0)+IF(T0登记表!$I7=T0登记表!$T$4,200,0)+IF(T0登记表!$I8=T0登记表!$T$4,200,0)+IF(T0登记表!$I9=T0登记表!$T$4,200,0)</f>
        <v>600</v>
      </c>
      <c r="I30" s="122">
        <f>IF(T0登记表!$J6=T0登记表!$T$4,200,0)+IF(T0登记表!$J7=T0登记表!$T$4,200,0)+IF(T0登记表!$J8=T0登记表!$T$4,200,0)+IF(T0登记表!$J9=T0登记表!$T$4,200,0)</f>
        <v>600</v>
      </c>
      <c r="J30" s="122">
        <f>IF(T0登记表!$K6=T0登记表!$T$4,200,0)+IF(T0登记表!$K7=T0登记表!$T$4,200,0)+IF(T0登记表!$K8=T0登记表!$T$4,200,0)+IF(T0登记表!$K9=T0登记表!$T$4,200,0)</f>
        <v>600</v>
      </c>
    </row>
    <row r="31" spans="2:12" ht="15.6" x14ac:dyDescent="0.25">
      <c r="B31" s="132" t="s">
        <v>255</v>
      </c>
      <c r="C31" s="122">
        <f>IF(T0登记表!$D$10=T0登记表!$T$2,100,0)+IF(T0登记表!$D$11=T0登记表!$T$2,100,0)</f>
        <v>0</v>
      </c>
      <c r="D31" s="122">
        <f>IF(T0登记表!$E$10=T0登记表!$T$2,100,0)+IF(T0登记表!$E$11=T0登记表!$T$2,100,0)</f>
        <v>200</v>
      </c>
      <c r="E31" s="122">
        <f>IF(T0登记表!$F$10=T0登记表!$T$2,100,0)+IF(T0登记表!$F$11=T0登记表!$T$2,100,0)</f>
        <v>200</v>
      </c>
      <c r="F31" s="122">
        <f>IF(T0登记表!$G$10=T0登记表!$T$2,100,0)+IF(T0登记表!$G$11=T0登记表!$T$2,100,0)</f>
        <v>200</v>
      </c>
      <c r="G31" s="122">
        <f>IF(T0登记表!$H$10=T0登记表!$T$2,100,0)+IF(T0登记表!$H$11=T0登记表!$T$2,100,0)</f>
        <v>200</v>
      </c>
      <c r="H31" s="122">
        <f>IF(T0登记表!$I$10=T0登记表!$T$2,100,0)+IF(T0登记表!$I$11=T0登记表!$T$2,100,0)</f>
        <v>200</v>
      </c>
      <c r="I31" s="122">
        <f>IF(T0登记表!$J$10=T0登记表!$T$2,100,0)+IF(T0登记表!$J$11=T0登记表!$T$2,100,0)</f>
        <v>200</v>
      </c>
      <c r="J31" s="122">
        <f>IF(T0登记表!$K$10=T0登记表!$T$2,100,0)+IF(T0登记表!$K$11=T0登记表!$T$2,100,0)</f>
        <v>200</v>
      </c>
    </row>
    <row r="32" spans="2:12" ht="15.6" x14ac:dyDescent="0.25">
      <c r="B32" s="132" t="s">
        <v>256</v>
      </c>
      <c r="C32" s="122">
        <f>T0登记表!D12</f>
        <v>0</v>
      </c>
      <c r="D32" s="122">
        <f>T0登记表!E12</f>
        <v>564</v>
      </c>
      <c r="E32" s="122">
        <f>T0登记表!F12</f>
        <v>250</v>
      </c>
      <c r="F32" s="122">
        <f>T0登记表!G12</f>
        <v>564</v>
      </c>
      <c r="G32" s="122">
        <f>T0登记表!H12</f>
        <v>250</v>
      </c>
      <c r="H32" s="122">
        <f>T0登记表!I12</f>
        <v>564</v>
      </c>
      <c r="I32" s="122">
        <f>T0登记表!J12</f>
        <v>250</v>
      </c>
      <c r="J32" s="122">
        <f>T0登记表!K12</f>
        <v>564</v>
      </c>
    </row>
    <row r="33" spans="2:11" ht="15.6" x14ac:dyDescent="0.25">
      <c r="B33" s="132" t="s">
        <v>257</v>
      </c>
      <c r="C33" s="122">
        <f>IF(T0登记表!$D$6=T0登记表!$T$5,100,0)+IF(T0登记表!$D$7=T0登记表!$T$5,100,0)+IF(T0登记表!$D$8=T0登记表!$T$5,100,0)+IF(T0登记表!$D$9=T0登记表!$T$5,100,0)</f>
        <v>100</v>
      </c>
      <c r="D33" s="122">
        <f>IF(T0登记表!$E$6=T0登记表!$T$5,100,0)+IF(T0登记表!$E$7=T0登记表!$T$5,100,0)+IF(T0登记表!$E$8=T0登记表!$T$5,100,0)+IF(T0登记表!$E$9=T0登记表!$T$5,100,0)</f>
        <v>100</v>
      </c>
      <c r="E33" s="122">
        <f>IF(T0登记表!$F$6=T0登记表!$T$5,100,0)+IF(T0登记表!$F$7=T0登记表!$T$5,100,0)+IF(T0登记表!$F$8=T0登记表!$T$5,100,0)+IF(T0登记表!$F$9=T0登记表!$T$5,100,0)</f>
        <v>100</v>
      </c>
      <c r="F33" s="122">
        <f>IF(T0登记表!$G$6=T0登记表!$T$5,100,0)+IF(T0登记表!$G$7=T0登记表!$T$5,100,0)+IF(T0登记表!$G$8=T0登记表!$T$5,100,0)+IF(T0登记表!$G$9=T0登记表!$T$5,100,0)</f>
        <v>100</v>
      </c>
      <c r="G33" s="122">
        <f>IF(T0登记表!$H$6=T0登记表!$T$5,100,0)+IF(T0登记表!$H$7=T0登记表!$T$5,100,0)+IF(T0登记表!$H$8=T0登记表!$T$5,100,0)+IF(T0登记表!$H$9=T0登记表!$T$5,100,0)</f>
        <v>100</v>
      </c>
      <c r="H33" s="122">
        <f>IF(T0登记表!$I$6=T0登记表!$T$5,100,0)+IF(T0登记表!$I$7=T0登记表!$T$5,100,0)+IF(T0登记表!$I$8=T0登记表!$T$5,100,0)+IF(T0登记表!$I$9=T0登记表!$T$5,100,0)</f>
        <v>100</v>
      </c>
      <c r="I33" s="122">
        <f>IF(T0登记表!$J$6=T0登记表!$T$5,100,0)+IF(T0登记表!$J$7=T0登记表!$T$5,100,0)+IF(T0登记表!$J$8=T0登记表!$T$5,100,0)+IF(T0登记表!$J$9=T0登记表!$T$5,100,0)</f>
        <v>100</v>
      </c>
      <c r="J33" s="122">
        <f>IF(T0登记表!$K$6=T0登记表!$T$5,100,0)+IF(T0登记表!$K$7=T0登记表!$T$5,100,0)+IF(T0登记表!$K$8=T0登记表!$T$5,100,0)+IF(T0登记表!$K$9=T0登记表!$T$5,100,0)</f>
        <v>100</v>
      </c>
    </row>
    <row r="34" spans="2:11" ht="15.6" x14ac:dyDescent="0.25">
      <c r="B34" s="132" t="s">
        <v>258</v>
      </c>
      <c r="C34" s="122">
        <f>T0登记表!D13</f>
        <v>0</v>
      </c>
      <c r="D34" s="122">
        <f>T0登记表!E13</f>
        <v>456</v>
      </c>
      <c r="E34" s="122">
        <f>T0登记表!F13</f>
        <v>120</v>
      </c>
      <c r="F34" s="122">
        <f>T0登记表!G13</f>
        <v>456</v>
      </c>
      <c r="G34" s="122">
        <f>T0登记表!H13</f>
        <v>120</v>
      </c>
      <c r="H34" s="122">
        <f>T0登记表!I13</f>
        <v>456</v>
      </c>
      <c r="I34" s="122">
        <f>T0登记表!J13</f>
        <v>120</v>
      </c>
      <c r="J34" s="122">
        <f>T0登记表!K13</f>
        <v>456</v>
      </c>
    </row>
    <row r="35" spans="2:11" ht="15.6" x14ac:dyDescent="0.25">
      <c r="B35" s="132" t="s">
        <v>259</v>
      </c>
      <c r="C35" s="122">
        <f>0</f>
        <v>0</v>
      </c>
      <c r="D35" s="122">
        <f>T10损益表!C26</f>
        <v>0</v>
      </c>
      <c r="E35" s="122">
        <f>T10损益表!D26</f>
        <v>1250</v>
      </c>
      <c r="F35" s="122">
        <f>T10损益表!E26</f>
        <v>1730</v>
      </c>
      <c r="G35" s="122">
        <f>T10损益表!F26</f>
        <v>1550</v>
      </c>
      <c r="H35" s="122">
        <f>T10损益表!G26</f>
        <v>1660</v>
      </c>
      <c r="I35" s="122">
        <f>T10损益表!H26</f>
        <v>1520</v>
      </c>
      <c r="J35" s="122">
        <f>T10损益表!I26</f>
        <v>1620</v>
      </c>
    </row>
    <row r="36" spans="2:11" ht="15.6" x14ac:dyDescent="0.25">
      <c r="B36" s="132" t="s">
        <v>260</v>
      </c>
      <c r="C36" s="123">
        <f>IF('T3-T4'!W6='T3-T4'!$B5,'T3-T4'!V6,0)+IF('T3-T4'!W7='T3-T4'!$B5,'T3-T4'!V7,0)+IF('T3-T4'!W8='T3-T4'!$B5,'T3-T4'!V8,0)+IF('T3-T4'!W9='T3-T4'!$B5,'T3-T4'!V9,0)+IF('T3-T4'!W10='T3-T4'!$B5,'T3-T4'!V10,0)+IF('T3-T4'!W11='T3-T4'!$B5,'T3-T4'!V11,0)+IF('T3-T4'!W12='T3-T4'!$B5,'T3-T4'!V12,0)+IF('T3-T4'!W13='T3-T4'!$B5,'T3-T4'!V13,0)+IF('T3-T4'!W14='T3-T4'!$B5,'T3-T4'!V14,0)+IF('T3-T4'!W15='T3-T4'!$B5,'T3-T4'!V15,0)+IF('T3-T4'!W16='T3-T4'!$B5,'T3-T4'!V16,0)+IF('T3-T4'!W17='T3-T4'!$B5,'T3-T4'!V17,0)</f>
        <v>0</v>
      </c>
      <c r="D36" s="123">
        <f>IF('T3-T4'!$W6='T3-T4'!$B$6,'T3-T4'!V6,0)+IF('T3-T4'!$W7='T3-T4'!$B$6,'T3-T4'!V7,0)+IF('T3-T4'!$W8='T3-T4'!$B$6,'T3-T4'!V8,0)+IF('T3-T4'!$W9='T3-T4'!$B$6,'T3-T4'!V9,0)+IF('T3-T4'!$W10='T3-T4'!$B$6,'T3-T4'!V10,0)+IF('T3-T4'!$W11='T3-T4'!$B$6,'T3-T4'!V11,0)+IF('T3-T4'!$W12='T3-T4'!$B$6,'T3-T4'!V12,0)+IF('T3-T4'!$W13='T3-T4'!$B$6,'T3-T4'!V13,0)+IF('T3-T4'!$W14='T3-T4'!$B$6,'T3-T4'!V14,0)+IF('T3-T4'!$W15='T3-T4'!$B$6,'T3-T4'!V15,0)+IF('T3-T4'!$W16='T3-T4'!$B6,'T3-T4'!V16,0)+IF('T3-T4'!$W17='T3-T4'!$B$6,'T3-T4'!V17,0)</f>
        <v>0</v>
      </c>
      <c r="E36" s="123">
        <f>IF('T3-T4'!W6='T3-T4'!$B7,'T3-T4'!V6,0)+IF('T3-T4'!W7='T3-T4'!$B7,'T3-T4'!V7,0)+IF('T3-T4'!W8='T3-T4'!$B7,'T3-T4'!V8,0)+IF('T3-T4'!W9='T3-T4'!$B7,'T3-T4'!V9,0)+IF('T3-T4'!W10='T3-T4'!$B7,-'T3-T4'!V10,0)+IF('T3-T4'!W11='T3-T4'!$B7,'T3-T4'!V11,0)+IF('T3-T4'!W12='T3-T4'!$B7,'T3-T4'!V12,0)+IF('T3-T4'!W13='T3-T4'!$B7,'T3-T4'!V13,0)+IF('T3-T4'!W14='T3-T4'!$B7,'T3-T4'!V14,0)+IF('T3-T4'!W15='T3-T4'!$B7,'T3-T4'!V15,0)+IF('T3-T4'!W16='T3-T4'!$B7,'T3-T4'!V16,0)+IF('T3-T4'!W17='T3-T4'!$B7,'T3-T4'!V17,0)</f>
        <v>0</v>
      </c>
      <c r="F36" s="123">
        <f>IF('T3-T4'!W6='T3-T4'!$B8,'T3-T4'!V6,0)+IF('T3-T4'!W7='T3-T4'!$B8,'T3-T4'!V7,0)+IF('T3-T4'!W8='T3-T4'!$B8,'T3-T4'!V8,0)+IF('T3-T4'!W9='T3-T4'!$B8,'T3-T4'!V9,0)+IF('T3-T4'!W10='T3-T4'!$B8,'T3-T4'!V10,0)+IF('T3-T4'!W11='T3-T4'!$B8,'T3-T4'!V11,0)+IF('T3-T4'!W12='T3-T4'!$B8,'T3-T4'!V12,0)+IF('T3-T4'!W13='T3-T4'!$B8,'T3-T4'!V13,0)+IF('T3-T4'!W14='T3-T4'!$B8,'T3-T4'!V14,0)+IF('T3-T4'!W15='T3-T4'!$B8,'T3-T4'!V15,0)+IF('T3-T4'!W16='T3-T4'!$B8,'T3-T4'!V16,0)+IF('T3-T4'!W17='T3-T4'!$B8,'T3-T4'!V17,0)</f>
        <v>0</v>
      </c>
      <c r="G36" s="123">
        <f>IF('T3-T4'!W6='T3-T4'!$B9,'T3-T4'!V6,0)+IF('T3-T4'!W7='T3-T4'!$B9,'T3-T4'!V7,0)+IF('T3-T4'!W8='T3-T4'!$B9,'T3-T4'!V8,0)+IF('T3-T4'!W9='T3-T4'!$B9,'T3-T4'!V9,0)+IF('T3-T4'!W10='T3-T4'!$B9,'T3-T4'!V10,0)+IF('T3-T4'!W11='T3-T4'!$B9,'T3-T4'!V11,0)+IF('T3-T4'!W12='T3-T4'!$B9,'T3-T4'!V12,0)+IF('T3-T4'!W13='T3-T4'!$B9,'T3-T4'!V13,0)+IF('T3-T4'!W14='T3-T4'!$B9,'T3-T4'!V14,0)+IF('T3-T4'!W15='T3-T4'!$B9,'T3-T4'!V15,0)+IF('T3-T4'!W16='T3-T4'!$B9,'T3-T4'!V16,0)+IF('T3-T4'!W17='T3-T4'!$B9,'T3-T4'!V17,0)</f>
        <v>0</v>
      </c>
      <c r="H36" s="123">
        <f>IF('T3-T4'!W6='T3-T4'!$B10,'T3-T4'!V6,0)+IF('T3-T4'!W7='T3-T4'!$B10,'T3-T4'!V7,0)+IF('T3-T4'!W8='T3-T4'!$B10,'T3-T4'!V8,0)+IF('T3-T4'!W9='T3-T4'!$B10,'T3-T4'!V9,0)+IF('T3-T4'!W10='T3-T4'!$B10,'T3-T4'!V10,0)+IF('T3-T4'!W11='T3-T4'!$B10,'T3-T4'!V11,0)+IF('T3-T4'!W12='T3-T4'!$B10,'T3-T4'!V12,0)+IF('T3-T4'!W13='T3-T4'!$B10,'T3-T4'!V13,0)+IF('T3-T4'!W14='T3-T4'!$B10,'T3-T4'!V14,0)+IF('T3-T4'!W15='T3-T4'!$B10,'T3-T4'!V15,0)+IF('T3-T4'!W16='T3-T4'!$B10,'T3-T4'!V16,0)+IF('T3-T4'!W17='T3-T4'!$B10,'T3-T4'!V17,0)</f>
        <v>0</v>
      </c>
      <c r="I36" s="123">
        <f>IF('T3-T4'!W6='T3-T4'!$B11,'T3-T4'!V6,0)+IF('T3-T4'!W7='T3-T4'!$B11,'T3-T4'!V7,0)+IF('T3-T4'!W8='T3-T4'!$B11,'T3-T4'!V8,0)+IF('T3-T4'!W9='T3-T4'!$B11,'T3-T4'!V9,0)+IF('T3-T4'!W10='T3-T4'!$B11,'T3-T4'!V10,0)+IF('T3-T4'!W11='T3-T4'!$B11,'T3-T4'!V11,0)+IF('T3-T4'!W12='T3-T4'!$B11,'T3-T4'!V12,0)+IF('T3-T4'!W13='T3-T4'!$B11,'T3-T4'!V13,0)+IF('T3-T4'!W14='T3-T4'!$B11,'T3-T4'!V14,0)+IF('T3-T4'!W15='T3-T4'!$B11,'T3-T4'!V15,0)+IF('T3-T4'!W16='T3-T4'!$B11,'T3-T4'!V16,0)+IF('T3-T4'!W17='T3-T4'!$B11,'T3-T4'!V17,0)</f>
        <v>0</v>
      </c>
      <c r="J36" s="123">
        <f>IF('T3-T4'!W6='T3-T4'!$B12,'T3-T4'!V6,0)+IF('T3-T4'!W7='T3-T4'!$B12,'T3-T4'!V7,0)+IF('T3-T4'!W8='T3-T4'!$B12,'T3-T4'!V8,0)+IF('T3-T4'!W9='T3-T4'!$B12,'T3-T4'!V9,0)+IF('T3-T4'!W10='T3-T4'!$B12,'T3-T4'!V10,0)+IF('T3-T4'!W11='T3-T4'!$B12,'T3-T4'!V11,0)+IF('T3-T4'!W12='T3-T4'!$B12,'T3-T4'!V12,0)+IF('T3-T4'!W13='T3-T4'!$B12,'T3-T4'!V13,0)+IF('T3-T4'!W14='T3-T4'!$B12,'T3-T4'!V14,0)+IF('T3-T4'!W15='T3-T4'!$B12,'T3-T4'!V15,0)+IF('T3-T4'!W16='T3-T4'!$B12,'T3-T4'!V16,0)+IF('T3-T4'!W17='T3-T4'!$B12,'T3-T4'!V17,0)</f>
        <v>0</v>
      </c>
    </row>
    <row r="37" spans="2:11" ht="15.6" x14ac:dyDescent="0.25">
      <c r="B37" s="132" t="s">
        <v>249</v>
      </c>
      <c r="C37" s="123">
        <f>T0登记表!D18</f>
        <v>565</v>
      </c>
      <c r="D37" s="123">
        <f>T0登记表!E18</f>
        <v>2</v>
      </c>
      <c r="E37" s="123">
        <f>T0登记表!F18</f>
        <v>565</v>
      </c>
      <c r="F37" s="123">
        <f>T0登记表!G18</f>
        <v>2</v>
      </c>
      <c r="G37" s="123">
        <f>T0登记表!H18</f>
        <v>565</v>
      </c>
      <c r="H37" s="123">
        <f>T0登记表!I18</f>
        <v>2</v>
      </c>
      <c r="I37" s="123">
        <f>T0登记表!J18</f>
        <v>565</v>
      </c>
      <c r="J37" s="123">
        <f>T0登记表!K18</f>
        <v>2</v>
      </c>
    </row>
    <row r="38" spans="2:11" ht="20.399999999999999" x14ac:dyDescent="0.25">
      <c r="B38" s="131" t="s">
        <v>261</v>
      </c>
      <c r="C38" s="122">
        <f t="shared" ref="C38:J38" si="4">C4+C5-C20</f>
        <v>-4559.3999999999996</v>
      </c>
      <c r="D38" s="122">
        <f t="shared" si="4"/>
        <v>14747.820000000002</v>
      </c>
      <c r="E38" s="122">
        <f t="shared" si="4"/>
        <v>27828.17</v>
      </c>
      <c r="F38" s="122">
        <f t="shared" si="4"/>
        <v>41369.519999999997</v>
      </c>
      <c r="G38" s="122">
        <f t="shared" si="4"/>
        <v>59959.519999999997</v>
      </c>
      <c r="H38" s="122">
        <f t="shared" si="4"/>
        <v>79380.51999999999</v>
      </c>
      <c r="I38" s="122">
        <f t="shared" si="4"/>
        <v>92000.76999999999</v>
      </c>
      <c r="J38" s="122">
        <f t="shared" si="4"/>
        <v>105462.01999999999</v>
      </c>
    </row>
    <row r="39" spans="2:11" x14ac:dyDescent="0.25">
      <c r="K39" s="127"/>
    </row>
    <row r="40" spans="2:11" ht="17.399999999999999" x14ac:dyDescent="0.25">
      <c r="K40" s="240"/>
    </row>
  </sheetData>
  <sheetProtection selectLockedCells="1"/>
  <mergeCells count="1">
    <mergeCell ref="B2:J2"/>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B1:K32"/>
  <sheetViews>
    <sheetView zoomScale="80" zoomScaleNormal="80" workbookViewId="0">
      <selection activeCell="N13" sqref="N13"/>
    </sheetView>
  </sheetViews>
  <sheetFormatPr defaultColWidth="8.77734375" defaultRowHeight="14.4" x14ac:dyDescent="0.25"/>
  <cols>
    <col min="1" max="1" customWidth="true" style="66" width="4.0" collapsed="true"/>
    <col min="2" max="2" customWidth="true" style="66" width="23.44140625" collapsed="true"/>
    <col min="3" max="10" customWidth="true" style="92" width="8.0" collapsed="true"/>
    <col min="11" max="16384" style="66" width="8.77734375" collapsed="true"/>
  </cols>
  <sheetData>
    <row r="1" spans="2:11" ht="23.4" x14ac:dyDescent="0.5">
      <c r="C1" s="93" t="s">
        <v>350</v>
      </c>
      <c r="D1" s="116" t="str">
        <f>T0登记表!K1</f>
        <v>abc</v>
      </c>
    </row>
    <row r="2" spans="2:11" ht="23.4" x14ac:dyDescent="0.25">
      <c r="B2" s="532" t="s">
        <v>262</v>
      </c>
      <c r="C2" s="533"/>
      <c r="D2" s="533"/>
      <c r="E2" s="533"/>
      <c r="F2" s="533"/>
      <c r="G2" s="533"/>
      <c r="H2" s="533"/>
      <c r="I2" s="533"/>
      <c r="J2" s="534"/>
    </row>
    <row r="3" spans="2:11" ht="17.399999999999999" x14ac:dyDescent="0.25">
      <c r="B3" s="117" t="s">
        <v>238</v>
      </c>
      <c r="C3" s="118" t="s">
        <v>239</v>
      </c>
      <c r="D3" s="118" t="s">
        <v>240</v>
      </c>
      <c r="E3" s="118" t="s">
        <v>241</v>
      </c>
      <c r="F3" s="118" t="s">
        <v>242</v>
      </c>
      <c r="G3" s="118" t="s">
        <v>243</v>
      </c>
      <c r="H3" s="118" t="s">
        <v>244</v>
      </c>
      <c r="I3" s="118" t="s">
        <v>245</v>
      </c>
      <c r="J3" s="118" t="s">
        <v>246</v>
      </c>
    </row>
    <row r="4" spans="2:11" ht="17.399999999999999" x14ac:dyDescent="0.25">
      <c r="B4" s="119" t="s">
        <v>263</v>
      </c>
      <c r="C4" s="120">
        <f>SUM(C5:C12)</f>
        <v>529.62</v>
      </c>
      <c r="D4" s="120">
        <f t="shared" ref="D4:J4" si="0">SUM(D5:D12)</f>
        <v>9256.35</v>
      </c>
      <c r="E4" s="120">
        <f t="shared" si="0"/>
        <v>8811.35</v>
      </c>
      <c r="F4" s="120">
        <f t="shared" si="0"/>
        <v>9196</v>
      </c>
      <c r="G4" s="120">
        <f t="shared" si="0"/>
        <v>8621</v>
      </c>
      <c r="H4" s="120">
        <f t="shared" si="0"/>
        <v>9196.25</v>
      </c>
      <c r="I4" s="120">
        <f t="shared" si="0"/>
        <v>8621.25</v>
      </c>
      <c r="J4" s="120">
        <f t="shared" si="0"/>
        <v>9196.25</v>
      </c>
    </row>
    <row r="5" spans="2:11" ht="17.399999999999999" x14ac:dyDescent="0.25">
      <c r="B5" s="121" t="s">
        <v>264</v>
      </c>
      <c r="C5" s="120">
        <f>SUM(T2贷款利息表!$F$7:$F$8)+SUM(T2贷款利息表!$F$10:$F$11)</f>
        <v>264.62</v>
      </c>
      <c r="D5" s="120">
        <f>SUM(T2贷款利息表!$G$7:$G$8)+SUM(T2贷款利息表!$G$10:$G$11)+SUM(T2贷款利息表!$G$14:$G$17)+SUM(T2贷款利息表!$G$19:$G$22)</f>
        <v>119.99999999999999</v>
      </c>
      <c r="E5" s="120">
        <f>SUM(T2贷款利息表!$H$7:$H$8)+SUM(T2贷款利息表!$H$10:$H$11)+SUM(T2贷款利息表!$H$14:$H$17)+SUM(T2贷款利息表!$H$19:$H$22)+SUM(T2贷款利息表!$H$25:$H$28)+SUM(T2贷款利息表!$H$30:$H$33)</f>
        <v>119.99999999999999</v>
      </c>
      <c r="F5" s="120">
        <f>SUM(T2贷款利息表!$I$7:$I$8)+SUM(T2贷款利息表!$I$10:$I$11)+SUM(T2贷款利息表!$I$14:$I$17)+SUM(T2贷款利息表!$I$19:$I$22)+SUM(T2贷款利息表!$I$25:$I$28)+SUM(T2贷款利息表!$I$30:$I$33)+SUM(T2贷款利息表!$I$36:$I$39)+SUM(T2贷款利息表!$I$41:$I$44)</f>
        <v>0</v>
      </c>
      <c r="G5" s="120">
        <f>SUM(T2贷款利息表!$J$7:$J$8)+SUM(T2贷款利息表!$J$10:$J$11)+SUM(T2贷款利息表!$J$14:$J$17)+SUM(T2贷款利息表!$J$19:$J$22)+SUM(T2贷款利息表!$J$25:$J$28)+SUM(T2贷款利息表!$J$30:$J$33)+SUM(T2贷款利息表!$J$36:$J$39)+SUM(T2贷款利息表!$J$41:$J$44)+SUM(T2贷款利息表!$J$47:$J$50)+SUM(T2贷款利息表!$J$52:$J$55)</f>
        <v>0</v>
      </c>
      <c r="H5" s="120">
        <f>SUM(T2贷款利息表!$K$14:$K$17)+SUM(T2贷款利息表!$K$19:$K$22)+SUM(T2贷款利息表!$K$25:$K$28)+SUM(T2贷款利息表!$K$30:$K$33)+SUM(T2贷款利息表!$K$36:$K$39)+SUM(T2贷款利息表!$K$41:$K$44)+SUM(T2贷款利息表!$K$47:$K$50)+SUM(T2贷款利息表!$K$52:$K$55)+SUM(T2贷款利息表!$K$58:$K$61)+SUM(T2贷款利息表!$K$63:$K$66)</f>
        <v>0</v>
      </c>
      <c r="I5" s="120">
        <f>SUM(T2贷款利息表!$L$25:$L$28)+SUM(T2贷款利息表!$L$30:$L$33)+SUM(T2贷款利息表!$L$36:$L$39)+SUM(T2贷款利息表!$L$41:$L$44)+SUM(T2贷款利息表!$L$47:$L$50)+SUM(T2贷款利息表!$L$52:$L$55)+SUM(T2贷款利息表!$L$58:$L$61)+SUM(T2贷款利息表!$L$63:$L$66)+SUM(T2贷款利息表!$L$69:$L$72)+SUM(T2贷款利息表!$L$74:$L$77)</f>
        <v>0</v>
      </c>
      <c r="J5" s="120">
        <f>SUM(T2贷款利息表!$M$36:$M$39)+SUM(T2贷款利息表!$M$41:$M$44)+SUM(T2贷款利息表!$M$47:$M$50)+SUM(T2贷款利息表!$M$52:$M$55)+SUM(T2贷款利息表!$M$58:$M$61)+SUM(T2贷款利息表!$M$63:$M$66)+SUM(T2贷款利息表!$M$69:$M$72)+SUM(T2贷款利息表!$M$74:$M$77)+SUM(T2贷款利息表!$M$80:$M$83)+SUM(T2贷款利息表!$M$85:$M$88)</f>
        <v>0</v>
      </c>
    </row>
    <row r="6" spans="2:11" ht="17.399999999999999" x14ac:dyDescent="0.25">
      <c r="B6" s="121" t="s">
        <v>265</v>
      </c>
      <c r="C6" s="125">
        <f>SUM('T3-T4'!G17:G24)+'T3-T4'!G5</f>
        <v>0</v>
      </c>
      <c r="D6" s="125">
        <f>SUM('T3-T4'!H17:H24)+SUM('T3-T4'!H5:H6)</f>
        <v>70.349999999999994</v>
      </c>
      <c r="E6" s="125">
        <f>SUM('T3-T4'!I17:I24)+SUM('T3-T4'!I5:I7)</f>
        <v>70.349999999999994</v>
      </c>
      <c r="F6" s="125">
        <f>SUM('T3-T4'!J17:J24)+SUM('T3-T4'!J6:J8)</f>
        <v>0</v>
      </c>
      <c r="G6" s="125">
        <f>SUM('T3-T4'!K17:K24)+SUM('T3-T4'!K7:K9)</f>
        <v>0</v>
      </c>
      <c r="H6" s="125">
        <f>SUM('T3-T4'!L17:L24)+SUM('T3-T4'!L8:L10)</f>
        <v>0.25</v>
      </c>
      <c r="I6" s="125">
        <f>SUM('T3-T4'!M17:M24)+SUM('T3-T4'!M9:M11)</f>
        <v>0.25</v>
      </c>
      <c r="J6" s="125">
        <f>SUM('T3-T4'!N17:N24)+SUM('T3-T4'!N9:N11)</f>
        <v>0.25</v>
      </c>
      <c r="K6" s="240"/>
    </row>
    <row r="7" spans="2:11" ht="17.399999999999999" x14ac:dyDescent="0.25">
      <c r="B7" s="121" t="s">
        <v>266</v>
      </c>
      <c r="C7" s="122">
        <f>0</f>
        <v>0</v>
      </c>
      <c r="D7" s="122">
        <f>0</f>
        <v>0</v>
      </c>
      <c r="E7" s="122">
        <f>'T3-T4'!$AC$5</f>
        <v>0</v>
      </c>
      <c r="F7" s="122">
        <f>'T3-T4'!$AC$6</f>
        <v>0</v>
      </c>
      <c r="G7" s="122">
        <f>'T3-T4'!$AC$7</f>
        <v>0</v>
      </c>
      <c r="H7" s="122">
        <f>'T3-T4'!$AC$8</f>
        <v>0</v>
      </c>
      <c r="I7" s="122">
        <f>'T3-T4'!$AC$9</f>
        <v>0</v>
      </c>
      <c r="J7" s="122">
        <f>'T3-T4'!$AC$10</f>
        <v>0</v>
      </c>
    </row>
    <row r="8" spans="2:11" ht="17.399999999999999" x14ac:dyDescent="0.25">
      <c r="B8" s="121" t="s">
        <v>267</v>
      </c>
      <c r="C8" s="123">
        <f>T0登记表!R25+T0登记表!R26</f>
        <v>0</v>
      </c>
      <c r="D8" s="123">
        <f>T0登记表!R29+T0登记表!R30+T0登记表!R31+T0登记表!R32</f>
        <v>0</v>
      </c>
      <c r="E8" s="123">
        <f>T0登记表!R35+T0登记表!R36+T0登记表!R37+T0登记表!R38</f>
        <v>0</v>
      </c>
      <c r="F8" s="123">
        <f>T0登记表!R41+T0登记表!R42+T0登记表!R43+T0登记表!R44</f>
        <v>0</v>
      </c>
      <c r="G8" s="123">
        <f>T0登记表!R47+T0登记表!R48+T0登记表!R49+T0登记表!R50</f>
        <v>0</v>
      </c>
      <c r="H8" s="123">
        <f>T0登记表!R53+T0登记表!R54+T0登记表!R55+T0登记表!R56</f>
        <v>0</v>
      </c>
      <c r="I8" s="123">
        <f>T0登记表!R59+T0登记表!R60+T0登记表!R61+T0登记表!R62</f>
        <v>0</v>
      </c>
      <c r="J8" s="123">
        <f>T0登记表!R65+T0登记表!R66+T0登记表!R67+T0登记表!R68</f>
        <v>0</v>
      </c>
    </row>
    <row r="9" spans="2:11" ht="17.399999999999999" x14ac:dyDescent="0.25">
      <c r="B9" s="121" t="s">
        <v>268</v>
      </c>
      <c r="C9" s="122">
        <f>T0登记表!$S$25+T0登记表!$S$26</f>
        <v>0</v>
      </c>
      <c r="D9" s="122">
        <f>T0登记表!$S$29+T0登记表!$S$30+T0登记表!$S$31+T0登记表!$S$32</f>
        <v>0</v>
      </c>
      <c r="E9" s="122">
        <f>T0登记表!$S$35+T0登记表!$S$36+T0登记表!$S$37+T0登记表!$S$38</f>
        <v>0</v>
      </c>
      <c r="F9" s="122">
        <f>T0登记表!$S$41+T0登记表!$S$42+T0登记表!$S$43+T0登记表!$S$44</f>
        <v>0</v>
      </c>
      <c r="G9" s="122">
        <f>T0登记表!$S$47+T0登记表!$S$48+T0登记表!$S$49+T0登记表!$S$50</f>
        <v>0</v>
      </c>
      <c r="H9" s="122">
        <f>T0登记表!$S$53+T0登记表!$S$54+T0登记表!$S$55+T0登记表!$S$56</f>
        <v>0</v>
      </c>
      <c r="I9" s="122">
        <f>T0登记表!$S$59+T0登记表!$S$60+T0登记表!$S$61+T0登记表!$S$62</f>
        <v>0</v>
      </c>
      <c r="J9" s="122">
        <f>T0登记表!$S$65+T0登记表!$S$66+T0登记表!$S$67+T0登记表!$S$68</f>
        <v>0</v>
      </c>
    </row>
    <row r="10" spans="2:11" ht="17.399999999999999" x14ac:dyDescent="0.25">
      <c r="B10" s="121" t="s">
        <v>269</v>
      </c>
      <c r="C10" s="125">
        <f>0</f>
        <v>0</v>
      </c>
      <c r="D10" s="125">
        <f>T0登记表!D$14</f>
        <v>0</v>
      </c>
      <c r="E10" s="125">
        <f>T0登记表!E$14</f>
        <v>356</v>
      </c>
      <c r="F10" s="125">
        <f>T0登记表!F$14</f>
        <v>130</v>
      </c>
      <c r="G10" s="125">
        <f>T0登记表!G$14</f>
        <v>356</v>
      </c>
      <c r="H10" s="125">
        <f>T0登记表!H$14</f>
        <v>130</v>
      </c>
      <c r="I10" s="125">
        <f>T0登记表!I$14</f>
        <v>356</v>
      </c>
      <c r="J10" s="125">
        <f>T0登记表!J$14</f>
        <v>130</v>
      </c>
      <c r="K10" s="240"/>
    </row>
    <row r="11" spans="2:11" ht="17.399999999999999" x14ac:dyDescent="0.25">
      <c r="B11" s="121" t="s">
        <v>270</v>
      </c>
      <c r="C11" s="125">
        <f>IF('T3-T4'!U20='T3-T4'!$B5,'T3-T4'!V20,0)+IF('T3-T4'!U21='T3-T4'!$B5,'T3-T4'!V21,0)+IF('T3-T4'!U22='T3-T4'!$B5,'T3-T4'!V22,0)+IF('T3-T4'!U23='T3-T4'!$B5,'T3-T4'!V23,0)+IF('T3-T4'!U24='T3-T4'!$B5,'T3-T4'!V24,0)+IF('T3-T4'!U25='T3-T4'!$B5,'T3-T4'!V25,0)+IF('T3-T4'!U26='T3-T4'!$B5,'T3-T4'!V26,0)+IF('T3-T4'!U27='T3-T4'!$B5,'T3-T4'!V27,0)+IF('T3-T4'!U28='T3-T4'!$B5,'T3-T4'!V28,0)+IF('T3-T4'!U29='T3-T4'!$B5,'T3-T4'!V29,0)+IF('T3-T4'!U30='T3-T4'!$B5,'T3-T4'!V30,0)+IF('T3-T4'!U31='T3-T4'!$B5,'T3-T4'!V31,0)</f>
        <v>0</v>
      </c>
      <c r="D11" s="125">
        <f>IF('T3-T4'!U20='T3-T4'!$B6,'T3-T4'!V20,0)+IF('T3-T4'!U21='T3-T4'!$B6,'T3-T4'!V21,0)+IF('T3-T4'!U22='T3-T4'!$B6,'T3-T4'!V22,0)+IF('T3-T4'!U23='T3-T4'!$B6,'T3-T4'!V23,0)+IF('T3-T4'!U24='T3-T4'!$B6,'T3-T4'!V24,0)+IF('T3-T4'!U25='T3-T4'!$B6,'T3-T4'!V25,0)+IF('T3-T4'!U26='T3-T4'!$B6,'T3-T4'!V26,0)+IF('T3-T4'!U27='T3-T4'!$B6,'T3-T4'!V27,0)+IF('T3-T4'!U28='T3-T4'!$B6,'T3-T4'!V28,0)+IF('T3-T4'!U29='T3-T4'!$B6,'T3-T4'!V29,0)+IF('T3-T4'!U30='T3-T4'!$B6,'T3-T4'!V30,0)+IF('T3-T4'!U31='T3-T4'!$B6,'T3-T4'!V31,0)</f>
        <v>0</v>
      </c>
      <c r="E11" s="125">
        <f>IF('T3-T4'!U20='T3-T4'!$B7,'T3-T4'!V20,0)+IF('T3-T4'!U21='T3-T4'!$B7,'T3-T4'!V21,0)+IF('T3-T4'!U22='T3-T4'!$B7,'T3-T4'!V22,0)+IF('T3-T4'!U23='T3-T4'!$B7,'T3-T4'!V23,0)+IF('T3-T4'!U24='T3-T4'!$B7,'T3-T4'!V24,0)+IF('T3-T4'!U25='T3-T4'!$B7,'T3-T4'!V25,0)+IF('T3-T4'!U26='T3-T4'!$B7,'T3-T4'!V26,0)+IF('T3-T4'!U27='T3-T4'!$B7,'T3-T4'!V27,0)+IF('T3-T4'!U28='T3-T4'!$B7,'T3-T4'!V28,0)+IF('T3-T4'!U29='T3-T4'!$B7,'T3-T4'!V29,0)+IF('T3-T4'!U30='T3-T4'!$B7,'T3-T4'!V30,0)+IF('T3-T4'!U31='T3-T4'!$B7,'T3-T4'!V31,0)</f>
        <v>0</v>
      </c>
      <c r="F11" s="125">
        <f>IF('T3-T4'!U20='T3-T4'!$B8,'T3-T4'!V20,0)+IF('T3-T4'!U21='T3-T4'!$B8,'T3-T4'!V21,0)+IF('T3-T4'!U22='T3-T4'!$B8,'T3-T4'!V22,0)+IF('T3-T4'!U23='T3-T4'!$B8,'T3-T4'!V23,0)+IF('T3-T4'!U24='T3-T4'!$B8,'T3-T4'!V24,0)+IF('T3-T4'!U25='T3-T4'!$B8,'T3-T4'!V25,0)+IF('T3-T4'!U26='T3-T4'!$B8,'T3-T4'!V26,0)+IF('T3-T4'!U27='T3-T4'!$B8,'T3-T4'!V27,0)+IF('T3-T4'!U28='T3-T4'!$B8,'T3-T4'!V28,0)+IF('T3-T4'!U29='T3-T4'!$B8,'T3-T4'!V29,0)+IF('T3-T4'!U30='T3-T4'!$B8,'T3-T4'!V30,0)+IF('T3-T4'!U31='T3-T4'!$B8,'T3-T4'!V31,0)</f>
        <v>0</v>
      </c>
      <c r="G11" s="125">
        <f>IF('T3-T4'!U20='T3-T4'!$B9,'T3-T4'!V20,0)+IF('T3-T4'!U21='T3-T4'!$B9,'T3-T4'!V21,0)+IF('T3-T4'!U22='T3-T4'!$B9,'T3-T4'!V22,0)+IF('T3-T4'!U23='T3-T4'!$B9,'T3-T4'!V23,0)+IF('T3-T4'!U24='T3-T4'!$B9,'T3-T4'!V24,0)+IF('T3-T4'!U25='T3-T4'!$B9,'T3-T4'!V25,0)+IF('T3-T4'!U26='T3-T4'!$B9,'T3-T4'!V26,0)+IF('T3-T4'!U27='T3-T4'!$B9,'T3-T4'!V27,0)+IF('T3-T4'!U28='T3-T4'!$B9,'T3-T4'!V28,0)+IF('T3-T4'!U29='T3-T4'!$B9,'T3-T4'!V29,0)+IF('T3-T4'!U30='T3-T4'!$B9,'T3-T4'!V30,0)+IF('T3-T4'!U31='T3-T4'!$B9,'T3-T4'!V31,0)</f>
        <v>0</v>
      </c>
      <c r="H11" s="125">
        <f>IF('T3-T4'!U20='T3-T4'!$B10,'T3-T4'!V20,0)+IF('T3-T4'!U21='T3-T4'!$B10,'T3-T4'!V21,0)+IF('T3-T4'!U22='T3-T4'!$B10,'T3-T4'!V22,0)+IF('T3-T4'!U23='T3-T4'!$B10,'T3-T4'!V23,0)+IF('T3-T4'!U24='T3-T4'!$B10,'T3-T4'!V24,0)+IF('T3-T4'!U25='T3-T4'!$B10,'T3-T4'!V25,0)+IF('T3-T4'!U26='T3-T4'!$B10,'T3-T4'!V26,0)+IF('T3-T4'!U27='T3-T4'!$B10,'T3-T4'!V27,0)+IF('T3-T4'!U28='T3-T4'!$B10,'T3-T4'!V28,0)+IF('T3-T4'!U29='T3-T4'!$B10,'T3-T4'!V29,0)+IF('T3-T4'!U30='T3-T4'!$B10,'T3-T4'!V30,0)+IF('T3-T4'!U31='T3-T4'!$B10,'T3-T4'!V31,0)</f>
        <v>0</v>
      </c>
      <c r="I11" s="125">
        <f>IF('T3-T4'!U20='T3-T4'!$B11,'T3-T4'!V20,0)+IF('T3-T4'!U21='T3-T4'!$B11,'T3-T4'!V21,0)+IF('T3-T4'!U22='T3-T4'!$B11,'T3-T4'!V22,0)+IF('T3-T4'!U23='T3-T4'!$B11,'T3-T4'!V23,0)+IF('T3-T4'!U24='T3-T4'!$B11,'T3-T4'!V24,0)+IF('T3-T4'!U25='T3-T4'!$B11,'T3-T4'!V25,0)+IF('T3-T4'!U26='T3-T4'!$B11,'T3-T4'!V26,0)+IF('T3-T4'!U27='T3-T4'!$B11,'T3-T4'!V27,0)+IF('T3-T4'!U28='T3-T4'!$B11,'T3-T4'!V28,0)+IF('T3-T4'!U29='T3-T4'!$B11,'T3-T4'!V29,0)+IF('T3-T4'!U30='T3-T4'!$B11,'T3-T4'!V30,0)+IF('T3-T4'!U31='T3-T4'!$B11,'T3-T4'!V31,0)</f>
        <v>0</v>
      </c>
      <c r="J11" s="125">
        <f>IF('T3-T4'!U20='T3-T4'!$B12,'T3-T4'!V20,0)+IF('T3-T4'!U21='T3-T4'!$B12,'T3-T4'!V21,0)+IF('T3-T4'!U22='T3-T4'!$B12,'T3-T4'!V22,0)+IF('T3-T4'!U23='T3-T4'!$B12,'T3-T4'!V23,0)+IF('T3-T4'!U24='T3-T4'!$B12,'T3-T4'!V24,0)+IF('T3-T4'!U25='T3-T4'!$B12,'T3-T4'!V25,0)+IF('T3-T4'!U26='T3-T4'!$B12,'T3-T4'!V26,0)+IF('T3-T4'!U27='T3-T4'!$B12,'T3-T4'!V27,0)+IF('T3-T4'!U28='T3-T4'!$B12,'T3-T4'!V28,0)+IF('T3-T4'!U29='T3-T4'!$B12,'T3-T4'!V29,0)+IF('T3-T4'!U30='T3-T4'!$B12,'T3-T4'!V30,0)+IF('T3-T4'!U31='T3-T4'!$B12,'T3-T4'!V31,0)</f>
        <v>0</v>
      </c>
    </row>
    <row r="12" spans="2:11" ht="17.399999999999999" x14ac:dyDescent="0.25">
      <c r="B12" s="121" t="s">
        <v>271</v>
      </c>
      <c r="C12" s="125">
        <f>T0登记表!D17</f>
        <v>265</v>
      </c>
      <c r="D12" s="125">
        <f>T0登记表!E17+T0登记表!E4</f>
        <v>9066</v>
      </c>
      <c r="E12" s="125">
        <f>T0登记表!F17+T0登记表!F4</f>
        <v>8265</v>
      </c>
      <c r="F12" s="125">
        <f>T0登记表!G17+T0登记表!G4</f>
        <v>9066</v>
      </c>
      <c r="G12" s="125">
        <f>T0登记表!H17+T0登记表!H4</f>
        <v>8265</v>
      </c>
      <c r="H12" s="125">
        <f>T0登记表!I17+T0登记表!I4</f>
        <v>9066</v>
      </c>
      <c r="I12" s="125">
        <f>T0登记表!J17+T0登记表!J4</f>
        <v>8265</v>
      </c>
      <c r="J12" s="125">
        <f>T0登记表!K17+T0登记表!K4</f>
        <v>9066</v>
      </c>
      <c r="K12" s="240"/>
    </row>
    <row r="13" spans="2:11" ht="17.399999999999999" x14ac:dyDescent="0.25">
      <c r="B13" s="119" t="s">
        <v>272</v>
      </c>
      <c r="C13" s="125">
        <f t="shared" ref="C13:J13" si="1">SUM(C14:C24)</f>
        <v>1912.8</v>
      </c>
      <c r="D13" s="125">
        <f t="shared" si="1"/>
        <v>2874</v>
      </c>
      <c r="E13" s="125">
        <f t="shared" si="1"/>
        <v>1895</v>
      </c>
      <c r="F13" s="125">
        <f t="shared" si="1"/>
        <v>2994</v>
      </c>
      <c r="G13" s="125">
        <f t="shared" si="1"/>
        <v>2015</v>
      </c>
      <c r="H13" s="125">
        <f t="shared" si="1"/>
        <v>3114</v>
      </c>
      <c r="I13" s="125">
        <f t="shared" si="1"/>
        <v>2135</v>
      </c>
      <c r="J13" s="125">
        <f t="shared" si="1"/>
        <v>3234</v>
      </c>
    </row>
    <row r="14" spans="2:11" ht="17.399999999999999" x14ac:dyDescent="0.25">
      <c r="B14" s="121" t="s">
        <v>273</v>
      </c>
      <c r="C14" s="120">
        <f>SUM(T1存款利息表!G7:G8)+SUM(T1存款利息表!G10:G11)</f>
        <v>269.39999999999998</v>
      </c>
      <c r="D14" s="120">
        <f>SUM(T1存款利息表!H7:H8)+SUM(T1存款利息表!H10:H11)+SUM(T1存款利息表!H14:H17)+SUM(T1存款利息表!H19:H22)</f>
        <v>0</v>
      </c>
      <c r="E14" s="120">
        <f>SUM(T1存款利息表!I7:I8)+SUM(T1存款利息表!I10:I11)+SUM(T1存款利息表!I14:I17)+SUM(T1存款利息表!I19:I22)+SUM(T1存款利息表!I25:I28)+SUM(T1存款利息表!I30:I33)</f>
        <v>0</v>
      </c>
      <c r="F14" s="120">
        <f>SUM(T1存款利息表!J7:J8)+SUM(T1存款利息表!J10:J11)+SUM(T1存款利息表!J14:J17)+SUM(T1存款利息表!J19:J22)+SUM(T1存款利息表!J25:J28)+SUM(T1存款利息表!J30:J33)+SUM(T1存款利息表!J36:J39)+SUM(T1存款利息表!J41:J44)</f>
        <v>0</v>
      </c>
      <c r="G14" s="120">
        <f>SUM(T1存款利息表!K7:K8)+SUM(T1存款利息表!K10:K11)+SUM(T1存款利息表!K14:K17)+SUM(T1存款利息表!K19:K22)+SUM(T1存款利息表!K25:K28)+SUM(T1存款利息表!K30:K33)+SUM(T1存款利息表!K36:K39)+SUM(T1存款利息表!K41:K44)+SUM(T1存款利息表!K47:K50)+SUM(T1存款利息表!K52:K55)</f>
        <v>0</v>
      </c>
      <c r="H14" s="120">
        <f>SUM(T1存款利息表!L14:L17)+SUM(T1存款利息表!L19:L22)+SUM(T1存款利息表!L25:L28)+SUM(T1存款利息表!L30:L33)+SUM(T1存款利息表!L36:L39)+SUM(T1存款利息表!L41:L44)+SUM(T1存款利息表!L47:L50)+SUM(T1存款利息表!L52:L55)+SUM(T1存款利息表!L58:L61)+SUM(T1存款利息表!L63:L66)</f>
        <v>0</v>
      </c>
      <c r="I14" s="120">
        <f>SUM(T1存款利息表!M25:M28)+SUM(T1存款利息表!M30:M33)+SUM(T1存款利息表!M36:M39)+SUM(T1存款利息表!M41:M44)+SUM(T1存款利息表!M47:M50)+SUM(T1存款利息表!M52:M55)+SUM(T1存款利息表!M58:M61)+SUM(T1存款利息表!M63:M66)+SUM(T1存款利息表!M69:M72)+SUM(T1存款利息表!M74:M77)</f>
        <v>0</v>
      </c>
      <c r="J14" s="120">
        <f>SUM(T1存款利息表!N36:N39)+SUM(T1存款利息表!N41:N44)+SUM(T1存款利息表!N47:N50)+SUM(T1存款利息表!N52:N55)+SUM(T1存款利息表!N58:N61)+SUM(T1存款利息表!N63:N66)+SUM(T1存款利息表!N69:N72)+SUM(T1存款利息表!N74:N77)+SUM(T1存款利息表!N80:N83)+SUM(T1存款利息表!N85:N88)</f>
        <v>0</v>
      </c>
    </row>
    <row r="15" spans="2:11" ht="17.399999999999999" x14ac:dyDescent="0.25">
      <c r="B15" s="121" t="s">
        <v>274</v>
      </c>
      <c r="C15" s="125">
        <f>T9现金流表!C28+T9现金流表!C29</f>
        <v>728.4</v>
      </c>
      <c r="D15" s="125">
        <f>T9现金流表!D28+T9现金流表!D29</f>
        <v>1016</v>
      </c>
      <c r="E15" s="125">
        <f>T9现金流表!E28+T9现金流表!E29</f>
        <v>290</v>
      </c>
      <c r="F15" s="125">
        <f>T9现金流表!F28+T9现金流表!F29</f>
        <v>1016</v>
      </c>
      <c r="G15" s="125">
        <f>T9现金流表!G28+T9现金流表!G29</f>
        <v>290</v>
      </c>
      <c r="H15" s="125">
        <f>T9现金流表!H28+T9现金流表!H29</f>
        <v>1016</v>
      </c>
      <c r="I15" s="125">
        <f>T9现金流表!I28+T9现金流表!I29</f>
        <v>290</v>
      </c>
      <c r="J15" s="125">
        <f>T9现金流表!J28+T9现金流表!J29</f>
        <v>1016</v>
      </c>
      <c r="K15" s="124"/>
    </row>
    <row r="16" spans="2:11" ht="17.399999999999999" x14ac:dyDescent="0.25">
      <c r="B16" s="121" t="s">
        <v>275</v>
      </c>
      <c r="C16" s="122">
        <f>IF(T0登记表!$D$6=T0登记表!$T$5,100,0)+IF(T0登记表!$D$7=T0登记表!$T$5,100,0)+IF(T0登记表!$D$8=T0登记表!$T$5,100,0)+IF(T0登记表!$D$9=T0登记表!$T$5,100,0)</f>
        <v>100</v>
      </c>
      <c r="D16" s="122">
        <f>IF(T0登记表!$E$6=T0登记表!$T$5,100,0)+IF(T0登记表!$E$7=T0登记表!$T$5,100,0)+IF(T0登记表!$E$8=T0登记表!$T$5,100,0)+IF(T0登记表!$E$9=T0登记表!$T$5,100,0)</f>
        <v>100</v>
      </c>
      <c r="E16" s="122">
        <f>IF(T0登记表!$F$6=T0登记表!$T$5,100,0)+IF(T0登记表!$F$7=T0登记表!$T$5,100,0)+IF(T0登记表!$F$8=T0登记表!$T$5,100,0)+IF(T0登记表!$F$9=T0登记表!$T$5,100,0)</f>
        <v>100</v>
      </c>
      <c r="F16" s="122">
        <f>IF(T0登记表!$G$6=T0登记表!$T$5,100,0)+IF(T0登记表!$G$7=T0登记表!$T$5,100,0)+IF(T0登记表!$G$8=T0登记表!$T$5,100,0)+IF(T0登记表!$G$9=T0登记表!$T$5,100,0)</f>
        <v>100</v>
      </c>
      <c r="G16" s="122">
        <f>IF(T0登记表!$H$6=T0登记表!$T$5,100,0)+IF(T0登记表!$H$7=T0登记表!$T$5,100,0)+IF(T0登记表!$H$8=T0登记表!$T$5,100,0)+IF(T0登记表!$H$9=T0登记表!$T$5,100,0)</f>
        <v>100</v>
      </c>
      <c r="H16" s="122">
        <f>IF(T0登记表!$I$6=T0登记表!$T$5,100,0)+IF(T0登记表!$I$7=T0登记表!$T$5,100,0)+IF(T0登记表!$I$8=T0登记表!$T$5,100,0)+IF(T0登记表!$I$9=T0登记表!$T$5,100,0)</f>
        <v>100</v>
      </c>
      <c r="I16" s="122">
        <f>IF(T0登记表!$J$6=T0登记表!$T$5,100,0)+IF(T0登记表!$J$7=T0登记表!$T$5,100,0)+IF(T0登记表!$J$8=T0登记表!$T$5,100,0)+IF(T0登记表!$J$9=T0登记表!$T$5,100,0)</f>
        <v>100</v>
      </c>
      <c r="J16" s="122">
        <f>IF(T0登记表!$K$6=T0登记表!$T$5,100,0)+IF(T0登记表!$K$7=T0登记表!$T$5,100,0)+IF(T0登记表!$K$8=T0登记表!$T$5,100,0)+IF(T0登记表!$K$9=T0登记表!$T$5,100,0)</f>
        <v>100</v>
      </c>
    </row>
    <row r="17" spans="2:11" ht="17.399999999999999" x14ac:dyDescent="0.25">
      <c r="B17" s="121" t="s">
        <v>276</v>
      </c>
      <c r="C17" s="122">
        <f>IF(T0登记表!$D$10=T0登记表!$T$2,100,0)+IF(T0登记表!$D$11=T0登记表!$T$2,100,0)</f>
        <v>0</v>
      </c>
      <c r="D17" s="122">
        <f>IF(T0登记表!$E$10=T0登记表!$T$2,100,0)+IF(T0登记表!$E$11=T0登记表!$T$2,100,0)</f>
        <v>200</v>
      </c>
      <c r="E17" s="122">
        <f>IF(T0登记表!$F$10=T0登记表!$T$2,100,0)+IF(T0登记表!$F$11=T0登记表!$T$2,100,0)</f>
        <v>200</v>
      </c>
      <c r="F17" s="122">
        <f>IF(T0登记表!$G$10=T0登记表!$T$2,100,0)+IF(T0登记表!$G$11=T0登记表!$T$2,100,0)</f>
        <v>200</v>
      </c>
      <c r="G17" s="122">
        <f>IF(T0登记表!$H$10=T0登记表!$T$2,100,0)+IF(T0登记表!$H$11=T0登记表!$T$2,100,0)</f>
        <v>200</v>
      </c>
      <c r="H17" s="122">
        <f>IF(T0登记表!$I$10=T0登记表!$T$2,100,0)+IF(T0登记表!$I$11=T0登记表!$T$2,100,0)</f>
        <v>200</v>
      </c>
      <c r="I17" s="122">
        <f>IF(T0登记表!$J$10=T0登记表!$T$2,100,0)+IF(T0登记表!$J$11=T0登记表!$T$2,100,0)</f>
        <v>200</v>
      </c>
      <c r="J17" s="122">
        <f>IF(T0登记表!$K$10=T0登记表!$T$2,100,0)+IF(T0登记表!$K$11=T0登记表!$T$2,100,0)</f>
        <v>200</v>
      </c>
    </row>
    <row r="18" spans="2:11" ht="17.399999999999999" x14ac:dyDescent="0.25">
      <c r="B18" s="121" t="s">
        <v>277</v>
      </c>
      <c r="C18" s="120">
        <f>T0登记表!D12</f>
        <v>0</v>
      </c>
      <c r="D18" s="120">
        <f>T0登记表!E12</f>
        <v>564</v>
      </c>
      <c r="E18" s="120">
        <f>T0登记表!F12</f>
        <v>250</v>
      </c>
      <c r="F18" s="120">
        <f>T0登记表!G12</f>
        <v>564</v>
      </c>
      <c r="G18" s="120">
        <f>T0登记表!H12</f>
        <v>250</v>
      </c>
      <c r="H18" s="120">
        <f>T0登记表!I12</f>
        <v>564</v>
      </c>
      <c r="I18" s="120">
        <f>T0登记表!J12</f>
        <v>250</v>
      </c>
      <c r="J18" s="120">
        <f>T0登记表!K12</f>
        <v>564</v>
      </c>
    </row>
    <row r="19" spans="2:11" ht="17.399999999999999" x14ac:dyDescent="0.25">
      <c r="B19" s="121" t="s">
        <v>278</v>
      </c>
      <c r="C19" s="120">
        <f>T0登记表!D13</f>
        <v>0</v>
      </c>
      <c r="D19" s="120">
        <f>T0登记表!E13</f>
        <v>456</v>
      </c>
      <c r="E19" s="120">
        <f>T0登记表!F13</f>
        <v>120</v>
      </c>
      <c r="F19" s="120">
        <f>T0登记表!G13</f>
        <v>456</v>
      </c>
      <c r="G19" s="120">
        <f>T0登记表!H13</f>
        <v>120</v>
      </c>
      <c r="H19" s="120">
        <f>T0登记表!I13</f>
        <v>456</v>
      </c>
      <c r="I19" s="120">
        <f>T0登记表!J13</f>
        <v>120</v>
      </c>
      <c r="J19" s="120">
        <f>T0登记表!K13</f>
        <v>456</v>
      </c>
    </row>
    <row r="20" spans="2:11" ht="17.25" customHeight="1" x14ac:dyDescent="0.25">
      <c r="B20" s="324" t="s">
        <v>595</v>
      </c>
      <c r="C20" s="125">
        <f>IF(OR(T0登记表!$P$25=T0登记表!$T$38,T0登记表!$P$26=T0登记表!$T$38),IF(T0登记表!$P$25=T0登记表!$T$38,T0登记表!$I$25,0)+IF(T0登记表!$P$26=T0登记表!$T$38,T0登记表!$I$26,0)+T0登记表!D14,T0登记表!D14)</f>
        <v>130</v>
      </c>
      <c r="D20" s="125">
        <f>IF(OR(T0登记表!$P$29=T0登记表!$T$38,T0登记表!$P$30=T0登记表!$T$38,T0登记表!$P$31=T0登记表!$T$38,T0登记表!$P$32=T0登记表!$T$38),IF(T0登记表!$P$29=T0登记表!$T$38,T0登记表!$I$29,0)+IF(T0登记表!$P$30=T0登记表!$T$38,T0登记表!$I$30,0)+IF(T0登记表!$P$31=T0登记表!$T$38,T0登记表!$I$31,0)+IF(T0登记表!$P$32=T0登记表!$T$38,T0登记表!$I$32,0)+T0登记表!E14,T0登记表!E14)</f>
        <v>356</v>
      </c>
      <c r="E20" s="125">
        <f>IF(OR(T0登记表!$P$35=T0登记表!$T$38,T0登记表!$P$36=T0登记表!$T$38,T0登记表!$P$37=T0登记表!$T$38,T0登记表!$P$38=T0登记表!$T$38),IF(T0登记表!$P$35=T0登记表!$T$38,T0登记表!$I$35,0)+IF(T0登记表!$P$36=T0登记表!$T$38,T0登记表!$I$36,0)+IF(T0登记表!$P$37=T0登记表!$T$38,T0登记表!$I$37,0)+IF(T0登记表!$P$38=T0登记表!$T$38,T0登记表!$I$38,0)+T0登记表!F14,T0登记表!F14)</f>
        <v>130</v>
      </c>
      <c r="F20" s="125">
        <f>IF(OR(T0登记表!$P$41=T0登记表!$T$38,T0登记表!$P$42=T0登记表!$T$38,T0登记表!$P$43=T0登记表!$T$38,T0登记表!$P$44=T0登记表!$T$38),IF(T0登记表!$P$41=T0登记表!$T$38,T0登记表!$I$41,0)+IF(T0登记表!$P$42=T0登记表!$T$38,T0登记表!$I$42,0)+IF(T0登记表!$P$43=T0登记表!$T$38,T0登记表!$I$43,0)+IF(T0登记表!$P$44=T0登记表!$T$38,T0登记表!$I$44,0)+T0登记表!G14,T0登记表!G14)</f>
        <v>356</v>
      </c>
      <c r="G20" s="125">
        <f>IF(OR(T0登记表!$P$47=T0登记表!$T$38,T0登记表!$P$48=T0登记表!$T$38,T0登记表!$P$49=T0登记表!$T$38,T0登记表!$P$50=T0登记表!$T$38),IF(T0登记表!$P$47=T0登记表!$T$38,T0登记表!$I$47,0)+IF(T0登记表!$P$48=T0登记表!$T$38,T0登记表!$I$48,0)+IF(T0登记表!$P$49=T0登记表!$T$38,T0登记表!$I$49,0)+IF(T0登记表!$P$50=T0登记表!$T$38,T0登记表!$I$50,0)+T0登记表!H14,T0登记表!H14)</f>
        <v>130</v>
      </c>
      <c r="H20" s="125">
        <f>IF(OR(T0登记表!$P$53=T0登记表!$T$38,T0登记表!$P$54=T0登记表!$T$38,T0登记表!$P$55=T0登记表!$T$38,T0登记表!$P$56=T0登记表!$T$38),IF(T0登记表!$P$53=T0登记表!$T$38,T0登记表!$I$53,0)+IF(T0登记表!$P$54=T0登记表!$T$38,T0登记表!$I$54,0)+IF(T0登记表!$P$55=T0登记表!$T$38,T0登记表!$I$55,0)+IF(T0登记表!$P$56=T0登记表!$T$38,T0登记表!$I$56,0)+T0登记表!I14,T0登记表!I14)</f>
        <v>356</v>
      </c>
      <c r="I20" s="125">
        <f>IF(OR(T0登记表!$P$59=T0登记表!$T$38,T0登记表!$P$60=T0登记表!$T$38,T0登记表!$P$61=T0登记表!$T$38,T0登记表!$P$62=T0登记表!$T$38),IF(T0登记表!$P$59=T0登记表!$T$38,T0登记表!$I$59,0)+IF(T0登记表!$P$60=T0登记表!$T$38,T0登记表!$I$60,0)+IF(T0登记表!$P$61=T0登记表!$T$38,T0登记表!$I$61,0)+IF(T0登记表!$P$62=T0登记表!$T$38,T0登记表!$I$62,0)+T0登记表!J14,T0登记表!J14)</f>
        <v>130</v>
      </c>
      <c r="J20" s="125">
        <f>IF(OR(T0登记表!$P$65=T0登记表!$T$38,T0登记表!$P$66=T0登记表!$T$38,T0登记表!$P$67=T0登记表!$T$38,T0登记表!$P$68=T0登记表!$T$38),IF(T0登记表!$P$65=T0登记表!$T$38,T0登记表!$I$65,0)+IF(T0登记表!$P$66=T0登记表!$T$38,T0登记表!$I$66,0)+IF(T0登记表!$P$67=T0登记表!$T$38,T0登记表!$I$67,0)+IF(T0登记表!$P$68=T0登记表!$T$38,T0登记表!$I$68,0)+T0登记表!K14,T0登记表!K14)</f>
        <v>356</v>
      </c>
    </row>
    <row r="21" spans="2:11" ht="17.25" hidden="1" customHeight="1" x14ac:dyDescent="0.25">
      <c r="B21" s="321" t="s">
        <v>279</v>
      </c>
      <c r="C21" s="320" t="s">
        <v>598</v>
      </c>
      <c r="D21" s="320" t="s">
        <v>599</v>
      </c>
      <c r="E21" s="320" t="s">
        <v>600</v>
      </c>
      <c r="F21" s="320" t="s">
        <v>601</v>
      </c>
      <c r="G21" s="320" t="s">
        <v>602</v>
      </c>
      <c r="H21" s="320" t="s">
        <v>603</v>
      </c>
      <c r="I21" s="320" t="s">
        <v>604</v>
      </c>
      <c r="J21" s="322" t="s">
        <v>605</v>
      </c>
    </row>
    <row r="22" spans="2:11" ht="17.399999999999999" x14ac:dyDescent="0.25">
      <c r="B22" s="121" t="s">
        <v>280</v>
      </c>
      <c r="C22" s="125">
        <f>IF('T3-T4'!U6='T3-T4'!$B5,'T3-T4'!V6,0)+IF('T3-T4'!U7='T3-T4'!$B5,'T3-T4'!V7,0)+IF('T3-T4'!U8='T3-T4'!$B5,'T3-T4'!V8,0)+IF('T3-T4'!U9='T3-T4'!$B5,'T3-T4'!V9,0)+IF('T3-T4'!U10='T3-T4'!$B5,'T3-T4'!V10,0)+IF('T3-T4'!U11='T3-T4'!$B5,'T3-T4'!V11,0)+IF('T3-T4'!U12='T3-T4'!$B5,'T3-T4'!V12,0)+IF('T3-T4'!U13='T3-T4'!$B5,'T3-T4'!V13,0)+IF('T3-T4'!U14='T3-T4'!$B5,'T3-T4'!V14,0)+IF('T3-T4'!U15='T3-T4'!$B5,'T3-T4'!V15,0)+IF('T3-T4'!U16='T3-T4'!$B5,'T3-T4'!V16,0)+IF('T3-T4'!U17='T3-T4'!$B5,'T3-T4'!V17,0)</f>
        <v>0</v>
      </c>
      <c r="D22" s="125">
        <f>IF('T3-T4'!U6='T3-T4'!$B6,'T3-T4'!V6,0)+IF('T3-T4'!U7='T3-T4'!$B6,'T3-T4'!V7,0)+IF('T3-T4'!U8='T3-T4'!$B6,'T3-T4'!V8,0)+IF('T3-T4'!U9='T3-T4'!$B6,'T3-T4'!V9,0)+IF('T3-T4'!U10='T3-T4'!$B6,'T3-T4'!V10,0)+IF('T3-T4'!U11='T3-T4'!$B6,'T3-T4'!V11,0)+IF('T3-T4'!U12='T3-T4'!$B6,'T3-T4'!V12,0)+IF('T3-T4'!U13='T3-T4'!$B6,'T3-T4'!V13,0)+IF('T3-T4'!U14='T3-T4'!$B6,'T3-T4'!V14,0)+IF('T3-T4'!U15='T3-T4'!$B6,'T3-T4'!V15,0)+IF('T3-T4'!U16='T3-T4'!$B6,'T3-T4'!V16,0)+IF('T3-T4'!U17='T3-T4'!$B6,'T3-T4'!V17,0)</f>
        <v>0</v>
      </c>
      <c r="E22" s="125">
        <f>IF('T3-T4'!U6='T3-T4'!$B7,'T3-T4'!V6,0)+IF('T3-T4'!U7='T3-T4'!$B7,'T3-T4'!V7,0)+IF('T3-T4'!U8='T3-T4'!$B7,'T3-T4'!V8,0)+IF('T3-T4'!U9='T3-T4'!$B7,'T3-T4'!V9,0)+IF('T3-T4'!U10='T3-T4'!$B7,'T3-T4'!V10,0)+IF('T3-T4'!U11='T3-T4'!$B7,'T3-T4'!V11,0)+IF('T3-T4'!U12='T3-T4'!$B7,'T3-T4'!V12,0)+IF('T3-T4'!U13='T3-T4'!$B7,'T3-T4'!V13,0)+IF('T3-T4'!U14='T3-T4'!$B7,'T3-T4'!V14,0)+IF('T3-T4'!U15='T3-T4'!$B7,'T3-T4'!V15,0)+IF('T3-T4'!U16='T3-T4'!$B7,'T3-T4'!V16,0)+IF('T3-T4'!U17='T3-T4'!$B7,'T3-T4'!V17,0)</f>
        <v>0</v>
      </c>
      <c r="F22" s="125">
        <f>IF('T3-T4'!U6='T3-T4'!$B8,'T3-T4'!V6,0)+IF('T3-T4'!U7='T3-T4'!$B8,'T3-T4'!V7,0)+IF('T3-T4'!U8='T3-T4'!$B8,'T3-T4'!V8,0)+IF('T3-T4'!U9='T3-T4'!$B8,'T3-T4'!V9,0)+IF('T3-T4'!U10='T3-T4'!$B8,'T3-T4'!V10,0)+IF('T3-T4'!U11='T3-T4'!$B8,'T3-T4'!V11,0)+IF('T3-T4'!U12='T3-T4'!$B8,'T3-T4'!V12,0)+IF('T3-T4'!U13='T3-T4'!$B8,'T3-T4'!V13,0)+IF('T3-T4'!U14='T3-T4'!$B8,'T3-T4'!V14,0)+IF('T3-T4'!U15='T3-T4'!$B8,'T3-T4'!V15,0)+IF('T3-T4'!U16='T3-T4'!$B8,'T3-T4'!V16,0)+IF('T3-T4'!U17='T3-T4'!$B8,'T3-T4'!V17,0)</f>
        <v>0</v>
      </c>
      <c r="G22" s="125">
        <f>IF('T3-T4'!U6='T3-T4'!$B9,'T3-T4'!V6,0)+IF('T3-T4'!U7='T3-T4'!$B9,'T3-T4'!V7,0)+IF('T3-T4'!U8='T3-T4'!$B9,'T3-T4'!V8,0)+IF('T3-T4'!U9='T3-T4'!$B9,'T3-T4'!V9,0)+IF('T3-T4'!U10='T3-T4'!$B9,'T3-T4'!V10,0)+IF('T3-T4'!U11='T3-T4'!$B9,'T3-T4'!V11,0)+IF('T3-T4'!U12='T3-T4'!$B9,'T3-T4'!V12,0)+IF('T3-T4'!U13='T3-T4'!$B9,'T3-T4'!V13,0)+IF('T3-T4'!U14='T3-T4'!$B9,'T3-T4'!V14,0)+IF('T3-T4'!U15='T3-T4'!$B9,'T3-T4'!V15,0)+IF('T3-T4'!U16='T3-T4'!$B9,'T3-T4'!V16,0)+IF('T3-T4'!U17='T3-T4'!$B9,'T3-T4'!V17,0)</f>
        <v>0</v>
      </c>
      <c r="H22" s="125">
        <f>IF('T3-T4'!U6='T3-T4'!$B10,'T3-T4'!V6,0)+IF('T3-T4'!U7='T3-T4'!$B10,'T3-T4'!V7,0)+IF('T3-T4'!U8='T3-T4'!$B10,'T3-T4'!V8,0)+IF('T3-T4'!U9='T3-T4'!$B10,'T3-T4'!V9,0)+IF('T3-T4'!U10='T3-T4'!$B10,'T3-T4'!V10,0)+IF('T3-T4'!U11='T3-T4'!$B10,'T3-T4'!V11,0)+IF('T3-T4'!U12='T3-T4'!$B10,'T3-T4'!V12,0)+IF('T3-T4'!U13='T3-T4'!$B10,'T3-T4'!V13,0)+IF('T3-T4'!U14='T3-T4'!$B10,'T3-T4'!V14,0)+IF('T3-T4'!U15='T3-T4'!$B10,'T3-T4'!V15,0)+IF('T3-T4'!U16='T3-T4'!$B10,'T3-T4'!V16,0)+IF('T3-T4'!U17='T3-T4'!$B10,'T3-T4'!V17,0)</f>
        <v>0</v>
      </c>
      <c r="I22" s="125">
        <f>IF('T3-T4'!U6='T3-T4'!$B11,'T3-T4'!V6,0)+IF('T3-T4'!U7='T3-T4'!$B11,'T3-T4'!V7,0)+IF('T3-T4'!U8='T3-T4'!$B11,'T3-T4'!V8,0)+IF('T3-T4'!U9='T3-T4'!$B11,'T3-T4'!V9,0)+IF('T3-T4'!U10='T3-T4'!$B11,'T3-T4'!V10,0)+IF('T3-T4'!U11='T3-T4'!$B11,'T3-T4'!V11,0)+IF('T3-T4'!U12='T3-T4'!$B11,'T3-T4'!V12,0)+IF('T3-T4'!U13='T3-T4'!$B11,'T3-T4'!V13,0)+IF('T3-T4'!U14='T3-T4'!$B11,'T3-T4'!V14,0)+IF('T3-T4'!U15='T3-T4'!$B11,'T3-T4'!V15,0)+IF('T3-T4'!U16='T3-T4'!$B11,'T3-T4'!V16,0)+IF('T3-T4'!U17='T3-T4'!$B11,'T3-T4'!V17,0)</f>
        <v>0</v>
      </c>
      <c r="J22" s="125">
        <f>IF('T3-T4'!U6='T3-T4'!$B12,'T3-T4'!V6,0)+IF('T3-T4'!U7='T3-T4'!$B12,'T3-T4'!V7,0)+IF('T3-T4'!U8='T3-T4'!$B12,'T3-T4'!V8,0)+IF('T3-T4'!U9='T3-T4'!$B12,'T3-T4'!V9,0)+IF('T3-T4'!U10='T3-T4'!$B12,'T3-T4'!V10,0)+IF('T3-T4'!U11='T3-T4'!$B12,'T3-T4'!V11,0)+IF('T3-T4'!U12='T3-T4'!$B12,'T3-T4'!V12,0)+IF('T3-T4'!U13='T3-T4'!$B12,'T3-T4'!V13,0)+IF('T3-T4'!U14='T3-T4'!$B12,'T3-T4'!V14,0)+IF('T3-T4'!U15='T3-T4'!$B12,'T3-T4'!V15,0)+IF('T3-T4'!U16='T3-T4'!$B12,'T3-T4'!V16,0)+IF('T3-T4'!U17='T3-T4'!$B12,'T3-T4'!V17,0)</f>
        <v>0</v>
      </c>
      <c r="K22" s="124"/>
    </row>
    <row r="23" spans="2:11" ht="17.399999999999999" x14ac:dyDescent="0.25">
      <c r="B23" s="121" t="s">
        <v>281</v>
      </c>
      <c r="C23" s="120">
        <f>T9现金流表!C30/10</f>
        <v>120</v>
      </c>
      <c r="D23" s="120">
        <f>C23+T9现金流表!D30/10</f>
        <v>180</v>
      </c>
      <c r="E23" s="120">
        <f>D23+T9现金流表!E30/10</f>
        <v>240</v>
      </c>
      <c r="F23" s="120">
        <f>E23+T9现金流表!F30/10</f>
        <v>300</v>
      </c>
      <c r="G23" s="120">
        <f>F23+T9现金流表!G30/10</f>
        <v>360</v>
      </c>
      <c r="H23" s="120">
        <f>G23+T9现金流表!H30/10</f>
        <v>420</v>
      </c>
      <c r="I23" s="120">
        <f>H23+T9现金流表!I30/10</f>
        <v>480</v>
      </c>
      <c r="J23" s="120">
        <f>I23+T9现金流表!J30/10</f>
        <v>540</v>
      </c>
    </row>
    <row r="24" spans="2:11" ht="17.399999999999999" x14ac:dyDescent="0.25">
      <c r="B24" s="121" t="s">
        <v>282</v>
      </c>
      <c r="C24" s="125">
        <f>T9现金流表!C37</f>
        <v>565</v>
      </c>
      <c r="D24" s="125">
        <f>T9现金流表!D37</f>
        <v>2</v>
      </c>
      <c r="E24" s="125">
        <f>T9现金流表!E37</f>
        <v>565</v>
      </c>
      <c r="F24" s="125">
        <f>T9现金流表!F37</f>
        <v>2</v>
      </c>
      <c r="G24" s="125">
        <f>T9现金流表!G37</f>
        <v>565</v>
      </c>
      <c r="H24" s="125">
        <f>T9现金流表!H37</f>
        <v>2</v>
      </c>
      <c r="I24" s="125">
        <f>T9现金流表!I37</f>
        <v>565</v>
      </c>
      <c r="J24" s="125">
        <f>T9现金流表!J37</f>
        <v>2</v>
      </c>
      <c r="K24" s="240"/>
    </row>
    <row r="25" spans="2:11" ht="17.399999999999999" x14ac:dyDescent="0.25">
      <c r="B25" s="119" t="s">
        <v>283</v>
      </c>
      <c r="C25" s="120">
        <f>C4-C13</f>
        <v>-1383.1799999999998</v>
      </c>
      <c r="D25" s="120">
        <f t="shared" ref="D25:J25" si="2">D4-D13</f>
        <v>6382.35</v>
      </c>
      <c r="E25" s="120">
        <f t="shared" si="2"/>
        <v>6916.35</v>
      </c>
      <c r="F25" s="120">
        <f t="shared" si="2"/>
        <v>6202</v>
      </c>
      <c r="G25" s="120">
        <f t="shared" si="2"/>
        <v>6606</v>
      </c>
      <c r="H25" s="120">
        <f t="shared" si="2"/>
        <v>6082.25</v>
      </c>
      <c r="I25" s="120">
        <f t="shared" si="2"/>
        <v>6486.25</v>
      </c>
      <c r="J25" s="120">
        <f t="shared" si="2"/>
        <v>5962.25</v>
      </c>
    </row>
    <row r="26" spans="2:11" ht="17.399999999999999" x14ac:dyDescent="0.25">
      <c r="B26" s="121" t="s">
        <v>284</v>
      </c>
      <c r="C26" s="125">
        <f>IF(C25&lt;0,0,ROUNDUP(C25*0.25,-1))</f>
        <v>0</v>
      </c>
      <c r="D26" s="125">
        <f>IF(SUM($C$25:D25)&lt;0,0,IF(ROUNDUP(SUM($C$25:D25)*0.25,-1)-C26&lt;0,0,ROUNDUP(SUM($C$25:D25)*0.25,-1)-C26))</f>
        <v>1250</v>
      </c>
      <c r="E26" s="125">
        <f>IF(SUM($C$25:E25)&lt;0,0,IF(ROUNDUP(SUM($C$25:E25)*0.25,-1)-SUM($C$26:D26)&lt;0,0,ROUNDUP(SUM($C$25:E25)*0.25,-1)-SUM($C$26:D26)))</f>
        <v>1730</v>
      </c>
      <c r="F26" s="125">
        <f>IF(SUM($C$25:F25)&lt;0,0,IF(ROUNDUP(SUM($C$25:F25)*0.25,-1)-SUM($C$26:E26)&lt;0,0,ROUNDUP(SUM($C$25:F25)*0.25,-1)-SUM($C$26:E26)))</f>
        <v>1550</v>
      </c>
      <c r="G26" s="125">
        <f>IF(SUM($C$25:G25)&lt;0,0,IF(ROUNDUP(SUM($C$25:G25)*0.25,-1)-SUM($C$26:F26)&lt;0,0,ROUNDUP(SUM($C$25:G25)*0.25,-1)-SUM($C$26:F26)))</f>
        <v>1660</v>
      </c>
      <c r="H26" s="125">
        <f>IF(SUM($C$25:H25)&lt;0,0,IF(ROUNDUP(SUM($C$25:H25)*0.25,-1)-SUM($C$26:G26)&lt;0,0,ROUNDUP(SUM($C$25:H25)*0.25,-1)-SUM($C$26:G26)))</f>
        <v>1520</v>
      </c>
      <c r="I26" s="125">
        <f>IF(SUM($C$25:I25)&lt;0,0,IF(ROUNDUP(SUM($C$25:I25)*0.25,-1)-SUM($C$26:H26)&lt;0,0,ROUNDUP(SUM($C$25:I25)*0.25,-1)-SUM($C$26:H26)))</f>
        <v>1620</v>
      </c>
      <c r="J26" s="125">
        <f>IF(SUM($C$25:J25)&lt;0,0,IF(ROUNDUP(SUM($C$25:J25)*0.25,-1)-SUM($C$26:I26)&lt;0,0,ROUNDUP(SUM($C$25:J25)*0.25,-1)-SUM($C$26:I26)))</f>
        <v>1490</v>
      </c>
    </row>
    <row r="27" spans="2:11" ht="17.399999999999999" x14ac:dyDescent="0.25">
      <c r="B27" s="119" t="s">
        <v>285</v>
      </c>
      <c r="C27" s="120">
        <f>C25-C26</f>
        <v>-1383.1799999999998</v>
      </c>
      <c r="D27" s="120">
        <f t="shared" ref="D27:J27" si="3">D25-D26</f>
        <v>5132.3500000000004</v>
      </c>
      <c r="E27" s="120">
        <f t="shared" si="3"/>
        <v>5186.3500000000004</v>
      </c>
      <c r="F27" s="120">
        <f t="shared" si="3"/>
        <v>4652</v>
      </c>
      <c r="G27" s="120">
        <f t="shared" si="3"/>
        <v>4946</v>
      </c>
      <c r="H27" s="120">
        <f t="shared" si="3"/>
        <v>4562.25</v>
      </c>
      <c r="I27" s="120">
        <f t="shared" si="3"/>
        <v>4866.25</v>
      </c>
      <c r="J27" s="120">
        <f t="shared" si="3"/>
        <v>4472.25</v>
      </c>
    </row>
    <row r="28" spans="2:11" ht="16.5" customHeight="1" x14ac:dyDescent="0.25">
      <c r="B28" s="536"/>
      <c r="C28" s="536"/>
      <c r="D28" s="536"/>
      <c r="E28" s="536"/>
      <c r="F28" s="536"/>
      <c r="G28" s="536"/>
      <c r="H28" s="536"/>
      <c r="I28" s="536"/>
      <c r="J28" s="536"/>
    </row>
    <row r="29" spans="2:11" ht="16.5" customHeight="1" x14ac:dyDescent="0.25">
      <c r="B29" s="535"/>
      <c r="C29" s="535"/>
      <c r="D29" s="126"/>
      <c r="E29" s="126"/>
      <c r="F29" s="126"/>
      <c r="G29" s="126"/>
      <c r="H29" s="126"/>
      <c r="I29" s="126"/>
      <c r="J29" s="126"/>
      <c r="K29" s="127"/>
    </row>
    <row r="30" spans="2:11" ht="16.5" customHeight="1" x14ac:dyDescent="0.25">
      <c r="B30" s="535"/>
      <c r="C30" s="535"/>
      <c r="D30" s="126"/>
      <c r="E30" s="126"/>
      <c r="F30" s="126"/>
      <c r="G30" s="126"/>
      <c r="H30" s="126"/>
      <c r="I30" s="126"/>
      <c r="J30" s="126"/>
      <c r="K30" s="127"/>
    </row>
    <row r="31" spans="2:11" ht="16.5" customHeight="1" x14ac:dyDescent="0.25">
      <c r="B31" s="535"/>
      <c r="C31" s="535"/>
      <c r="D31" s="535"/>
      <c r="E31" s="535"/>
      <c r="F31" s="535"/>
      <c r="G31" s="535"/>
      <c r="H31" s="126"/>
      <c r="I31" s="126"/>
      <c r="J31" s="126"/>
      <c r="K31" s="127"/>
    </row>
    <row r="32" spans="2:11" x14ac:dyDescent="0.25">
      <c r="B32" s="127"/>
      <c r="C32" s="126"/>
      <c r="D32" s="126"/>
      <c r="E32" s="126"/>
      <c r="F32" s="126"/>
      <c r="G32" s="126"/>
      <c r="H32" s="126"/>
      <c r="I32" s="126"/>
      <c r="J32" s="126"/>
      <c r="K32" s="127"/>
    </row>
  </sheetData>
  <sheetProtection selectLockedCells="1"/>
  <mergeCells count="5">
    <mergeCell ref="B2:J2"/>
    <mergeCell ref="B29:C29"/>
    <mergeCell ref="B30:C30"/>
    <mergeCell ref="B31:G31"/>
    <mergeCell ref="B28:J28"/>
  </mergeCells>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B1:N69"/>
  <sheetViews>
    <sheetView zoomScale="70" zoomScaleNormal="70" workbookViewId="0">
      <selection activeCell="L11" sqref="L11"/>
    </sheetView>
  </sheetViews>
  <sheetFormatPr defaultColWidth="8.77734375" defaultRowHeight="14.4" x14ac:dyDescent="0.25"/>
  <cols>
    <col min="1" max="1" customWidth="true" style="66" width="5.109375" collapsed="true"/>
    <col min="2" max="2" customWidth="true" style="66" width="22.77734375" collapsed="true"/>
    <col min="3" max="4" customWidth="true" style="92" width="12.6640625" collapsed="true"/>
    <col min="5" max="5" customWidth="true" style="66" width="23.77734375" collapsed="true"/>
    <col min="6" max="7" customWidth="true" style="92" width="12.6640625" collapsed="true"/>
    <col min="8" max="8" customWidth="true" style="66" width="5.109375" collapsed="true"/>
    <col min="9" max="9" customWidth="true" style="66" width="19.44140625" collapsed="true"/>
    <col min="10" max="10" customWidth="true" style="92" width="12.109375" collapsed="true"/>
    <col min="11" max="11" customWidth="true" style="92" width="13.6640625" collapsed="true"/>
    <col min="12" max="12" customWidth="true" style="66" width="21.77734375" collapsed="true"/>
    <col min="13" max="13" customWidth="true" style="92" width="12.0" collapsed="true"/>
    <col min="14" max="14" customWidth="true" style="92" width="14.33203125" collapsed="true"/>
    <col min="15" max="16384" style="66" width="8.77734375" collapsed="true"/>
  </cols>
  <sheetData>
    <row r="1" spans="2:14" ht="23.4" x14ac:dyDescent="0.5">
      <c r="G1" s="93" t="s">
        <v>350</v>
      </c>
      <c r="H1" s="68" t="str">
        <f>T0登记表!K1</f>
        <v>abc</v>
      </c>
    </row>
    <row r="2" spans="2:14" ht="23.4" x14ac:dyDescent="0.25">
      <c r="B2" s="540" t="s">
        <v>286</v>
      </c>
      <c r="C2" s="541"/>
      <c r="D2" s="541"/>
      <c r="E2" s="541"/>
      <c r="F2" s="541"/>
      <c r="G2" s="541"/>
      <c r="H2" s="541"/>
      <c r="I2" s="541"/>
      <c r="J2" s="541"/>
      <c r="K2" s="541"/>
      <c r="L2" s="541"/>
      <c r="M2" s="541"/>
      <c r="N2" s="542"/>
    </row>
    <row r="3" spans="2:14" ht="21.75" customHeight="1" x14ac:dyDescent="0.25">
      <c r="B3" s="543" t="s">
        <v>287</v>
      </c>
      <c r="C3" s="543"/>
      <c r="D3" s="543"/>
      <c r="E3" s="543" t="s">
        <v>288</v>
      </c>
      <c r="F3" s="543"/>
      <c r="G3" s="543"/>
      <c r="I3" s="543" t="s">
        <v>312</v>
      </c>
      <c r="J3" s="543"/>
      <c r="K3" s="543"/>
      <c r="L3" s="543" t="s">
        <v>313</v>
      </c>
      <c r="M3" s="543"/>
      <c r="N3" s="543"/>
    </row>
    <row r="4" spans="2:14" ht="21.75" customHeight="1" x14ac:dyDescent="0.25">
      <c r="B4" s="94" t="s">
        <v>289</v>
      </c>
      <c r="C4" s="95" t="s">
        <v>290</v>
      </c>
      <c r="D4" s="95" t="s">
        <v>291</v>
      </c>
      <c r="E4" s="94" t="s">
        <v>289</v>
      </c>
      <c r="F4" s="95" t="s">
        <v>290</v>
      </c>
      <c r="G4" s="95" t="s">
        <v>291</v>
      </c>
      <c r="I4" s="94" t="s">
        <v>289</v>
      </c>
      <c r="J4" s="95" t="s">
        <v>290</v>
      </c>
      <c r="K4" s="95" t="s">
        <v>291</v>
      </c>
      <c r="L4" s="94" t="s">
        <v>289</v>
      </c>
      <c r="M4" s="95" t="s">
        <v>290</v>
      </c>
      <c r="N4" s="95" t="s">
        <v>291</v>
      </c>
    </row>
    <row r="5" spans="2:14" ht="21.75" customHeight="1" x14ac:dyDescent="0.25">
      <c r="B5" s="94" t="s">
        <v>292</v>
      </c>
      <c r="C5" s="96">
        <f>0</f>
        <v>0</v>
      </c>
      <c r="D5" s="97">
        <f>IF(T0登记表!$P25=T0登记表!$T$38,0,T0登记表!I25)+IF(T0登记表!$P26=T0登记表!$T$38,0,T0登记表!I26)</f>
        <v>10231</v>
      </c>
      <c r="E5" s="94" t="s">
        <v>293</v>
      </c>
      <c r="F5" s="96">
        <f>0</f>
        <v>0</v>
      </c>
      <c r="G5" s="97">
        <f>SUM(T0登记表!B25:B26)</f>
        <v>0</v>
      </c>
      <c r="I5" s="94" t="s">
        <v>292</v>
      </c>
      <c r="J5" s="96">
        <f t="shared" ref="J5:J16" si="0">D5</f>
        <v>10231</v>
      </c>
      <c r="K5" s="97">
        <f>IF(OR(T0登记表!$P25=T0登记表!$T$38,T0登记表!$J25&lt;2),0,T0登记表!I25)+IF(OR(T0登记表!$P26=T0登记表!$T$38,T0登记表!$J26&lt;2),0,T0登记表!I26)+IF(T0登记表!$P29=T0登记表!$T$38,0,T0登记表!I29)+IF(T0登记表!$P30=T0登记表!$T$38,0,T0登记表!I30)+IF(T0登记表!$P31=T0登记表!$T$38,0,T0登记表!I31)+IF(T0登记表!$P32=T0登记表!$T$38,0,T0登记表!I32)</f>
        <v>6000</v>
      </c>
      <c r="L5" s="94" t="s">
        <v>293</v>
      </c>
      <c r="M5" s="96">
        <f>G5</f>
        <v>0</v>
      </c>
      <c r="N5" s="97">
        <f>IF(T0登记表!$C25&gt;1,T0登记表!$B25,0)+IF(T0登记表!$C26&gt;1,T0登记表!$B26,0)+SUM(T0登记表!$B29:$B32)</f>
        <v>0</v>
      </c>
    </row>
    <row r="6" spans="2:14" ht="21.75" customHeight="1" x14ac:dyDescent="0.25">
      <c r="B6" s="109" t="s">
        <v>606</v>
      </c>
      <c r="C6" s="96">
        <f>0</f>
        <v>0</v>
      </c>
      <c r="D6" s="97">
        <f>T0登记表!D14</f>
        <v>0</v>
      </c>
      <c r="E6" s="94" t="s">
        <v>295</v>
      </c>
      <c r="F6" s="96">
        <f>0</f>
        <v>0</v>
      </c>
      <c r="G6" s="97">
        <f>T10损益表!C14-T9现金流表!C27</f>
        <v>269.39999999999998</v>
      </c>
      <c r="I6" s="109" t="s">
        <v>606</v>
      </c>
      <c r="J6" s="96">
        <f t="shared" si="0"/>
        <v>0</v>
      </c>
      <c r="K6" s="97">
        <f>T0登记表!E14</f>
        <v>356</v>
      </c>
      <c r="L6" s="94" t="s">
        <v>295</v>
      </c>
      <c r="M6" s="96">
        <f t="shared" ref="M6:M13" si="1">G6</f>
        <v>269.39999999999998</v>
      </c>
      <c r="N6" s="97">
        <f>SUM(T10损益表!$C$14:D$14)-SUM(T9现金流表!$C$27:D$27)</f>
        <v>0</v>
      </c>
    </row>
    <row r="7" spans="2:14" ht="21.75" customHeight="1" x14ac:dyDescent="0.25">
      <c r="B7" s="94" t="s">
        <v>294</v>
      </c>
      <c r="C7" s="96">
        <f>0</f>
        <v>0</v>
      </c>
      <c r="D7" s="97">
        <f>T10损益表!C5-T9现金流表!C12</f>
        <v>264.62</v>
      </c>
      <c r="E7" s="94" t="s">
        <v>297</v>
      </c>
      <c r="F7" s="96">
        <f>0</f>
        <v>0</v>
      </c>
      <c r="G7" s="97">
        <f>IF('T3-T4'!$U6='T3-T4'!$B$5,'T3-T4'!$Q6,0)+IF('T3-T4'!$U7='T3-T4'!$B$5,'T3-T4'!$Q7,0)+IF('T3-T4'!$U8='T3-T4'!$B$5,'T3-T4'!$Q8,0)+IF('T3-T4'!$U9='T3-T4'!$B$5,'T3-T4'!$Q9,0)+IF('T3-T4'!$U10='T3-T4'!$B$5,'T3-T4'!$Q10,0)+IF('T3-T4'!$U11='T3-T4'!$B$5,'T3-T4'!$Q11,0)+IF('T3-T4'!$U12='T3-T4'!$B$5,'T3-T4'!$Q12,0)+IF('T3-T4'!$U13='T3-T4'!$B$5,'T3-T4'!$Q13,0)+IF('T3-T4'!$U14='T3-T4'!$B$5,'T3-T4'!$Q14,0)+IF('T3-T4'!$U15='T3-T4'!$B$5,'T3-T4'!$Q15,0)+IF('T3-T4'!$U16='T3-T4'!$B$5,'T3-T4'!$Q16,0)+IF('T3-T4'!$U17='T3-T4'!$B$5,'T3-T4'!$Q17,0)</f>
        <v>0</v>
      </c>
      <c r="I7" s="94" t="s">
        <v>294</v>
      </c>
      <c r="J7" s="96">
        <f t="shared" si="0"/>
        <v>264.62</v>
      </c>
      <c r="K7" s="97">
        <f>SUM(T10损益表!$C$5:D$5)-SUM(T9现金流表!$C$12:D$12)</f>
        <v>120</v>
      </c>
      <c r="L7" s="94" t="s">
        <v>297</v>
      </c>
      <c r="M7" s="96">
        <f t="shared" si="1"/>
        <v>0</v>
      </c>
      <c r="N7" s="97">
        <f>IF('T3-T4'!$U6='T3-T4'!$B$6,'T3-T4'!$Q6,0)+IF('T3-T4'!$U7='T3-T4'!$B$6,'T3-T4'!$Q7,0)+IF('T3-T4'!$U8='T3-T4'!$B$6,'T3-T4'!$Q8,0)+IF('T3-T4'!$U9='T3-T4'!$B$6,'T3-T4'!$Q9,0)+IF('T3-T4'!$U10='T3-T4'!$B$6,'T3-T4'!$Q10,0)+IF('T3-T4'!$U11='T3-T4'!$B$6,'T3-T4'!$Q11,0)+IF('T3-T4'!$U12='T3-T4'!$B$6,'T3-T4'!$Q12,0)+IF('T3-T4'!$U13='T3-T4'!$B$6,'T3-T4'!$Q13,0)+IF('T3-T4'!$U14='T3-T4'!$B$6,'T3-T4'!$Q14,0)+IF('T3-T4'!$U15='T3-T4'!$B$6,'T3-T4'!$Q15,0)+IF('T3-T4'!$U16='T3-T4'!$B$6,'T3-T4'!$Q16,0)+IF('T3-T4'!$U17='T3-T4'!$B$6,'T3-T4'!$Q17,0)</f>
        <v>0</v>
      </c>
    </row>
    <row r="8" spans="2:14" ht="21.75" customHeight="1" x14ac:dyDescent="0.25">
      <c r="B8" s="94" t="s">
        <v>296</v>
      </c>
      <c r="C8" s="96">
        <f>0</f>
        <v>0</v>
      </c>
      <c r="D8" s="97">
        <f>'T3-T4'!G36</f>
        <v>0</v>
      </c>
      <c r="E8" s="94" t="s">
        <v>299</v>
      </c>
      <c r="F8" s="96">
        <f>0</f>
        <v>0</v>
      </c>
      <c r="G8" s="98">
        <f>T10损益表!C22-T9现金流表!C36</f>
        <v>0</v>
      </c>
      <c r="I8" s="102" t="s">
        <v>296</v>
      </c>
      <c r="J8" s="327">
        <f t="shared" si="0"/>
        <v>0</v>
      </c>
      <c r="K8" s="98">
        <f>'T3-T4'!H36</f>
        <v>0</v>
      </c>
      <c r="L8" s="94" t="s">
        <v>299</v>
      </c>
      <c r="M8" s="96">
        <f t="shared" si="1"/>
        <v>0</v>
      </c>
      <c r="N8" s="98">
        <f>SUM(T10损益表!$C$22:D$22)-SUM(T9现金流表!$C$36:D$36)</f>
        <v>0</v>
      </c>
    </row>
    <row r="9" spans="2:14" ht="21.75" customHeight="1" thickBot="1" x14ac:dyDescent="0.3">
      <c r="B9" s="94" t="s">
        <v>298</v>
      </c>
      <c r="C9" s="96">
        <f>0</f>
        <v>0</v>
      </c>
      <c r="D9" s="97">
        <f>T10损益表!C6-T9现金流表!C14</f>
        <v>0</v>
      </c>
      <c r="E9" s="99" t="s">
        <v>301</v>
      </c>
      <c r="F9" s="100">
        <f>0</f>
        <v>0</v>
      </c>
      <c r="G9" s="101">
        <f>T10损益表!C26</f>
        <v>0</v>
      </c>
      <c r="I9" s="94" t="s">
        <v>298</v>
      </c>
      <c r="J9" s="96">
        <f t="shared" si="0"/>
        <v>0</v>
      </c>
      <c r="K9" s="97">
        <f>SUM(T10损益表!$C$6:D$6)-SUM(T9现金流表!$C$14:D$14)</f>
        <v>70.349999999999994</v>
      </c>
      <c r="L9" s="99" t="s">
        <v>301</v>
      </c>
      <c r="M9" s="100">
        <f t="shared" si="1"/>
        <v>0</v>
      </c>
      <c r="N9" s="101">
        <f>T10损益表!D26</f>
        <v>1250</v>
      </c>
    </row>
    <row r="10" spans="2:14" ht="21.75" customHeight="1" thickTop="1" x14ac:dyDescent="0.25">
      <c r="B10" s="94" t="s">
        <v>300</v>
      </c>
      <c r="C10" s="96">
        <f>0</f>
        <v>0</v>
      </c>
      <c r="D10" s="97">
        <f>IF('T3-T4'!$U20='T3-T4'!$B$5,'T3-T4'!$Q20,0)+IF('T3-T4'!$U21='T3-T4'!$B$5,'T3-T4'!$Q21,0)+IF('T3-T4'!$U22='T3-T4'!$B$5,'T3-T4'!$Q22,0)+IF('T3-T4'!$U23='T3-T4'!$B$5,'T3-T4'!$Q23,0)+IF('T3-T4'!$U24='T3-T4'!$B$5,'T3-T4'!$Q24,0)+IF('T3-T4'!$U25='T3-T4'!$B$5,'T3-T4'!$Q25,0)+IF('T3-T4'!$U26='T3-T4'!$B$5,'T3-T4'!$Q26,0)+IF('T3-T4'!$U27='T3-T4'!$B$5,'T3-T4'!$Q27,0)+IF('T3-T4'!$U28='T3-T4'!$B$5,'T3-T4'!$Q28,0)+IF('T3-T4'!$U29='T3-T4'!$B$5,'T3-T4'!$Q29,0)+IF('T3-T4'!$U30='T3-T4'!$B$5,'T3-T4'!$Q30,0)+IF('T3-T4'!$U31='T3-T4'!$B$5,'T3-T4'!$Q31,0)</f>
        <v>0</v>
      </c>
      <c r="E10" s="103" t="s">
        <v>304</v>
      </c>
      <c r="F10" s="104">
        <f>SUM(F5:F9)</f>
        <v>0</v>
      </c>
      <c r="G10" s="104">
        <f>SUM(G5:G9)</f>
        <v>269.39999999999998</v>
      </c>
      <c r="I10" s="94" t="s">
        <v>300</v>
      </c>
      <c r="J10" s="96">
        <f t="shared" si="0"/>
        <v>0</v>
      </c>
      <c r="K10" s="97">
        <f>IF('T3-T4'!$U20='T3-T4'!$B$6,'T3-T4'!$Q20,0)+IF('T3-T4'!$U21='T3-T4'!$B$6,'T3-T4'!$Q21,0)+IF('T3-T4'!$U22='T3-T4'!$B$6,'T3-T4'!$Q22,0)+IF('T3-T4'!$U23='T3-T4'!$B$6,'T3-T4'!$Q23,0)+IF('T3-T4'!$U24='T3-T4'!$B$6,'T3-T4'!$Q24,0)+IF('T3-T4'!$U25='T3-T4'!$B$6,'T3-T4'!$Q25,0)+IF('T3-T4'!$U26='T3-T4'!$B$6,'T3-T4'!$Q26,0)+IF('T3-T4'!$U27='T3-T4'!$B$6,'T3-T4'!$Q27,0)+IF('T3-T4'!$U28='T3-T4'!$B$6,'T3-T4'!$Q28,0)+IF('T3-T4'!$U29='T3-T4'!$B$6,'T3-T4'!$Q29,0)+IF('T3-T4'!$U30='T3-T4'!$B$6,'T3-T4'!$Q30,0)+IF('T3-T4'!$U31='T3-T4'!$B$6,'T3-T4'!$Q31,0)</f>
        <v>0</v>
      </c>
      <c r="L10" s="103" t="s">
        <v>377</v>
      </c>
      <c r="M10" s="105">
        <f t="shared" si="1"/>
        <v>269.39999999999998</v>
      </c>
      <c r="N10" s="104">
        <f>SUM(N5:N9)</f>
        <v>1250</v>
      </c>
    </row>
    <row r="11" spans="2:14" ht="21.75" customHeight="1" x14ac:dyDescent="0.25">
      <c r="B11" s="102" t="s">
        <v>302</v>
      </c>
      <c r="C11" s="96">
        <f>0</f>
        <v>0</v>
      </c>
      <c r="D11" s="98">
        <f>T10损益表!C$11-T9现金流表!C$18</f>
        <v>0</v>
      </c>
      <c r="E11" s="94"/>
      <c r="F11" s="96"/>
      <c r="G11" s="96"/>
      <c r="I11" s="102" t="s">
        <v>302</v>
      </c>
      <c r="J11" s="96">
        <f t="shared" si="0"/>
        <v>0</v>
      </c>
      <c r="K11" s="98">
        <f>SUM(T10损益表!$C$11:D$11)-SUM(T9现金流表!$C$18:D$18)</f>
        <v>0</v>
      </c>
      <c r="L11" s="107"/>
      <c r="M11" s="108"/>
      <c r="N11" s="108"/>
    </row>
    <row r="12" spans="2:14" ht="21.75" customHeight="1" x14ac:dyDescent="0.25">
      <c r="B12" s="106" t="s">
        <v>303</v>
      </c>
      <c r="C12" s="96">
        <f>0</f>
        <v>0</v>
      </c>
      <c r="D12" s="97">
        <f>T10损益表!$C8-T9现金流表!$C16</f>
        <v>0</v>
      </c>
      <c r="E12" s="94" t="s">
        <v>306</v>
      </c>
      <c r="F12" s="96">
        <f>T0登记表!D4</f>
        <v>8000</v>
      </c>
      <c r="G12" s="97">
        <f>T0登记表!D4+T0登记表!E4</f>
        <v>16953</v>
      </c>
      <c r="I12" s="106" t="s">
        <v>303</v>
      </c>
      <c r="J12" s="96">
        <f t="shared" si="0"/>
        <v>0</v>
      </c>
      <c r="K12" s="97">
        <f>SUM(T10损益表!$C$8:D$8)-SUM(T9现金流表!$C$16:D$16)</f>
        <v>0</v>
      </c>
      <c r="L12" s="94" t="s">
        <v>306</v>
      </c>
      <c r="M12" s="96">
        <f t="shared" si="1"/>
        <v>16953</v>
      </c>
      <c r="N12" s="97">
        <f>T0登记表!D4+T0登记表!E4</f>
        <v>16953</v>
      </c>
    </row>
    <row r="13" spans="2:14" ht="21.75" customHeight="1" thickBot="1" x14ac:dyDescent="0.3">
      <c r="B13" s="94" t="s">
        <v>305</v>
      </c>
      <c r="C13" s="96">
        <f>0</f>
        <v>0</v>
      </c>
      <c r="D13" s="97">
        <f>IF(G5&gt;60000,7000,IF(G5&gt;50000,6000,IF(G5&gt;40000,5000,IF(G5&gt;30000,4000,IF(G5&gt;20000,3000,IF(G5&gt;10000,2000,IF(G5&gt;=1000,1000,0)))))))</f>
        <v>0</v>
      </c>
      <c r="E13" s="94" t="s">
        <v>308</v>
      </c>
      <c r="F13" s="96">
        <f>0</f>
        <v>0</v>
      </c>
      <c r="G13" s="97">
        <f>T10损益表!C27</f>
        <v>-1383.1799999999998</v>
      </c>
      <c r="I13" s="94" t="s">
        <v>305</v>
      </c>
      <c r="J13" s="108">
        <f t="shared" si="0"/>
        <v>0</v>
      </c>
      <c r="K13" s="97">
        <f>IF(N5&gt;60000,7000,IF(N5&gt;50000,6000,IF(N5&gt;40000,5000,IF(N5&gt;30000,4000,IF(N5&gt;20000,3000,IF(N5&gt;10000,2000,IF(N5&gt;=1000,1000,0)))))))</f>
        <v>0</v>
      </c>
      <c r="L13" s="94" t="s">
        <v>308</v>
      </c>
      <c r="M13" s="96">
        <f t="shared" si="1"/>
        <v>-1383.1799999999998</v>
      </c>
      <c r="N13" s="97">
        <f>M13+T10损益表!D27</f>
        <v>3749.1700000000005</v>
      </c>
    </row>
    <row r="14" spans="2:14" ht="21.75" customHeight="1" thickTop="1" x14ac:dyDescent="0.25">
      <c r="B14" s="94" t="s">
        <v>307</v>
      </c>
      <c r="C14" s="96">
        <f>0</f>
        <v>0</v>
      </c>
      <c r="D14" s="97">
        <f>T9现金流表!C30-T10损益表!C23</f>
        <v>1080</v>
      </c>
      <c r="E14" s="103" t="s">
        <v>310</v>
      </c>
      <c r="F14" s="105">
        <f>SUM(F12:F13)</f>
        <v>8000</v>
      </c>
      <c r="G14" s="105">
        <f>SUM(G12:G13)</f>
        <v>15569.82</v>
      </c>
      <c r="I14" s="94" t="s">
        <v>307</v>
      </c>
      <c r="J14" s="96">
        <f t="shared" si="0"/>
        <v>1080</v>
      </c>
      <c r="K14" s="97">
        <f>SUM(T9现金流表!$C$30:D$30)-SUM(T10损益表!$C$23:D$23)</f>
        <v>1500</v>
      </c>
      <c r="L14" s="103" t="s">
        <v>310</v>
      </c>
      <c r="M14" s="105">
        <f>G14</f>
        <v>15569.82</v>
      </c>
      <c r="N14" s="105">
        <f>SUM(N12:N13)</f>
        <v>20702.170000000002</v>
      </c>
    </row>
    <row r="15" spans="2:14" ht="21.75" customHeight="1" thickBot="1" x14ac:dyDescent="0.3">
      <c r="B15" s="94" t="s">
        <v>309</v>
      </c>
      <c r="C15" s="96">
        <f>T0登记表!D4</f>
        <v>8000</v>
      </c>
      <c r="D15" s="97">
        <f>T9现金流表!C38</f>
        <v>-4559.3999999999996</v>
      </c>
      <c r="F15" s="96"/>
      <c r="G15" s="96"/>
      <c r="I15" s="94" t="s">
        <v>309</v>
      </c>
      <c r="J15" s="96">
        <f t="shared" si="0"/>
        <v>-4559.3999999999996</v>
      </c>
      <c r="K15" s="97">
        <f>T9现金流表!D38</f>
        <v>14747.820000000002</v>
      </c>
      <c r="L15" s="107"/>
      <c r="M15" s="108"/>
      <c r="N15" s="96"/>
    </row>
    <row r="16" spans="2:14" ht="21.75" customHeight="1" thickTop="1" thickBot="1" x14ac:dyDescent="0.3">
      <c r="B16" s="110" t="s">
        <v>319</v>
      </c>
      <c r="C16" s="111">
        <f>SUM(C5:C15)</f>
        <v>8000</v>
      </c>
      <c r="D16" s="111">
        <f>D5-D6+SUM(D7:D15)</f>
        <v>7016.22</v>
      </c>
      <c r="E16" s="110" t="s">
        <v>376</v>
      </c>
      <c r="F16" s="111">
        <f>F10+F14</f>
        <v>8000</v>
      </c>
      <c r="G16" s="111">
        <f>G10+G14</f>
        <v>15839.22</v>
      </c>
      <c r="I16" s="103" t="s">
        <v>319</v>
      </c>
      <c r="J16" s="105">
        <f t="shared" si="0"/>
        <v>7016.22</v>
      </c>
      <c r="K16" s="111">
        <f>K5-K6+SUM(K7:K15)</f>
        <v>22082.170000000002</v>
      </c>
      <c r="L16" s="103" t="s">
        <v>311</v>
      </c>
      <c r="M16" s="105">
        <f>G16</f>
        <v>15839.22</v>
      </c>
      <c r="N16" s="111">
        <f>N10+N14</f>
        <v>21952.170000000002</v>
      </c>
    </row>
    <row r="17" spans="2:14" ht="21.75" customHeight="1" thickBot="1" x14ac:dyDescent="0.3">
      <c r="B17" s="537" t="str">
        <f>IF(AND(C16=F16,D16=G16),"报表已平","报表不平")</f>
        <v>报表不平</v>
      </c>
      <c r="C17" s="538"/>
      <c r="D17" s="538"/>
      <c r="E17" s="538"/>
      <c r="F17" s="538"/>
      <c r="G17" s="539"/>
      <c r="I17" s="537" t="str">
        <f>IF(AND(J16=M16,K16=N16),"报表已平","报表不平")</f>
        <v>报表不平</v>
      </c>
      <c r="J17" s="538"/>
      <c r="K17" s="538"/>
      <c r="L17" s="538"/>
      <c r="M17" s="538"/>
      <c r="N17" s="539"/>
    </row>
    <row r="19" spans="2:14" ht="17.399999999999999" x14ac:dyDescent="0.25">
      <c r="B19" s="543" t="s">
        <v>425</v>
      </c>
      <c r="C19" s="543"/>
      <c r="D19" s="543"/>
      <c r="E19" s="543" t="s">
        <v>288</v>
      </c>
      <c r="F19" s="543"/>
      <c r="G19" s="543"/>
      <c r="I19" s="544" t="s">
        <v>426</v>
      </c>
      <c r="J19" s="545"/>
      <c r="K19" s="546"/>
      <c r="L19" s="543" t="s">
        <v>288</v>
      </c>
      <c r="M19" s="543"/>
      <c r="N19" s="543"/>
    </row>
    <row r="20" spans="2:14" ht="22.5" customHeight="1" x14ac:dyDescent="0.25">
      <c r="B20" s="94" t="s">
        <v>289</v>
      </c>
      <c r="C20" s="95" t="s">
        <v>290</v>
      </c>
      <c r="D20" s="95" t="s">
        <v>291</v>
      </c>
      <c r="E20" s="94" t="s">
        <v>289</v>
      </c>
      <c r="F20" s="95" t="s">
        <v>290</v>
      </c>
      <c r="G20" s="95" t="s">
        <v>291</v>
      </c>
      <c r="I20" s="94" t="s">
        <v>289</v>
      </c>
      <c r="J20" s="95" t="s">
        <v>290</v>
      </c>
      <c r="K20" s="95" t="s">
        <v>291</v>
      </c>
      <c r="L20" s="94" t="s">
        <v>289</v>
      </c>
      <c r="M20" s="95" t="s">
        <v>290</v>
      </c>
      <c r="N20" s="95" t="s">
        <v>291</v>
      </c>
    </row>
    <row r="21" spans="2:14" ht="22.5" customHeight="1" x14ac:dyDescent="0.25">
      <c r="B21" s="94" t="s">
        <v>292</v>
      </c>
      <c r="C21" s="96">
        <f t="shared" ref="C21:C32" si="2">K5</f>
        <v>6000</v>
      </c>
      <c r="D21" s="97">
        <f><![CDATA[IF(OR(T0登记表!$P25=T0登记表!$T$38,T0登记表!$J25<3),0,T0登记表!I25)+IF(OR(T0登记表!$P26=T0登记表!$T$38,T0登记表!$J26<3),0,T0登记表!I26)+IF(OR(T0登记表!$P29=T0登记表!$T$38,T0登记表!$J29<2),0,T0登记表!I29)+IF(OR(T0登记表!$P30=T0登记表!$T$38,T0登记表!$J30<2),0,T0登记表!I30)+IF(OR(T0登记表!$P31=T0登记表!$T$38,T0登记表!$J31<2),0,T0登记表!I31)+IF(OR(T0登记表!$P32=T0登记表!$T$38,T0登记表!$J32<2),0,T0登记表!I32)+IF(T0登记表!$P35=T0登记表!$T$38,0,T0登记表!I35)+IF(T0登记表!$P36=T0登记表!$T$38,0,T0登记表!I36)+IF(T0登记表!$P37=T0登记表!$T$38,0,T0登记表!I37)+IF(T0登记表!$P38=T0登记表!$T$38,0,T0登记表!I38)]]></f>
        <v>12000</v>
      </c>
      <c r="E21" s="94" t="s">
        <v>293</v>
      </c>
      <c r="F21" s="96">
        <f>N5</f>
        <v>0</v>
      </c>
      <c r="G21" s="97">
        <f>IF(T0登记表!$C25&gt;2,T0登记表!$B25,0)+IF(T0登记表!$C26&gt;2,T0登记表!$B26,0)+IF(T0登记表!$C29&gt;1,T0登记表!$B29,0)+IF(T0登记表!$C30&gt;1,T0登记表!$B30,0)+IF(T0登记表!$C31&gt;1,T0登记表!$B31,0)+IF(T0登记表!$C32&gt;1,T0登记表!$B32,0)+SUM(T0登记表!$B35:$B38)</f>
        <v>0</v>
      </c>
      <c r="I21" s="94" t="s">
        <v>292</v>
      </c>
      <c r="J21" s="96">
        <f t="shared" ref="J21:J32" si="3">D21</f>
        <v>12000</v>
      </c>
      <c r="K21" s="97">
        <f><![CDATA[IF(OR(T0登记表!$P25=T0登记表!$T$38,T0登记表!$J25<4),0,T0登记表!I25)+IF(OR(T0登记表!$P26=T0登记表!$T$38,T0登记表!$J26<4),0,T0登记表!I26)+IF(OR(T0登记表!$P29=T0登记表!$T$38,T0登记表!$J29<3),0,T0登记表!I29)+IF(OR(T0登记表!$P30=T0登记表!$T$38,T0登记表!$J30<3),0,T0登记表!I30)+IF(OR(T0登记表!$P31=T0登记表!$T$38,T0登记表!$J31<3),0,T0登记表!I31)+IF(OR(T0登记表!$P32=T0登记表!$T$38,T0登记表!$J32<3),0,T0登记表!I32)+IF(OR(T0登记表!$P35=T0登记表!$T$38,T0登记表!$J35<2),0,T0登记表!I35)+IF(OR(T0登记表!$P36=T0登记表!$T$38,T0登记表!$J36<2),0,T0登记表!I36)+IF(OR(T0登记表!$P37=T0登记表!$T$38,T0登记表!$J37<2),0,T0登记表!I37)+IF(OR(T0登记表!$P38=T0登记表!$T$38,T0登记表!$J38<2),0,T0登记表!I38)+IF(T0登记表!$P41=T0登记表!$T$38,0,T0登记表!I41)+IF(T0登记表!$P42=T0登记表!$T$38,0,T0登记表!I42)+IF(T0登记表!$P43=T0登记表!$T$38,0,T0登记表!I43)+IF(T0登记表!$P44=T0登记表!$T$38,0,T0登记表!I44)]]></f>
        <v>12000</v>
      </c>
      <c r="L21" s="94" t="s">
        <v>432</v>
      </c>
      <c r="M21" s="96">
        <f t="shared" ref="M21:M26" si="4">G21</f>
        <v>0</v>
      </c>
      <c r="N21" s="97">
        <f>IF(T0登记表!$C25&gt;3,T0登记表!$B25,0)+IF(T0登记表!$C26&gt;3,T0登记表!$B26,0)+IF(T0登记表!$C29&gt;2,T0登记表!$B29,0)+IF(T0登记表!$C30&gt;2,T0登记表!$B30,0)+IF(T0登记表!$C31&gt;2,T0登记表!$B31,0)+IF(T0登记表!$C32&gt;2,T0登记表!$B32,0)+IF(T0登记表!$C35&gt;1,T0登记表!$B35,0)+IF(T0登记表!$C36&gt;1,T0登记表!$B36,0)+IF(T0登记表!$C37&gt;1,T0登记表!$B37,0)+IF(T0登记表!$C38&gt;1,T0登记表!$B38,0)+SUM(T0登记表!$B41:$B44)</f>
        <v>0</v>
      </c>
    </row>
    <row r="22" spans="2:14" ht="22.5" customHeight="1" x14ac:dyDescent="0.25">
      <c r="B22" s="109" t="s">
        <v>606</v>
      </c>
      <c r="C22" s="96">
        <f t="shared" si="2"/>
        <v>356</v>
      </c>
      <c r="D22" s="98">
        <f>T0登记表!F14</f>
        <v>130</v>
      </c>
      <c r="E22" s="94" t="s">
        <v>295</v>
      </c>
      <c r="F22" s="96">
        <f t="shared" ref="F22:F29" si="5">N6</f>
        <v>0</v>
      </c>
      <c r="G22" s="97">
        <f>SUM(T10损益表!$C$14:E$14)-SUM(T9现金流表!$C$27:E$27)</f>
        <v>0</v>
      </c>
      <c r="I22" s="109" t="s">
        <v>606</v>
      </c>
      <c r="J22" s="96">
        <f t="shared" si="3"/>
        <v>130</v>
      </c>
      <c r="K22" s="97">
        <f>T0登记表!G14</f>
        <v>356</v>
      </c>
      <c r="L22" s="94" t="s">
        <v>433</v>
      </c>
      <c r="M22" s="96">
        <f t="shared" si="4"/>
        <v>0</v>
      </c>
      <c r="N22" s="97">
        <f>SUM(T10损益表!$C$14:F$14)-SUM(T9现金流表!$C$27:F$27)</f>
        <v>0</v>
      </c>
    </row>
    <row r="23" spans="2:14" ht="22.5" customHeight="1" x14ac:dyDescent="0.25">
      <c r="B23" s="94" t="s">
        <v>294</v>
      </c>
      <c r="C23" s="96">
        <f t="shared" si="2"/>
        <v>120</v>
      </c>
      <c r="D23" s="97">
        <f>SUM(T10损益表!$C$5:E$5)-SUM(T9现金流表!$C$12:E$12)</f>
        <v>120</v>
      </c>
      <c r="E23" s="94" t="s">
        <v>297</v>
      </c>
      <c r="F23" s="96">
        <f t="shared" si="5"/>
        <v>0</v>
      </c>
      <c r="G23" s="97">
        <f>IF('T3-T4'!$U6='T3-T4'!$B$7,'T3-T4'!$Q6,0)+IF('T3-T4'!$U7='T3-T4'!$B$7,'T3-T4'!$Q7,0)+IF('T3-T4'!$U8='T3-T4'!$B$7,'T3-T4'!$Q8,0)+IF('T3-T4'!$U9='T3-T4'!$B$7,'T3-T4'!$Q9,0)+IF('T3-T4'!$U10='T3-T4'!$B$7,'T3-T4'!$Q10,0)+IF('T3-T4'!$U11='T3-T4'!$B$7,'T3-T4'!$Q11,0)+IF('T3-T4'!$U12='T3-T4'!$B$7,'T3-T4'!$Q12,0)+IF('T3-T4'!$U13='T3-T4'!$B$7,'T3-T4'!$Q13,0)+IF('T3-T4'!$U14='T3-T4'!$B$7,'T3-T4'!$Q14,0)+IF('T3-T4'!$U15='T3-T4'!$B$7,'T3-T4'!$Q15,0)+IF('T3-T4'!$U16='T3-T4'!$B$7,'T3-T4'!$Q16,0)+IF('T3-T4'!$U17='T3-T4'!$B$7,'T3-T4'!$Q17,0)</f>
        <v>0</v>
      </c>
      <c r="I23" s="94" t="s">
        <v>294</v>
      </c>
      <c r="J23" s="96">
        <f t="shared" si="3"/>
        <v>120</v>
      </c>
      <c r="K23" s="97">
        <f>SUM(T10损益表!$C$5:F$5)-SUM(T9现金流表!$C$12:F$12)</f>
        <v>0</v>
      </c>
      <c r="L23" s="94" t="s">
        <v>434</v>
      </c>
      <c r="M23" s="96">
        <f t="shared" si="4"/>
        <v>0</v>
      </c>
      <c r="N23" s="97">
        <f>IF('T3-T4'!$U6='T3-T4'!$B$8,'T3-T4'!$Q6,0)+IF('T3-T4'!$U7='T3-T4'!$B$8,'T3-T4'!$Q7,0)+IF('T3-T4'!$U8='T3-T4'!$B$8,'T3-T4'!$Q8,0)+IF('T3-T4'!$U9='T3-T4'!$B$8,'T3-T4'!$Q9,0)+IF('T3-T4'!$U10='T3-T4'!$B$8,'T3-T4'!$Q10,0)+IF('T3-T4'!$U11='T3-T4'!$B$8,'T3-T4'!$Q11,0)+IF('T3-T4'!$U12='T3-T4'!$B$8,'T3-T4'!$Q12,0)+IF('T3-T4'!$U13='T3-T4'!$B$8,'T3-T4'!$Q13,0)+IF('T3-T4'!$U14='T3-T4'!$B$8,'T3-T4'!$Q14,0)+IF('T3-T4'!$U15='T3-T4'!$B$8,'T3-T4'!$Q15,0)+IF('T3-T4'!$U16='T3-T4'!$B$8,'T3-T4'!$Q16,0)+IF('T3-T4'!$U17='T3-T4'!$B$8,'T3-T4'!$Q17,0)</f>
        <v>0</v>
      </c>
    </row>
    <row r="24" spans="2:14" ht="22.5" customHeight="1" x14ac:dyDescent="0.25">
      <c r="B24" s="102" t="s">
        <v>296</v>
      </c>
      <c r="C24" s="327">
        <f t="shared" si="2"/>
        <v>0</v>
      </c>
      <c r="D24" s="98">
        <f>'T3-T4'!I36</f>
        <v>0</v>
      </c>
      <c r="E24" s="102" t="s">
        <v>299</v>
      </c>
      <c r="F24" s="327">
        <f t="shared" si="5"/>
        <v>0</v>
      </c>
      <c r="G24" s="98">
        <f>SUM(T10损益表!$C$22:E$22)-SUM(T9现金流表!$C$36:E$36)</f>
        <v>0</v>
      </c>
      <c r="H24" s="127"/>
      <c r="I24" s="102" t="s">
        <v>296</v>
      </c>
      <c r="J24" s="327">
        <f t="shared" si="3"/>
        <v>0</v>
      </c>
      <c r="K24" s="98">
        <f>'T3-T4'!J36</f>
        <v>0</v>
      </c>
      <c r="L24" s="94" t="s">
        <v>435</v>
      </c>
      <c r="M24" s="96">
        <f t="shared" si="4"/>
        <v>0</v>
      </c>
      <c r="N24" s="98">
        <f>SUM(T10损益表!$C$22:F$22)-SUM(T9现金流表!$C$36:F$36)</f>
        <v>0</v>
      </c>
    </row>
    <row r="25" spans="2:14" ht="22.5" customHeight="1" thickBot="1" x14ac:dyDescent="0.3">
      <c r="B25" s="94" t="s">
        <v>298</v>
      </c>
      <c r="C25" s="96">
        <f t="shared" si="2"/>
        <v>70.349999999999994</v>
      </c>
      <c r="D25" s="97">
        <f>SUM(T10损益表!$C$6:E$6)-SUM(T9现金流表!$C$14:E$14)</f>
        <v>70.349999999999994</v>
      </c>
      <c r="E25" s="99" t="s">
        <v>301</v>
      </c>
      <c r="F25" s="100">
        <f t="shared" si="5"/>
        <v>1250</v>
      </c>
      <c r="G25" s="101">
        <f>T10损益表!E26</f>
        <v>1730</v>
      </c>
      <c r="I25" s="94" t="s">
        <v>298</v>
      </c>
      <c r="J25" s="96">
        <f t="shared" si="3"/>
        <v>70.349999999999994</v>
      </c>
      <c r="K25" s="97">
        <f>SUM(T10损益表!$C$6:F$6)-SUM(T9现金流表!$C$14:F$14)</f>
        <v>0</v>
      </c>
      <c r="L25" s="99" t="s">
        <v>436</v>
      </c>
      <c r="M25" s="100">
        <f t="shared" si="4"/>
        <v>1730</v>
      </c>
      <c r="N25" s="101">
        <f>T10损益表!F26</f>
        <v>1550</v>
      </c>
    </row>
    <row r="26" spans="2:14" ht="22.5" customHeight="1" thickTop="1" x14ac:dyDescent="0.25">
      <c r="B26" s="94" t="s">
        <v>300</v>
      </c>
      <c r="C26" s="96">
        <f t="shared" si="2"/>
        <v>0</v>
      </c>
      <c r="D26" s="97">
        <f>IF('T3-T4'!$U20='T3-T4'!$B$7,'T3-T4'!$Q20,0)+IF('T3-T4'!$U21='T3-T4'!$B$7,'T3-T4'!$Q21,0)+IF('T3-T4'!$U22='T3-T4'!$B$7,'T3-T4'!$Q22,0)+IF('T3-T4'!$U23='T3-T4'!$B$7,'T3-T4'!$Q23,0)+IF('T3-T4'!$U24='T3-T4'!$B$7,'T3-T4'!$Q24,0)+IF('T3-T4'!$U25='T3-T4'!$B$7,'T3-T4'!$Q25,0)+IF('T3-T4'!$U26='T3-T4'!$B$7,'T3-T4'!$Q26,0)+IF('T3-T4'!$U27='T3-T4'!$B$7,'T3-T4'!$Q27,0)+IF('T3-T4'!$U28='T3-T4'!$B$7,'T3-T4'!$Q28,0)+IF('T3-T4'!$U29='T3-T4'!$B$7,'T3-T4'!$Q29,0)+IF('T3-T4'!$U30='T3-T4'!$B$7,'T3-T4'!$Q30,0)+IF('T3-T4'!$U31='T3-T4'!$B$7,'T3-T4'!$Q31,0)</f>
        <v>0</v>
      </c>
      <c r="E26" s="103" t="s">
        <v>304</v>
      </c>
      <c r="F26" s="105">
        <f t="shared" si="5"/>
        <v>1250</v>
      </c>
      <c r="G26" s="104">
        <f>SUM(G21:G25)</f>
        <v>1730</v>
      </c>
      <c r="I26" s="94" t="s">
        <v>300</v>
      </c>
      <c r="J26" s="96">
        <f t="shared" si="3"/>
        <v>0</v>
      </c>
      <c r="K26" s="97">
        <f>IF('T3-T4'!$U20='T3-T4'!$B$8,'T3-T4'!$Q20,0)+IF('T3-T4'!$U21='T3-T4'!$B$8,'T3-T4'!$Q21,0)+IF('T3-T4'!$U22='T3-T4'!$B$8,'T3-T4'!$Q22,0)+IF('T3-T4'!$U23='T3-T4'!$B$8,'T3-T4'!$Q23,0)+IF('T3-T4'!$U24='T3-T4'!$B$8,'T3-T4'!$Q24,0)+IF('T3-T4'!$U25='T3-T4'!$B$8,'T3-T4'!$Q25,0)+IF('T3-T4'!$U26='T3-T4'!$B$8,'T3-T4'!$Q26,0)+IF('T3-T4'!$U27='T3-T4'!$B$8,'T3-T4'!$Q27,0)+IF('T3-T4'!$U28='T3-T4'!$B$8,'T3-T4'!$Q28,0)+IF('T3-T4'!$U29='T3-T4'!$B$8,'T3-T4'!$Q29,0)+IF('T3-T4'!$U30='T3-T4'!$B$8,'T3-T4'!$Q30,0)+IF('T3-T4'!$U31='T3-T4'!$B$8,'T3-T4'!$Q31,0)</f>
        <v>0</v>
      </c>
      <c r="L26" s="103" t="s">
        <v>437</v>
      </c>
      <c r="M26" s="105">
        <f t="shared" si="4"/>
        <v>1730</v>
      </c>
      <c r="N26" s="104">
        <f>SUM(N21:N25)</f>
        <v>1550</v>
      </c>
    </row>
    <row r="27" spans="2:14" ht="22.5" customHeight="1" x14ac:dyDescent="0.25">
      <c r="B27" s="102" t="s">
        <v>302</v>
      </c>
      <c r="C27" s="96">
        <f t="shared" si="2"/>
        <v>0</v>
      </c>
      <c r="D27" s="98">
        <f>SUM(T10损益表!$C$11:E$11)-SUM(T9现金流表!$C$18:E$18)</f>
        <v>0</v>
      </c>
      <c r="E27" s="107"/>
      <c r="F27" s="108"/>
      <c r="G27" s="108"/>
      <c r="I27" s="102" t="s">
        <v>302</v>
      </c>
      <c r="J27" s="96">
        <f t="shared" si="3"/>
        <v>0</v>
      </c>
      <c r="K27" s="98">
        <f>SUM(T10损益表!$C$11:F$11)-SUM(T9现金流表!$C$18:F$18)</f>
        <v>0</v>
      </c>
      <c r="L27" s="107"/>
      <c r="M27" s="108"/>
      <c r="N27" s="108"/>
    </row>
    <row r="28" spans="2:14" ht="22.5" customHeight="1" x14ac:dyDescent="0.25">
      <c r="B28" s="106" t="s">
        <v>303</v>
      </c>
      <c r="C28" s="96">
        <f t="shared" si="2"/>
        <v>0</v>
      </c>
      <c r="D28" s="97">
        <f>SUM(T10损益表!$C$8:E$8)-SUM(T9现金流表!$C$16:E$16)</f>
        <v>0</v>
      </c>
      <c r="E28" s="94" t="s">
        <v>306</v>
      </c>
      <c r="F28" s="96">
        <f t="shared" si="5"/>
        <v>16953</v>
      </c>
      <c r="G28" s="97">
        <f>T0登记表!D4+T0登记表!E4+T0登记表!F4</f>
        <v>24953</v>
      </c>
      <c r="I28" s="106" t="s">
        <v>303</v>
      </c>
      <c r="J28" s="96">
        <f t="shared" si="3"/>
        <v>0</v>
      </c>
      <c r="K28" s="97">
        <f>SUM(T10损益表!$C$8:F$8)-SUM(T9现金流表!$C$16:F$16)</f>
        <v>0</v>
      </c>
      <c r="L28" s="94" t="s">
        <v>438</v>
      </c>
      <c r="M28" s="96">
        <f>G28</f>
        <v>24953</v>
      </c>
      <c r="N28" s="97">
        <f>T0登记表!D4+T0登记表!E4+T0登记表!F4+T0登记表!G4</f>
        <v>33906</v>
      </c>
    </row>
    <row r="29" spans="2:14" ht="22.5" customHeight="1" thickBot="1" x14ac:dyDescent="0.3">
      <c r="B29" s="94" t="s">
        <v>305</v>
      </c>
      <c r="C29" s="108">
        <f t="shared" si="2"/>
        <v>0</v>
      </c>
      <c r="D29" s="97">
        <f>IF(G21&gt;60000,7000,IF(G21&gt;50000,6000,IF(G21&gt;40000,5000,IF(G21&gt;30000,4000,IF(G21&gt;20000,3000,IF(G21&gt;10000,2000,IF(G21&gt;=1000,1000,0)))))))</f>
        <v>0</v>
      </c>
      <c r="E29" s="94" t="s">
        <v>308</v>
      </c>
      <c r="F29" s="96">
        <f t="shared" si="5"/>
        <v>3749.1700000000005</v>
      </c>
      <c r="G29" s="97">
        <f>F29+T10损益表!E27</f>
        <v>8935.52</v>
      </c>
      <c r="I29" s="94" t="s">
        <v>305</v>
      </c>
      <c r="J29" s="108">
        <f t="shared" si="3"/>
        <v>0</v>
      </c>
      <c r="K29" s="97">
        <f>IF(N21&gt;60000,7000,IF(N21&gt;50000,6000,IF(N21&gt;40000,5000,IF(N21&gt;30000,4000,IF(N21&gt;20000,3000,IF(N21&gt;10000,2000,IF(N21&gt;=1000,1000,0)))))))</f>
        <v>0</v>
      </c>
      <c r="L29" s="94" t="s">
        <v>439</v>
      </c>
      <c r="M29" s="96">
        <f>G29</f>
        <v>8935.52</v>
      </c>
      <c r="N29" s="97">
        <f>M29+T10损益表!F27</f>
        <v>13587.52</v>
      </c>
    </row>
    <row r="30" spans="2:14" ht="22.5" customHeight="1" thickTop="1" x14ac:dyDescent="0.25">
      <c r="B30" s="94" t="s">
        <v>307</v>
      </c>
      <c r="C30" s="96">
        <f t="shared" si="2"/>
        <v>1500</v>
      </c>
      <c r="D30" s="97">
        <f>SUM(T9现金流表!$C$30:E$30)-SUM(T10损益表!$C$23:E$23)</f>
        <v>1860</v>
      </c>
      <c r="E30" s="103" t="s">
        <v>378</v>
      </c>
      <c r="F30" s="105">
        <f>N14</f>
        <v>20702.170000000002</v>
      </c>
      <c r="G30" s="105">
        <f>SUM(G28:G29)</f>
        <v>33888.520000000004</v>
      </c>
      <c r="I30" s="94" t="s">
        <v>307</v>
      </c>
      <c r="J30" s="96">
        <f t="shared" si="3"/>
        <v>1860</v>
      </c>
      <c r="K30" s="97">
        <f>SUM(T9现金流表!$C$30:F$30)-SUM(T10损益表!$C$23:F$23)</f>
        <v>2160</v>
      </c>
      <c r="L30" s="103" t="s">
        <v>440</v>
      </c>
      <c r="M30" s="105">
        <f>G30</f>
        <v>33888.520000000004</v>
      </c>
      <c r="N30" s="105">
        <f>SUM(N28:N29)</f>
        <v>47493.520000000004</v>
      </c>
    </row>
    <row r="31" spans="2:14" ht="22.5" customHeight="1" thickBot="1" x14ac:dyDescent="0.3">
      <c r="B31" s="94" t="s">
        <v>309</v>
      </c>
      <c r="C31" s="96">
        <f t="shared" si="2"/>
        <v>14747.820000000002</v>
      </c>
      <c r="D31" s="97">
        <f>T9现金流表!E38</f>
        <v>27828.17</v>
      </c>
      <c r="E31" s="107"/>
      <c r="F31" s="108"/>
      <c r="G31" s="96"/>
      <c r="I31" s="94" t="s">
        <v>309</v>
      </c>
      <c r="J31" s="96">
        <f t="shared" si="3"/>
        <v>27828.17</v>
      </c>
      <c r="K31" s="97">
        <f>T9现金流表!F38</f>
        <v>41369.519999999997</v>
      </c>
      <c r="L31" s="107"/>
      <c r="M31" s="108"/>
      <c r="N31" s="96"/>
    </row>
    <row r="32" spans="2:14" ht="22.5" customHeight="1" thickTop="1" thickBot="1" x14ac:dyDescent="0.3">
      <c r="B32" s="103" t="s">
        <v>379</v>
      </c>
      <c r="C32" s="105">
        <f t="shared" si="2"/>
        <v>22082.170000000002</v>
      </c>
      <c r="D32" s="111">
        <f>D21-D22+SUM(D23:D31)</f>
        <v>41748.519999999997</v>
      </c>
      <c r="E32" s="103" t="s">
        <v>380</v>
      </c>
      <c r="F32" s="105">
        <f>N16</f>
        <v>21952.170000000002</v>
      </c>
      <c r="G32" s="111">
        <f>G26+G30</f>
        <v>35618.520000000004</v>
      </c>
      <c r="I32" s="103" t="s">
        <v>319</v>
      </c>
      <c r="J32" s="105">
        <f t="shared" si="3"/>
        <v>41748.519999999997</v>
      </c>
      <c r="K32" s="111">
        <f>K21-K22+SUM(K23:K31)</f>
        <v>55173.52</v>
      </c>
      <c r="L32" s="103" t="s">
        <v>441</v>
      </c>
      <c r="M32" s="105">
        <f>G32</f>
        <v>35618.520000000004</v>
      </c>
      <c r="N32" s="111">
        <f>N26+N30</f>
        <v>49043.520000000004</v>
      </c>
    </row>
    <row r="33" spans="2:14" ht="22.5" customHeight="1" thickBot="1" x14ac:dyDescent="0.3">
      <c r="B33" s="537" t="str">
        <f>IF(AND(C32=F32,D32=G32),"报表已平","报表不平")</f>
        <v>报表不平</v>
      </c>
      <c r="C33" s="538"/>
      <c r="D33" s="538"/>
      <c r="E33" s="538"/>
      <c r="F33" s="538"/>
      <c r="G33" s="539"/>
      <c r="I33" s="537" t="str">
        <f>IF(AND(J32=M32,K32=N32),"报表已平","报表不平")</f>
        <v>报表不平</v>
      </c>
      <c r="J33" s="538"/>
      <c r="K33" s="538"/>
      <c r="L33" s="538"/>
      <c r="M33" s="538"/>
      <c r="N33" s="539"/>
    </row>
    <row r="34" spans="2:14" ht="22.5" customHeight="1" x14ac:dyDescent="0.25">
      <c r="I34" s="112"/>
      <c r="J34" s="113"/>
      <c r="K34" s="113"/>
      <c r="L34" s="112"/>
      <c r="M34" s="113"/>
      <c r="N34" s="113"/>
    </row>
    <row r="35" spans="2:14" ht="17.399999999999999" x14ac:dyDescent="0.25">
      <c r="B35" s="543" t="s">
        <v>314</v>
      </c>
      <c r="C35" s="543"/>
      <c r="D35" s="543"/>
      <c r="E35" s="543" t="s">
        <v>288</v>
      </c>
      <c r="F35" s="543"/>
      <c r="G35" s="543"/>
      <c r="I35" s="544" t="s">
        <v>429</v>
      </c>
      <c r="J35" s="545"/>
      <c r="K35" s="546"/>
      <c r="L35" s="543" t="s">
        <v>288</v>
      </c>
      <c r="M35" s="543"/>
      <c r="N35" s="543"/>
    </row>
    <row r="36" spans="2:14" ht="17.399999999999999" x14ac:dyDescent="0.25">
      <c r="B36" s="94" t="s">
        <v>289</v>
      </c>
      <c r="C36" s="95" t="s">
        <v>290</v>
      </c>
      <c r="D36" s="95" t="s">
        <v>291</v>
      </c>
      <c r="E36" s="94" t="s">
        <v>289</v>
      </c>
      <c r="F36" s="95" t="s">
        <v>290</v>
      </c>
      <c r="G36" s="95" t="s">
        <v>291</v>
      </c>
      <c r="I36" s="94" t="s">
        <v>289</v>
      </c>
      <c r="J36" s="95" t="s">
        <v>290</v>
      </c>
      <c r="K36" s="95" t="s">
        <v>291</v>
      </c>
      <c r="L36" s="94" t="s">
        <v>289</v>
      </c>
      <c r="M36" s="95" t="s">
        <v>290</v>
      </c>
      <c r="N36" s="95" t="s">
        <v>291</v>
      </c>
    </row>
    <row r="37" spans="2:14" ht="21.75" customHeight="1" x14ac:dyDescent="0.25">
      <c r="B37" s="94" t="s">
        <v>292</v>
      </c>
      <c r="C37" s="96">
        <f t="shared" ref="C37:C48" si="6">K21</f>
        <v>12000</v>
      </c>
      <c r="D37" s="97">
        <f><![CDATA[IF(OR(T0登记表!$P25=T0登记表!$T$38,T0登记表!$J25<5),0,T0登记表!I25)+IF(OR(T0登记表!$P26=T0登记表!$T$38,T0登记表!$J26<5),0,T0登记表!I26)+IF(OR(T0登记表!$P29=T0登记表!$T$38,T0登记表!$J29<4),0,T0登记表!I29)+IF(OR(T0登记表!$P30=T0登记表!$T$38,T0登记表!$J30<4),0,T0登记表!I30)+IF(OR(T0登记表!$P31=T0登记表!$T$38,T0登记表!$J31<4),0,T0登记表!I31)+IF(OR(T0登记表!$P32=T0登记表!$T$38,T0登记表!$J32<4),0,T0登记表!I32)+IF(OR(T0登记表!$P35=T0登记表!$T$38,T0登记表!$J35<3),0,T0登记表!I35)+IF(OR(T0登记表!$P36=T0登记表!$T$38,T0登记表!$J36<3),0,T0登记表!I36)+IF(OR(T0登记表!$P37=T0登记表!$T$38,T0登记表!$J37<3),0,T0登记表!I37)+IF(OR(T0登记表!$P38=T0登记表!$T$38,T0登记表!$J38<3),0,T0登记表!I38)+IF(OR(T0登记表!$P41=T0登记表!$T$38,T0登记表!$J41<2),0,T0登记表!I41)+IF(OR(T0登记表!$P42=T0登记表!$T$38,T0登记表!$J42<2),0,T0登记表!I42)+IF(OR(T0登记表!$P43=T0登记表!$T$38,T0登记表!$J43<2),0,T0登记表!I43)+IF(OR(T0登记表!$P44=T0登记表!$T$38,T0登记表!$J44<2),0,T0登记表!I44)+IF(T0登记表!$P47=T0登记表!$T$38,0,T0登记表!I47)+IF(T0登记表!$P48=T0登记表!$T$38,0,T0登记表!I48)+IF(T0登记表!$P49=T0登记表!$T$38,0,T0登记表!I49)+IF(T0登记表!$P50=T0登记表!$T$38,0,T0登记表!I50)]]></f>
        <v>6000</v>
      </c>
      <c r="E37" s="94" t="s">
        <v>432</v>
      </c>
      <c r="F37" s="96">
        <f t="shared" ref="F37:F42" si="7">N21</f>
        <v>0</v>
      </c>
      <c r="G37" s="97">
        <f>IF(T0登记表!$C25&gt;4,T0登记表!$B25,0)+IF(T0登记表!$C26&gt;4,T0登记表!$B26,0)+IF(T0登记表!$C29&gt;3,T0登记表!$B29,0)+IF(T0登记表!$C30&gt;3,T0登记表!$B30,0)+IF(T0登记表!$C31&gt;3,T0登记表!$B31,0)+IF(T0登记表!$C32&gt;3,T0登记表!$B32,0)+IF(T0登记表!$C35&gt;2,T0登记表!$B35,0)+IF(T0登记表!$C36&gt;2,T0登记表!$B36,0)+IF(T0登记表!$C37&gt;2,T0登记表!$B37,0)+IF(T0登记表!$C38&gt;2,T0登记表!$B38,0)+IF(T0登记表!$C41&gt;1,T0登记表!$B41,0)+IF(T0登记表!$C42&gt;1,T0登记表!$B42,0)+IF(T0登记表!$C43&gt;1,T0登记表!$B43,0)+IF(T0登记表!$C44&gt;1,T0登记表!$B44,0)+SUM(T0登记表!$B47:$B50)</f>
        <v>0</v>
      </c>
      <c r="I37" s="94" t="s">
        <v>442</v>
      </c>
      <c r="J37" s="96">
        <f t="shared" ref="J37:J48" si="8">D37</f>
        <v>6000</v>
      </c>
      <c r="K37" s="97">
        <f><![CDATA[IF(OR(T0登记表!$P29=T0登记表!$T$38,T0登记表!$J29<5),0,T0登记表!I29)+IF(OR(T0登记表!$P30=T0登记表!$T$38,T0登记表!$J30<5),0,T0登记表!I30)+IF(OR(T0登记表!$P31=T0登记表!$T$38,T0登记表!$J31<5),0,T0登记表!I31)+IF(OR(T0登记表!$P32=T0登记表!$T$38,T0登记表!$J32<5),0,T0登记表!I32)+IF(OR(T0登记表!$P35=T0登记表!$T$38,T0登记表!$J35<4),0,T0登记表!I35)+IF(OR(T0登记表!$P36=T0登记表!$T$38,T0登记表!$J36<4),0,T0登记表!I36)+IF(OR(T0登记表!$P37=T0登记表!$T$38,T0登记表!$J37<4),0,T0登记表!I37)+IF(OR(T0登记表!$P38=T0登记表!$T$38,T0登记表!$J38<4),0,T0登记表!I38)+IF(OR(T0登记表!$P41=T0登记表!$T$38,T0登记表!$J41<3),0,T0登记表!I41)+IF(OR(T0登记表!$P42=T0登记表!$T$38,T0登记表!$J42<3),0,T0登记表!I42)+IF(OR(T0登记表!$P43=T0登记表!$T$38,T0登记表!$J43<3),0,T0登记表!I43)+IF(OR(T0登记表!$P44=T0登记表!$T$38,T0登记表!$J44<3),0,T0登记表!I44)+IF(OR(T0登记表!$P47=T0登记表!$T$38,T0登记表!$J47<2),0,T0登记表!I47)+IF(OR(T0登记表!$P48=T0登记表!$T$38,T0登记表!$J48<2),0,T0登记表!I48)+IF(OR(T0登记表!$P49=T0登记表!$T$38,T0登记表!$J49<2),0,T0登记表!I49)+IF(OR(T0登记表!$P50=T0登记表!$T$38,T0登记表!$J50<2),0,T0登记表!I50)+IF(T0登记表!$P53=T0登记表!$T$38,0,T0登记表!I53)+IF(T0登记表!$P54=T0登记表!$T$38,0,T0登记表!I54)+IF(T0登记表!$P55=T0登记表!$T$38,0,T0登记表!I55)+IF(T0登记表!$P56=T0登记表!$T$38,0,T0登记表!I56)]]></f>
        <v>0</v>
      </c>
      <c r="L37" s="94" t="s">
        <v>432</v>
      </c>
      <c r="M37" s="96">
        <f t="shared" ref="M37:M42" si="9">G37</f>
        <v>0</v>
      </c>
      <c r="N37" s="97">
        <f>IF(T0登记表!$C29&gt;4,T0登记表!$B29,0)+IF(T0登记表!$C30&gt;4,T0登记表!$B30,0)+IF(T0登记表!$C31&gt;4,T0登记表!$B31,0)+IF(T0登记表!$C32&gt;4,T0登记表!$B32,0)+IF(T0登记表!$C35&gt;3,T0登记表!$B35,0)+IF(T0登记表!$C36&gt;3,T0登记表!$B36,0)+IF(T0登记表!$C37&gt;3,T0登记表!$B37,0)+IF(T0登记表!$C38&gt;3,T0登记表!$B38,0)+IF(T0登记表!$C41&gt;2,T0登记表!$B41,0)+IF(T0登记表!$C42&gt;2,T0登记表!$B42,0)+IF(T0登记表!$C43&gt;2,T0登记表!$B43,0)+IF(T0登记表!$C44&gt;2,T0登记表!$B44,0)+IF(T0登记表!$C47&gt;1,T0登记表!$B47,0)+IF(T0登记表!$C48&gt;1,T0登记表!$B48,0)+IF(T0登记表!$C49&gt;1,T0登记表!$B49,0)+IF(T0登记表!$C50&gt;1,T0登记表!$B50,0)+SUM(T0登记表!$B53:$B56)</f>
        <v>0</v>
      </c>
    </row>
    <row r="38" spans="2:14" ht="21.75" customHeight="1" x14ac:dyDescent="0.25">
      <c r="B38" s="109" t="s">
        <v>606</v>
      </c>
      <c r="C38" s="96">
        <f t="shared" si="6"/>
        <v>356</v>
      </c>
      <c r="D38" s="98">
        <f>T0登记表!H14</f>
        <v>130</v>
      </c>
      <c r="E38" s="94" t="s">
        <v>433</v>
      </c>
      <c r="F38" s="96">
        <f t="shared" si="7"/>
        <v>0</v>
      </c>
      <c r="G38" s="97">
        <f>SUM(T10损益表!$C$14:G$14)-SUM(T9现金流表!$C$27:G$27)</f>
        <v>0</v>
      </c>
      <c r="I38" s="109" t="s">
        <v>607</v>
      </c>
      <c r="J38" s="96">
        <f t="shared" si="8"/>
        <v>130</v>
      </c>
      <c r="K38" s="97">
        <f>T0登记表!I14</f>
        <v>356</v>
      </c>
      <c r="L38" s="94" t="s">
        <v>433</v>
      </c>
      <c r="M38" s="96">
        <f t="shared" si="9"/>
        <v>0</v>
      </c>
      <c r="N38" s="97">
        <f>SUM(T10损益表!$C$14:H$14)-SUM(T9现金流表!$C$27:H$27)</f>
        <v>0</v>
      </c>
    </row>
    <row r="39" spans="2:14" ht="21.75" customHeight="1" x14ac:dyDescent="0.25">
      <c r="B39" s="94" t="s">
        <v>294</v>
      </c>
      <c r="C39" s="96">
        <f t="shared" si="6"/>
        <v>0</v>
      </c>
      <c r="D39" s="97">
        <f>SUM(T10损益表!$C$5:G$5)-SUM(T9现金流表!$C$12:G$12)</f>
        <v>0</v>
      </c>
      <c r="E39" s="94" t="s">
        <v>434</v>
      </c>
      <c r="F39" s="96">
        <f t="shared" si="7"/>
        <v>0</v>
      </c>
      <c r="G39" s="97">
        <f>IF('T3-T4'!$U6='T3-T4'!$B$9,'T3-T4'!$Q6,0)+IF('T3-T4'!$U7='T3-T4'!$B$9,'T3-T4'!$Q7,0)+IF('T3-T4'!$U8='T3-T4'!$B$9,'T3-T4'!$Q8,0)+IF('T3-T4'!$U9='T3-T4'!$B$9,'T3-T4'!$Q9,0)+IF('T3-T4'!$U10='T3-T4'!$B$9,'T3-T4'!$Q10,0)+IF('T3-T4'!$U11='T3-T4'!$B$9,'T3-T4'!$Q11,0)+IF('T3-T4'!$U12='T3-T4'!$B$9,'T3-T4'!$Q12,0)+IF('T3-T4'!$U13='T3-T4'!$B$9,'T3-T4'!$Q13,0)+IF('T3-T4'!$U14='T3-T4'!$B$9,'T3-T4'!$Q14,0)+IF('T3-T4'!$U15='T3-T4'!$B$9,'T3-T4'!$Q15,0)+IF('T3-T4'!$U16='T3-T4'!$B$9,'T3-T4'!$Q16,0)+IF('T3-T4'!$U17='T3-T4'!$B$9,'T3-T4'!$Q17,0)</f>
        <v>0</v>
      </c>
      <c r="I39" s="94" t="s">
        <v>443</v>
      </c>
      <c r="J39" s="96">
        <f t="shared" si="8"/>
        <v>0</v>
      </c>
      <c r="K39" s="97">
        <f>SUM(T10损益表!$C$5:H$5)-SUM(T9现金流表!$C$12:H$12)</f>
        <v>0</v>
      </c>
      <c r="L39" s="94" t="s">
        <v>434</v>
      </c>
      <c r="M39" s="96">
        <f t="shared" si="9"/>
        <v>0</v>
      </c>
      <c r="N39" s="97">
        <f>IF('T3-T4'!$U6='T3-T4'!$B$10,'T3-T4'!$Q6,0)+IF('T3-T4'!$U7='T3-T4'!$B$10,'T3-T4'!$Q7,0)+IF('T3-T4'!$U8='T3-T4'!$B$10,'T3-T4'!$Q8,0)+IF('T3-T4'!$U9='T3-T4'!$B$10,'T3-T4'!$Q9,0)+IF('T3-T4'!$U10='T3-T4'!$B$10,'T3-T4'!$Q10,0)+IF('T3-T4'!$U11='T3-T4'!$B$10,'T3-T4'!$Q11,0)+IF('T3-T4'!$U12='T3-T4'!$B$10,'T3-T4'!$Q12,0)+IF('T3-T4'!$U13='T3-T4'!$B$10,'T3-T4'!$Q13,0)+IF('T3-T4'!$U14='T3-T4'!$B$10,'T3-T4'!$Q14,0)+IF('T3-T4'!$U15='T3-T4'!$B$10,'T3-T4'!$Q15,0)+IF('T3-T4'!$U16='T3-T4'!$B$10,'T3-T4'!$Q16,0)+IF('T3-T4'!$U17='T3-T4'!$B$10,'T3-T4'!$Q17,0)</f>
        <v>0</v>
      </c>
    </row>
    <row r="40" spans="2:14" ht="21.75" customHeight="1" x14ac:dyDescent="0.25">
      <c r="B40" s="102" t="s">
        <v>296</v>
      </c>
      <c r="C40" s="327">
        <f t="shared" si="6"/>
        <v>0</v>
      </c>
      <c r="D40" s="98">
        <f>'T3-T4'!K36</f>
        <v>0</v>
      </c>
      <c r="E40" s="102" t="s">
        <v>435</v>
      </c>
      <c r="F40" s="327">
        <f t="shared" si="7"/>
        <v>0</v>
      </c>
      <c r="G40" s="98">
        <f>SUM(T10损益表!$C$22:G$22)-SUM(T9现金流表!$C$36:G$36)</f>
        <v>0</v>
      </c>
      <c r="H40" s="127"/>
      <c r="I40" s="102" t="s">
        <v>444</v>
      </c>
      <c r="J40" s="327">
        <f t="shared" si="8"/>
        <v>0</v>
      </c>
      <c r="K40" s="98">
        <f>'T3-T4'!L36</f>
        <v>0</v>
      </c>
      <c r="L40" s="94" t="s">
        <v>435</v>
      </c>
      <c r="M40" s="96">
        <f t="shared" si="9"/>
        <v>0</v>
      </c>
      <c r="N40" s="98">
        <f>SUM(T10损益表!$C$22:H$22)-SUM(T9现金流表!$C$36:H$36)</f>
        <v>0</v>
      </c>
    </row>
    <row r="41" spans="2:14" ht="21.75" customHeight="1" thickBot="1" x14ac:dyDescent="0.3">
      <c r="B41" s="94" t="s">
        <v>298</v>
      </c>
      <c r="C41" s="96">
        <f t="shared" si="6"/>
        <v>0</v>
      </c>
      <c r="D41" s="97">
        <f>SUM(T10损益表!$C$6:G$6)-SUM(T9现金流表!$C$14:G$14)</f>
        <v>0</v>
      </c>
      <c r="E41" s="99" t="s">
        <v>436</v>
      </c>
      <c r="F41" s="100">
        <f t="shared" si="7"/>
        <v>1550</v>
      </c>
      <c r="G41" s="101">
        <f>T10损益表!G26</f>
        <v>1660</v>
      </c>
      <c r="I41" s="94" t="s">
        <v>445</v>
      </c>
      <c r="J41" s="96">
        <f t="shared" si="8"/>
        <v>0</v>
      </c>
      <c r="K41" s="97">
        <f>SUM(T10损益表!$C$6:H$6)-SUM(T9现金流表!$C$14:H$14)</f>
        <v>0.25</v>
      </c>
      <c r="L41" s="99" t="s">
        <v>436</v>
      </c>
      <c r="M41" s="100">
        <f t="shared" si="9"/>
        <v>1660</v>
      </c>
      <c r="N41" s="101">
        <f>T10损益表!H26</f>
        <v>1520</v>
      </c>
    </row>
    <row r="42" spans="2:14" ht="21.75" customHeight="1" thickTop="1" x14ac:dyDescent="0.25">
      <c r="B42" s="94" t="s">
        <v>300</v>
      </c>
      <c r="C42" s="96">
        <f t="shared" si="6"/>
        <v>0</v>
      </c>
      <c r="D42" s="97">
        <f>IF('T3-T4'!$U20='T3-T4'!$B$9,'T3-T4'!$Q20,0)+IF('T3-T4'!$U21='T3-T4'!$B$9,'T3-T4'!$Q21,0)+IF('T3-T4'!$U22='T3-T4'!$B$9,'T3-T4'!$Q22,0)+IF('T3-T4'!$U23='T3-T4'!$B$9,'T3-T4'!$Q23,0)+IF('T3-T4'!$U24='T3-T4'!$B$9,'T3-T4'!$Q24,0)+IF('T3-T4'!$U25='T3-T4'!$B$9,'T3-T4'!$Q25,0)+IF('T3-T4'!$U26='T3-T4'!$B$9,'T3-T4'!$Q26,0)+IF('T3-T4'!$U27='T3-T4'!$B$9,'T3-T4'!$Q27,0)+IF('T3-T4'!$U28='T3-T4'!$B$9,'T3-T4'!$Q28,0)+IF('T3-T4'!$U29='T3-T4'!$B$9,'T3-T4'!$Q29,0)+IF('T3-T4'!$U30='T3-T4'!$B$9,'T3-T4'!$Q30,0)+IF('T3-T4'!$U31='T3-T4'!$B$9,'T3-T4'!$Q31,0)</f>
        <v>0</v>
      </c>
      <c r="E42" s="103" t="s">
        <v>437</v>
      </c>
      <c r="F42" s="105">
        <f t="shared" si="7"/>
        <v>1550</v>
      </c>
      <c r="G42" s="104">
        <f>SUM(G37:G41)</f>
        <v>1660</v>
      </c>
      <c r="I42" s="94" t="s">
        <v>446</v>
      </c>
      <c r="J42" s="96">
        <f t="shared" si="8"/>
        <v>0</v>
      </c>
      <c r="K42" s="97">
        <f>IF('T3-T4'!$U20='T3-T4'!$B$10,'T3-T4'!$Q20,0)+IF('T3-T4'!$U21='T3-T4'!$B$10,'T3-T4'!$Q21,0)+IF('T3-T4'!$U22='T3-T4'!$B$10,'T3-T4'!$Q22,0)+IF('T3-T4'!$U23='T3-T4'!$B$10,'T3-T4'!$Q23,0)+IF('T3-T4'!$U24='T3-T4'!$B$10,'T3-T4'!$Q24,0)+IF('T3-T4'!$U25='T3-T4'!$B$10,'T3-T4'!$Q25,0)+IF('T3-T4'!$U26='T3-T4'!$B$10,'T3-T4'!$Q26,0)+IF('T3-T4'!$U27='T3-T4'!$B$10,'T3-T4'!$Q27,0)+IF('T3-T4'!$U28='T3-T4'!$B$10,'T3-T4'!$Q28,0)+IF('T3-T4'!$U29='T3-T4'!$B$10,'T3-T4'!$Q29,0)+IF('T3-T4'!$U30='T3-T4'!$B$10,'T3-T4'!$Q30,0)+IF('T3-T4'!$U31='T3-T4'!$B$10,'T3-T4'!$Q31,0)</f>
        <v>0</v>
      </c>
      <c r="L42" s="103" t="s">
        <v>437</v>
      </c>
      <c r="M42" s="105">
        <f t="shared" si="9"/>
        <v>1660</v>
      </c>
      <c r="N42" s="104">
        <f>SUM(N37:N41)</f>
        <v>1520</v>
      </c>
    </row>
    <row r="43" spans="2:14" ht="21.75" customHeight="1" x14ac:dyDescent="0.25">
      <c r="B43" s="102" t="s">
        <v>302</v>
      </c>
      <c r="C43" s="96">
        <f t="shared" si="6"/>
        <v>0</v>
      </c>
      <c r="D43" s="98">
        <f>SUM(T10损益表!$C$11:G$11)-SUM(T9现金流表!$C$18:G$18)</f>
        <v>0</v>
      </c>
      <c r="E43" s="107"/>
      <c r="F43" s="108"/>
      <c r="G43" s="108"/>
      <c r="I43" s="102" t="s">
        <v>447</v>
      </c>
      <c r="J43" s="96">
        <f t="shared" si="8"/>
        <v>0</v>
      </c>
      <c r="K43" s="98">
        <f>SUM(T10损益表!$C$11:H$11)-SUM(T9现金流表!$C$18:H$18)</f>
        <v>0</v>
      </c>
      <c r="L43" s="107"/>
      <c r="M43" s="108"/>
      <c r="N43" s="108"/>
    </row>
    <row r="44" spans="2:14" ht="21.75" customHeight="1" x14ac:dyDescent="0.25">
      <c r="B44" s="106" t="s">
        <v>303</v>
      </c>
      <c r="C44" s="96">
        <f t="shared" si="6"/>
        <v>0</v>
      </c>
      <c r="D44" s="97">
        <f>SUM(T10损益表!$C$8:G$8)-SUM(T9现金流表!$C$16:G$16)</f>
        <v>0</v>
      </c>
      <c r="E44" s="94" t="s">
        <v>438</v>
      </c>
      <c r="F44" s="96">
        <f>N28</f>
        <v>33906</v>
      </c>
      <c r="G44" s="97">
        <f>T0登记表!D4+T0登记表!E4+T0登记表!F4+T0登记表!G4+T0登记表!H4</f>
        <v>41906</v>
      </c>
      <c r="I44" s="106" t="s">
        <v>448</v>
      </c>
      <c r="J44" s="96">
        <f t="shared" si="8"/>
        <v>0</v>
      </c>
      <c r="K44" s="97">
        <f>SUM(T10损益表!$C$8:H$8)-SUM(T9现金流表!$C$16:H$16)</f>
        <v>0</v>
      </c>
      <c r="L44" s="94" t="s">
        <v>438</v>
      </c>
      <c r="M44" s="96">
        <f>G44</f>
        <v>41906</v>
      </c>
      <c r="N44" s="97">
        <f>T0登记表!D4+T0登记表!E4+T0登记表!F4+T0登记表!G4+T0登记表!H4+T0登记表!I4</f>
        <v>50859</v>
      </c>
    </row>
    <row r="45" spans="2:14" ht="21.75" customHeight="1" thickBot="1" x14ac:dyDescent="0.3">
      <c r="B45" s="94" t="s">
        <v>305</v>
      </c>
      <c r="C45" s="108">
        <f t="shared" si="6"/>
        <v>0</v>
      </c>
      <c r="D45" s="97">
        <f>IF(G37&gt;60000,7000,IF(G37&gt;50000,6000,IF(G37&gt;40000,5000,IF(G37&gt;30000,4000,IF(G37&gt;20000,3000,IF(G37&gt;10000,2000,IF(G37&gt;=1000,1000,0)))))))</f>
        <v>0</v>
      </c>
      <c r="E45" s="94" t="s">
        <v>439</v>
      </c>
      <c r="F45" s="96">
        <f>N29</f>
        <v>13587.52</v>
      </c>
      <c r="G45" s="97">
        <f>F45+T10损益表!G27</f>
        <v>18533.52</v>
      </c>
      <c r="I45" s="94" t="s">
        <v>608</v>
      </c>
      <c r="J45" s="108">
        <f t="shared" si="8"/>
        <v>0</v>
      </c>
      <c r="K45" s="97">
        <f>IF(N37&gt;60000,7000,IF(N37&gt;50000,6000,IF(N37&gt;40000,5000,IF(N37&gt;30000,4000,IF(N37&gt;20000,3000,IF(N37&gt;10000,2000,IF(N37&gt;=1000,1000,0)))))))</f>
        <v>0</v>
      </c>
      <c r="L45" s="94" t="s">
        <v>439</v>
      </c>
      <c r="M45" s="96">
        <f>G45</f>
        <v>18533.52</v>
      </c>
      <c r="N45" s="97">
        <f>M45+T10损益表!H27</f>
        <v>23095.77</v>
      </c>
    </row>
    <row r="46" spans="2:14" ht="21.75" customHeight="1" thickTop="1" x14ac:dyDescent="0.25">
      <c r="B46" s="94" t="s">
        <v>307</v>
      </c>
      <c r="C46" s="96">
        <f t="shared" si="6"/>
        <v>2160</v>
      </c>
      <c r="D46" s="97">
        <f>SUM(T9现金流表!$C$30:G$30)-SUM(T10损益表!$C$23:G$23)</f>
        <v>2400</v>
      </c>
      <c r="E46" s="103" t="s">
        <v>440</v>
      </c>
      <c r="F46" s="105">
        <f>N30</f>
        <v>47493.520000000004</v>
      </c>
      <c r="G46" s="105">
        <f>SUM(G44:G45)</f>
        <v>60439.520000000004</v>
      </c>
      <c r="I46" s="94" t="s">
        <v>450</v>
      </c>
      <c r="J46" s="96">
        <f t="shared" si="8"/>
        <v>2400</v>
      </c>
      <c r="K46" s="97">
        <f>SUM(T9现金流表!$C$30:H$30)-SUM(T10损益表!$C$23:H$23)</f>
        <v>2580</v>
      </c>
      <c r="L46" s="103" t="s">
        <v>440</v>
      </c>
      <c r="M46" s="105">
        <f>G46</f>
        <v>60439.520000000004</v>
      </c>
      <c r="N46" s="105">
        <f>SUM(N44:N45)</f>
        <v>73954.77</v>
      </c>
    </row>
    <row r="47" spans="2:14" ht="21.75" customHeight="1" thickBot="1" x14ac:dyDescent="0.3">
      <c r="B47" s="94" t="s">
        <v>309</v>
      </c>
      <c r="C47" s="96">
        <f t="shared" si="6"/>
        <v>41369.519999999997</v>
      </c>
      <c r="D47" s="97">
        <f>T9现金流表!G38</f>
        <v>59959.519999999997</v>
      </c>
      <c r="E47" s="107"/>
      <c r="F47" s="108"/>
      <c r="G47" s="96"/>
      <c r="I47" s="94" t="s">
        <v>451</v>
      </c>
      <c r="J47" s="96">
        <f t="shared" si="8"/>
        <v>59959.519999999997</v>
      </c>
      <c r="K47" s="97">
        <f>T9现金流表!H38</f>
        <v>79380.51999999999</v>
      </c>
      <c r="L47" s="107"/>
      <c r="M47" s="108"/>
      <c r="N47" s="96"/>
    </row>
    <row r="48" spans="2:14" ht="21.75" customHeight="1" thickTop="1" thickBot="1" x14ac:dyDescent="0.3">
      <c r="B48" s="103" t="s">
        <v>319</v>
      </c>
      <c r="C48" s="105">
        <f t="shared" si="6"/>
        <v>55173.52</v>
      </c>
      <c r="D48" s="111">
        <f>D37-D38+SUM(D39:D47)</f>
        <v>68229.51999999999</v>
      </c>
      <c r="E48" s="103" t="s">
        <v>441</v>
      </c>
      <c r="F48" s="105">
        <f>N32</f>
        <v>49043.520000000004</v>
      </c>
      <c r="G48" s="111">
        <f>G42+G46</f>
        <v>62099.520000000004</v>
      </c>
      <c r="I48" s="103" t="s">
        <v>452</v>
      </c>
      <c r="J48" s="105">
        <f t="shared" si="8"/>
        <v>68229.51999999999</v>
      </c>
      <c r="K48" s="111">
        <f>K37-K38+SUM(K39:K47)</f>
        <v>81604.76999999999</v>
      </c>
      <c r="L48" s="103" t="s">
        <v>441</v>
      </c>
      <c r="M48" s="105">
        <f>G48</f>
        <v>62099.520000000004</v>
      </c>
      <c r="N48" s="111">
        <f>N42+N46</f>
        <v>75474.77</v>
      </c>
    </row>
    <row r="49" spans="2:14" ht="21.75" customHeight="1" thickBot="1" x14ac:dyDescent="0.3">
      <c r="B49" s="537" t="str">
        <f>IF(AND(C48=F48,D48=G48),"报表已平","报表不平")</f>
        <v>报表不平</v>
      </c>
      <c r="C49" s="538"/>
      <c r="D49" s="538"/>
      <c r="E49" s="538"/>
      <c r="F49" s="538"/>
      <c r="G49" s="539"/>
      <c r="I49" s="537" t="str">
        <f>IF(AND(J48=M48,K48=N48),"报表已平","报表不平")</f>
        <v>报表不平</v>
      </c>
      <c r="J49" s="538"/>
      <c r="K49" s="538"/>
      <c r="L49" s="538"/>
      <c r="M49" s="538"/>
      <c r="N49" s="539"/>
    </row>
    <row r="50" spans="2:14" ht="21.75" customHeight="1" x14ac:dyDescent="0.25"/>
    <row r="51" spans="2:14" ht="21.75" customHeight="1" x14ac:dyDescent="0.25">
      <c r="B51" s="543" t="s">
        <v>427</v>
      </c>
      <c r="C51" s="543"/>
      <c r="D51" s="543"/>
      <c r="E51" s="543" t="s">
        <v>288</v>
      </c>
      <c r="F51" s="543"/>
      <c r="G51" s="543"/>
      <c r="I51" s="544" t="s">
        <v>428</v>
      </c>
      <c r="J51" s="545"/>
      <c r="K51" s="546"/>
      <c r="L51" s="543" t="s">
        <v>288</v>
      </c>
      <c r="M51" s="543"/>
      <c r="N51" s="543"/>
    </row>
    <row r="52" spans="2:14" ht="17.399999999999999" x14ac:dyDescent="0.25">
      <c r="B52" s="94" t="s">
        <v>289</v>
      </c>
      <c r="C52" s="95" t="s">
        <v>290</v>
      </c>
      <c r="D52" s="95" t="s">
        <v>291</v>
      </c>
      <c r="E52" s="94" t="s">
        <v>289</v>
      </c>
      <c r="F52" s="95" t="s">
        <v>290</v>
      </c>
      <c r="G52" s="95" t="s">
        <v>291</v>
      </c>
      <c r="I52" s="94" t="s">
        <v>289</v>
      </c>
      <c r="J52" s="95" t="s">
        <v>290</v>
      </c>
      <c r="K52" s="95" t="s">
        <v>291</v>
      </c>
      <c r="L52" s="94" t="s">
        <v>289</v>
      </c>
      <c r="M52" s="95" t="s">
        <v>290</v>
      </c>
      <c r="N52" s="95" t="s">
        <v>291</v>
      </c>
    </row>
    <row r="53" spans="2:14" ht="17.399999999999999" x14ac:dyDescent="0.25">
      <c r="B53" s="94" t="s">
        <v>292</v>
      </c>
      <c r="C53" s="96">
        <f t="shared" ref="C53:C64" si="10">K37</f>
        <v>0</v>
      </c>
      <c r="D53" s="97">
        <f><![CDATA[IF(OR(T0登记表!$P35=T0登记表!$T$38,T0登记表!$J35<5),0,T0登记表!I35)+IF(OR(T0登记表!$P36=T0登记表!$T$38,T0登记表!$J36<5),0,T0登记表!I36)+IF(OR(T0登记表!$P37=T0登记表!$T$38,T0登记表!$J37<5),0,T0登记表!I37)+IF(OR(T0登记表!$P38=T0登记表!$T$38,T0登记表!$J38<5),0,T0登记表!I38)+IF(OR(T0登记表!$P41=T0登记表!$T$38,T0登记表!$J41<4),0,T0登记表!I41)+IF(OR(T0登记表!$P42=T0登记表!$T$38,T0登记表!$J42<4),0,T0登记表!I42)+IF(OR(T0登记表!$P43=T0登记表!$T$38,T0登记表!$J43<4),0,T0登记表!I43)+IF(OR(T0登记表!$P44=T0登记表!$T$38,T0登记表!$J44<4),0,T0登记表!I44)+IF(OR(T0登记表!$P47=T0登记表!$T$38,T0登记表!$J47<3),0,T0登记表!I47)+IF(OR(T0登记表!$P48=T0登记表!$T$38,T0登记表!$J48<3),0,T0登记表!I48)+IF(OR(T0登记表!$P49=T0登记表!$T$38,T0登记表!$J49<3),0,T0登记表!I49)+IF(OR(T0登记表!$P50=T0登记表!$T$38,T0登记表!$J50<3),0,T0登记表!I50)+IF(OR(T0登记表!$P53=T0登记表!$T$38,T0登记表!$J53<2),0,T0登记表!I53)+IF(OR(T0登记表!$P54=T0登记表!$T$38,T0登记表!$J54<2),0,T0登记表!I54)+IF(OR(T0登记表!$P55=T0登记表!$T$38,T0登记表!$J55<2),0,T0登记表!I55)+IF(OR(T0登记表!$P56=T0登记表!$T$38,T0登记表!$J56<2),0,T0登记表!I56)+IF(T0登记表!$P59=T0登记表!$T$38,0,T0登记表!I59)+IF(T0登记表!$P60=T0登记表!$T$38,0,T0登记表!I60)+IF(T0登记表!$P61=T0登记表!$T$38,0,T0登记表!I61)+IF(T0登记表!$P62=T0登记表!$T$38,0,T0登记表!I62)]]></f>
        <v>0</v>
      </c>
      <c r="E53" s="94" t="s">
        <v>432</v>
      </c>
      <c r="F53" s="96">
        <f t="shared" ref="F53:F58" si="11">N37</f>
        <v>0</v>
      </c>
      <c r="G53" s="97">
        <f>IF(T0登记表!$C35&gt;4,T0登记表!$B35,0)+IF(T0登记表!$C36&gt;4,T0登记表!$B36,0)+IF(T0登记表!$C37&gt;4,T0登记表!$B37,0)+IF(T0登记表!$C38&gt;4,T0登记表!$B38,0)+IF(T0登记表!$C41&gt;3,T0登记表!$B41,0)+IF(T0登记表!$C42&gt;3,T0登记表!$B42,0)+IF(T0登记表!$C43&gt;3,T0登记表!$B43,0)+IF(T0登记表!$C44&gt;3,T0登记表!$B44,0)+IF(T0登记表!$C47&gt;2,T0登记表!$B47,0)+IF(T0登记表!$C48&gt;2,T0登记表!$B48,0)+IF(T0登记表!$C49&gt;2,T0登记表!$B49,0)+IF(T0登记表!$C50&gt;2,T0登记表!$B50,0)+IF(T0登记表!$C53&gt;1,T0登记表!$B53,0)+IF(T0登记表!$C54&gt;1,T0登记表!$B54,0)+IF(T0登记表!$C55&gt;1,T0登记表!$B55,0)+IF(T0登记表!$C56&gt;1,T0登记表!$B56,0)+SUM(T0登记表!$B59:$B62)</f>
        <v>0</v>
      </c>
      <c r="I53" s="94" t="s">
        <v>442</v>
      </c>
      <c r="J53" s="96">
        <f t="shared" ref="J53:J64" si="12">D53</f>
        <v>0</v>
      </c>
      <c r="K53" s="97">
        <f><![CDATA[IF(OR(T0登记表!$P41=T0登记表!$T$38,T0登记表!$J41<5),0,T0登记表!I41)+IF(OR(T0登记表!$P42=T0登记表!$T$38,T0登记表!$J42<5),0,T0登记表!I42)+IF(OR(T0登记表!$P43=T0登记表!$T$38,T0登记表!$J43<5),0,T0登记表!I43)+IF(OR(T0登记表!$P44=T0登记表!$T$38,T0登记表!$J44<5),0,T0登记表!I44)+IF(OR(T0登记表!$P47=T0登记表!$T$38,T0登记表!$J47<4),0,T0登记表!I47)+IF(OR(T0登记表!$P48=T0登记表!$T$38,T0登记表!$J48<4),0,T0登记表!I48)+IF(OR(T0登记表!$P49=T0登记表!$T$38,T0登记表!$J49<4),0,T0登记表!I49)+IF(OR(T0登记表!$P50=T0登记表!$T$38,T0登记表!$J50<4),0,T0登记表!I50)+IF(OR(T0登记表!$P53=T0登记表!$T$38,T0登记表!$J53<3),0,T0登记表!I53)+IF(OR(T0登记表!$P54=T0登记表!$T$38,T0登记表!$J54<3),0,T0登记表!I54)+IF(OR(T0登记表!$P55=T0登记表!$T$38,T0登记表!$J55<3),0,T0登记表!I55)+IF(OR(T0登记表!$P56=T0登记表!$T$38,T0登记表!$J56<3),0,T0登记表!I56)+IF(OR(T0登记表!$P59=T0登记表!$T$38,T0登记表!$J59<2),0,T0登记表!I59)+IF(OR(T0登记表!$P60=T0登记表!$T$38,T0登记表!$J60<2),0,T0登记表!I60)+IF(OR(T0登记表!$P61=T0登记表!$T$38,T0登记表!$J61<2),0,T0登记表!I61)+IF(OR(T0登记表!$P62=T0登记表!$T$38,T0登记表!$J62<2),0,T0登记表!I62)+IF(T0登记表!$P65=T0登记表!$T$38,0,T0登记表!I65)+IF(T0登记表!$P66=T0登记表!$T$38,0,T0登记表!I66)+IF(T0登记表!$P67=T0登记表!$T$38,0,T0登记表!I67)+IF(T0登记表!$P68=T0登记表!$T$38,0,T0登记表!I68)]]></f>
        <v>0</v>
      </c>
      <c r="L53" s="94" t="s">
        <v>432</v>
      </c>
      <c r="M53" s="96">
        <f>G53</f>
        <v>0</v>
      </c>
      <c r="N53" s="97">
        <f>IF(T0登记表!$C41&gt;4,T0登记表!$B41,0)+IF(T0登记表!$C42&gt;4,T0登记表!$B42,0)+IF(T0登记表!$C43&gt;4,T0登记表!$B43,0)+IF(T0登记表!$C44&gt;4,T0登记表!$B44,0)+IF(T0登记表!$C47&gt;3,T0登记表!$B47,0)+IF(T0登记表!$C48&gt;3,T0登记表!$B48,0)+IF(T0登记表!$C49&gt;3,T0登记表!$B49,0)+IF(T0登记表!$C50&gt;3,T0登记表!$B50,0)+IF(T0登记表!$C53&gt;2,T0登记表!$B53,0)+IF(T0登记表!$C54&gt;2,T0登记表!$B54,0)+IF(T0登记表!$C55&gt;2,T0登记表!$B55,0)+IF(T0登记表!$C56&gt;2,T0登记表!$B56,0)+IF(T0登记表!$C59&gt;1,T0登记表!$B59,0)+IF(T0登记表!$C60&gt;1,T0登记表!$B60,0)+IF(T0登记表!$C61&gt;1,T0登记表!$B61,0)+IF(T0登记表!$C62&gt;1,T0登记表!$B62,0)+SUM(T0登记表!$B65:$B68)</f>
        <v>0</v>
      </c>
    </row>
    <row r="54" spans="2:14" ht="22.5" customHeight="1" x14ac:dyDescent="0.25">
      <c r="B54" s="109" t="s">
        <v>606</v>
      </c>
      <c r="C54" s="96">
        <f t="shared" si="10"/>
        <v>356</v>
      </c>
      <c r="D54" s="98">
        <f>T0登记表!J14</f>
        <v>130</v>
      </c>
      <c r="E54" s="94" t="s">
        <v>433</v>
      </c>
      <c r="F54" s="96">
        <f t="shared" si="11"/>
        <v>0</v>
      </c>
      <c r="G54" s="97">
        <f>SUM(T10损益表!$C$14:I$14)-SUM(T9现金流表!$C$27:I$27)</f>
        <v>0</v>
      </c>
      <c r="I54" s="109" t="s">
        <v>607</v>
      </c>
      <c r="J54" s="96">
        <f t="shared" si="12"/>
        <v>130</v>
      </c>
      <c r="K54" s="97">
        <f>T0登记表!K14</f>
        <v>356</v>
      </c>
      <c r="L54" s="94" t="s">
        <v>433</v>
      </c>
      <c r="M54" s="96">
        <f t="shared" ref="M54:M61" si="13">G54</f>
        <v>0</v>
      </c>
      <c r="N54" s="97">
        <f>SUM(T10损益表!$C$14:J$14)-SUM(T9现金流表!$C$27:J$27)</f>
        <v>0</v>
      </c>
    </row>
    <row r="55" spans="2:14" ht="22.5" customHeight="1" x14ac:dyDescent="0.25">
      <c r="B55" s="94" t="s">
        <v>294</v>
      </c>
      <c r="C55" s="96">
        <f t="shared" si="10"/>
        <v>0</v>
      </c>
      <c r="D55" s="97">
        <f>SUM(T10损益表!$C$5:I$5)-SUM(T9现金流表!$C$12:I$12)</f>
        <v>0</v>
      </c>
      <c r="E55" s="94" t="s">
        <v>434</v>
      </c>
      <c r="F55" s="96">
        <f t="shared" si="11"/>
        <v>0</v>
      </c>
      <c r="G55" s="97">
        <f>IF('T3-T4'!$U6='T3-T4'!$B$11,'T3-T4'!$Q6,0)+IF('T3-T4'!$U7='T3-T4'!$B$11,'T3-T4'!$Q7,0)+IF('T3-T4'!$U8='T3-T4'!$B$11,'T3-T4'!$Q8,0)+IF('T3-T4'!$U9='T3-T4'!$B$11,'T3-T4'!$Q9,0)+IF('T3-T4'!$U10='T3-T4'!$B$11,'T3-T4'!$Q10,0)+IF('T3-T4'!$U11='T3-T4'!$B$11,'T3-T4'!$Q11,0)+IF('T3-T4'!$U12='T3-T4'!$B$11,'T3-T4'!$Q12,0)+IF('T3-T4'!$U13='T3-T4'!$B$11,'T3-T4'!$Q13,0)+IF('T3-T4'!$U14='T3-T4'!$B$11,'T3-T4'!$Q14,0)+IF('T3-T4'!$U15='T3-T4'!$B$11,'T3-T4'!$Q15,0)+IF('T3-T4'!$U16='T3-T4'!$B$11,'T3-T4'!$Q16,0)+IF('T3-T4'!$U17='T3-T4'!$B$11,'T3-T4'!$Q17,0)</f>
        <v>0</v>
      </c>
      <c r="I55" s="94" t="s">
        <v>443</v>
      </c>
      <c r="J55" s="96">
        <f t="shared" si="12"/>
        <v>0</v>
      </c>
      <c r="K55" s="97">
        <f>SUM(T10损益表!$C$5:J$5)-SUM(T9现金流表!$C$12:J$12)</f>
        <v>0</v>
      </c>
      <c r="L55" s="94" t="s">
        <v>434</v>
      </c>
      <c r="M55" s="96">
        <f t="shared" si="13"/>
        <v>0</v>
      </c>
      <c r="N55" s="97">
        <f>IF('T3-T4'!$U6='T3-T4'!$B$12,'T3-T4'!$Q6,0)+IF('T3-T4'!$U7='T3-T4'!$B$12,'T3-T4'!$Q7,0)+IF('T3-T4'!$U8='T3-T4'!$B$12,'T3-T4'!$Q8,0)+IF('T3-T4'!$U9='T3-T4'!$B$12,'T3-T4'!$Q9,0)+IF('T3-T4'!$U10='T3-T4'!$B$12,'T3-T4'!$Q10,0)+IF('T3-T4'!$U11='T3-T4'!$B$12,'T3-T4'!$Q11,0)+IF('T3-T4'!$U12='T3-T4'!$B$12,'T3-T4'!$Q12,0)+IF('T3-T4'!$U13='T3-T4'!$B$12,'T3-T4'!$Q13,0)+IF('T3-T4'!$U14='T3-T4'!$B$12,'T3-T4'!$Q14,0)+IF('T3-T4'!$U15='T3-T4'!$B$12,'T3-T4'!$Q15,0)+IF('T3-T4'!$U16='T3-T4'!$B$12,'T3-T4'!$Q16,0)+IF('T3-T4'!$U17='T3-T4'!$B$12,'T3-T4'!$Q17,0)</f>
        <v>0</v>
      </c>
    </row>
    <row r="56" spans="2:14" ht="22.5" customHeight="1" x14ac:dyDescent="0.25">
      <c r="B56" s="102" t="s">
        <v>296</v>
      </c>
      <c r="C56" s="327">
        <f t="shared" si="10"/>
        <v>0</v>
      </c>
      <c r="D56" s="98">
        <f>'T3-T4'!M36</f>
        <v>0</v>
      </c>
      <c r="E56" s="102" t="s">
        <v>435</v>
      </c>
      <c r="F56" s="327">
        <f t="shared" si="11"/>
        <v>0</v>
      </c>
      <c r="G56" s="98">
        <f>SUM(T10损益表!$C$22:I$22)-SUM(T9现金流表!$C$36:I$36)</f>
        <v>0</v>
      </c>
      <c r="H56" s="127"/>
      <c r="I56" s="102" t="s">
        <v>444</v>
      </c>
      <c r="J56" s="327">
        <f t="shared" si="12"/>
        <v>0</v>
      </c>
      <c r="K56" s="98">
        <f>'T3-T4'!N36</f>
        <v>0</v>
      </c>
      <c r="L56" s="94" t="s">
        <v>435</v>
      </c>
      <c r="M56" s="96">
        <f t="shared" si="13"/>
        <v>0</v>
      </c>
      <c r="N56" s="98">
        <f>SUM(T10损益表!$C$22:J$22)-SUM(T9现金流表!$C$36:J$36)</f>
        <v>0</v>
      </c>
    </row>
    <row r="57" spans="2:14" ht="22.5" customHeight="1" thickBot="1" x14ac:dyDescent="0.3">
      <c r="B57" s="94" t="s">
        <v>298</v>
      </c>
      <c r="C57" s="96">
        <f t="shared" si="10"/>
        <v>0.25</v>
      </c>
      <c r="D57" s="97">
        <f>SUM(T10损益表!$C$6:I$6)-SUM(T9现金流表!$C$14:I$14)</f>
        <v>0.25</v>
      </c>
      <c r="E57" s="99" t="s">
        <v>436</v>
      </c>
      <c r="F57" s="100">
        <f t="shared" si="11"/>
        <v>1520</v>
      </c>
      <c r="G57" s="101">
        <f>T10损益表!I26</f>
        <v>1620</v>
      </c>
      <c r="I57" s="94" t="s">
        <v>445</v>
      </c>
      <c r="J57" s="96">
        <f t="shared" si="12"/>
        <v>0.25</v>
      </c>
      <c r="K57" s="97">
        <f>SUM(T10损益表!$C$6:J$6)-SUM(T9现金流表!$C$14:J$14)</f>
        <v>0.25</v>
      </c>
      <c r="L57" s="99" t="s">
        <v>436</v>
      </c>
      <c r="M57" s="100">
        <f t="shared" si="13"/>
        <v>1620</v>
      </c>
      <c r="N57" s="101">
        <f>T10损益表!J26</f>
        <v>1490</v>
      </c>
    </row>
    <row r="58" spans="2:14" ht="22.5" customHeight="1" thickTop="1" x14ac:dyDescent="0.25">
      <c r="B58" s="94" t="s">
        <v>300</v>
      </c>
      <c r="C58" s="96">
        <f t="shared" si="10"/>
        <v>0</v>
      </c>
      <c r="D58" s="97">
        <f>IF('T3-T4'!$U20='T3-T4'!$B$11,'T3-T4'!$Q20,0)+IF('T3-T4'!$U21='T3-T4'!$B$11,'T3-T4'!$Q21,0)+IF('T3-T4'!$U22='T3-T4'!$B$11,'T3-T4'!$Q22,0)+IF('T3-T4'!$U23='T3-T4'!$B$11,'T3-T4'!$Q23,0)+IF('T3-T4'!$U24='T3-T4'!$B$11,'T3-T4'!$Q24,0)+IF('T3-T4'!$U25='T3-T4'!$B$11,'T3-T4'!$Q25,0)+IF('T3-T4'!$U26='T3-T4'!$B$11,'T3-T4'!$Q26,0)+IF('T3-T4'!$U27='T3-T4'!$B$11,'T3-T4'!$Q27,0)+IF('T3-T4'!$U28='T3-T4'!$B$11,'T3-T4'!$Q28,0)+IF('T3-T4'!$U29='T3-T4'!$B$11,'T3-T4'!$Q29,0)+IF('T3-T4'!$U30='T3-T4'!$B$11,'T3-T4'!$Q30,0)+IF('T3-T4'!$U31='T3-T4'!$B$11,'T3-T4'!$Q31,0)</f>
        <v>0</v>
      </c>
      <c r="E58" s="103" t="s">
        <v>437</v>
      </c>
      <c r="F58" s="105">
        <f t="shared" si="11"/>
        <v>1520</v>
      </c>
      <c r="G58" s="104">
        <f>SUM(G53:G57)</f>
        <v>1620</v>
      </c>
      <c r="I58" s="94" t="s">
        <v>446</v>
      </c>
      <c r="J58" s="96">
        <f t="shared" si="12"/>
        <v>0</v>
      </c>
      <c r="K58" s="97">
        <f>IF('T3-T4'!$U20='T3-T4'!$B$12,'T3-T4'!$Q20,0)+IF('T3-T4'!$U21='T3-T4'!$B$12,'T3-T4'!$Q21,0)+IF('T3-T4'!$U22='T3-T4'!$B$12,'T3-T4'!$Q22,0)+IF('T3-T4'!$U23='T3-T4'!$B$12,'T3-T4'!$Q23,0)+IF('T3-T4'!$U24='T3-T4'!$B$12,'T3-T4'!$Q24,0)+IF('T3-T4'!$U25='T3-T4'!$B$12,'T3-T4'!$Q25,0)+IF('T3-T4'!$U26='T3-T4'!$B$12,'T3-T4'!$Q26,0)+IF('T3-T4'!$U27='T3-T4'!$B$12,'T3-T4'!$Q27,0)+IF('T3-T4'!$U28='T3-T4'!$B$12,'T3-T4'!$Q28,0)+IF('T3-T4'!$U29='T3-T4'!$B$12,'T3-T4'!$Q29,0)+IF('T3-T4'!$U30='T3-T4'!$B$12,'T3-T4'!$Q30,0)+IF('T3-T4'!$U31='T3-T4'!$B$12,'T3-T4'!$Q31,0)</f>
        <v>0</v>
      </c>
      <c r="L58" s="103" t="s">
        <v>437</v>
      </c>
      <c r="M58" s="105">
        <f t="shared" si="13"/>
        <v>1620</v>
      </c>
      <c r="N58" s="104">
        <f>SUM(N53:N57)</f>
        <v>1490</v>
      </c>
    </row>
    <row r="59" spans="2:14" ht="22.5" customHeight="1" x14ac:dyDescent="0.25">
      <c r="B59" s="102" t="s">
        <v>302</v>
      </c>
      <c r="C59" s="96">
        <f t="shared" si="10"/>
        <v>0</v>
      </c>
      <c r="D59" s="98">
        <f>SUM(T10损益表!$C$11:I$11)-SUM(T9现金流表!$C$18:I$18)</f>
        <v>0</v>
      </c>
      <c r="E59" s="107"/>
      <c r="F59" s="108"/>
      <c r="G59" s="108"/>
      <c r="I59" s="102" t="s">
        <v>447</v>
      </c>
      <c r="J59" s="96">
        <f t="shared" si="12"/>
        <v>0</v>
      </c>
      <c r="K59" s="98">
        <f>SUM(T10损益表!$C$11:J$11)-SUM(T9现金流表!$C$18:J$18)</f>
        <v>0</v>
      </c>
      <c r="L59" s="107"/>
      <c r="M59" s="108"/>
      <c r="N59" s="108"/>
    </row>
    <row r="60" spans="2:14" ht="22.5" customHeight="1" x14ac:dyDescent="0.25">
      <c r="B60" s="106" t="s">
        <v>303</v>
      </c>
      <c r="C60" s="96">
        <f t="shared" si="10"/>
        <v>0</v>
      </c>
      <c r="D60" s="97">
        <f>SUM(T10损益表!$C$8:I$8)-SUM(T9现金流表!$C$16:I$16)</f>
        <v>0</v>
      </c>
      <c r="E60" s="94" t="s">
        <v>438</v>
      </c>
      <c r="F60" s="96">
        <f>N44</f>
        <v>50859</v>
      </c>
      <c r="G60" s="97">
        <f>T0登记表!D4+T0登记表!E4+T0登记表!F4+T0登记表!G4+T0登记表!H4+T0登记表!I4+T0登记表!J4</f>
        <v>58859</v>
      </c>
      <c r="I60" s="106" t="s">
        <v>448</v>
      </c>
      <c r="J60" s="96">
        <f t="shared" si="12"/>
        <v>0</v>
      </c>
      <c r="K60" s="97">
        <f>SUM(T10损益表!$C$8:J$8)-SUM(T9现金流表!$C$16:J$16)</f>
        <v>0</v>
      </c>
      <c r="L60" s="94" t="s">
        <v>438</v>
      </c>
      <c r="M60" s="96">
        <f t="shared" si="13"/>
        <v>58859</v>
      </c>
      <c r="N60" s="97">
        <f>T0登记表!D4+T0登记表!E4+T0登记表!F4+T0登记表!G4+T0登记表!H4+T0登记表!I4+T0登记表!J4+T0登记表!K4</f>
        <v>67812</v>
      </c>
    </row>
    <row r="61" spans="2:14" ht="22.5" customHeight="1" thickBot="1" x14ac:dyDescent="0.3">
      <c r="B61" s="94" t="s">
        <v>305</v>
      </c>
      <c r="C61" s="108">
        <f t="shared" si="10"/>
        <v>0</v>
      </c>
      <c r="D61" s="97">
        <f>IF(G53&gt;60000,7000,IF(G53&gt;50000,6000,IF(G53&gt;40000,5000,IF(G53&gt;30000,4000,IF(G53&gt;20000,3000,IF(G53&gt;10000,2000,IF(G53&gt;=1000,1000,0)))))))</f>
        <v>0</v>
      </c>
      <c r="E61" s="94" t="s">
        <v>439</v>
      </c>
      <c r="F61" s="96">
        <f>N45</f>
        <v>23095.77</v>
      </c>
      <c r="G61" s="97">
        <f>F61+T10损益表!I27</f>
        <v>27962.02</v>
      </c>
      <c r="I61" s="94" t="s">
        <v>449</v>
      </c>
      <c r="J61" s="108">
        <f t="shared" si="12"/>
        <v>0</v>
      </c>
      <c r="K61" s="97">
        <f>IF(N53&gt;60000,7000,IF(N53&gt;50000,6000,IF(N53&gt;40000,5000,IF(N53&gt;30000,4000,IF(N53&gt;20000,3000,IF(N53&gt;10000,2000,IF(N53&gt;=1000,1000,0)))))))</f>
        <v>0</v>
      </c>
      <c r="L61" s="94" t="s">
        <v>439</v>
      </c>
      <c r="M61" s="96">
        <f t="shared" si="13"/>
        <v>27962.02</v>
      </c>
      <c r="N61" s="97">
        <f>M61+T10损益表!J27</f>
        <v>32434.27</v>
      </c>
    </row>
    <row r="62" spans="2:14" ht="22.5" customHeight="1" thickTop="1" x14ac:dyDescent="0.25">
      <c r="B62" s="94" t="s">
        <v>307</v>
      </c>
      <c r="C62" s="96">
        <f t="shared" si="10"/>
        <v>2580</v>
      </c>
      <c r="D62" s="97">
        <f>SUM(T9现金流表!$C$30:I$30)-SUM(T10损益表!$C$23:I$23)</f>
        <v>2700</v>
      </c>
      <c r="E62" s="103" t="s">
        <v>440</v>
      </c>
      <c r="F62" s="105">
        <f>N46</f>
        <v>73954.77</v>
      </c>
      <c r="G62" s="105">
        <f>SUM(G60:G61)</f>
        <v>86821.02</v>
      </c>
      <c r="I62" s="94" t="s">
        <v>450</v>
      </c>
      <c r="J62" s="96">
        <f t="shared" si="12"/>
        <v>2700</v>
      </c>
      <c r="K62" s="97">
        <f>SUM(T9现金流表!$C$30:J$30)-SUM(T10损益表!$C$23:J$23)</f>
        <v>2760</v>
      </c>
      <c r="L62" s="103" t="s">
        <v>440</v>
      </c>
      <c r="M62" s="105">
        <f>G62</f>
        <v>86821.02</v>
      </c>
      <c r="N62" s="105">
        <f>SUM(N60:N61)</f>
        <v>100246.27</v>
      </c>
    </row>
    <row r="63" spans="2:14" ht="22.5" customHeight="1" thickBot="1" x14ac:dyDescent="0.3">
      <c r="B63" s="94" t="s">
        <v>309</v>
      </c>
      <c r="C63" s="96">
        <f t="shared" si="10"/>
        <v>79380.51999999999</v>
      </c>
      <c r="D63" s="97">
        <f>T9现金流表!I38</f>
        <v>92000.76999999999</v>
      </c>
      <c r="E63" s="107"/>
      <c r="F63" s="108"/>
      <c r="G63" s="96"/>
      <c r="I63" s="94" t="s">
        <v>451</v>
      </c>
      <c r="J63" s="96">
        <f t="shared" si="12"/>
        <v>92000.76999999999</v>
      </c>
      <c r="K63" s="97">
        <f>T9现金流表!J38</f>
        <v>105462.01999999999</v>
      </c>
      <c r="L63" s="107"/>
      <c r="M63" s="108"/>
      <c r="N63" s="96"/>
    </row>
    <row r="64" spans="2:14" ht="22.5" customHeight="1" thickTop="1" thickBot="1" x14ac:dyDescent="0.3">
      <c r="B64" s="103" t="s">
        <v>319</v>
      </c>
      <c r="C64" s="105">
        <f t="shared" si="10"/>
        <v>81604.76999999999</v>
      </c>
      <c r="D64" s="111">
        <f>D53-D54+SUM(D55:D63)</f>
        <v>94571.01999999999</v>
      </c>
      <c r="E64" s="103" t="s">
        <v>441</v>
      </c>
      <c r="F64" s="105">
        <f>N48</f>
        <v>75474.77</v>
      </c>
      <c r="G64" s="111">
        <f>G58+G62</f>
        <v>88441.02</v>
      </c>
      <c r="I64" s="103" t="s">
        <v>452</v>
      </c>
      <c r="J64" s="105">
        <f t="shared" si="12"/>
        <v>94571.01999999999</v>
      </c>
      <c r="K64" s="111">
        <f>K53-K54+SUM(K55:K63)</f>
        <v>107866.26999999999</v>
      </c>
      <c r="L64" s="103" t="s">
        <v>441</v>
      </c>
      <c r="M64" s="105">
        <f>G64</f>
        <v>88441.02</v>
      </c>
      <c r="N64" s="111">
        <f>N58+N62</f>
        <v>101736.27</v>
      </c>
    </row>
    <row r="65" spans="2:14" ht="22.5" customHeight="1" thickBot="1" x14ac:dyDescent="0.3">
      <c r="B65" s="537" t="str">
        <f>IF(AND(C64=F64,D64=G64),"报表已平","报表不平")</f>
        <v>报表不平</v>
      </c>
      <c r="C65" s="538"/>
      <c r="D65" s="538"/>
      <c r="E65" s="538"/>
      <c r="F65" s="538"/>
      <c r="G65" s="539"/>
      <c r="I65" s="537" t="str">
        <f>IF(AND(J64=M64,K64=N64),"报表已平","报表不平")</f>
        <v>报表不平</v>
      </c>
      <c r="J65" s="538"/>
      <c r="K65" s="538"/>
      <c r="L65" s="538"/>
      <c r="M65" s="538"/>
      <c r="N65" s="539"/>
    </row>
    <row r="66" spans="2:14" ht="22.5" customHeight="1" x14ac:dyDescent="0.25">
      <c r="B66" s="69" t="s">
        <v>318</v>
      </c>
      <c r="C66" s="114"/>
      <c r="D66" s="114"/>
      <c r="E66" s="69"/>
      <c r="F66" s="114"/>
      <c r="G66" s="114"/>
    </row>
    <row r="67" spans="2:14" ht="22.5" customHeight="1" x14ac:dyDescent="0.25">
      <c r="B67" s="115" t="s">
        <v>315</v>
      </c>
    </row>
    <row r="68" spans="2:14" ht="22.5" customHeight="1" x14ac:dyDescent="0.25">
      <c r="B68" s="115" t="s">
        <v>316</v>
      </c>
    </row>
    <row r="69" spans="2:14" ht="17.399999999999999" x14ac:dyDescent="0.25">
      <c r="B69" s="115" t="s">
        <v>317</v>
      </c>
    </row>
  </sheetData>
  <sheetProtection selectLockedCells="1"/>
  <mergeCells count="25">
    <mergeCell ref="E35:G35"/>
    <mergeCell ref="B51:D51"/>
    <mergeCell ref="E51:G51"/>
    <mergeCell ref="I35:K35"/>
    <mergeCell ref="L35:N35"/>
    <mergeCell ref="I51:K51"/>
    <mergeCell ref="L51:N51"/>
    <mergeCell ref="B49:G49"/>
    <mergeCell ref="I49:N49"/>
    <mergeCell ref="B65:G65"/>
    <mergeCell ref="I65:N65"/>
    <mergeCell ref="B2:N2"/>
    <mergeCell ref="B3:D3"/>
    <mergeCell ref="E3:G3"/>
    <mergeCell ref="I3:K3"/>
    <mergeCell ref="L3:N3"/>
    <mergeCell ref="B19:D19"/>
    <mergeCell ref="E19:G19"/>
    <mergeCell ref="I19:K19"/>
    <mergeCell ref="B17:G17"/>
    <mergeCell ref="B33:G33"/>
    <mergeCell ref="I17:N17"/>
    <mergeCell ref="I33:N33"/>
    <mergeCell ref="L19:N19"/>
    <mergeCell ref="B35:D35"/>
  </mergeCells>
  <phoneticPr fontId="11" type="noConversion"/>
  <conditionalFormatting sqref="B17 B33 B49 B65 I17 I33 I49 I65">
    <cfRule type="containsText" dxfId="1" priority="15" operator="containsText" text="报表不平">
      <formula>NOT(ISERROR(SEARCH("报表不平",B17)))</formula>
    </cfRule>
    <cfRule type="containsText" dxfId="0" priority="16" operator="containsText" text="报表已平">
      <formula>NOT(ISERROR(SEARCH("报表已平",B17)))</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运营表</vt:lpstr>
      <vt:lpstr>T0登记表</vt:lpstr>
      <vt:lpstr>T3-T4</vt:lpstr>
      <vt:lpstr>T1存款利息表</vt:lpstr>
      <vt:lpstr>T2贷款利息表</vt:lpstr>
      <vt:lpstr>T6-T8 XX风险计量表</vt:lpstr>
      <vt:lpstr>T9现金流表</vt:lpstr>
      <vt:lpstr>T10损益表</vt:lpstr>
      <vt:lpstr>T11资产负债表</vt:lpstr>
      <vt:lpstr>T12监管表</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2018-10-09T12:57:52Z</dcterms:modified>
</coreProperties>
</file>