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T\Desktop\docs\"/>
    </mc:Choice>
  </mc:AlternateContent>
  <bookViews>
    <workbookView xWindow="480" yWindow="75" windowWidth="27795" windowHeight="12075" tabRatio="766" firstSheet="4" activeTab="7"/>
  </bookViews>
  <sheets>
    <sheet name="Scenario setup and results" sheetId="5" r:id="rId1"/>
    <sheet name="Input values" sheetId="4" r:id="rId2"/>
    <sheet name="YLL discount" sheetId="9" r:id="rId3"/>
    <sheet name="New cyclist" sheetId="7" r:id="rId4"/>
    <sheet name="Cycling health" sheetId="1" r:id="rId5"/>
    <sheet name="New pedestrians" sheetId="8" r:id="rId6"/>
    <sheet name="Walking health" sheetId="2" r:id="rId7"/>
    <sheet name="Health effects summary" sheetId="3" r:id="rId8"/>
  </sheets>
  <definedNames>
    <definedName name="Year">'Input values'!$B$66:$B$66</definedName>
  </definedNames>
  <calcPr calcId="152511"/>
</workbook>
</file>

<file path=xl/calcChain.xml><?xml version="1.0" encoding="utf-8"?>
<calcChain xmlns="http://schemas.openxmlformats.org/spreadsheetml/2006/main">
  <c r="B5" i="9" l="1"/>
  <c r="F17" i="9"/>
  <c r="E17" i="9"/>
  <c r="F16" i="9"/>
  <c r="E16" i="9"/>
  <c r="F15" i="9"/>
  <c r="E15" i="9"/>
  <c r="F14" i="9"/>
  <c r="E14" i="9"/>
  <c r="F13" i="9"/>
  <c r="E13" i="9"/>
  <c r="A6" i="9"/>
  <c r="B6" i="9" s="1"/>
  <c r="A7" i="9" l="1"/>
  <c r="A8" i="9" l="1"/>
  <c r="B7" i="9"/>
  <c r="B76" i="4"/>
  <c r="A9" i="9" l="1"/>
  <c r="B8" i="9"/>
  <c r="B72" i="4"/>
  <c r="C76" i="4" s="1"/>
  <c r="C10" i="5"/>
  <c r="D3" i="3" s="1"/>
  <c r="B7" i="3"/>
  <c r="D7" i="3" s="1"/>
  <c r="B9" i="9" l="1"/>
  <c r="A10" i="9"/>
  <c r="B4" i="8"/>
  <c r="B7" i="8" s="1"/>
  <c r="C11" i="8" s="1"/>
  <c r="B10" i="9" l="1"/>
  <c r="A11" i="9"/>
  <c r="D13" i="8"/>
  <c r="C13" i="8"/>
  <c r="C12" i="8"/>
  <c r="D15" i="8"/>
  <c r="C15" i="8"/>
  <c r="D12" i="8"/>
  <c r="D14" i="8"/>
  <c r="C14" i="8"/>
  <c r="D11" i="8"/>
  <c r="E11" i="8" s="1"/>
  <c r="C7" i="3"/>
  <c r="B77" i="4"/>
  <c r="C77" i="4" s="1"/>
  <c r="D8" i="2"/>
  <c r="D16" i="2" s="1"/>
  <c r="C8" i="2"/>
  <c r="C16" i="2" s="1"/>
  <c r="D7" i="2"/>
  <c r="C7" i="2"/>
  <c r="D6" i="2"/>
  <c r="D14" i="2" s="1"/>
  <c r="C6" i="2"/>
  <c r="C14" i="2" s="1"/>
  <c r="D5" i="2"/>
  <c r="D13" i="2" s="1"/>
  <c r="C5" i="2"/>
  <c r="C13" i="2" s="1"/>
  <c r="D4" i="2"/>
  <c r="D12" i="2" s="1"/>
  <c r="C4" i="2"/>
  <c r="C12" i="2" s="1"/>
  <c r="D15" i="2"/>
  <c r="C15" i="2"/>
  <c r="L28" i="4"/>
  <c r="L27" i="4"/>
  <c r="L26" i="4"/>
  <c r="L25" i="4"/>
  <c r="L24" i="4"/>
  <c r="K29" i="4"/>
  <c r="J29" i="4"/>
  <c r="E28" i="4"/>
  <c r="E27" i="4"/>
  <c r="E26" i="4"/>
  <c r="E25" i="4"/>
  <c r="E24" i="4"/>
  <c r="D29" i="4"/>
  <c r="C29" i="4"/>
  <c r="B4" i="7"/>
  <c r="B7" i="7" s="1"/>
  <c r="D15" i="7" s="1"/>
  <c r="B10" i="4"/>
  <c r="B8" i="3"/>
  <c r="D8" i="1"/>
  <c r="D16" i="1" s="1"/>
  <c r="C8" i="1"/>
  <c r="C16" i="1" s="1"/>
  <c r="D7" i="1"/>
  <c r="D15" i="1" s="1"/>
  <c r="C7" i="1"/>
  <c r="C15" i="1" s="1"/>
  <c r="D6" i="1"/>
  <c r="D14" i="1" s="1"/>
  <c r="C6" i="1"/>
  <c r="C14" i="1" s="1"/>
  <c r="D5" i="1"/>
  <c r="D13" i="1" s="1"/>
  <c r="C5" i="1"/>
  <c r="C13" i="1" s="1"/>
  <c r="D4" i="1"/>
  <c r="D12" i="1" s="1"/>
  <c r="C4" i="1"/>
  <c r="C12" i="1" s="1"/>
  <c r="B9" i="3" l="1"/>
  <c r="D9" i="3" s="1"/>
  <c r="D8" i="3"/>
  <c r="C21" i="2"/>
  <c r="C29" i="2" s="1"/>
  <c r="C37" i="2" s="1"/>
  <c r="C45" i="2" s="1"/>
  <c r="B11" i="9"/>
  <c r="A12" i="9"/>
  <c r="B78" i="4"/>
  <c r="C78" i="4" s="1"/>
  <c r="C8" i="3"/>
  <c r="D21" i="2"/>
  <c r="D29" i="2" s="1"/>
  <c r="D37" i="2" s="1"/>
  <c r="D45" i="2" s="1"/>
  <c r="D53" i="2" s="1"/>
  <c r="D22" i="2"/>
  <c r="D30" i="2" s="1"/>
  <c r="D38" i="2" s="1"/>
  <c r="D46" i="2" s="1"/>
  <c r="D54" i="2" s="1"/>
  <c r="D23" i="2"/>
  <c r="D31" i="2" s="1"/>
  <c r="D39" i="2" s="1"/>
  <c r="C20" i="2"/>
  <c r="C28" i="2" s="1"/>
  <c r="C36" i="2" s="1"/>
  <c r="C44" i="2" s="1"/>
  <c r="C52" i="2" s="1"/>
  <c r="C22" i="2"/>
  <c r="C30" i="2" s="1"/>
  <c r="C38" i="2" s="1"/>
  <c r="C46" i="2" s="1"/>
  <c r="C54" i="2" s="1"/>
  <c r="E14" i="8"/>
  <c r="L29" i="4"/>
  <c r="B10" i="3"/>
  <c r="D10" i="3" s="1"/>
  <c r="C24" i="2"/>
  <c r="C32" i="2" s="1"/>
  <c r="C40" i="2" s="1"/>
  <c r="C48" i="2" s="1"/>
  <c r="C56" i="2" s="1"/>
  <c r="C64" i="2" s="1"/>
  <c r="D20" i="2"/>
  <c r="D28" i="2" s="1"/>
  <c r="D36" i="2" s="1"/>
  <c r="D24" i="2"/>
  <c r="D32" i="2" s="1"/>
  <c r="D40" i="2" s="1"/>
  <c r="C23" i="2"/>
  <c r="C31" i="2" s="1"/>
  <c r="C39" i="2" s="1"/>
  <c r="C47" i="2" s="1"/>
  <c r="C55" i="2" s="1"/>
  <c r="C63" i="2" s="1"/>
  <c r="E15" i="8"/>
  <c r="E29" i="4"/>
  <c r="C16" i="8"/>
  <c r="E12" i="8"/>
  <c r="E13" i="8"/>
  <c r="D16" i="8"/>
  <c r="C53" i="2"/>
  <c r="D21" i="1"/>
  <c r="D29" i="1" s="1"/>
  <c r="D37" i="1" s="1"/>
  <c r="D20" i="1"/>
  <c r="D28" i="1" s="1"/>
  <c r="D36" i="1" s="1"/>
  <c r="D24" i="1"/>
  <c r="D32" i="1" s="1"/>
  <c r="D40" i="1" s="1"/>
  <c r="C15" i="7"/>
  <c r="E15" i="7" s="1"/>
  <c r="C14" i="7"/>
  <c r="C20" i="1"/>
  <c r="C28" i="1" s="1"/>
  <c r="C24" i="1"/>
  <c r="C32" i="1" s="1"/>
  <c r="C40" i="1" s="1"/>
  <c r="C23" i="1"/>
  <c r="C31" i="1" s="1"/>
  <c r="C39" i="1" s="1"/>
  <c r="C11" i="7"/>
  <c r="C22" i="1"/>
  <c r="C30" i="1" s="1"/>
  <c r="C38" i="1" s="1"/>
  <c r="C12" i="7"/>
  <c r="D22" i="1"/>
  <c r="D30" i="1" s="1"/>
  <c r="D38" i="1" s="1"/>
  <c r="C13" i="7"/>
  <c r="D12" i="7"/>
  <c r="D13" i="7"/>
  <c r="D14" i="7"/>
  <c r="D11" i="7"/>
  <c r="D23" i="1"/>
  <c r="D31" i="1" s="1"/>
  <c r="D39" i="1" s="1"/>
  <c r="C21" i="1"/>
  <c r="C29" i="1" s="1"/>
  <c r="C37" i="1" s="1"/>
  <c r="B12" i="9" l="1"/>
  <c r="A13" i="9"/>
  <c r="B79" i="4"/>
  <c r="C79" i="4" s="1"/>
  <c r="C9" i="3"/>
  <c r="D47" i="1"/>
  <c r="D55" i="1" s="1"/>
  <c r="D63" i="1" s="1"/>
  <c r="D44" i="2"/>
  <c r="D52" i="2" s="1"/>
  <c r="D60" i="2" s="1"/>
  <c r="C48" i="1"/>
  <c r="C56" i="1" s="1"/>
  <c r="C64" i="1" s="1"/>
  <c r="C36" i="1"/>
  <c r="C44" i="1" s="1"/>
  <c r="C52" i="1" s="1"/>
  <c r="C60" i="1" s="1"/>
  <c r="D46" i="1"/>
  <c r="D54" i="1" s="1"/>
  <c r="D62" i="1" s="1"/>
  <c r="C45" i="1"/>
  <c r="C53" i="1" s="1"/>
  <c r="C61" i="1" s="1"/>
  <c r="C46" i="1"/>
  <c r="C54" i="1" s="1"/>
  <c r="C62" i="1" s="1"/>
  <c r="D45" i="1"/>
  <c r="D53" i="1" s="1"/>
  <c r="D61" i="1" s="1"/>
  <c r="D47" i="2"/>
  <c r="D55" i="2" s="1"/>
  <c r="D63" i="2" s="1"/>
  <c r="E63" i="2" s="1"/>
  <c r="D48" i="2"/>
  <c r="D56" i="2" s="1"/>
  <c r="D64" i="2" s="1"/>
  <c r="D48" i="1"/>
  <c r="D56" i="1" s="1"/>
  <c r="D64" i="1" s="1"/>
  <c r="D44" i="1"/>
  <c r="D52" i="1" s="1"/>
  <c r="D60" i="1" s="1"/>
  <c r="C47" i="1"/>
  <c r="C55" i="1" s="1"/>
  <c r="C63" i="1" s="1"/>
  <c r="B11" i="3"/>
  <c r="D11" i="3" s="1"/>
  <c r="E16" i="8"/>
  <c r="C61" i="2"/>
  <c r="C60" i="2"/>
  <c r="D62" i="2"/>
  <c r="C62" i="2"/>
  <c r="D61" i="2"/>
  <c r="E14" i="7"/>
  <c r="C16" i="7"/>
  <c r="E13" i="7"/>
  <c r="D16" i="7"/>
  <c r="E12" i="7"/>
  <c r="E11" i="7"/>
  <c r="B13" i="9" l="1"/>
  <c r="A14" i="9"/>
  <c r="B80" i="4"/>
  <c r="C80" i="4" s="1"/>
  <c r="C10" i="3"/>
  <c r="B12" i="3"/>
  <c r="D12" i="3" s="1"/>
  <c r="E64" i="2"/>
  <c r="E62" i="2"/>
  <c r="E60" i="2"/>
  <c r="E61" i="2"/>
  <c r="D65" i="2"/>
  <c r="C65" i="2"/>
  <c r="E64" i="1"/>
  <c r="C65" i="1"/>
  <c r="E61" i="1"/>
  <c r="E63" i="1"/>
  <c r="E62" i="1"/>
  <c r="E16" i="7"/>
  <c r="D65" i="1"/>
  <c r="E60" i="1"/>
  <c r="B14" i="9" l="1"/>
  <c r="A15" i="9"/>
  <c r="B81" i="4"/>
  <c r="C81" i="4" s="1"/>
  <c r="C11" i="3"/>
  <c r="B13" i="3"/>
  <c r="D13" i="3" s="1"/>
  <c r="E65" i="2"/>
  <c r="E65" i="1"/>
  <c r="B15" i="9" l="1"/>
  <c r="A16" i="9"/>
  <c r="B82" i="4"/>
  <c r="C82" i="4" s="1"/>
  <c r="C12" i="3"/>
  <c r="H12" i="3" s="1"/>
  <c r="B14" i="3"/>
  <c r="D14" i="3" s="1"/>
  <c r="H10" i="3"/>
  <c r="H7" i="3"/>
  <c r="H11" i="3"/>
  <c r="H9" i="3"/>
  <c r="H8" i="3"/>
  <c r="E11" i="3"/>
  <c r="E8" i="3"/>
  <c r="E9" i="3"/>
  <c r="E7" i="3"/>
  <c r="E10" i="3"/>
  <c r="B16" i="9" l="1"/>
  <c r="A17" i="9"/>
  <c r="E12" i="3"/>
  <c r="K12" i="3" s="1"/>
  <c r="B83" i="4"/>
  <c r="C83" i="4" s="1"/>
  <c r="C13" i="3"/>
  <c r="B15" i="3"/>
  <c r="D15" i="3" s="1"/>
  <c r="K11" i="3"/>
  <c r="K10" i="3"/>
  <c r="K7" i="3"/>
  <c r="K9" i="3"/>
  <c r="K8" i="3"/>
  <c r="B17" i="9" l="1"/>
  <c r="A18" i="9"/>
  <c r="E13" i="3"/>
  <c r="H13" i="3"/>
  <c r="B84" i="4"/>
  <c r="C84" i="4" s="1"/>
  <c r="C14" i="3"/>
  <c r="B16" i="3"/>
  <c r="D16" i="3" s="1"/>
  <c r="B18" i="9" l="1"/>
  <c r="A19" i="9"/>
  <c r="E14" i="3"/>
  <c r="H14" i="3"/>
  <c r="B85" i="4"/>
  <c r="C85" i="4" s="1"/>
  <c r="C15" i="3"/>
  <c r="K13" i="3"/>
  <c r="B17" i="3"/>
  <c r="D17" i="3" s="1"/>
  <c r="B19" i="9" l="1"/>
  <c r="A20" i="9"/>
  <c r="K14" i="3"/>
  <c r="H15" i="3"/>
  <c r="E15" i="3"/>
  <c r="B86" i="4"/>
  <c r="C86" i="4" s="1"/>
  <c r="C16" i="3"/>
  <c r="B18" i="3"/>
  <c r="D18" i="3" s="1"/>
  <c r="B20" i="9" l="1"/>
  <c r="A21" i="9"/>
  <c r="B87" i="4"/>
  <c r="C87" i="4" s="1"/>
  <c r="C17" i="3"/>
  <c r="K15" i="3"/>
  <c r="E16" i="3"/>
  <c r="H16" i="3"/>
  <c r="B19" i="3"/>
  <c r="D19" i="3" s="1"/>
  <c r="B21" i="9" l="1"/>
  <c r="A22" i="9"/>
  <c r="H17" i="3"/>
  <c r="E17" i="3"/>
  <c r="B88" i="4"/>
  <c r="C88" i="4" s="1"/>
  <c r="C18" i="3"/>
  <c r="K16" i="3"/>
  <c r="B20" i="3"/>
  <c r="D20" i="3" s="1"/>
  <c r="B22" i="9" l="1"/>
  <c r="A23" i="9"/>
  <c r="K17" i="3"/>
  <c r="E18" i="3"/>
  <c r="H18" i="3"/>
  <c r="B89" i="4"/>
  <c r="C89" i="4" s="1"/>
  <c r="C19" i="3"/>
  <c r="B21" i="3"/>
  <c r="D21" i="3" s="1"/>
  <c r="B23" i="9" l="1"/>
  <c r="A24" i="9"/>
  <c r="K18" i="3"/>
  <c r="H19" i="3"/>
  <c r="E19" i="3"/>
  <c r="B90" i="4"/>
  <c r="C90" i="4" s="1"/>
  <c r="C20" i="3"/>
  <c r="B22" i="3"/>
  <c r="D22" i="3" s="1"/>
  <c r="B24" i="9" l="1"/>
  <c r="A25" i="9"/>
  <c r="H20" i="3"/>
  <c r="E20" i="3"/>
  <c r="B91" i="4"/>
  <c r="C91" i="4" s="1"/>
  <c r="C21" i="3"/>
  <c r="K19" i="3"/>
  <c r="B23" i="3"/>
  <c r="D23" i="3" s="1"/>
  <c r="B25" i="9" l="1"/>
  <c r="A26" i="9"/>
  <c r="B92" i="4"/>
  <c r="C92" i="4" s="1"/>
  <c r="C22" i="3"/>
  <c r="K20" i="3"/>
  <c r="E21" i="3"/>
  <c r="H21" i="3"/>
  <c r="B24" i="3"/>
  <c r="D24" i="3" s="1"/>
  <c r="B26" i="9" l="1"/>
  <c r="A27" i="9"/>
  <c r="K21" i="3"/>
  <c r="H22" i="3"/>
  <c r="E22" i="3"/>
  <c r="B93" i="4"/>
  <c r="C93" i="4" s="1"/>
  <c r="C23" i="3"/>
  <c r="B25" i="3"/>
  <c r="D25" i="3" s="1"/>
  <c r="B27" i="9" l="1"/>
  <c r="A28" i="9"/>
  <c r="K22" i="3"/>
  <c r="B94" i="4"/>
  <c r="C94" i="4" s="1"/>
  <c r="C24" i="3"/>
  <c r="H23" i="3"/>
  <c r="E23" i="3"/>
  <c r="B26" i="3"/>
  <c r="D26" i="3" s="1"/>
  <c r="B28" i="9" l="1"/>
  <c r="A29" i="9"/>
  <c r="H24" i="3"/>
  <c r="E24" i="3"/>
  <c r="K23" i="3"/>
  <c r="B95" i="4"/>
  <c r="C95" i="4" s="1"/>
  <c r="C25" i="3"/>
  <c r="B27" i="3"/>
  <c r="B28" i="3" l="1"/>
  <c r="D27" i="3"/>
  <c r="B29" i="9"/>
  <c r="A30" i="9"/>
  <c r="K24" i="3"/>
  <c r="B96" i="4"/>
  <c r="C26" i="3"/>
  <c r="H25" i="3"/>
  <c r="E25" i="3"/>
  <c r="B29" i="3" l="1"/>
  <c r="D28" i="3"/>
  <c r="B30" i="9"/>
  <c r="A31" i="9"/>
  <c r="C96" i="4"/>
  <c r="C27" i="3" s="1"/>
  <c r="B97" i="4"/>
  <c r="K25" i="3"/>
  <c r="E26" i="3"/>
  <c r="H26" i="3"/>
  <c r="B30" i="3" l="1"/>
  <c r="D29" i="3"/>
  <c r="B31" i="9"/>
  <c r="A32" i="9"/>
  <c r="B98" i="4"/>
  <c r="C97" i="4"/>
  <c r="C28" i="3" s="1"/>
  <c r="H27" i="3"/>
  <c r="E27" i="3"/>
  <c r="K26" i="3"/>
  <c r="B31" i="3" l="1"/>
  <c r="D30" i="3"/>
  <c r="B32" i="9"/>
  <c r="A33" i="9"/>
  <c r="E28" i="3"/>
  <c r="H28" i="3"/>
  <c r="C98" i="4"/>
  <c r="C29" i="3" s="1"/>
  <c r="B99" i="4"/>
  <c r="K27" i="3"/>
  <c r="B32" i="3" l="1"/>
  <c r="D31" i="3"/>
  <c r="B33" i="9"/>
  <c r="A34" i="9"/>
  <c r="H29" i="3"/>
  <c r="E29" i="3"/>
  <c r="K28" i="3"/>
  <c r="C99" i="4"/>
  <c r="C30" i="3" s="1"/>
  <c r="B100" i="4"/>
  <c r="B33" i="3" l="1"/>
  <c r="D32" i="3"/>
  <c r="B34" i="9"/>
  <c r="A35" i="9"/>
  <c r="K29" i="3"/>
  <c r="C100" i="4"/>
  <c r="C31" i="3" s="1"/>
  <c r="B101" i="4"/>
  <c r="E30" i="3"/>
  <c r="H30" i="3"/>
  <c r="B34" i="3" l="1"/>
  <c r="D33" i="3"/>
  <c r="B35" i="9"/>
  <c r="A36" i="9"/>
  <c r="C101" i="4"/>
  <c r="C32" i="3" s="1"/>
  <c r="B102" i="4"/>
  <c r="E31" i="3"/>
  <c r="H31" i="3"/>
  <c r="K30" i="3"/>
  <c r="B35" i="3" l="1"/>
  <c r="D34" i="3"/>
  <c r="B36" i="9"/>
  <c r="A37" i="9"/>
  <c r="K31" i="3"/>
  <c r="C102" i="4"/>
  <c r="C33" i="3" s="1"/>
  <c r="B103" i="4"/>
  <c r="H32" i="3"/>
  <c r="E32" i="3"/>
  <c r="B36" i="3" l="1"/>
  <c r="D35" i="3"/>
  <c r="B37" i="9"/>
  <c r="A38" i="9"/>
  <c r="K32" i="3"/>
  <c r="C103" i="4"/>
  <c r="C34" i="3" s="1"/>
  <c r="B104" i="4"/>
  <c r="E33" i="3"/>
  <c r="H33" i="3"/>
  <c r="B37" i="3" l="1"/>
  <c r="D36" i="3"/>
  <c r="B38" i="9"/>
  <c r="A39" i="9"/>
  <c r="H34" i="3"/>
  <c r="E34" i="3"/>
  <c r="C104" i="4"/>
  <c r="C35" i="3" s="1"/>
  <c r="B105" i="4"/>
  <c r="K33" i="3"/>
  <c r="B38" i="3" l="1"/>
  <c r="D37" i="3"/>
  <c r="B39" i="9"/>
  <c r="A40" i="9"/>
  <c r="K34" i="3"/>
  <c r="C105" i="4"/>
  <c r="C36" i="3" s="1"/>
  <c r="B106" i="4"/>
  <c r="H35" i="3"/>
  <c r="E35" i="3"/>
  <c r="B39" i="3" l="1"/>
  <c r="D38" i="3"/>
  <c r="B40" i="9"/>
  <c r="A41" i="9"/>
  <c r="C106" i="4"/>
  <c r="C37" i="3" s="1"/>
  <c r="B107" i="4"/>
  <c r="K35" i="3"/>
  <c r="H36" i="3"/>
  <c r="E36" i="3"/>
  <c r="B40" i="3" l="1"/>
  <c r="D39" i="3"/>
  <c r="B41" i="9"/>
  <c r="A42" i="9"/>
  <c r="H37" i="3"/>
  <c r="E37" i="3"/>
  <c r="C107" i="4"/>
  <c r="C38" i="3" s="1"/>
  <c r="B108" i="4"/>
  <c r="K36" i="3"/>
  <c r="B41" i="3" l="1"/>
  <c r="D40" i="3"/>
  <c r="B42" i="9"/>
  <c r="A43" i="9"/>
  <c r="K37" i="3"/>
  <c r="E38" i="3"/>
  <c r="H38" i="3"/>
  <c r="C108" i="4"/>
  <c r="C39" i="3" s="1"/>
  <c r="B109" i="4"/>
  <c r="B42" i="3" l="1"/>
  <c r="D41" i="3"/>
  <c r="B43" i="9"/>
  <c r="A44" i="9"/>
  <c r="H39" i="3"/>
  <c r="E39" i="3"/>
  <c r="C109" i="4"/>
  <c r="C40" i="3" s="1"/>
  <c r="B110" i="4"/>
  <c r="K38" i="3"/>
  <c r="B43" i="3" l="1"/>
  <c r="D42" i="3"/>
  <c r="B44" i="9"/>
  <c r="A45" i="9"/>
  <c r="K39" i="3"/>
  <c r="H40" i="3"/>
  <c r="E40" i="3"/>
  <c r="C110" i="4"/>
  <c r="C41" i="3" s="1"/>
  <c r="B111" i="4"/>
  <c r="B44" i="3" l="1"/>
  <c r="D43" i="3"/>
  <c r="B45" i="9"/>
  <c r="A46" i="9"/>
  <c r="K40" i="3"/>
  <c r="C111" i="4"/>
  <c r="C42" i="3" s="1"/>
  <c r="B112" i="4"/>
  <c r="H41" i="3"/>
  <c r="E41" i="3"/>
  <c r="B45" i="3" l="1"/>
  <c r="D44" i="3"/>
  <c r="B46" i="9"/>
  <c r="A47" i="9"/>
  <c r="K41" i="3"/>
  <c r="C112" i="4"/>
  <c r="C43" i="3" s="1"/>
  <c r="B113" i="4"/>
  <c r="E42" i="3"/>
  <c r="H42" i="3"/>
  <c r="B46" i="3" l="1"/>
  <c r="D45" i="3"/>
  <c r="B47" i="9"/>
  <c r="A48" i="9"/>
  <c r="C113" i="4"/>
  <c r="C44" i="3" s="1"/>
  <c r="B114" i="4"/>
  <c r="K42" i="3"/>
  <c r="E43" i="3"/>
  <c r="H43" i="3"/>
  <c r="B47" i="3" l="1"/>
  <c r="D47" i="3" s="1"/>
  <c r="D46" i="3"/>
  <c r="B48" i="9"/>
  <c r="A49" i="9"/>
  <c r="K43" i="3"/>
  <c r="C114" i="4"/>
  <c r="C45" i="3" s="1"/>
  <c r="B115" i="4"/>
  <c r="E44" i="3"/>
  <c r="H44" i="3"/>
  <c r="B49" i="9" l="1"/>
  <c r="A50" i="9"/>
  <c r="C115" i="4"/>
  <c r="C46" i="3" s="1"/>
  <c r="B116" i="4"/>
  <c r="C116" i="4" s="1"/>
  <c r="C47" i="3" s="1"/>
  <c r="K44" i="3"/>
  <c r="H45" i="3"/>
  <c r="E45" i="3"/>
  <c r="B50" i="9" l="1"/>
  <c r="A51" i="9"/>
  <c r="K45" i="3"/>
  <c r="H47" i="3"/>
  <c r="E47" i="3"/>
  <c r="E46" i="3"/>
  <c r="H46" i="3"/>
  <c r="B51" i="9" l="1"/>
  <c r="A52" i="9"/>
  <c r="H48" i="3"/>
  <c r="K46" i="3"/>
  <c r="K47" i="3"/>
  <c r="E48" i="3"/>
  <c r="B52" i="9" l="1"/>
  <c r="A53" i="9"/>
  <c r="K48" i="3"/>
  <c r="B53" i="9" l="1"/>
  <c r="A54" i="9"/>
  <c r="B54" i="9" l="1"/>
  <c r="A55" i="9"/>
  <c r="B55" i="9" l="1"/>
  <c r="A56" i="9"/>
  <c r="B56" i="9" l="1"/>
  <c r="A57" i="9"/>
  <c r="B57" i="9" l="1"/>
  <c r="A58" i="9"/>
  <c r="B58" i="9" l="1"/>
  <c r="A59" i="9"/>
  <c r="B59" i="9" l="1"/>
  <c r="A60" i="9"/>
  <c r="B60" i="9" l="1"/>
  <c r="A61" i="9"/>
  <c r="B61" i="9" l="1"/>
  <c r="A62" i="9"/>
  <c r="B62" i="9" l="1"/>
  <c r="A63" i="9"/>
  <c r="B63" i="9" l="1"/>
  <c r="A64" i="9"/>
  <c r="B64" i="9" l="1"/>
  <c r="A65" i="9"/>
  <c r="B65" i="9" l="1"/>
  <c r="A66" i="9"/>
  <c r="B66" i="9" l="1"/>
  <c r="A67" i="9"/>
  <c r="B67" i="9" l="1"/>
  <c r="A68" i="9"/>
  <c r="B68" i="9" l="1"/>
  <c r="A69" i="9"/>
  <c r="B69" i="9" l="1"/>
  <c r="A70" i="9"/>
  <c r="B70" i="9" l="1"/>
  <c r="A71" i="9"/>
  <c r="B71" i="9" l="1"/>
  <c r="A72" i="9"/>
  <c r="B72" i="9" l="1"/>
  <c r="A73" i="9"/>
  <c r="B73" i="9" l="1"/>
  <c r="A74" i="9"/>
  <c r="B74" i="9" l="1"/>
  <c r="A75" i="9"/>
  <c r="B75" i="9" l="1"/>
  <c r="A76" i="9"/>
  <c r="B76" i="9" l="1"/>
  <c r="A77" i="9"/>
  <c r="B77" i="9" l="1"/>
  <c r="A78" i="9"/>
  <c r="B78" i="9" l="1"/>
  <c r="A79" i="9"/>
  <c r="B79" i="9" l="1"/>
  <c r="A80" i="9"/>
  <c r="B80" i="9" l="1"/>
  <c r="A81" i="9"/>
  <c r="B81" i="9" l="1"/>
  <c r="A82" i="9"/>
  <c r="B82" i="9" l="1"/>
  <c r="A83" i="9"/>
  <c r="B83" i="9" l="1"/>
  <c r="A84" i="9"/>
  <c r="B84" i="9" l="1"/>
  <c r="A85" i="9"/>
  <c r="B85" i="9" l="1"/>
  <c r="A86" i="9"/>
  <c r="B86" i="9" l="1"/>
  <c r="A87" i="9"/>
  <c r="B87" i="9" l="1"/>
  <c r="A88" i="9"/>
  <c r="B88" i="9" l="1"/>
  <c r="A89" i="9"/>
  <c r="B89" i="9" l="1"/>
  <c r="A90" i="9"/>
  <c r="B90" i="9" l="1"/>
  <c r="A91" i="9"/>
  <c r="B91" i="9" l="1"/>
  <c r="A92" i="9"/>
  <c r="B92" i="9" l="1"/>
  <c r="A93" i="9"/>
  <c r="B93" i="9" l="1"/>
  <c r="A94" i="9"/>
  <c r="B94" i="9" l="1"/>
  <c r="A95" i="9"/>
  <c r="B95" i="9" l="1"/>
  <c r="A96" i="9"/>
  <c r="B96" i="9" l="1"/>
  <c r="A97" i="9"/>
  <c r="B97" i="9" l="1"/>
  <c r="A98" i="9"/>
  <c r="B98" i="9" l="1"/>
  <c r="A99" i="9"/>
  <c r="B99" i="9" l="1"/>
  <c r="A100" i="9"/>
  <c r="B100" i="9" l="1"/>
  <c r="A101" i="9"/>
  <c r="B101" i="9" l="1"/>
  <c r="A102" i="9"/>
  <c r="B102" i="9" l="1"/>
  <c r="A103" i="9"/>
  <c r="B103" i="9" l="1"/>
  <c r="A104" i="9"/>
  <c r="B104" i="9" l="1"/>
  <c r="A105" i="9"/>
  <c r="E25" i="9" l="1"/>
  <c r="C61" i="4" s="1"/>
  <c r="F23" i="9"/>
  <c r="D59" i="4" s="1"/>
  <c r="B105" i="9"/>
  <c r="E21" i="9" l="1"/>
  <c r="C57" i="4" s="1"/>
  <c r="F24" i="9"/>
  <c r="D60" i="4" s="1"/>
  <c r="E23" i="9"/>
  <c r="C59" i="4" s="1"/>
  <c r="E24" i="9"/>
  <c r="C60" i="4" s="1"/>
  <c r="F25" i="9"/>
  <c r="D61" i="4" s="1"/>
  <c r="F21" i="9"/>
  <c r="D57" i="4" s="1"/>
  <c r="F22" i="9"/>
  <c r="D58" i="4" s="1"/>
  <c r="E22" i="9"/>
  <c r="C58" i="4" s="1"/>
  <c r="C73" i="2"/>
  <c r="C73" i="1"/>
  <c r="D71" i="2"/>
  <c r="D71" i="1"/>
  <c r="C70" i="2" l="1"/>
  <c r="C70" i="1"/>
  <c r="E70" i="1" s="1"/>
  <c r="D70" i="1"/>
  <c r="D70" i="2"/>
  <c r="C71" i="1"/>
  <c r="C71" i="2"/>
  <c r="D69" i="2"/>
  <c r="D69" i="1"/>
  <c r="D72" i="1"/>
  <c r="D72" i="2"/>
  <c r="C72" i="2"/>
  <c r="C72" i="1"/>
  <c r="C74" i="1" s="1"/>
  <c r="E71" i="1"/>
  <c r="D73" i="2"/>
  <c r="E73" i="2" s="1"/>
  <c r="D73" i="1"/>
  <c r="E73" i="1" s="1"/>
  <c r="C69" i="2"/>
  <c r="C69" i="1"/>
  <c r="E71" i="2"/>
  <c r="E69" i="1" l="1"/>
  <c r="E72" i="2"/>
  <c r="D74" i="2"/>
  <c r="E69" i="2"/>
  <c r="C74" i="2"/>
  <c r="E72" i="1"/>
  <c r="E74" i="1" s="1"/>
  <c r="D74" i="1"/>
  <c r="E70" i="2"/>
  <c r="F11" i="3" l="1"/>
  <c r="F13" i="3"/>
  <c r="F17" i="3"/>
  <c r="F21" i="3"/>
  <c r="G21" i="3" s="1"/>
  <c r="F25" i="3"/>
  <c r="F29" i="3"/>
  <c r="F33" i="3"/>
  <c r="G33" i="3" s="1"/>
  <c r="F37" i="3"/>
  <c r="G37" i="3" s="1"/>
  <c r="F41" i="3"/>
  <c r="F45" i="3"/>
  <c r="F20" i="3"/>
  <c r="F32" i="3"/>
  <c r="G32" i="3" s="1"/>
  <c r="F10" i="3"/>
  <c r="F14" i="3"/>
  <c r="F18" i="3"/>
  <c r="G18" i="3" s="1"/>
  <c r="F22" i="3"/>
  <c r="G22" i="3" s="1"/>
  <c r="F26" i="3"/>
  <c r="F30" i="3"/>
  <c r="G30" i="3" s="1"/>
  <c r="F34" i="3"/>
  <c r="G34" i="3" s="1"/>
  <c r="F38" i="3"/>
  <c r="G38" i="3" s="1"/>
  <c r="F42" i="3"/>
  <c r="F46" i="3"/>
  <c r="G46" i="3" s="1"/>
  <c r="F12" i="3"/>
  <c r="F24" i="3"/>
  <c r="G24" i="3" s="1"/>
  <c r="F40" i="3"/>
  <c r="F8" i="3"/>
  <c r="F9" i="3"/>
  <c r="G9" i="3" s="1"/>
  <c r="F15" i="3"/>
  <c r="F19" i="3"/>
  <c r="F23" i="3"/>
  <c r="G23" i="3" s="1"/>
  <c r="F27" i="3"/>
  <c r="G27" i="3" s="1"/>
  <c r="F31" i="3"/>
  <c r="G31" i="3" s="1"/>
  <c r="F35" i="3"/>
  <c r="F39" i="3"/>
  <c r="G39" i="3" s="1"/>
  <c r="F43" i="3"/>
  <c r="G43" i="3" s="1"/>
  <c r="F47" i="3"/>
  <c r="G47" i="3" s="1"/>
  <c r="F7" i="3"/>
  <c r="F16" i="3"/>
  <c r="G16" i="3" s="1"/>
  <c r="F28" i="3"/>
  <c r="G28" i="3" s="1"/>
  <c r="F36" i="3"/>
  <c r="G36" i="3" s="1"/>
  <c r="F44" i="3"/>
  <c r="E74" i="2"/>
  <c r="G14" i="3"/>
  <c r="G20" i="3"/>
  <c r="G35" i="3"/>
  <c r="G19" i="3"/>
  <c r="G42" i="3"/>
  <c r="G26" i="3"/>
  <c r="G10" i="3"/>
  <c r="G45" i="3"/>
  <c r="G29" i="3"/>
  <c r="G13" i="3"/>
  <c r="G44" i="3"/>
  <c r="G12" i="3"/>
  <c r="G41" i="3"/>
  <c r="G25" i="3"/>
  <c r="G17" i="3"/>
  <c r="G11" i="3"/>
  <c r="G8" i="3"/>
  <c r="G40" i="3"/>
  <c r="G7" i="3"/>
  <c r="F48" i="3" l="1"/>
  <c r="G15" i="3"/>
  <c r="G48" i="3" s="1"/>
  <c r="I11" i="3"/>
  <c r="I12" i="3"/>
  <c r="I16" i="3"/>
  <c r="I20" i="3"/>
  <c r="I24" i="3"/>
  <c r="J24" i="3" s="1"/>
  <c r="M24" i="3" s="1"/>
  <c r="I28" i="3"/>
  <c r="I32" i="3"/>
  <c r="I36" i="3"/>
  <c r="I40" i="3"/>
  <c r="I44" i="3"/>
  <c r="I14" i="3"/>
  <c r="I26" i="3"/>
  <c r="I38" i="3"/>
  <c r="J38" i="3" s="1"/>
  <c r="M38" i="3" s="1"/>
  <c r="I7" i="3"/>
  <c r="I19" i="3"/>
  <c r="I31" i="3"/>
  <c r="I39" i="3"/>
  <c r="I10" i="3"/>
  <c r="I13" i="3"/>
  <c r="I17" i="3"/>
  <c r="I21" i="3"/>
  <c r="J21" i="3" s="1"/>
  <c r="M21" i="3" s="1"/>
  <c r="I25" i="3"/>
  <c r="I29" i="3"/>
  <c r="I33" i="3"/>
  <c r="I37" i="3"/>
  <c r="I41" i="3"/>
  <c r="I45" i="3"/>
  <c r="I8" i="3"/>
  <c r="I22" i="3"/>
  <c r="I34" i="3"/>
  <c r="I47" i="3"/>
  <c r="J47" i="3" s="1"/>
  <c r="M47" i="3" s="1"/>
  <c r="I9" i="3"/>
  <c r="I27" i="3"/>
  <c r="I46" i="3"/>
  <c r="I18" i="3"/>
  <c r="I30" i="3"/>
  <c r="I42" i="3"/>
  <c r="I15" i="3"/>
  <c r="I23" i="3"/>
  <c r="I35" i="3"/>
  <c r="I43" i="3"/>
  <c r="L38" i="3" l="1"/>
  <c r="J18" i="3"/>
  <c r="M18" i="3" s="1"/>
  <c r="L18" i="3"/>
  <c r="J29" i="3"/>
  <c r="M29" i="3" s="1"/>
  <c r="L29" i="3"/>
  <c r="J14" i="3"/>
  <c r="M14" i="3" s="1"/>
  <c r="L14" i="3"/>
  <c r="J15" i="3"/>
  <c r="M15" i="3" s="1"/>
  <c r="L15" i="3"/>
  <c r="J46" i="3"/>
  <c r="M46" i="3" s="1"/>
  <c r="L46" i="3"/>
  <c r="J34" i="3"/>
  <c r="M34" i="3" s="1"/>
  <c r="L34" i="3"/>
  <c r="J41" i="3"/>
  <c r="M41" i="3" s="1"/>
  <c r="L41" i="3"/>
  <c r="J25" i="3"/>
  <c r="M25" i="3" s="1"/>
  <c r="L25" i="3"/>
  <c r="J10" i="3"/>
  <c r="M10" i="3" s="1"/>
  <c r="L10" i="3"/>
  <c r="L7" i="3"/>
  <c r="J7" i="3"/>
  <c r="I48" i="3"/>
  <c r="J44" i="3"/>
  <c r="M44" i="3" s="1"/>
  <c r="L44" i="3"/>
  <c r="J28" i="3"/>
  <c r="M28" i="3" s="1"/>
  <c r="L28" i="3"/>
  <c r="J12" i="3"/>
  <c r="M12" i="3" s="1"/>
  <c r="L12" i="3"/>
  <c r="L47" i="3"/>
  <c r="J13" i="3"/>
  <c r="M13" i="3" s="1"/>
  <c r="L13" i="3"/>
  <c r="J32" i="3"/>
  <c r="M32" i="3" s="1"/>
  <c r="L32" i="3"/>
  <c r="J43" i="3"/>
  <c r="M43" i="3" s="1"/>
  <c r="L43" i="3"/>
  <c r="J27" i="3"/>
  <c r="M27" i="3" s="1"/>
  <c r="L27" i="3"/>
  <c r="J39" i="3"/>
  <c r="M39" i="3" s="1"/>
  <c r="L39" i="3"/>
  <c r="J40" i="3"/>
  <c r="M40" i="3" s="1"/>
  <c r="L40" i="3"/>
  <c r="J11" i="3"/>
  <c r="M11" i="3" s="1"/>
  <c r="L11" i="3"/>
  <c r="L24" i="3"/>
  <c r="J23" i="3"/>
  <c r="M23" i="3" s="1"/>
  <c r="L23" i="3"/>
  <c r="J45" i="3"/>
  <c r="M45" i="3" s="1"/>
  <c r="L45" i="3"/>
  <c r="J19" i="3"/>
  <c r="M19" i="3" s="1"/>
  <c r="L19" i="3"/>
  <c r="J16" i="3"/>
  <c r="M16" i="3" s="1"/>
  <c r="L16" i="3"/>
  <c r="J42" i="3"/>
  <c r="M42" i="3" s="1"/>
  <c r="L42" i="3"/>
  <c r="J22" i="3"/>
  <c r="M22" i="3" s="1"/>
  <c r="L22" i="3"/>
  <c r="J37" i="3"/>
  <c r="M37" i="3" s="1"/>
  <c r="L37" i="3"/>
  <c r="J35" i="3"/>
  <c r="M35" i="3" s="1"/>
  <c r="L35" i="3"/>
  <c r="J30" i="3"/>
  <c r="M30" i="3" s="1"/>
  <c r="L30" i="3"/>
  <c r="J9" i="3"/>
  <c r="M9" i="3" s="1"/>
  <c r="L9" i="3"/>
  <c r="J8" i="3"/>
  <c r="M8" i="3" s="1"/>
  <c r="L8" i="3"/>
  <c r="J33" i="3"/>
  <c r="M33" i="3" s="1"/>
  <c r="L33" i="3"/>
  <c r="J17" i="3"/>
  <c r="M17" i="3" s="1"/>
  <c r="L17" i="3"/>
  <c r="J31" i="3"/>
  <c r="M31" i="3" s="1"/>
  <c r="L31" i="3"/>
  <c r="J26" i="3"/>
  <c r="M26" i="3" s="1"/>
  <c r="L26" i="3"/>
  <c r="J36" i="3"/>
  <c r="M36" i="3" s="1"/>
  <c r="L36" i="3"/>
  <c r="J20" i="3"/>
  <c r="M20" i="3" s="1"/>
  <c r="L20" i="3"/>
  <c r="L21" i="3"/>
  <c r="L48" i="3" l="1"/>
  <c r="J48" i="3"/>
  <c r="M7" i="3"/>
  <c r="M48" i="3" s="1"/>
  <c r="C13" i="5" s="1"/>
</calcChain>
</file>

<file path=xl/sharedStrings.xml><?xml version="1.0" encoding="utf-8"?>
<sst xmlns="http://schemas.openxmlformats.org/spreadsheetml/2006/main" count="350" uniqueCount="75">
  <si>
    <t xml:space="preserve"> </t>
  </si>
  <si>
    <t>Male</t>
  </si>
  <si>
    <t>Female</t>
  </si>
  <si>
    <t>0-19</t>
  </si>
  <si>
    <t>20-49</t>
  </si>
  <si>
    <t>50-64</t>
  </si>
  <si>
    <t>65-80</t>
  </si>
  <si>
    <t>80+</t>
  </si>
  <si>
    <t>Time traveled (h/week)</t>
  </si>
  <si>
    <t>Average METs per week (METh/week)</t>
  </si>
  <si>
    <t>RR due to cycling</t>
  </si>
  <si>
    <t>PAF due to cycling</t>
  </si>
  <si>
    <t>Number of deaths avoided</t>
  </si>
  <si>
    <t>Together</t>
  </si>
  <si>
    <t>YLLs</t>
  </si>
  <si>
    <t>Total</t>
  </si>
  <si>
    <t>-</t>
  </si>
  <si>
    <t>Number of individual users per day</t>
  </si>
  <si>
    <t>Number of new cyclists</t>
  </si>
  <si>
    <t>Cycling</t>
  </si>
  <si>
    <t>Walking</t>
  </si>
  <si>
    <t>Combined</t>
  </si>
  <si>
    <t>Number of new cycling trips</t>
  </si>
  <si>
    <t>RR due to walking</t>
  </si>
  <si>
    <t>PAF due to walking</t>
  </si>
  <si>
    <t>Number of new pedestrian trips</t>
  </si>
  <si>
    <t>Percentage of trips involving return journey in same rout (reference: WebTAG Unit 5.1., January 2014)</t>
  </si>
  <si>
    <t>The number of days per year the new cyclists/walkers are assumed to use the new infrastructure (reference: WebTAG Unit 5.1., January 2014)</t>
  </si>
  <si>
    <t>Average Metabolically Equivalent Tasks (MET) for cycling (reference: Compendium of Physical Activities, https://sites.google.com/site/compendiumofphysicalactivities/)</t>
  </si>
  <si>
    <t>Average Metabolically Equivalent Tasks (MET) for walking (reference: Compendium of Physical Activities, https://sites.google.com/site/compendiumofphysicalactivities/)</t>
  </si>
  <si>
    <t>Relative risks (RRs) for all-cause mortality for cycling (reference: Kelly et al. 2014)</t>
  </si>
  <si>
    <t>Relative risks (RRs) for all-cause mortality for walking (reference: Kelly et al. 2014)</t>
  </si>
  <si>
    <t>Gender and age split of the observed main-mode cycle trips in England (reference: NTS 2012-14).</t>
  </si>
  <si>
    <t>Gender and age split of the observed main-mode walking trips in England (reference: NTS 2012-14).</t>
  </si>
  <si>
    <t>Observed mean distance (miles per trip) of main mode cycling trips in England (reference: NTS 2012-2014).</t>
  </si>
  <si>
    <t>Observed mean distance (miles per trip) of main mode walking trips in England (reference: NTS 2012-2014).</t>
  </si>
  <si>
    <t>Observed speed of main mode cycling trips (miles/hour) in England (reference: NTS 2012-2014).</t>
  </si>
  <si>
    <t>Observed speed of main mode walking trips (miles/hour) in England (reference: NTS 2012-2014).</t>
  </si>
  <si>
    <t>Year</t>
  </si>
  <si>
    <t>Discount (reference: provided by DfT)</t>
  </si>
  <si>
    <t>Background mortality rates by age and gender (reference: Global Burden of Disease Study 2015 results for England)</t>
  </si>
  <si>
    <t>Average Years of Life Lost (YLL) loss per death (reference: Global Burden of Disease Study 2015 results for England)</t>
  </si>
  <si>
    <t>User defined input values</t>
  </si>
  <si>
    <t>Number of new cycling trips:</t>
  </si>
  <si>
    <t>Number of new walking trips:</t>
  </si>
  <si>
    <t>Results</t>
  </si>
  <si>
    <t>Effectiveness of the infrastructure</t>
  </si>
  <si>
    <t>Number of YLLs avoided</t>
  </si>
  <si>
    <t>Economic benefits</t>
  </si>
  <si>
    <t>Usage of the new infrastructure</t>
  </si>
  <si>
    <t>Cost of life year in 2012 (reference: provided by DfT)</t>
  </si>
  <si>
    <t>Number of new pedestrians</t>
  </si>
  <si>
    <t>Costs of life year</t>
  </si>
  <si>
    <t>Selected economic value:</t>
  </si>
  <si>
    <t>Maximum benefits from walking (benefit cap)</t>
  </si>
  <si>
    <t>Maximum benefits from cycling (benefit cap)</t>
  </si>
  <si>
    <t>Assumed use days per week, calculated from assumed use days per year as above</t>
  </si>
  <si>
    <t>Distance traveled per week (miles/week)</t>
  </si>
  <si>
    <t>Current mean distance (miles per trip) of cycling trips</t>
  </si>
  <si>
    <t>Current mean distance (miles per trip) of walking trips</t>
  </si>
  <si>
    <t>Base year for the appraisal:</t>
  </si>
  <si>
    <t>Predefined QALY value.</t>
  </si>
  <si>
    <t>Can be any year after the 2010</t>
  </si>
  <si>
    <t>Value of statistical life (2012):</t>
  </si>
  <si>
    <t>Discount</t>
  </si>
  <si>
    <t>YLLs rounded to nearest integer.</t>
  </si>
  <si>
    <t>Discounted YLLs</t>
  </si>
  <si>
    <t>Discounted, average Years of Life Lost (YLL) loss per death</t>
  </si>
  <si>
    <t>Year after the attributable death</t>
  </si>
  <si>
    <t>Start year of the calculation:</t>
  </si>
  <si>
    <t>Total physical activity benefits for 20 years follow-up period):</t>
  </si>
  <si>
    <t>Predefined start year of the appraisal</t>
  </si>
  <si>
    <t>The year when infrastructure is ready</t>
  </si>
  <si>
    <t>Calculation of discounted YLLs for future years. Zero refers to year when the attributable deaths</t>
  </si>
  <si>
    <t>0-19 year factoring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</si>
</sst>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&quot;£&quot;#,##0"/>
    <numFmt numFmtId="166" formatCode="_-[$£-809]* #,##0.00_-;\-[$£-809]* #,##0.00_-;_-[$£-809]* &quot;-&quot;??_-;_-@_-"/>
    <numFmt numFmtId="167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4">
    <xf numFmtId="0" fontId="0" fillId="0" borderId="0" xfId="0"/>
    <xf numFmtId="2" fontId="0" fillId="0" borderId="0" xfId="0" applyNumberFormat="1" applyAlignment="1">
      <alignment wrapText="1"/>
    </xf>
    <xf numFmtId="0" fontId="2" fillId="2" borderId="0" xfId="2"/>
    <xf numFmtId="0" fontId="2" fillId="2" borderId="0" xfId="2" applyAlignment="1">
      <alignment horizontal="right"/>
    </xf>
    <xf numFmtId="0" fontId="3" fillId="3" borderId="0" xfId="3"/>
    <xf numFmtId="0" fontId="4" fillId="3" borderId="0" xfId="3" applyFont="1" applyAlignment="1">
      <alignment horizontal="left"/>
    </xf>
    <xf numFmtId="0" fontId="5" fillId="2" borderId="0" xfId="2" applyFont="1"/>
    <xf numFmtId="0" fontId="0" fillId="0" borderId="0" xfId="0" applyAlignment="1">
      <alignment wrapText="1"/>
    </xf>
    <xf numFmtId="2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0" xfId="0" applyFill="1"/>
    <xf numFmtId="9" fontId="0" fillId="7" borderId="0" xfId="0" applyNumberFormat="1" applyFill="1" applyAlignment="1">
      <alignment horizontal="center"/>
    </xf>
    <xf numFmtId="0" fontId="6" fillId="7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165" fontId="6" fillId="8" borderId="0" xfId="0" applyNumberFormat="1" applyFont="1" applyFill="1" applyAlignment="1">
      <alignment horizontal="center"/>
    </xf>
    <xf numFmtId="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1" fontId="0" fillId="10" borderId="0" xfId="0" applyNumberFormat="1" applyFill="1"/>
    <xf numFmtId="164" fontId="0" fillId="10" borderId="0" xfId="1" applyNumberFormat="1" applyFont="1" applyFill="1"/>
    <xf numFmtId="167" fontId="0" fillId="10" borderId="0" xfId="0" applyNumberFormat="1" applyFill="1"/>
    <xf numFmtId="0" fontId="4" fillId="3" borderId="0" xfId="3" applyFont="1" applyAlignment="1">
      <alignment wrapText="1"/>
    </xf>
    <xf numFmtId="166" fontId="4" fillId="3" borderId="0" xfId="3" applyNumberFormat="1" applyFont="1"/>
    <xf numFmtId="1" fontId="0" fillId="10" borderId="0" xfId="0" applyNumberFormat="1" applyFill="1"/>
    <xf numFmtId="1" fontId="0" fillId="10" borderId="0" xfId="0" applyNumberFormat="1" applyFill="1" applyAlignment="1">
      <alignment wrapText="1"/>
    </xf>
    <xf numFmtId="0" fontId="0" fillId="11" borderId="0" xfId="0" applyFill="1"/>
    <xf numFmtId="2" fontId="0" fillId="11" borderId="0" xfId="0" applyNumberFormat="1" applyFill="1"/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7" fontId="2" fillId="2" borderId="0" xfId="2" applyNumberFormat="1"/>
    <xf numFmtId="0" fontId="0" fillId="9" borderId="0" xfId="0" applyFill="1"/>
    <xf numFmtId="0" fontId="0" fillId="9" borderId="0" xfId="0" applyFill="1" applyAlignment="1">
      <alignment horizontal="right"/>
    </xf>
    <xf numFmtId="166" fontId="0" fillId="10" borderId="0" xfId="0" applyNumberFormat="1" applyFill="1"/>
    <xf numFmtId="0" fontId="6" fillId="0" borderId="0" xfId="0" applyFont="1"/>
    <xf numFmtId="0" fontId="0" fillId="0" borderId="0" xfId="0" applyFill="1"/>
    <xf numFmtId="0" fontId="6" fillId="12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1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6" fillId="10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9" borderId="0" xfId="0" applyFont="1" applyFill="1" applyAlignment="1">
      <alignment wrapText="1"/>
    </xf>
    <xf numFmtId="0" fontId="0" fillId="0" borderId="0" xfId="0" applyAlignment="1">
      <alignment wrapText="1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workbookViewId="0">
      <selection activeCell="D9" sqref="D9"/>
    </sheetView>
  </sheetViews>
  <sheetFormatPr defaultRowHeight="15" x14ac:dyDescent="0.25"/>
  <cols>
    <col min="2" max="2" width="33.140625" bestFit="1" customWidth="1"/>
    <col min="3" max="3" width="14.28515625" bestFit="1" customWidth="1"/>
  </cols>
  <sheetData>
    <row r="4" spans="2:5" x14ac:dyDescent="0.25">
      <c r="B4" s="6" t="s">
        <v>42</v>
      </c>
      <c r="C4" s="2"/>
    </row>
    <row r="5" spans="2:5" x14ac:dyDescent="0.25">
      <c r="B5" s="3" t="s">
        <v>43</v>
      </c>
      <c r="C5" s="2">
        <v>1000</v>
      </c>
    </row>
    <row r="6" spans="2:5" x14ac:dyDescent="0.25">
      <c r="B6" s="3" t="s">
        <v>44</v>
      </c>
      <c r="C6" s="2">
        <v>230</v>
      </c>
    </row>
    <row r="7" spans="2:5" x14ac:dyDescent="0.25">
      <c r="B7" s="2"/>
      <c r="C7" s="2"/>
    </row>
    <row r="8" spans="2:5" x14ac:dyDescent="0.25">
      <c r="B8" s="3" t="s">
        <v>60</v>
      </c>
      <c r="C8" s="2">
        <v>2010</v>
      </c>
      <c r="D8" s="46" t="s">
        <v>71</v>
      </c>
    </row>
    <row r="9" spans="2:5" x14ac:dyDescent="0.25">
      <c r="B9" s="3" t="s">
        <v>69</v>
      </c>
      <c r="C9" s="2">
        <v>2017</v>
      </c>
      <c r="D9" s="46" t="s">
        <v>62</v>
      </c>
    </row>
    <row r="10" spans="2:5" x14ac:dyDescent="0.25">
      <c r="B10" s="3" t="s">
        <v>63</v>
      </c>
      <c r="C10" s="42">
        <f>'Input values'!C66</f>
        <v>60000</v>
      </c>
    </row>
    <row r="12" spans="2:5" x14ac:dyDescent="0.25">
      <c r="B12" s="5" t="s">
        <v>45</v>
      </c>
      <c r="C12" s="4"/>
    </row>
    <row r="13" spans="2:5" ht="30" x14ac:dyDescent="0.25">
      <c r="B13" s="34" t="s">
        <v>70</v>
      </c>
      <c r="C13" s="35">
        <f>'Health effects summary'!M48</f>
        <v>7437779.5381252486</v>
      </c>
      <c r="D13" s="50"/>
      <c r="E13" s="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6"/>
  <sheetViews>
    <sheetView topLeftCell="A61" workbookViewId="0">
      <selection activeCell="F80" sqref="F80"/>
    </sheetView>
  </sheetViews>
  <sheetFormatPr defaultRowHeight="15" x14ac:dyDescent="0.25"/>
  <cols>
    <col min="2" max="2" width="10.140625" bestFit="1" customWidth="1"/>
    <col min="3" max="3" width="11" customWidth="1"/>
  </cols>
  <sheetData>
    <row r="3" spans="2:12" ht="54.75" customHeight="1" x14ac:dyDescent="0.25">
      <c r="B3" s="60" t="s">
        <v>26</v>
      </c>
      <c r="C3" s="60"/>
      <c r="D3" s="60"/>
      <c r="E3" s="60"/>
    </row>
    <row r="4" spans="2:12" x14ac:dyDescent="0.25">
      <c r="B4" s="28">
        <v>0.9</v>
      </c>
    </row>
    <row r="6" spans="2:12" ht="66" customHeight="1" x14ac:dyDescent="0.25">
      <c r="B6" s="60" t="s">
        <v>27</v>
      </c>
      <c r="C6" s="60"/>
      <c r="D6" s="60"/>
      <c r="E6" s="60"/>
    </row>
    <row r="7" spans="2:12" x14ac:dyDescent="0.25">
      <c r="B7" s="29">
        <v>220</v>
      </c>
    </row>
    <row r="9" spans="2:12" ht="36.75" customHeight="1" x14ac:dyDescent="0.25">
      <c r="B9" s="60" t="s">
        <v>56</v>
      </c>
      <c r="C9" s="60"/>
      <c r="D9" s="60"/>
      <c r="E9" s="60"/>
    </row>
    <row r="10" spans="2:12" x14ac:dyDescent="0.25">
      <c r="B10" s="30">
        <f>7*(B7/365)</f>
        <v>4.2191780821917808</v>
      </c>
    </row>
    <row r="12" spans="2:12" ht="87.75" customHeight="1" x14ac:dyDescent="0.25">
      <c r="B12" s="60" t="s">
        <v>28</v>
      </c>
      <c r="C12" s="60"/>
      <c r="D12" s="60"/>
      <c r="E12" s="60"/>
      <c r="I12" s="60" t="s">
        <v>29</v>
      </c>
      <c r="J12" s="60"/>
      <c r="K12" s="60"/>
      <c r="L12" s="60"/>
    </row>
    <row r="13" spans="2:12" x14ac:dyDescent="0.25">
      <c r="B13" s="29">
        <v>6.8</v>
      </c>
      <c r="I13" s="29">
        <v>3.3</v>
      </c>
    </row>
    <row r="15" spans="2:12" ht="52.5" customHeight="1" x14ac:dyDescent="0.25">
      <c r="B15" s="60" t="s">
        <v>30</v>
      </c>
      <c r="C15" s="60"/>
      <c r="D15" s="60"/>
      <c r="E15" s="60"/>
      <c r="I15" s="60" t="s">
        <v>31</v>
      </c>
      <c r="J15" s="60"/>
      <c r="K15" s="60"/>
      <c r="L15" s="60"/>
    </row>
    <row r="16" spans="2:12" x14ac:dyDescent="0.25">
      <c r="B16" s="29">
        <v>0.9</v>
      </c>
      <c r="I16" s="29">
        <v>0.9</v>
      </c>
    </row>
    <row r="17" spans="2:12" s="47" customFormat="1" x14ac:dyDescent="0.25"/>
    <row r="18" spans="2:12" s="47" customFormat="1" ht="42.75" customHeight="1" x14ac:dyDescent="0.25">
      <c r="B18" s="60" t="s">
        <v>55</v>
      </c>
      <c r="C18" s="60"/>
      <c r="D18" s="60"/>
      <c r="E18" s="60"/>
      <c r="I18" s="60" t="s">
        <v>54</v>
      </c>
      <c r="J18" s="60"/>
      <c r="K18" s="60"/>
      <c r="L18" s="60"/>
    </row>
    <row r="19" spans="2:12" s="47" customFormat="1" x14ac:dyDescent="0.25">
      <c r="B19" s="29">
        <v>0.55000000000000004</v>
      </c>
      <c r="C19"/>
      <c r="D19"/>
      <c r="E19"/>
      <c r="I19" s="30">
        <v>0.7</v>
      </c>
      <c r="J19"/>
      <c r="K19"/>
      <c r="L19"/>
    </row>
    <row r="20" spans="2:12" s="47" customFormat="1" ht="15" customHeight="1" x14ac:dyDescent="0.25"/>
    <row r="21" spans="2:12" s="47" customFormat="1" x14ac:dyDescent="0.25"/>
    <row r="22" spans="2:12" ht="52.5" customHeight="1" x14ac:dyDescent="0.25">
      <c r="B22" s="60" t="s">
        <v>32</v>
      </c>
      <c r="C22" s="60"/>
      <c r="D22" s="60"/>
      <c r="E22" s="60"/>
      <c r="I22" s="60" t="s">
        <v>33</v>
      </c>
      <c r="J22" s="60"/>
      <c r="K22" s="60"/>
      <c r="L22" s="60"/>
    </row>
    <row r="23" spans="2:12" x14ac:dyDescent="0.25">
      <c r="B23" s="29" t="s">
        <v>0</v>
      </c>
      <c r="C23" s="29" t="s">
        <v>1</v>
      </c>
      <c r="D23" s="29" t="s">
        <v>2</v>
      </c>
      <c r="E23" s="29" t="s">
        <v>15</v>
      </c>
      <c r="I23" s="29" t="s">
        <v>0</v>
      </c>
      <c r="J23" s="29" t="s">
        <v>1</v>
      </c>
      <c r="K23" s="29" t="s">
        <v>2</v>
      </c>
      <c r="L23" s="29" t="s">
        <v>15</v>
      </c>
    </row>
    <row r="24" spans="2:12" x14ac:dyDescent="0.25">
      <c r="B24" s="29" t="s">
        <v>3</v>
      </c>
      <c r="C24" s="28">
        <v>0.16</v>
      </c>
      <c r="D24" s="28">
        <v>0.04</v>
      </c>
      <c r="E24" s="28">
        <f>SUM(C24:D24)</f>
        <v>0.2</v>
      </c>
      <c r="I24" s="29" t="s">
        <v>3</v>
      </c>
      <c r="J24" s="28">
        <v>0.15</v>
      </c>
      <c r="K24" s="28">
        <v>0.15</v>
      </c>
      <c r="L24" s="28">
        <f>SUM(J24:K24)</f>
        <v>0.3</v>
      </c>
    </row>
    <row r="25" spans="2:12" x14ac:dyDescent="0.25">
      <c r="B25" s="29" t="s">
        <v>4</v>
      </c>
      <c r="C25" s="28">
        <v>0.39</v>
      </c>
      <c r="D25" s="28">
        <v>0.16</v>
      </c>
      <c r="E25" s="28">
        <f t="shared" ref="E25:E28" si="0">SUM(C25:D25)</f>
        <v>0.55000000000000004</v>
      </c>
      <c r="I25" s="29" t="s">
        <v>4</v>
      </c>
      <c r="J25" s="28">
        <v>0.17</v>
      </c>
      <c r="K25" s="28">
        <v>0.24</v>
      </c>
      <c r="L25" s="28">
        <f t="shared" ref="L25:L28" si="1">SUM(J25:K25)</f>
        <v>0.41000000000000003</v>
      </c>
    </row>
    <row r="26" spans="2:12" x14ac:dyDescent="0.25">
      <c r="B26" s="29" t="s">
        <v>5</v>
      </c>
      <c r="C26" s="28">
        <v>0.13</v>
      </c>
      <c r="D26" s="28">
        <v>0.05</v>
      </c>
      <c r="E26" s="28">
        <f t="shared" si="0"/>
        <v>0.18</v>
      </c>
      <c r="I26" s="29" t="s">
        <v>5</v>
      </c>
      <c r="J26" s="28">
        <v>7.0000000000000007E-2</v>
      </c>
      <c r="K26" s="28">
        <v>0.09</v>
      </c>
      <c r="L26" s="28">
        <f t="shared" si="1"/>
        <v>0.16</v>
      </c>
    </row>
    <row r="27" spans="2:12" x14ac:dyDescent="0.25">
      <c r="B27" s="29" t="s">
        <v>6</v>
      </c>
      <c r="C27" s="28">
        <v>0.05</v>
      </c>
      <c r="D27" s="28">
        <v>0.01</v>
      </c>
      <c r="E27" s="28">
        <f t="shared" si="0"/>
        <v>6.0000000000000005E-2</v>
      </c>
      <c r="I27" s="29" t="s">
        <v>6</v>
      </c>
      <c r="J27" s="28">
        <v>0.05</v>
      </c>
      <c r="K27" s="28">
        <v>0.05</v>
      </c>
      <c r="L27" s="28">
        <f t="shared" si="1"/>
        <v>0.1</v>
      </c>
    </row>
    <row r="28" spans="2:12" x14ac:dyDescent="0.25">
      <c r="B28" s="29" t="s">
        <v>7</v>
      </c>
      <c r="C28" s="28">
        <v>0.01</v>
      </c>
      <c r="D28" s="28">
        <v>0</v>
      </c>
      <c r="E28" s="28">
        <f t="shared" si="0"/>
        <v>0.01</v>
      </c>
      <c r="I28" s="29" t="s">
        <v>7</v>
      </c>
      <c r="J28" s="28">
        <v>0.01</v>
      </c>
      <c r="K28" s="28">
        <v>0.01</v>
      </c>
      <c r="L28" s="28">
        <f t="shared" si="1"/>
        <v>0.02</v>
      </c>
    </row>
    <row r="29" spans="2:12" x14ac:dyDescent="0.25">
      <c r="B29" s="29" t="s">
        <v>15</v>
      </c>
      <c r="C29" s="28">
        <f>SUM(C24:C28)</f>
        <v>0.7400000000000001</v>
      </c>
      <c r="D29" s="28">
        <f t="shared" ref="D29:E29" si="2">SUM(D24:D28)</f>
        <v>0.26</v>
      </c>
      <c r="E29" s="28">
        <f t="shared" si="2"/>
        <v>1</v>
      </c>
      <c r="I29" s="29" t="s">
        <v>15</v>
      </c>
      <c r="J29" s="28">
        <f>SUM(J24:J28)</f>
        <v>0.45</v>
      </c>
      <c r="K29" s="28">
        <f t="shared" ref="K29" si="3">SUM(K24:K28)</f>
        <v>0.54</v>
      </c>
      <c r="L29" s="28">
        <f t="shared" ref="L29" si="4">SUM(L24:L28)</f>
        <v>0.99</v>
      </c>
    </row>
    <row r="31" spans="2:12" ht="55.5" customHeight="1" x14ac:dyDescent="0.25">
      <c r="B31" s="62" t="s">
        <v>34</v>
      </c>
      <c r="C31" s="60"/>
      <c r="D31" s="60"/>
      <c r="E31" s="60"/>
      <c r="I31" s="62" t="s">
        <v>35</v>
      </c>
      <c r="J31" s="60"/>
      <c r="K31" s="60"/>
      <c r="L31" s="60"/>
    </row>
    <row r="32" spans="2:12" x14ac:dyDescent="0.25">
      <c r="B32" s="29" t="s">
        <v>0</v>
      </c>
      <c r="C32" s="29" t="s">
        <v>1</v>
      </c>
      <c r="D32" s="29" t="s">
        <v>2</v>
      </c>
      <c r="I32" s="29" t="s">
        <v>0</v>
      </c>
      <c r="J32" s="29" t="s">
        <v>1</v>
      </c>
      <c r="K32" s="29" t="s">
        <v>2</v>
      </c>
    </row>
    <row r="33" spans="2:12" x14ac:dyDescent="0.25">
      <c r="B33" s="29" t="s">
        <v>3</v>
      </c>
      <c r="C33" s="29">
        <v>1.81</v>
      </c>
      <c r="D33" s="29">
        <v>1.55</v>
      </c>
      <c r="I33" s="29" t="s">
        <v>3</v>
      </c>
      <c r="J33" s="29">
        <v>0.68</v>
      </c>
      <c r="K33" s="29">
        <v>0.64</v>
      </c>
    </row>
    <row r="34" spans="2:12" x14ac:dyDescent="0.25">
      <c r="B34" s="29" t="s">
        <v>4</v>
      </c>
      <c r="C34" s="29">
        <v>3.73</v>
      </c>
      <c r="D34" s="29">
        <v>2.4900000000000002</v>
      </c>
      <c r="I34" s="29" t="s">
        <v>4</v>
      </c>
      <c r="J34" s="29">
        <v>0.74</v>
      </c>
      <c r="K34" s="29">
        <v>0.67</v>
      </c>
    </row>
    <row r="35" spans="2:12" x14ac:dyDescent="0.25">
      <c r="B35" s="29" t="s">
        <v>5</v>
      </c>
      <c r="C35" s="29">
        <v>3.92</v>
      </c>
      <c r="D35" s="29">
        <v>2.33</v>
      </c>
      <c r="I35" s="29" t="s">
        <v>5</v>
      </c>
      <c r="J35" s="29">
        <v>0.76</v>
      </c>
      <c r="K35" s="29">
        <v>0.73</v>
      </c>
    </row>
    <row r="36" spans="2:12" x14ac:dyDescent="0.25">
      <c r="B36" s="29" t="s">
        <v>6</v>
      </c>
      <c r="C36" s="29">
        <v>2.79</v>
      </c>
      <c r="D36" s="29">
        <v>1.71</v>
      </c>
      <c r="I36" s="29" t="s">
        <v>6</v>
      </c>
      <c r="J36" s="29">
        <v>0.73</v>
      </c>
      <c r="K36" s="29">
        <v>0.68</v>
      </c>
    </row>
    <row r="37" spans="2:12" x14ac:dyDescent="0.25">
      <c r="B37" s="29" t="s">
        <v>7</v>
      </c>
      <c r="C37" s="29">
        <v>2.04</v>
      </c>
      <c r="D37" s="29">
        <v>1.05</v>
      </c>
      <c r="I37" s="29" t="s">
        <v>7</v>
      </c>
      <c r="J37" s="29">
        <v>0.6</v>
      </c>
      <c r="K37" s="29">
        <v>0.53</v>
      </c>
    </row>
    <row r="39" spans="2:12" ht="47.25" customHeight="1" x14ac:dyDescent="0.25">
      <c r="B39" s="60" t="s">
        <v>36</v>
      </c>
      <c r="C39" s="60"/>
      <c r="D39" s="60"/>
      <c r="E39" s="60"/>
      <c r="I39" s="60" t="s">
        <v>37</v>
      </c>
      <c r="J39" s="60"/>
      <c r="K39" s="60"/>
      <c r="L39" s="60"/>
    </row>
    <row r="40" spans="2:12" x14ac:dyDescent="0.25">
      <c r="B40" s="29" t="s">
        <v>0</v>
      </c>
      <c r="C40" s="29" t="s">
        <v>1</v>
      </c>
      <c r="D40" s="29" t="s">
        <v>2</v>
      </c>
      <c r="I40" s="29" t="s">
        <v>0</v>
      </c>
      <c r="J40" s="29" t="s">
        <v>1</v>
      </c>
      <c r="K40" s="29" t="s">
        <v>2</v>
      </c>
    </row>
    <row r="41" spans="2:12" x14ac:dyDescent="0.25">
      <c r="B41" s="29" t="s">
        <v>3</v>
      </c>
      <c r="C41" s="29">
        <v>6.12</v>
      </c>
      <c r="D41" s="29">
        <v>4.45</v>
      </c>
      <c r="I41" s="29" t="s">
        <v>3</v>
      </c>
      <c r="J41" s="29">
        <v>2.5499999999999998</v>
      </c>
      <c r="K41" s="29">
        <v>2.5299999999999998</v>
      </c>
    </row>
    <row r="42" spans="2:12" x14ac:dyDescent="0.25">
      <c r="B42" s="29" t="s">
        <v>4</v>
      </c>
      <c r="C42" s="29">
        <v>9.1199999999999992</v>
      </c>
      <c r="D42" s="29">
        <v>7.22</v>
      </c>
      <c r="I42" s="29" t="s">
        <v>4</v>
      </c>
      <c r="J42" s="29">
        <v>2.74</v>
      </c>
      <c r="K42" s="29">
        <v>2.6</v>
      </c>
    </row>
    <row r="43" spans="2:12" x14ac:dyDescent="0.25">
      <c r="B43" s="29" t="s">
        <v>5</v>
      </c>
      <c r="C43" s="29">
        <v>8.91</v>
      </c>
      <c r="D43" s="29">
        <v>7.07</v>
      </c>
      <c r="I43" s="29" t="s">
        <v>5</v>
      </c>
      <c r="J43" s="29">
        <v>2.62</v>
      </c>
      <c r="K43" s="29">
        <v>2.4900000000000002</v>
      </c>
    </row>
    <row r="44" spans="2:12" x14ac:dyDescent="0.25">
      <c r="B44" s="29" t="s">
        <v>6</v>
      </c>
      <c r="C44" s="29">
        <v>7.48</v>
      </c>
      <c r="D44" s="29">
        <v>5.99</v>
      </c>
      <c r="I44" s="29" t="s">
        <v>6</v>
      </c>
      <c r="J44" s="29">
        <v>2.4900000000000002</v>
      </c>
      <c r="K44" s="29">
        <v>2.35</v>
      </c>
    </row>
    <row r="45" spans="2:12" x14ac:dyDescent="0.25">
      <c r="B45" s="29" t="s">
        <v>7</v>
      </c>
      <c r="C45" s="29">
        <v>7.99</v>
      </c>
      <c r="D45" s="29">
        <v>4.2</v>
      </c>
      <c r="I45" s="29" t="s">
        <v>7</v>
      </c>
      <c r="J45" s="29">
        <v>2.11</v>
      </c>
      <c r="K45" s="29">
        <v>2.04</v>
      </c>
    </row>
    <row r="47" spans="2:12" ht="57" customHeight="1" x14ac:dyDescent="0.25">
      <c r="B47" s="62" t="s">
        <v>40</v>
      </c>
      <c r="C47" s="60"/>
      <c r="D47" s="60"/>
      <c r="E47" s="60"/>
    </row>
    <row r="48" spans="2:12" x14ac:dyDescent="0.25">
      <c r="B48" s="29" t="s">
        <v>0</v>
      </c>
      <c r="C48" s="29" t="s">
        <v>1</v>
      </c>
      <c r="D48" s="29" t="s">
        <v>2</v>
      </c>
    </row>
    <row r="49" spans="2:5" x14ac:dyDescent="0.25">
      <c r="B49" s="29" t="s">
        <v>3</v>
      </c>
      <c r="C49" s="31">
        <v>4.1948717173378899E-4</v>
      </c>
      <c r="D49" s="31">
        <v>3.1919321122592001E-4</v>
      </c>
    </row>
    <row r="50" spans="2:5" x14ac:dyDescent="0.25">
      <c r="B50" s="29" t="s">
        <v>4</v>
      </c>
      <c r="C50" s="31">
        <v>1.18334298674454E-3</v>
      </c>
      <c r="D50" s="31">
        <v>7.1164006327974899E-4</v>
      </c>
    </row>
    <row r="51" spans="2:5" x14ac:dyDescent="0.25">
      <c r="B51" s="29" t="s">
        <v>5</v>
      </c>
      <c r="C51" s="31">
        <v>6.2669269549709104E-3</v>
      </c>
      <c r="D51" s="31">
        <v>4.1887163509619404E-3</v>
      </c>
    </row>
    <row r="52" spans="2:5" x14ac:dyDescent="0.25">
      <c r="B52" s="29" t="s">
        <v>6</v>
      </c>
      <c r="C52" s="29">
        <v>2.45914379795143E-2</v>
      </c>
      <c r="D52" s="29">
        <v>1.66862646623137E-2</v>
      </c>
    </row>
    <row r="53" spans="2:5" x14ac:dyDescent="0.25">
      <c r="B53" s="29" t="s">
        <v>7</v>
      </c>
      <c r="C53" s="29">
        <v>0.1147066504</v>
      </c>
      <c r="D53" s="29">
        <v>9.9484272299999899E-2</v>
      </c>
    </row>
    <row r="55" spans="2:5" ht="57" customHeight="1" x14ac:dyDescent="0.25">
      <c r="B55" s="60" t="s">
        <v>67</v>
      </c>
      <c r="C55" s="60"/>
      <c r="D55" s="60"/>
      <c r="E55" s="60"/>
    </row>
    <row r="56" spans="2:5" x14ac:dyDescent="0.25">
      <c r="B56" s="29" t="s">
        <v>0</v>
      </c>
      <c r="C56" s="29" t="s">
        <v>1</v>
      </c>
      <c r="D56" s="29" t="s">
        <v>2</v>
      </c>
    </row>
    <row r="57" spans="2:5" x14ac:dyDescent="0.25">
      <c r="B57" s="29" t="s">
        <v>3</v>
      </c>
      <c r="C57" s="30">
        <f>'YLL discount'!E21</f>
        <v>47.706722654332303</v>
      </c>
      <c r="D57" s="30">
        <f>'YLL discount'!F21</f>
        <v>48.001697196386509</v>
      </c>
    </row>
    <row r="58" spans="2:5" x14ac:dyDescent="0.25">
      <c r="B58" s="29" t="s">
        <v>4</v>
      </c>
      <c r="C58" s="30">
        <f>'YLL discount'!E22</f>
        <v>34.056489829526377</v>
      </c>
      <c r="D58" s="30">
        <f>'YLL discount'!F22</f>
        <v>33.552337176969267</v>
      </c>
    </row>
    <row r="59" spans="2:5" x14ac:dyDescent="0.25">
      <c r="B59" s="29" t="s">
        <v>5</v>
      </c>
      <c r="C59" s="30">
        <f>'YLL discount'!E23</f>
        <v>23.726716709972553</v>
      </c>
      <c r="D59" s="30">
        <f>'YLL discount'!F23</f>
        <v>23.726716709972553</v>
      </c>
    </row>
    <row r="60" spans="2:5" x14ac:dyDescent="0.25">
      <c r="B60" s="29" t="s">
        <v>6</v>
      </c>
      <c r="C60" s="30">
        <f>'YLL discount'!E24</f>
        <v>15.131264045332658</v>
      </c>
      <c r="D60" s="30">
        <f>'YLL discount'!F24</f>
        <v>14.343233006012646</v>
      </c>
    </row>
    <row r="61" spans="2:5" x14ac:dyDescent="0.25">
      <c r="B61" s="29" t="s">
        <v>7</v>
      </c>
      <c r="C61" s="30">
        <f>'YLL discount'!E25</f>
        <v>5.7826449729573772</v>
      </c>
      <c r="D61" s="30">
        <f>'YLL discount'!F25</f>
        <v>5.7826449729573772</v>
      </c>
    </row>
    <row r="64" spans="2:5" ht="30" customHeight="1" x14ac:dyDescent="0.25">
      <c r="B64" s="60" t="s">
        <v>50</v>
      </c>
      <c r="C64" s="60"/>
      <c r="D64" s="60"/>
      <c r="E64" s="60"/>
    </row>
    <row r="65" spans="2:5" ht="30" x14ac:dyDescent="0.25">
      <c r="B65" s="29" t="s">
        <v>38</v>
      </c>
      <c r="C65" s="41" t="s">
        <v>52</v>
      </c>
      <c r="E65" s="46"/>
    </row>
    <row r="66" spans="2:5" x14ac:dyDescent="0.25">
      <c r="B66" s="29">
        <v>2012</v>
      </c>
      <c r="C66" s="33">
        <v>60000</v>
      </c>
      <c r="D66" t="s">
        <v>61</v>
      </c>
    </row>
    <row r="68" spans="2:5" x14ac:dyDescent="0.25">
      <c r="B68" s="60" t="s">
        <v>39</v>
      </c>
      <c r="C68" s="60"/>
      <c r="D68" s="60"/>
      <c r="E68" s="60"/>
    </row>
    <row r="69" spans="2:5" x14ac:dyDescent="0.25">
      <c r="B69" s="32">
        <v>1.4999999999999999E-2</v>
      </c>
    </row>
    <row r="71" spans="2:5" x14ac:dyDescent="0.25">
      <c r="B71" s="43" t="s">
        <v>72</v>
      </c>
      <c r="C71" s="43"/>
      <c r="D71" s="43"/>
      <c r="E71" s="43"/>
    </row>
    <row r="72" spans="2:5" x14ac:dyDescent="0.25">
      <c r="B72" s="29">
        <f>IF('Scenario setup and results'!C9&lt;2010, 2010, 'Scenario setup and results'!C9)</f>
        <v>2017</v>
      </c>
    </row>
    <row r="74" spans="2:5" x14ac:dyDescent="0.25">
      <c r="B74" s="60" t="s">
        <v>49</v>
      </c>
      <c r="C74" s="60"/>
      <c r="D74" s="60"/>
      <c r="E74" s="60"/>
    </row>
    <row r="75" spans="2:5" ht="38.25" customHeight="1" x14ac:dyDescent="0.25">
      <c r="B75" s="29" t="s">
        <v>38</v>
      </c>
      <c r="C75" s="61" t="s">
        <v>46</v>
      </c>
      <c r="D75" s="61"/>
    </row>
    <row r="76" spans="2:5" x14ac:dyDescent="0.25">
      <c r="B76" s="29">
        <f>'Scenario setup and results'!C8</f>
        <v>2010</v>
      </c>
      <c r="C76" s="28">
        <f>IF(B76&lt;$B$72, 0, IF(B76&lt;=$B$72+20, 1, 0))</f>
        <v>0</v>
      </c>
    </row>
    <row r="77" spans="2:5" x14ac:dyDescent="0.25">
      <c r="B77" s="29">
        <f>B76+1</f>
        <v>2011</v>
      </c>
      <c r="C77" s="28">
        <f t="shared" ref="C77:C116" si="5">IF(B77&lt;$B$72, 0, IF(B77&lt;=$B$72+20, 1, 0))</f>
        <v>0</v>
      </c>
    </row>
    <row r="78" spans="2:5" x14ac:dyDescent="0.25">
      <c r="B78" s="29">
        <f t="shared" ref="B78:B95" si="6">B77+1</f>
        <v>2012</v>
      </c>
      <c r="C78" s="28">
        <f t="shared" si="5"/>
        <v>0</v>
      </c>
    </row>
    <row r="79" spans="2:5" x14ac:dyDescent="0.25">
      <c r="B79" s="29">
        <f t="shared" si="6"/>
        <v>2013</v>
      </c>
      <c r="C79" s="28">
        <f t="shared" si="5"/>
        <v>0</v>
      </c>
    </row>
    <row r="80" spans="2:5" x14ac:dyDescent="0.25">
      <c r="B80" s="29">
        <f t="shared" si="6"/>
        <v>2014</v>
      </c>
      <c r="C80" s="28">
        <f t="shared" si="5"/>
        <v>0</v>
      </c>
    </row>
    <row r="81" spans="2:3" x14ac:dyDescent="0.25">
      <c r="B81" s="29">
        <f t="shared" si="6"/>
        <v>2015</v>
      </c>
      <c r="C81" s="28">
        <f t="shared" si="5"/>
        <v>0</v>
      </c>
    </row>
    <row r="82" spans="2:3" x14ac:dyDescent="0.25">
      <c r="B82" s="29">
        <f t="shared" si="6"/>
        <v>2016</v>
      </c>
      <c r="C82" s="28">
        <f t="shared" si="5"/>
        <v>0</v>
      </c>
    </row>
    <row r="83" spans="2:3" x14ac:dyDescent="0.25">
      <c r="B83" s="29">
        <f t="shared" si="6"/>
        <v>2017</v>
      </c>
      <c r="C83" s="28">
        <f t="shared" si="5"/>
        <v>1</v>
      </c>
    </row>
    <row r="84" spans="2:3" x14ac:dyDescent="0.25">
      <c r="B84" s="29">
        <f t="shared" si="6"/>
        <v>2018</v>
      </c>
      <c r="C84" s="28">
        <f t="shared" si="5"/>
        <v>1</v>
      </c>
    </row>
    <row r="85" spans="2:3" x14ac:dyDescent="0.25">
      <c r="B85" s="29">
        <f t="shared" si="6"/>
        <v>2019</v>
      </c>
      <c r="C85" s="28">
        <f t="shared" si="5"/>
        <v>1</v>
      </c>
    </row>
    <row r="86" spans="2:3" x14ac:dyDescent="0.25">
      <c r="B86" s="29">
        <f t="shared" si="6"/>
        <v>2020</v>
      </c>
      <c r="C86" s="28">
        <f t="shared" si="5"/>
        <v>1</v>
      </c>
    </row>
    <row r="87" spans="2:3" x14ac:dyDescent="0.25">
      <c r="B87" s="29">
        <f t="shared" si="6"/>
        <v>2021</v>
      </c>
      <c r="C87" s="28">
        <f t="shared" si="5"/>
        <v>1</v>
      </c>
    </row>
    <row r="88" spans="2:3" x14ac:dyDescent="0.25">
      <c r="B88" s="29">
        <f t="shared" si="6"/>
        <v>2022</v>
      </c>
      <c r="C88" s="28">
        <f t="shared" si="5"/>
        <v>1</v>
      </c>
    </row>
    <row r="89" spans="2:3" x14ac:dyDescent="0.25">
      <c r="B89" s="29">
        <f t="shared" si="6"/>
        <v>2023</v>
      </c>
      <c r="C89" s="28">
        <f t="shared" si="5"/>
        <v>1</v>
      </c>
    </row>
    <row r="90" spans="2:3" x14ac:dyDescent="0.25">
      <c r="B90" s="29">
        <f t="shared" si="6"/>
        <v>2024</v>
      </c>
      <c r="C90" s="28">
        <f t="shared" si="5"/>
        <v>1</v>
      </c>
    </row>
    <row r="91" spans="2:3" x14ac:dyDescent="0.25">
      <c r="B91" s="29">
        <f t="shared" si="6"/>
        <v>2025</v>
      </c>
      <c r="C91" s="28">
        <f t="shared" si="5"/>
        <v>1</v>
      </c>
    </row>
    <row r="92" spans="2:3" x14ac:dyDescent="0.25">
      <c r="B92" s="29">
        <f t="shared" si="6"/>
        <v>2026</v>
      </c>
      <c r="C92" s="28">
        <f t="shared" si="5"/>
        <v>1</v>
      </c>
    </row>
    <row r="93" spans="2:3" x14ac:dyDescent="0.25">
      <c r="B93" s="29">
        <f t="shared" si="6"/>
        <v>2027</v>
      </c>
      <c r="C93" s="28">
        <f t="shared" si="5"/>
        <v>1</v>
      </c>
    </row>
    <row r="94" spans="2:3" x14ac:dyDescent="0.25">
      <c r="B94" s="29">
        <f t="shared" si="6"/>
        <v>2028</v>
      </c>
      <c r="C94" s="28">
        <f t="shared" si="5"/>
        <v>1</v>
      </c>
    </row>
    <row r="95" spans="2:3" x14ac:dyDescent="0.25">
      <c r="B95" s="29">
        <f t="shared" si="6"/>
        <v>2029</v>
      </c>
      <c r="C95" s="28">
        <f t="shared" si="5"/>
        <v>1</v>
      </c>
    </row>
    <row r="96" spans="2:3" x14ac:dyDescent="0.25">
      <c r="B96" s="29">
        <f>B95+1</f>
        <v>2030</v>
      </c>
      <c r="C96" s="28">
        <f t="shared" si="5"/>
        <v>1</v>
      </c>
    </row>
    <row r="97" spans="2:3" x14ac:dyDescent="0.25">
      <c r="B97" s="29">
        <f t="shared" ref="B97:B116" si="7">B96+1</f>
        <v>2031</v>
      </c>
      <c r="C97" s="28">
        <f t="shared" si="5"/>
        <v>1</v>
      </c>
    </row>
    <row r="98" spans="2:3" x14ac:dyDescent="0.25">
      <c r="B98" s="29">
        <f t="shared" si="7"/>
        <v>2032</v>
      </c>
      <c r="C98" s="28">
        <f t="shared" si="5"/>
        <v>1</v>
      </c>
    </row>
    <row r="99" spans="2:3" x14ac:dyDescent="0.25">
      <c r="B99" s="29">
        <f t="shared" si="7"/>
        <v>2033</v>
      </c>
      <c r="C99" s="28">
        <f t="shared" si="5"/>
        <v>1</v>
      </c>
    </row>
    <row r="100" spans="2:3" x14ac:dyDescent="0.25">
      <c r="B100" s="29">
        <f t="shared" si="7"/>
        <v>2034</v>
      </c>
      <c r="C100" s="28">
        <f t="shared" si="5"/>
        <v>1</v>
      </c>
    </row>
    <row r="101" spans="2:3" x14ac:dyDescent="0.25">
      <c r="B101" s="29">
        <f t="shared" si="7"/>
        <v>2035</v>
      </c>
      <c r="C101" s="28">
        <f t="shared" si="5"/>
        <v>1</v>
      </c>
    </row>
    <row r="102" spans="2:3" x14ac:dyDescent="0.25">
      <c r="B102" s="29">
        <f t="shared" si="7"/>
        <v>2036</v>
      </c>
      <c r="C102" s="28">
        <f t="shared" si="5"/>
        <v>1</v>
      </c>
    </row>
    <row r="103" spans="2:3" x14ac:dyDescent="0.25">
      <c r="B103" s="29">
        <f t="shared" si="7"/>
        <v>2037</v>
      </c>
      <c r="C103" s="28">
        <f t="shared" si="5"/>
        <v>1</v>
      </c>
    </row>
    <row r="104" spans="2:3" x14ac:dyDescent="0.25">
      <c r="B104" s="29">
        <f t="shared" si="7"/>
        <v>2038</v>
      </c>
      <c r="C104" s="28">
        <f t="shared" si="5"/>
        <v>0</v>
      </c>
    </row>
    <row r="105" spans="2:3" x14ac:dyDescent="0.25">
      <c r="B105" s="29">
        <f t="shared" si="7"/>
        <v>2039</v>
      </c>
      <c r="C105" s="28">
        <f t="shared" si="5"/>
        <v>0</v>
      </c>
    </row>
    <row r="106" spans="2:3" x14ac:dyDescent="0.25">
      <c r="B106" s="29">
        <f t="shared" si="7"/>
        <v>2040</v>
      </c>
      <c r="C106" s="28">
        <f t="shared" si="5"/>
        <v>0</v>
      </c>
    </row>
    <row r="107" spans="2:3" x14ac:dyDescent="0.25">
      <c r="B107" s="29">
        <f t="shared" si="7"/>
        <v>2041</v>
      </c>
      <c r="C107" s="28">
        <f t="shared" si="5"/>
        <v>0</v>
      </c>
    </row>
    <row r="108" spans="2:3" x14ac:dyDescent="0.25">
      <c r="B108" s="29">
        <f t="shared" si="7"/>
        <v>2042</v>
      </c>
      <c r="C108" s="28">
        <f t="shared" si="5"/>
        <v>0</v>
      </c>
    </row>
    <row r="109" spans="2:3" x14ac:dyDescent="0.25">
      <c r="B109" s="29">
        <f t="shared" si="7"/>
        <v>2043</v>
      </c>
      <c r="C109" s="28">
        <f t="shared" si="5"/>
        <v>0</v>
      </c>
    </row>
    <row r="110" spans="2:3" x14ac:dyDescent="0.25">
      <c r="B110" s="29">
        <f t="shared" si="7"/>
        <v>2044</v>
      </c>
      <c r="C110" s="28">
        <f t="shared" si="5"/>
        <v>0</v>
      </c>
    </row>
    <row r="111" spans="2:3" x14ac:dyDescent="0.25">
      <c r="B111" s="29">
        <f t="shared" si="7"/>
        <v>2045</v>
      </c>
      <c r="C111" s="28">
        <f t="shared" si="5"/>
        <v>0</v>
      </c>
    </row>
    <row r="112" spans="2:3" x14ac:dyDescent="0.25">
      <c r="B112" s="29">
        <f t="shared" si="7"/>
        <v>2046</v>
      </c>
      <c r="C112" s="28">
        <f t="shared" si="5"/>
        <v>0</v>
      </c>
    </row>
    <row r="113" spans="2:3" x14ac:dyDescent="0.25">
      <c r="B113" s="29">
        <f t="shared" si="7"/>
        <v>2047</v>
      </c>
      <c r="C113" s="28">
        <f t="shared" si="5"/>
        <v>0</v>
      </c>
    </row>
    <row r="114" spans="2:3" x14ac:dyDescent="0.25">
      <c r="B114" s="29">
        <f t="shared" si="7"/>
        <v>2048</v>
      </c>
      <c r="C114" s="28">
        <f t="shared" si="5"/>
        <v>0</v>
      </c>
    </row>
    <row r="115" spans="2:3" x14ac:dyDescent="0.25">
      <c r="B115" s="29">
        <f t="shared" si="7"/>
        <v>2049</v>
      </c>
      <c r="C115" s="28">
        <f t="shared" si="5"/>
        <v>0</v>
      </c>
    </row>
    <row r="116" spans="2:3" x14ac:dyDescent="0.25">
      <c r="B116" s="29">
        <f t="shared" si="7"/>
        <v>2050</v>
      </c>
      <c r="C116" s="28">
        <f t="shared" si="5"/>
        <v>0</v>
      </c>
    </row>
  </sheetData>
  <mergeCells count="21">
    <mergeCell ref="I18:L18"/>
    <mergeCell ref="B18:E18"/>
    <mergeCell ref="B47:E47"/>
    <mergeCell ref="B55:E55"/>
    <mergeCell ref="B64:E64"/>
    <mergeCell ref="B68:E68"/>
    <mergeCell ref="C75:D75"/>
    <mergeCell ref="B74:E74"/>
    <mergeCell ref="B22:E22"/>
    <mergeCell ref="I22:L22"/>
    <mergeCell ref="B31:E31"/>
    <mergeCell ref="I31:L31"/>
    <mergeCell ref="B39:E39"/>
    <mergeCell ref="I39:L39"/>
    <mergeCell ref="B15:E15"/>
    <mergeCell ref="I15:L15"/>
    <mergeCell ref="B3:E3"/>
    <mergeCell ref="B6:E6"/>
    <mergeCell ref="B9:E9"/>
    <mergeCell ref="B12:E12"/>
    <mergeCell ref="I12:L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5"/>
  <sheetViews>
    <sheetView workbookViewId="0">
      <selection activeCell="C8" sqref="C8"/>
    </sheetView>
  </sheetViews>
  <sheetFormatPr defaultRowHeight="15" x14ac:dyDescent="0.25"/>
  <cols>
    <col min="1" max="1" width="22.28515625" customWidth="1"/>
    <col min="2" max="2" width="21.42578125" customWidth="1"/>
    <col min="4" max="4" width="11.7109375" customWidth="1"/>
    <col min="5" max="5" width="13.42578125" customWidth="1"/>
    <col min="6" max="6" width="21.28515625" customWidth="1"/>
  </cols>
  <sheetData>
    <row r="3" spans="1:7" ht="48" customHeight="1" x14ac:dyDescent="0.25">
      <c r="A3" s="60" t="s">
        <v>73</v>
      </c>
      <c r="B3" s="60"/>
      <c r="D3" s="60" t="s">
        <v>41</v>
      </c>
      <c r="E3" s="63"/>
      <c r="F3" s="63"/>
      <c r="G3" s="53"/>
    </row>
    <row r="4" spans="1:7" ht="30" x14ac:dyDescent="0.25">
      <c r="A4" s="58" t="s">
        <v>68</v>
      </c>
      <c r="B4" s="59" t="s">
        <v>64</v>
      </c>
      <c r="D4" s="29" t="s">
        <v>0</v>
      </c>
      <c r="E4" s="54" t="s">
        <v>1</v>
      </c>
      <c r="F4" s="54" t="s">
        <v>2</v>
      </c>
    </row>
    <row r="5" spans="1:7" x14ac:dyDescent="0.25">
      <c r="A5" s="54">
        <v>0</v>
      </c>
      <c r="B5" s="56">
        <f>((1/(1+'Input values'!$B$69))^(A5))</f>
        <v>1</v>
      </c>
      <c r="D5" s="29" t="s">
        <v>3</v>
      </c>
      <c r="E5" s="56">
        <v>81.658210084358899</v>
      </c>
      <c r="F5" s="56">
        <v>82.812420791846293</v>
      </c>
    </row>
    <row r="6" spans="1:7" x14ac:dyDescent="0.25">
      <c r="A6" s="54">
        <f>A5+1</f>
        <v>1</v>
      </c>
      <c r="B6" s="56">
        <f>((1/(1+'Input values'!$B$69))^(A6))</f>
        <v>0.98522167487684742</v>
      </c>
      <c r="D6" s="29" t="s">
        <v>4</v>
      </c>
      <c r="E6" s="56">
        <v>47.237508970106497</v>
      </c>
      <c r="F6" s="56">
        <v>45.877104151250698</v>
      </c>
    </row>
    <row r="7" spans="1:7" x14ac:dyDescent="0.25">
      <c r="A7" s="54">
        <f t="shared" ref="A7:A70" si="0">A6+1</f>
        <v>2</v>
      </c>
      <c r="B7" s="56">
        <f>((1/(1+'Input values'!$B$69))^(A7))</f>
        <v>0.97066174864714039</v>
      </c>
      <c r="D7" s="29" t="s">
        <v>5</v>
      </c>
      <c r="E7" s="56">
        <v>28.9089051134439</v>
      </c>
      <c r="F7" s="56">
        <v>28.953780308547199</v>
      </c>
    </row>
    <row r="8" spans="1:7" x14ac:dyDescent="0.25">
      <c r="A8" s="54">
        <f t="shared" si="0"/>
        <v>3</v>
      </c>
      <c r="B8" s="56">
        <f>((1/(1+'Input values'!$B$69))^(A8))</f>
        <v>0.95631699374102519</v>
      </c>
      <c r="D8" s="29" t="s">
        <v>6</v>
      </c>
      <c r="E8" s="56">
        <v>16.5566239073063</v>
      </c>
      <c r="F8" s="56">
        <v>16.3372861984646</v>
      </c>
    </row>
    <row r="9" spans="1:7" x14ac:dyDescent="0.25">
      <c r="A9" s="54">
        <f t="shared" si="0"/>
        <v>4</v>
      </c>
      <c r="B9" s="56">
        <f>((1/(1+'Input values'!$B$69))^(A9))</f>
        <v>0.94218423028672438</v>
      </c>
      <c r="C9" s="52"/>
      <c r="D9" s="29" t="s">
        <v>7</v>
      </c>
      <c r="E9" s="56">
        <v>6.4395633626931499</v>
      </c>
      <c r="F9" s="56">
        <v>5.6984871744911096</v>
      </c>
    </row>
    <row r="10" spans="1:7" x14ac:dyDescent="0.25">
      <c r="A10" s="54">
        <f t="shared" si="0"/>
        <v>5</v>
      </c>
      <c r="B10" s="56">
        <f>((1/(1+'Input values'!$B$69))^(A10))</f>
        <v>0.92826032540563985</v>
      </c>
      <c r="E10" s="55"/>
      <c r="F10" s="55"/>
    </row>
    <row r="11" spans="1:7" x14ac:dyDescent="0.25">
      <c r="A11" s="54">
        <f t="shared" si="0"/>
        <v>6</v>
      </c>
      <c r="B11" s="56">
        <f>((1/(1+'Input values'!$B$69))^(A11))</f>
        <v>0.91454219251787194</v>
      </c>
      <c r="C11" s="52"/>
      <c r="D11" s="60" t="s">
        <v>65</v>
      </c>
      <c r="E11" s="63"/>
      <c r="F11" s="63"/>
    </row>
    <row r="12" spans="1:7" x14ac:dyDescent="0.25">
      <c r="A12" s="54">
        <f t="shared" si="0"/>
        <v>7</v>
      </c>
      <c r="B12" s="56">
        <f>((1/(1+'Input values'!$B$69))^(A12))</f>
        <v>0.90102679065800206</v>
      </c>
      <c r="D12" s="29" t="s">
        <v>0</v>
      </c>
      <c r="E12" s="54" t="s">
        <v>1</v>
      </c>
      <c r="F12" s="54" t="s">
        <v>2</v>
      </c>
    </row>
    <row r="13" spans="1:7" x14ac:dyDescent="0.25">
      <c r="A13" s="54">
        <f t="shared" si="0"/>
        <v>8</v>
      </c>
      <c r="B13" s="56">
        <f>((1/(1+'Input values'!$B$69))^(A13))</f>
        <v>0.88771112380098727</v>
      </c>
      <c r="D13" s="29" t="s">
        <v>3</v>
      </c>
      <c r="E13" s="54">
        <f t="shared" ref="E13:F17" si="1">ROUND(E5,0)</f>
        <v>82</v>
      </c>
      <c r="F13" s="54">
        <f t="shared" si="1"/>
        <v>83</v>
      </c>
    </row>
    <row r="14" spans="1:7" x14ac:dyDescent="0.25">
      <c r="A14" s="54">
        <f t="shared" si="0"/>
        <v>9</v>
      </c>
      <c r="B14" s="56">
        <f>((1/(1+'Input values'!$B$69))^(A14))</f>
        <v>0.87459224019801718</v>
      </c>
      <c r="D14" s="29" t="s">
        <v>4</v>
      </c>
      <c r="E14" s="54">
        <f t="shared" si="1"/>
        <v>47</v>
      </c>
      <c r="F14" s="54">
        <f t="shared" si="1"/>
        <v>46</v>
      </c>
    </row>
    <row r="15" spans="1:7" x14ac:dyDescent="0.25">
      <c r="A15" s="54">
        <f t="shared" si="0"/>
        <v>10</v>
      </c>
      <c r="B15" s="56">
        <f>((1/(1+'Input values'!$B$69))^(A15))</f>
        <v>0.8616672317221844</v>
      </c>
      <c r="D15" s="29" t="s">
        <v>5</v>
      </c>
      <c r="E15" s="54">
        <f t="shared" si="1"/>
        <v>29</v>
      </c>
      <c r="F15" s="54">
        <f t="shared" si="1"/>
        <v>29</v>
      </c>
    </row>
    <row r="16" spans="1:7" x14ac:dyDescent="0.25">
      <c r="A16" s="54">
        <f t="shared" si="0"/>
        <v>11</v>
      </c>
      <c r="B16" s="56">
        <f>((1/(1+'Input values'!$B$69))^(A16))</f>
        <v>0.84893323322382719</v>
      </c>
      <c r="D16" s="29" t="s">
        <v>6</v>
      </c>
      <c r="E16" s="54">
        <f t="shared" si="1"/>
        <v>17</v>
      </c>
      <c r="F16" s="54">
        <f t="shared" si="1"/>
        <v>16</v>
      </c>
    </row>
    <row r="17" spans="1:6" x14ac:dyDescent="0.25">
      <c r="A17" s="54">
        <f t="shared" si="0"/>
        <v>12</v>
      </c>
      <c r="B17" s="56">
        <f>((1/(1+'Input values'!$B$69))^(A17))</f>
        <v>0.83638742189539628</v>
      </c>
      <c r="D17" s="29" t="s">
        <v>7</v>
      </c>
      <c r="E17" s="54">
        <f t="shared" si="1"/>
        <v>6</v>
      </c>
      <c r="F17" s="54">
        <f t="shared" si="1"/>
        <v>6</v>
      </c>
    </row>
    <row r="18" spans="1:6" x14ac:dyDescent="0.25">
      <c r="A18" s="54">
        <f t="shared" si="0"/>
        <v>13</v>
      </c>
      <c r="B18" s="56">
        <f>((1/(1+'Input values'!$B$69))^(A18))</f>
        <v>0.82402701664571065</v>
      </c>
      <c r="E18" s="55"/>
      <c r="F18" s="55"/>
    </row>
    <row r="19" spans="1:6" x14ac:dyDescent="0.25">
      <c r="A19" s="54">
        <f t="shared" si="0"/>
        <v>14</v>
      </c>
      <c r="B19" s="56">
        <f>((1/(1+'Input values'!$B$69))^(A19))</f>
        <v>0.81184927748345892</v>
      </c>
      <c r="D19" s="43" t="s">
        <v>66</v>
      </c>
      <c r="E19" s="57"/>
      <c r="F19" s="57"/>
    </row>
    <row r="20" spans="1:6" x14ac:dyDescent="0.25">
      <c r="A20" s="54">
        <f t="shared" si="0"/>
        <v>15</v>
      </c>
      <c r="B20" s="56">
        <f>((1/(1+'Input values'!$B$69))^(A20))</f>
        <v>0.79985150490981194</v>
      </c>
      <c r="D20" s="29" t="s">
        <v>0</v>
      </c>
      <c r="E20" s="54" t="s">
        <v>1</v>
      </c>
      <c r="F20" s="54" t="s">
        <v>2</v>
      </c>
    </row>
    <row r="21" spans="1:6" x14ac:dyDescent="0.25">
      <c r="A21" s="54">
        <f t="shared" si="0"/>
        <v>16</v>
      </c>
      <c r="B21" s="56">
        <f>((1/(1+'Input values'!$B$69))^(A21))</f>
        <v>0.78803103932001173</v>
      </c>
      <c r="D21" s="29" t="s">
        <v>3</v>
      </c>
      <c r="E21" s="56">
        <f>SUMIF($A$5:$A$105, "&lt;" &amp; E13, $B$5:$B$105)</f>
        <v>47.706722654332303</v>
      </c>
      <c r="F21" s="56">
        <f t="shared" ref="F21:F25" si="2">SUMIF($A$5:$A$105, "&lt;" &amp; F13, $B$5:$B$105)</f>
        <v>48.001697196386509</v>
      </c>
    </row>
    <row r="22" spans="1:6" x14ac:dyDescent="0.25">
      <c r="A22" s="54">
        <f t="shared" si="0"/>
        <v>17</v>
      </c>
      <c r="B22" s="56">
        <f>((1/(1+'Input values'!$B$69))^(A22))</f>
        <v>0.77638526041380473</v>
      </c>
      <c r="D22" s="29" t="s">
        <v>4</v>
      </c>
      <c r="E22" s="56">
        <f t="shared" ref="E22" si="3">SUMIF($A$5:$A$105, "&lt;" &amp; E14, $B$5:$B$105)</f>
        <v>34.056489829526377</v>
      </c>
      <c r="F22" s="56">
        <f t="shared" si="2"/>
        <v>33.552337176969267</v>
      </c>
    </row>
    <row r="23" spans="1:6" x14ac:dyDescent="0.25">
      <c r="A23" s="54">
        <f t="shared" si="0"/>
        <v>18</v>
      </c>
      <c r="B23" s="56">
        <f>((1/(1+'Input values'!$B$69))^(A23))</f>
        <v>0.76491158661458603</v>
      </c>
      <c r="D23" s="29" t="s">
        <v>5</v>
      </c>
      <c r="E23" s="56">
        <f t="shared" ref="E23" si="4">SUMIF($A$5:$A$105, "&lt;" &amp; E15, $B$5:$B$105)</f>
        <v>23.726716709972553</v>
      </c>
      <c r="F23" s="56">
        <f t="shared" si="2"/>
        <v>23.726716709972553</v>
      </c>
    </row>
    <row r="24" spans="1:6" x14ac:dyDescent="0.25">
      <c r="A24" s="54">
        <f t="shared" si="0"/>
        <v>19</v>
      </c>
      <c r="B24" s="56">
        <f>((1/(1+'Input values'!$B$69))^(A24))</f>
        <v>0.75360747449712928</v>
      </c>
      <c r="D24" s="29" t="s">
        <v>6</v>
      </c>
      <c r="E24" s="56">
        <f t="shared" ref="E24" si="5">SUMIF($A$5:$A$105, "&lt;" &amp; E16, $B$5:$B$105)</f>
        <v>15.131264045332658</v>
      </c>
      <c r="F24" s="56">
        <f t="shared" si="2"/>
        <v>14.343233006012646</v>
      </c>
    </row>
    <row r="25" spans="1:6" x14ac:dyDescent="0.25">
      <c r="A25" s="54">
        <f t="shared" si="0"/>
        <v>20</v>
      </c>
      <c r="B25" s="56">
        <f>((1/(1+'Input values'!$B$69))^(A25))</f>
        <v>0.74247041822377269</v>
      </c>
      <c r="D25" s="29" t="s">
        <v>7</v>
      </c>
      <c r="E25" s="56">
        <f t="shared" ref="E25" si="6">SUMIF($A$5:$A$105, "&lt;" &amp; E17, $B$5:$B$105)</f>
        <v>5.7826449729573772</v>
      </c>
      <c r="F25" s="56">
        <f t="shared" si="2"/>
        <v>5.7826449729573772</v>
      </c>
    </row>
    <row r="26" spans="1:6" x14ac:dyDescent="0.25">
      <c r="A26" s="54">
        <f t="shared" si="0"/>
        <v>21</v>
      </c>
      <c r="B26" s="56">
        <f>((1/(1+'Input values'!$B$69))^(A26))</f>
        <v>0.73149794898893861</v>
      </c>
    </row>
    <row r="27" spans="1:6" x14ac:dyDescent="0.25">
      <c r="A27" s="54">
        <f t="shared" si="0"/>
        <v>22</v>
      </c>
      <c r="B27" s="56">
        <f>((1/(1+'Input values'!$B$69))^(A27))</f>
        <v>0.72068763447186091</v>
      </c>
    </row>
    <row r="28" spans="1:6" x14ac:dyDescent="0.25">
      <c r="A28" s="54">
        <f t="shared" si="0"/>
        <v>23</v>
      </c>
      <c r="B28" s="56">
        <f>((1/(1+'Input values'!$B$69))^(A28))</f>
        <v>0.71003707829740004</v>
      </c>
    </row>
    <row r="29" spans="1:6" x14ac:dyDescent="0.25">
      <c r="A29" s="54">
        <f t="shared" si="0"/>
        <v>24</v>
      </c>
      <c r="B29" s="56">
        <f>((1/(1+'Input values'!$B$69))^(A29))</f>
        <v>0.69954391950482764</v>
      </c>
    </row>
    <row r="30" spans="1:6" x14ac:dyDescent="0.25">
      <c r="A30" s="54">
        <f t="shared" si="0"/>
        <v>25</v>
      </c>
      <c r="B30" s="56">
        <f>((1/(1+'Input values'!$B$69))^(A30))</f>
        <v>0.68920583202446084</v>
      </c>
    </row>
    <row r="31" spans="1:6" x14ac:dyDescent="0.25">
      <c r="A31" s="54">
        <f t="shared" si="0"/>
        <v>26</v>
      </c>
      <c r="B31" s="56">
        <f>((1/(1+'Input values'!$B$69))^(A31))</f>
        <v>0.6790205241620304</v>
      </c>
    </row>
    <row r="32" spans="1:6" x14ac:dyDescent="0.25">
      <c r="A32" s="54">
        <f t="shared" si="0"/>
        <v>27</v>
      </c>
      <c r="B32" s="56">
        <f>((1/(1+'Input values'!$B$69))^(A32))</f>
        <v>0.66898573809067041</v>
      </c>
    </row>
    <row r="33" spans="1:2" x14ac:dyDescent="0.25">
      <c r="A33" s="54">
        <f t="shared" si="0"/>
        <v>28</v>
      </c>
      <c r="B33" s="56">
        <f>((1/(1+'Input values'!$B$69))^(A33))</f>
        <v>0.65909924935041431</v>
      </c>
    </row>
    <row r="34" spans="1:2" x14ac:dyDescent="0.25">
      <c r="A34" s="54">
        <f t="shared" si="0"/>
        <v>29</v>
      </c>
      <c r="B34" s="56">
        <f>((1/(1+'Input values'!$B$69))^(A34))</f>
        <v>0.64935886635508799</v>
      </c>
    </row>
    <row r="35" spans="1:2" x14ac:dyDescent="0.25">
      <c r="A35" s="54">
        <f t="shared" si="0"/>
        <v>30</v>
      </c>
      <c r="B35" s="56">
        <f>((1/(1+'Input values'!$B$69))^(A35))</f>
        <v>0.63976242990649068</v>
      </c>
    </row>
    <row r="36" spans="1:2" x14ac:dyDescent="0.25">
      <c r="A36" s="54">
        <f t="shared" si="0"/>
        <v>31</v>
      </c>
      <c r="B36" s="56">
        <f>((1/(1+'Input values'!$B$69))^(A36))</f>
        <v>0.63030781271575453</v>
      </c>
    </row>
    <row r="37" spans="1:2" x14ac:dyDescent="0.25">
      <c r="A37" s="54">
        <f t="shared" si="0"/>
        <v>32</v>
      </c>
      <c r="B37" s="56">
        <f>((1/(1+'Input values'!$B$69))^(A37))</f>
        <v>0.62099291893177788</v>
      </c>
    </row>
    <row r="38" spans="1:2" x14ac:dyDescent="0.25">
      <c r="A38" s="54">
        <f t="shared" si="0"/>
        <v>33</v>
      </c>
      <c r="B38" s="56">
        <f>((1/(1+'Input values'!$B$69))^(A38))</f>
        <v>0.61181568367662853</v>
      </c>
    </row>
    <row r="39" spans="1:2" x14ac:dyDescent="0.25">
      <c r="A39" s="54">
        <f t="shared" si="0"/>
        <v>34</v>
      </c>
      <c r="B39" s="56">
        <f>((1/(1+'Input values'!$B$69))^(A39))</f>
        <v>0.60277407258781146</v>
      </c>
    </row>
    <row r="40" spans="1:2" x14ac:dyDescent="0.25">
      <c r="A40" s="54">
        <f t="shared" si="0"/>
        <v>35</v>
      </c>
      <c r="B40" s="56">
        <f>((1/(1+'Input values'!$B$69))^(A40))</f>
        <v>0.59386608136730201</v>
      </c>
    </row>
    <row r="41" spans="1:2" x14ac:dyDescent="0.25">
      <c r="A41" s="54">
        <f t="shared" si="0"/>
        <v>36</v>
      </c>
      <c r="B41" s="56">
        <f>((1/(1+'Input values'!$B$69))^(A41))</f>
        <v>0.5850897353372434</v>
      </c>
    </row>
    <row r="42" spans="1:2" x14ac:dyDescent="0.25">
      <c r="A42" s="54">
        <f t="shared" si="0"/>
        <v>37</v>
      </c>
      <c r="B42" s="56">
        <f>((1/(1+'Input values'!$B$69))^(A42))</f>
        <v>0.57644308900221031</v>
      </c>
    </row>
    <row r="43" spans="1:2" x14ac:dyDescent="0.25">
      <c r="A43" s="54">
        <f t="shared" si="0"/>
        <v>38</v>
      </c>
      <c r="B43" s="56">
        <f>((1/(1+'Input values'!$B$69))^(A43))</f>
        <v>0.5679242256179412</v>
      </c>
    </row>
    <row r="44" spans="1:2" x14ac:dyDescent="0.25">
      <c r="A44" s="54">
        <f t="shared" si="0"/>
        <v>39</v>
      </c>
      <c r="B44" s="56">
        <f>((1/(1+'Input values'!$B$69))^(A44))</f>
        <v>0.55953125676644466</v>
      </c>
    </row>
    <row r="45" spans="1:2" x14ac:dyDescent="0.25">
      <c r="A45" s="54">
        <f t="shared" si="0"/>
        <v>40</v>
      </c>
      <c r="B45" s="56">
        <f>((1/(1+'Input values'!$B$69))^(A45))</f>
        <v>0.55126232193738389</v>
      </c>
    </row>
    <row r="46" spans="1:2" x14ac:dyDescent="0.25">
      <c r="A46" s="54">
        <f t="shared" si="0"/>
        <v>41</v>
      </c>
      <c r="B46" s="56">
        <f>((1/(1+'Input values'!$B$69))^(A46))</f>
        <v>0.54311558811564931</v>
      </c>
    </row>
    <row r="47" spans="1:2" x14ac:dyDescent="0.25">
      <c r="A47" s="54">
        <f t="shared" si="0"/>
        <v>42</v>
      </c>
      <c r="B47" s="56">
        <f>((1/(1+'Input values'!$B$69))^(A47))</f>
        <v>0.53508924937502389</v>
      </c>
    </row>
    <row r="48" spans="1:2" x14ac:dyDescent="0.25">
      <c r="A48" s="54">
        <f t="shared" si="0"/>
        <v>43</v>
      </c>
      <c r="B48" s="56">
        <f>((1/(1+'Input values'!$B$69))^(A48))</f>
        <v>0.52718152647785621</v>
      </c>
    </row>
    <row r="49" spans="1:2" x14ac:dyDescent="0.25">
      <c r="A49" s="54">
        <f t="shared" si="0"/>
        <v>44</v>
      </c>
      <c r="B49" s="56">
        <f>((1/(1+'Input values'!$B$69))^(A49))</f>
        <v>0.51939066648064658</v>
      </c>
    </row>
    <row r="50" spans="1:2" x14ac:dyDescent="0.25">
      <c r="A50" s="54">
        <f t="shared" si="0"/>
        <v>45</v>
      </c>
      <c r="B50" s="56">
        <f>((1/(1+'Input values'!$B$69))^(A50))</f>
        <v>0.51171494234546455</v>
      </c>
    </row>
    <row r="51" spans="1:2" x14ac:dyDescent="0.25">
      <c r="A51" s="54">
        <f t="shared" si="0"/>
        <v>46</v>
      </c>
      <c r="B51" s="56">
        <f>((1/(1+'Input values'!$B$69))^(A51))</f>
        <v>0.50415265255710806</v>
      </c>
    </row>
    <row r="52" spans="1:2" x14ac:dyDescent="0.25">
      <c r="A52" s="54">
        <f t="shared" si="0"/>
        <v>47</v>
      </c>
      <c r="B52" s="56">
        <f>((1/(1+'Input values'!$B$69))^(A52))</f>
        <v>0.49670212074591941</v>
      </c>
    </row>
    <row r="53" spans="1:2" x14ac:dyDescent="0.25">
      <c r="A53" s="54">
        <f t="shared" si="0"/>
        <v>48</v>
      </c>
      <c r="B53" s="56">
        <f>((1/(1+'Input values'!$B$69))^(A53))</f>
        <v>0.48936169531617674</v>
      </c>
    </row>
    <row r="54" spans="1:2" x14ac:dyDescent="0.25">
      <c r="A54" s="54">
        <f t="shared" si="0"/>
        <v>49</v>
      </c>
      <c r="B54" s="56">
        <f>((1/(1+'Input values'!$B$69))^(A54))</f>
        <v>0.48212974907997708</v>
      </c>
    </row>
    <row r="55" spans="1:2" x14ac:dyDescent="0.25">
      <c r="A55" s="54">
        <f t="shared" si="0"/>
        <v>50</v>
      </c>
      <c r="B55" s="56">
        <f>((1/(1+'Input values'!$B$69))^(A55))</f>
        <v>0.4750046788965292</v>
      </c>
    </row>
    <row r="56" spans="1:2" x14ac:dyDescent="0.25">
      <c r="A56" s="54">
        <f t="shared" si="0"/>
        <v>51</v>
      </c>
      <c r="B56" s="56">
        <f>((1/(1+'Input values'!$B$69))^(A56))</f>
        <v>0.46798490531677767</v>
      </c>
    </row>
    <row r="57" spans="1:2" x14ac:dyDescent="0.25">
      <c r="A57" s="54">
        <f t="shared" si="0"/>
        <v>52</v>
      </c>
      <c r="B57" s="56">
        <f>((1/(1+'Input values'!$B$69))^(A57))</f>
        <v>0.46106887223327847</v>
      </c>
    </row>
    <row r="58" spans="1:2" x14ac:dyDescent="0.25">
      <c r="A58" s="54">
        <f t="shared" si="0"/>
        <v>53</v>
      </c>
      <c r="B58" s="56">
        <f>((1/(1+'Input values'!$B$69))^(A58))</f>
        <v>0.45425504653524973</v>
      </c>
    </row>
    <row r="59" spans="1:2" x14ac:dyDescent="0.25">
      <c r="A59" s="54">
        <f t="shared" si="0"/>
        <v>54</v>
      </c>
      <c r="B59" s="56">
        <f>((1/(1+'Input values'!$B$69))^(A59))</f>
        <v>0.4475419177687191</v>
      </c>
    </row>
    <row r="60" spans="1:2" x14ac:dyDescent="0.25">
      <c r="A60" s="54">
        <f t="shared" si="0"/>
        <v>55</v>
      </c>
      <c r="B60" s="56">
        <f>((1/(1+'Input values'!$B$69))^(A60))</f>
        <v>0.44092799780169378</v>
      </c>
    </row>
    <row r="61" spans="1:2" x14ac:dyDescent="0.25">
      <c r="A61" s="54">
        <f t="shared" si="0"/>
        <v>56</v>
      </c>
      <c r="B61" s="56">
        <f>((1/(1+'Input values'!$B$69))^(A61))</f>
        <v>0.43441182049427957</v>
      </c>
    </row>
    <row r="62" spans="1:2" x14ac:dyDescent="0.25">
      <c r="A62" s="54">
        <f t="shared" si="0"/>
        <v>57</v>
      </c>
      <c r="B62" s="56">
        <f>((1/(1+'Input values'!$B$69))^(A62))</f>
        <v>0.42799194137367452</v>
      </c>
    </row>
    <row r="63" spans="1:2" x14ac:dyDescent="0.25">
      <c r="A63" s="54">
        <f t="shared" si="0"/>
        <v>58</v>
      </c>
      <c r="B63" s="56">
        <f>((1/(1+'Input values'!$B$69))^(A63))</f>
        <v>0.4216669373139651</v>
      </c>
    </row>
    <row r="64" spans="1:2" x14ac:dyDescent="0.25">
      <c r="A64" s="54">
        <f t="shared" si="0"/>
        <v>59</v>
      </c>
      <c r="B64" s="56">
        <f>((1/(1+'Input values'!$B$69))^(A64))</f>
        <v>0.41543540622065528</v>
      </c>
    </row>
    <row r="65" spans="1:2" x14ac:dyDescent="0.25">
      <c r="A65" s="54">
        <f t="shared" si="0"/>
        <v>60</v>
      </c>
      <c r="B65" s="56">
        <f>((1/(1+'Input values'!$B$69))^(A65))</f>
        <v>0.40929596671985746</v>
      </c>
    </row>
    <row r="66" spans="1:2" x14ac:dyDescent="0.25">
      <c r="A66" s="54">
        <f t="shared" si="0"/>
        <v>61</v>
      </c>
      <c r="B66" s="56">
        <f>((1/(1+'Input values'!$B$69))^(A66))</f>
        <v>0.40324725785207632</v>
      </c>
    </row>
    <row r="67" spans="1:2" x14ac:dyDescent="0.25">
      <c r="A67" s="54">
        <f t="shared" si="0"/>
        <v>62</v>
      </c>
      <c r="B67" s="56">
        <f>((1/(1+'Input values'!$B$69))^(A67))</f>
        <v>0.3972879387705186</v>
      </c>
    </row>
    <row r="68" spans="1:2" x14ac:dyDescent="0.25">
      <c r="A68" s="54">
        <f t="shared" si="0"/>
        <v>63</v>
      </c>
      <c r="B68" s="56">
        <f>((1/(1+'Input values'!$B$69))^(A68))</f>
        <v>0.39141668844386079</v>
      </c>
    </row>
    <row r="69" spans="1:2" x14ac:dyDescent="0.25">
      <c r="A69" s="54">
        <f t="shared" si="0"/>
        <v>64</v>
      </c>
      <c r="B69" s="56">
        <f>((1/(1+'Input values'!$B$69))^(A69))</f>
        <v>0.38563220536340964</v>
      </c>
    </row>
    <row r="70" spans="1:2" x14ac:dyDescent="0.25">
      <c r="A70" s="54">
        <f t="shared" si="0"/>
        <v>65</v>
      </c>
      <c r="B70" s="56">
        <f>((1/(1+'Input values'!$B$69))^(A70))</f>
        <v>0.37993320725459084</v>
      </c>
    </row>
    <row r="71" spans="1:2" x14ac:dyDescent="0.25">
      <c r="A71" s="54">
        <f t="shared" ref="A71:A105" si="7">A70+1</f>
        <v>66</v>
      </c>
      <c r="B71" s="56">
        <f>((1/(1+'Input values'!$B$69))^(A71))</f>
        <v>0.37431843079270033</v>
      </c>
    </row>
    <row r="72" spans="1:2" x14ac:dyDescent="0.25">
      <c r="A72" s="54">
        <f t="shared" si="7"/>
        <v>67</v>
      </c>
      <c r="B72" s="56">
        <f>((1/(1+'Input values'!$B$69))^(A72))</f>
        <v>0.36878663132285755</v>
      </c>
    </row>
    <row r="73" spans="1:2" x14ac:dyDescent="0.25">
      <c r="A73" s="54">
        <f t="shared" si="7"/>
        <v>68</v>
      </c>
      <c r="B73" s="56">
        <f>((1/(1+'Input values'!$B$69))^(A73))</f>
        <v>0.36333658258409612</v>
      </c>
    </row>
    <row r="74" spans="1:2" x14ac:dyDescent="0.25">
      <c r="A74" s="54">
        <f t="shared" si="7"/>
        <v>69</v>
      </c>
      <c r="B74" s="56">
        <f>((1/(1+'Input values'!$B$69))^(A74))</f>
        <v>0.35796707643753317</v>
      </c>
    </row>
    <row r="75" spans="1:2" x14ac:dyDescent="0.25">
      <c r="A75" s="54">
        <f t="shared" si="7"/>
        <v>70</v>
      </c>
      <c r="B75" s="56">
        <f>((1/(1+'Input values'!$B$69))^(A75))</f>
        <v>0.35267692259855493</v>
      </c>
    </row>
    <row r="76" spans="1:2" x14ac:dyDescent="0.25">
      <c r="A76" s="54">
        <f t="shared" si="7"/>
        <v>71</v>
      </c>
      <c r="B76" s="56">
        <f>((1/(1+'Input values'!$B$69))^(A76))</f>
        <v>0.34746494837296055</v>
      </c>
    </row>
    <row r="77" spans="1:2" x14ac:dyDescent="0.25">
      <c r="A77" s="54">
        <f t="shared" si="7"/>
        <v>72</v>
      </c>
      <c r="B77" s="56">
        <f>((1/(1+'Input values'!$B$69))^(A77))</f>
        <v>0.34232999839700551</v>
      </c>
    </row>
    <row r="78" spans="1:2" x14ac:dyDescent="0.25">
      <c r="A78" s="54">
        <f t="shared" si="7"/>
        <v>73</v>
      </c>
      <c r="B78" s="56">
        <f>((1/(1+'Input values'!$B$69))^(A78))</f>
        <v>0.33727093438128625</v>
      </c>
    </row>
    <row r="79" spans="1:2" x14ac:dyDescent="0.25">
      <c r="A79" s="54">
        <f t="shared" si="7"/>
        <v>74</v>
      </c>
      <c r="B79" s="56">
        <f>((1/(1+'Input values'!$B$69))^(A79))</f>
        <v>0.33228663485841009</v>
      </c>
    </row>
    <row r="80" spans="1:2" x14ac:dyDescent="0.25">
      <c r="A80" s="54">
        <f t="shared" si="7"/>
        <v>75</v>
      </c>
      <c r="B80" s="56">
        <f>((1/(1+'Input values'!$B$69))^(A80))</f>
        <v>0.32737599493439423</v>
      </c>
    </row>
    <row r="81" spans="1:2" x14ac:dyDescent="0.25">
      <c r="A81" s="54">
        <f t="shared" si="7"/>
        <v>76</v>
      </c>
      <c r="B81" s="56">
        <f>((1/(1+'Input values'!$B$69))^(A81))</f>
        <v>0.32253792604373821</v>
      </c>
    </row>
    <row r="82" spans="1:2" x14ac:dyDescent="0.25">
      <c r="A82" s="54">
        <f t="shared" si="7"/>
        <v>77</v>
      </c>
      <c r="B82" s="56">
        <f>((1/(1+'Input values'!$B$69))^(A82))</f>
        <v>0.31777135570811649</v>
      </c>
    </row>
    <row r="83" spans="1:2" x14ac:dyDescent="0.25">
      <c r="A83" s="54">
        <f t="shared" si="7"/>
        <v>78</v>
      </c>
      <c r="B83" s="56">
        <f>((1/(1+'Input values'!$B$69))^(A83))</f>
        <v>0.31307522729863696</v>
      </c>
    </row>
    <row r="84" spans="1:2" x14ac:dyDescent="0.25">
      <c r="A84" s="54">
        <f t="shared" si="7"/>
        <v>79</v>
      </c>
      <c r="B84" s="56">
        <f>((1/(1+'Input values'!$B$69))^(A84))</f>
        <v>0.30844849980161287</v>
      </c>
    </row>
    <row r="85" spans="1:2" x14ac:dyDescent="0.25">
      <c r="A85" s="54">
        <f t="shared" si="7"/>
        <v>80</v>
      </c>
      <c r="B85" s="56">
        <f>((1/(1+'Input values'!$B$69))^(A85))</f>
        <v>0.30389014758779592</v>
      </c>
    </row>
    <row r="86" spans="1:2" x14ac:dyDescent="0.25">
      <c r="A86" s="54">
        <f t="shared" si="7"/>
        <v>81</v>
      </c>
      <c r="B86" s="56">
        <f>((1/(1+'Input values'!$B$69))^(A86))</f>
        <v>0.29939916018502061</v>
      </c>
    </row>
    <row r="87" spans="1:2" x14ac:dyDescent="0.25">
      <c r="A87" s="54">
        <f t="shared" si="7"/>
        <v>82</v>
      </c>
      <c r="B87" s="56">
        <f>((1/(1+'Input values'!$B$69))^(A87))</f>
        <v>0.29497454205420753</v>
      </c>
    </row>
    <row r="88" spans="1:2" x14ac:dyDescent="0.25">
      <c r="A88" s="54">
        <f t="shared" si="7"/>
        <v>83</v>
      </c>
      <c r="B88" s="56">
        <f>((1/(1+'Input values'!$B$69))^(A88))</f>
        <v>0.29061531236867744</v>
      </c>
    </row>
    <row r="89" spans="1:2" x14ac:dyDescent="0.25">
      <c r="A89" s="54">
        <f t="shared" si="7"/>
        <v>84</v>
      </c>
      <c r="B89" s="56">
        <f>((1/(1+'Input values'!$B$69))^(A89))</f>
        <v>0.28632050479672655</v>
      </c>
    </row>
    <row r="90" spans="1:2" x14ac:dyDescent="0.25">
      <c r="A90" s="54">
        <f t="shared" si="7"/>
        <v>85</v>
      </c>
      <c r="B90" s="56">
        <f>((1/(1+'Input values'!$B$69))^(A90))</f>
        <v>0.28208916728741534</v>
      </c>
    </row>
    <row r="91" spans="1:2" x14ac:dyDescent="0.25">
      <c r="A91" s="54">
        <f t="shared" si="7"/>
        <v>86</v>
      </c>
      <c r="B91" s="56">
        <f>((1/(1+'Input values'!$B$69))^(A91))</f>
        <v>0.27792036185952257</v>
      </c>
    </row>
    <row r="92" spans="1:2" x14ac:dyDescent="0.25">
      <c r="A92" s="54">
        <f t="shared" si="7"/>
        <v>87</v>
      </c>
      <c r="B92" s="56">
        <f>((1/(1+'Input values'!$B$69))^(A92))</f>
        <v>0.27381316439361836</v>
      </c>
    </row>
    <row r="93" spans="1:2" x14ac:dyDescent="0.25">
      <c r="A93" s="54">
        <f t="shared" si="7"/>
        <v>88</v>
      </c>
      <c r="B93" s="56">
        <f>((1/(1+'Input values'!$B$69))^(A93))</f>
        <v>0.2697666644272102</v>
      </c>
    </row>
    <row r="94" spans="1:2" x14ac:dyDescent="0.25">
      <c r="A94" s="54">
        <f t="shared" si="7"/>
        <v>89</v>
      </c>
      <c r="B94" s="56">
        <f>((1/(1+'Input values'!$B$69))^(A94))</f>
        <v>0.2657799649529165</v>
      </c>
    </row>
    <row r="95" spans="1:2" x14ac:dyDescent="0.25">
      <c r="A95" s="54">
        <f t="shared" si="7"/>
        <v>90</v>
      </c>
      <c r="B95" s="56">
        <f>((1/(1+'Input values'!$B$69))^(A95))</f>
        <v>0.26185218221962214</v>
      </c>
    </row>
    <row r="96" spans="1:2" x14ac:dyDescent="0.25">
      <c r="A96" s="54">
        <f t="shared" si="7"/>
        <v>91</v>
      </c>
      <c r="B96" s="56">
        <f>((1/(1+'Input values'!$B$69))^(A96))</f>
        <v>0.25798244553657357</v>
      </c>
    </row>
    <row r="97" spans="1:2" x14ac:dyDescent="0.25">
      <c r="A97" s="54">
        <f t="shared" si="7"/>
        <v>92</v>
      </c>
      <c r="B97" s="56">
        <f>((1/(1+'Input values'!$B$69))^(A97))</f>
        <v>0.25416989708036813</v>
      </c>
    </row>
    <row r="98" spans="1:2" x14ac:dyDescent="0.25">
      <c r="A98" s="54">
        <f t="shared" si="7"/>
        <v>93</v>
      </c>
      <c r="B98" s="56">
        <f>((1/(1+'Input values'!$B$69))^(A98))</f>
        <v>0.25041369170479616</v>
      </c>
    </row>
    <row r="99" spans="1:2" x14ac:dyDescent="0.25">
      <c r="A99" s="54">
        <f t="shared" si="7"/>
        <v>94</v>
      </c>
      <c r="B99" s="56">
        <f>((1/(1+'Input values'!$B$69))^(A99))</f>
        <v>0.24671299675349379</v>
      </c>
    </row>
    <row r="100" spans="1:2" x14ac:dyDescent="0.25">
      <c r="A100" s="54">
        <f t="shared" si="7"/>
        <v>95</v>
      </c>
      <c r="B100" s="56">
        <f>((1/(1+'Input values'!$B$69))^(A100))</f>
        <v>0.2430669918753634</v>
      </c>
    </row>
    <row r="101" spans="1:2" x14ac:dyDescent="0.25">
      <c r="A101" s="54">
        <f t="shared" si="7"/>
        <v>96</v>
      </c>
      <c r="B101" s="56">
        <f>((1/(1+'Input values'!$B$69))^(A101))</f>
        <v>0.23947486884272257</v>
      </c>
    </row>
    <row r="102" spans="1:2" x14ac:dyDescent="0.25">
      <c r="A102" s="54">
        <f t="shared" si="7"/>
        <v>97</v>
      </c>
      <c r="B102" s="56">
        <f>((1/(1+'Input values'!$B$69))^(A102))</f>
        <v>0.2359358313721405</v>
      </c>
    </row>
    <row r="103" spans="1:2" x14ac:dyDescent="0.25">
      <c r="A103" s="54">
        <f t="shared" si="7"/>
        <v>98</v>
      </c>
      <c r="B103" s="56">
        <f>((1/(1+'Input values'!$B$69))^(A103))</f>
        <v>0.23244909494792171</v>
      </c>
    </row>
    <row r="104" spans="1:2" x14ac:dyDescent="0.25">
      <c r="A104" s="54">
        <f t="shared" si="7"/>
        <v>99</v>
      </c>
      <c r="B104" s="56">
        <f>((1/(1+'Input values'!$B$69))^(A104))</f>
        <v>0.22901388664819874</v>
      </c>
    </row>
    <row r="105" spans="1:2" x14ac:dyDescent="0.25">
      <c r="A105" s="54">
        <f t="shared" si="7"/>
        <v>100</v>
      </c>
      <c r="B105" s="56">
        <f>((1/(1+'Input values'!$B$69))^(A105))</f>
        <v>0.22562944497359483</v>
      </c>
    </row>
  </sheetData>
  <mergeCells count="3">
    <mergeCell ref="D3:F3"/>
    <mergeCell ref="A3:B3"/>
    <mergeCell ref="D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H18" sqref="H18"/>
    </sheetView>
  </sheetViews>
  <sheetFormatPr defaultRowHeight="15" x14ac:dyDescent="0.25"/>
  <sheetData>
    <row r="3" spans="2:5" x14ac:dyDescent="0.25">
      <c r="B3" s="60" t="s">
        <v>22</v>
      </c>
      <c r="C3" s="60"/>
      <c r="D3" s="60"/>
      <c r="E3" s="60"/>
    </row>
    <row r="4" spans="2:5" x14ac:dyDescent="0.25">
      <c r="B4" s="29">
        <f>'Scenario setup and results'!C5</f>
        <v>1000</v>
      </c>
    </row>
    <row r="6" spans="2:5" x14ac:dyDescent="0.25">
      <c r="B6" s="60" t="s">
        <v>18</v>
      </c>
      <c r="C6" s="60"/>
      <c r="D6" s="60"/>
      <c r="E6" s="60"/>
    </row>
    <row r="7" spans="2:5" x14ac:dyDescent="0.25">
      <c r="B7" s="36">
        <f>(B4*('Input values'!B4/2)+'New cyclist'!B4*(1-'Input values'!B4))</f>
        <v>550</v>
      </c>
    </row>
    <row r="9" spans="2:5" x14ac:dyDescent="0.25">
      <c r="B9" s="60" t="s">
        <v>17</v>
      </c>
      <c r="C9" s="60"/>
      <c r="D9" s="60"/>
      <c r="E9" s="60"/>
    </row>
    <row r="10" spans="2:5" x14ac:dyDescent="0.25">
      <c r="B10" s="29" t="s">
        <v>0</v>
      </c>
      <c r="C10" s="29" t="s">
        <v>1</v>
      </c>
      <c r="D10" s="29" t="s">
        <v>2</v>
      </c>
      <c r="E10" s="29" t="s">
        <v>15</v>
      </c>
    </row>
    <row r="11" spans="2:5" x14ac:dyDescent="0.25">
      <c r="B11" s="29" t="s">
        <v>3</v>
      </c>
      <c r="C11" s="37">
        <f>$B$7*'Input values'!C24</f>
        <v>88</v>
      </c>
      <c r="D11" s="37">
        <f>$B$7*'Input values'!D24</f>
        <v>22</v>
      </c>
      <c r="E11" s="36">
        <f>SUM(C11:D11)</f>
        <v>110</v>
      </c>
    </row>
    <row r="12" spans="2:5" x14ac:dyDescent="0.25">
      <c r="B12" s="29" t="s">
        <v>4</v>
      </c>
      <c r="C12" s="37">
        <f>$B$7*'Input values'!C25</f>
        <v>214.5</v>
      </c>
      <c r="D12" s="37">
        <f>$B$7*'Input values'!D25</f>
        <v>88</v>
      </c>
      <c r="E12" s="36">
        <f t="shared" ref="E12:E15" si="0">SUM(C12:D12)</f>
        <v>302.5</v>
      </c>
    </row>
    <row r="13" spans="2:5" x14ac:dyDescent="0.25">
      <c r="B13" s="29" t="s">
        <v>5</v>
      </c>
      <c r="C13" s="37">
        <f>$B$7*'Input values'!C26</f>
        <v>71.5</v>
      </c>
      <c r="D13" s="37">
        <f>$B$7*'Input values'!D26</f>
        <v>27.5</v>
      </c>
      <c r="E13" s="36">
        <f t="shared" si="0"/>
        <v>99</v>
      </c>
    </row>
    <row r="14" spans="2:5" x14ac:dyDescent="0.25">
      <c r="B14" s="29" t="s">
        <v>6</v>
      </c>
      <c r="C14" s="37">
        <f>$B$7*'Input values'!C27</f>
        <v>27.5</v>
      </c>
      <c r="D14" s="37">
        <f>$B$7*'Input values'!D27</f>
        <v>5.5</v>
      </c>
      <c r="E14" s="36">
        <f t="shared" si="0"/>
        <v>33</v>
      </c>
    </row>
    <row r="15" spans="2:5" x14ac:dyDescent="0.25">
      <c r="B15" s="29" t="s">
        <v>7</v>
      </c>
      <c r="C15" s="37">
        <f>$B$7*'Input values'!C28</f>
        <v>5.5</v>
      </c>
      <c r="D15" s="37">
        <f>$B$7*'Input values'!D28</f>
        <v>0</v>
      </c>
      <c r="E15" s="36">
        <f t="shared" si="0"/>
        <v>5.5</v>
      </c>
    </row>
    <row r="16" spans="2:5" x14ac:dyDescent="0.25">
      <c r="B16" s="29" t="s">
        <v>15</v>
      </c>
      <c r="C16" s="36">
        <f>SUM(C11:C15)</f>
        <v>407</v>
      </c>
      <c r="D16" s="36">
        <f t="shared" ref="D16:E16" si="1">SUM(D11:D15)</f>
        <v>143</v>
      </c>
      <c r="E16" s="36">
        <f t="shared" si="1"/>
        <v>550</v>
      </c>
    </row>
  </sheetData>
  <mergeCells count="3">
    <mergeCell ref="B3:E3"/>
    <mergeCell ref="B6:E6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4"/>
  <sheetViews>
    <sheetView topLeftCell="A52" workbookViewId="0">
      <selection activeCell="H59" sqref="H59:J59"/>
    </sheetView>
  </sheetViews>
  <sheetFormatPr defaultRowHeight="15" x14ac:dyDescent="0.25"/>
  <sheetData>
    <row r="2" spans="2:10" ht="46.5" customHeight="1" x14ac:dyDescent="0.25">
      <c r="B2" s="62" t="s">
        <v>34</v>
      </c>
      <c r="C2" s="60"/>
      <c r="D2" s="60"/>
      <c r="E2" s="60"/>
    </row>
    <row r="3" spans="2:10" x14ac:dyDescent="0.25">
      <c r="B3" s="38" t="s">
        <v>0</v>
      </c>
      <c r="C3" s="38" t="s">
        <v>1</v>
      </c>
      <c r="D3" s="38" t="s">
        <v>2</v>
      </c>
    </row>
    <row r="4" spans="2:10" x14ac:dyDescent="0.25">
      <c r="B4" s="38" t="s">
        <v>3</v>
      </c>
      <c r="C4" s="38">
        <f>'Input values'!C33</f>
        <v>1.81</v>
      </c>
      <c r="D4" s="38">
        <f>'Input values'!D33</f>
        <v>1.55</v>
      </c>
    </row>
    <row r="5" spans="2:10" x14ac:dyDescent="0.25">
      <c r="B5" s="38" t="s">
        <v>4</v>
      </c>
      <c r="C5" s="38">
        <f>'Input values'!C34</f>
        <v>3.73</v>
      </c>
      <c r="D5" s="38">
        <f>'Input values'!D34</f>
        <v>2.4900000000000002</v>
      </c>
    </row>
    <row r="6" spans="2:10" x14ac:dyDescent="0.25">
      <c r="B6" s="38" t="s">
        <v>5</v>
      </c>
      <c r="C6" s="38">
        <f>'Input values'!C35</f>
        <v>3.92</v>
      </c>
      <c r="D6" s="38">
        <f>'Input values'!D35</f>
        <v>2.33</v>
      </c>
    </row>
    <row r="7" spans="2:10" x14ac:dyDescent="0.25">
      <c r="B7" s="38" t="s">
        <v>6</v>
      </c>
      <c r="C7" s="38">
        <f>'Input values'!C36</f>
        <v>2.79</v>
      </c>
      <c r="D7" s="38">
        <f>'Input values'!D36</f>
        <v>1.71</v>
      </c>
    </row>
    <row r="8" spans="2:10" x14ac:dyDescent="0.25">
      <c r="B8" s="38" t="s">
        <v>7</v>
      </c>
      <c r="C8" s="38">
        <f>'Input values'!C37</f>
        <v>2.04</v>
      </c>
      <c r="D8" s="38">
        <f>'Input values'!D37</f>
        <v>1.05</v>
      </c>
    </row>
    <row r="10" spans="2:10" ht="43.5" customHeight="1" x14ac:dyDescent="0.25">
      <c r="B10" s="60" t="s">
        <v>58</v>
      </c>
      <c r="C10" s="60"/>
      <c r="D10" s="60"/>
      <c r="E10" s="60"/>
    </row>
    <row r="11" spans="2:10" x14ac:dyDescent="0.25">
      <c r="B11" s="38" t="s">
        <v>0</v>
      </c>
      <c r="C11" s="38" t="s">
        <v>1</v>
      </c>
      <c r="D11" s="38" t="s">
        <v>2</v>
      </c>
    </row>
    <row r="12" spans="2:10" x14ac:dyDescent="0.25">
      <c r="B12" s="38" t="s">
        <v>3</v>
      </c>
      <c r="C12" s="40">
        <f xml:space="preserve"> (1*(1-'Input values'!$B$4)+('Input values'!$B$4*2))*C4</f>
        <v>3.4390000000000001</v>
      </c>
      <c r="D12" s="40">
        <f xml:space="preserve"> (1*(1-'Input values'!$B$4)+('Input values'!$B$4*2))*D4</f>
        <v>2.9449999999999998</v>
      </c>
      <c r="I12" s="1"/>
      <c r="J12" s="1"/>
    </row>
    <row r="13" spans="2:10" x14ac:dyDescent="0.25">
      <c r="B13" s="38" t="s">
        <v>4</v>
      </c>
      <c r="C13" s="40">
        <f xml:space="preserve"> (1*(1-'Input values'!$B$4)+('Input values'!$B$4*2))*C5</f>
        <v>7.0869999999999997</v>
      </c>
      <c r="D13" s="40">
        <f xml:space="preserve"> (1*(1-'Input values'!$B$4)+('Input values'!$B$4*2))*D5</f>
        <v>4.7309999999999999</v>
      </c>
      <c r="I13" s="1"/>
      <c r="J13" s="1"/>
    </row>
    <row r="14" spans="2:10" x14ac:dyDescent="0.25">
      <c r="B14" s="38" t="s">
        <v>5</v>
      </c>
      <c r="C14" s="40">
        <f xml:space="preserve"> (1*(1-'Input values'!$B$4)+('Input values'!$B$4*2))*C6</f>
        <v>7.4479999999999995</v>
      </c>
      <c r="D14" s="40">
        <f xml:space="preserve"> (1*(1-'Input values'!$B$4)+('Input values'!$B$4*2))*D6</f>
        <v>4.4269999999999996</v>
      </c>
      <c r="I14" s="1"/>
      <c r="J14" s="1"/>
    </row>
    <row r="15" spans="2:10" x14ac:dyDescent="0.25">
      <c r="B15" s="38" t="s">
        <v>6</v>
      </c>
      <c r="C15" s="40">
        <f xml:space="preserve"> (1*(1-'Input values'!$B$4)+('Input values'!$B$4*2))*C7</f>
        <v>5.3010000000000002</v>
      </c>
      <c r="D15" s="40">
        <f xml:space="preserve"> (1*(1-'Input values'!$B$4)+('Input values'!$B$4*2))*D7</f>
        <v>3.2489999999999997</v>
      </c>
      <c r="I15" s="1"/>
      <c r="J15" s="1"/>
    </row>
    <row r="16" spans="2:10" x14ac:dyDescent="0.25">
      <c r="B16" s="38" t="s">
        <v>7</v>
      </c>
      <c r="C16" s="40">
        <f xml:space="preserve"> (1*(1-'Input values'!$B$4)+('Input values'!$B$4*2))*C8</f>
        <v>3.8759999999999999</v>
      </c>
      <c r="D16" s="40">
        <f xml:space="preserve"> (1*(1-'Input values'!$B$4)+('Input values'!$B$4*2))*D8</f>
        <v>1.9949999999999999</v>
      </c>
      <c r="I16" s="1"/>
      <c r="J16" s="1"/>
    </row>
    <row r="18" spans="2:5" ht="32.25" customHeight="1" x14ac:dyDescent="0.25">
      <c r="B18" s="60" t="s">
        <v>57</v>
      </c>
      <c r="C18" s="60"/>
      <c r="D18" s="60"/>
      <c r="E18" s="60"/>
    </row>
    <row r="19" spans="2:5" x14ac:dyDescent="0.25">
      <c r="B19" s="38" t="s">
        <v>0</v>
      </c>
      <c r="C19" s="38" t="s">
        <v>1</v>
      </c>
      <c r="D19" s="38" t="s">
        <v>2</v>
      </c>
    </row>
    <row r="20" spans="2:5" x14ac:dyDescent="0.25">
      <c r="B20" s="38" t="s">
        <v>3</v>
      </c>
      <c r="C20" s="40">
        <f>C12*'Input values'!$B$10</f>
        <v>14.509753424657534</v>
      </c>
      <c r="D20" s="40">
        <f>D12*'Input values'!$B$10</f>
        <v>12.425479452054795</v>
      </c>
    </row>
    <row r="21" spans="2:5" x14ac:dyDescent="0.25">
      <c r="B21" s="38" t="s">
        <v>4</v>
      </c>
      <c r="C21" s="40">
        <f>C13*'Input values'!$B$10</f>
        <v>29.901315068493151</v>
      </c>
      <c r="D21" s="40">
        <f>D13*'Input values'!$B$10</f>
        <v>19.960931506849313</v>
      </c>
    </row>
    <row r="22" spans="2:5" x14ac:dyDescent="0.25">
      <c r="B22" s="38" t="s">
        <v>5</v>
      </c>
      <c r="C22" s="40">
        <f>C14*'Input values'!$B$10</f>
        <v>31.42443835616438</v>
      </c>
      <c r="D22" s="40">
        <f>D14*'Input values'!$B$10</f>
        <v>18.678301369863011</v>
      </c>
    </row>
    <row r="23" spans="2:5" x14ac:dyDescent="0.25">
      <c r="B23" s="38" t="s">
        <v>6</v>
      </c>
      <c r="C23" s="40">
        <f>C15*'Input values'!$B$10</f>
        <v>22.365863013698632</v>
      </c>
      <c r="D23" s="40">
        <f>D15*'Input values'!$B$10</f>
        <v>13.708109589041094</v>
      </c>
    </row>
    <row r="24" spans="2:5" x14ac:dyDescent="0.25">
      <c r="B24" s="38" t="s">
        <v>7</v>
      </c>
      <c r="C24" s="40">
        <f>C16*'Input values'!$B$10</f>
        <v>16.353534246575343</v>
      </c>
      <c r="D24" s="40">
        <f>D16*'Input values'!$B$10</f>
        <v>8.4172602739726017</v>
      </c>
    </row>
    <row r="26" spans="2:5" x14ac:dyDescent="0.25">
      <c r="B26" s="60" t="s">
        <v>8</v>
      </c>
      <c r="C26" s="60"/>
      <c r="D26" s="60"/>
      <c r="E26" s="60"/>
    </row>
    <row r="27" spans="2:5" x14ac:dyDescent="0.25">
      <c r="B27" s="38" t="s">
        <v>0</v>
      </c>
      <c r="C27" s="38" t="s">
        <v>1</v>
      </c>
      <c r="D27" s="38" t="s">
        <v>2</v>
      </c>
    </row>
    <row r="28" spans="2:5" x14ac:dyDescent="0.25">
      <c r="B28" s="38" t="s">
        <v>3</v>
      </c>
      <c r="C28" s="39">
        <f>C20/'Input values'!C41</f>
        <v>2.3708747425911003</v>
      </c>
      <c r="D28" s="39">
        <f>D20/'Input values'!D41</f>
        <v>2.7922425734954595</v>
      </c>
    </row>
    <row r="29" spans="2:5" x14ac:dyDescent="0.25">
      <c r="B29" s="38" t="s">
        <v>4</v>
      </c>
      <c r="C29" s="39">
        <f>C21/'Input values'!C42</f>
        <v>3.2786529680365302</v>
      </c>
      <c r="D29" s="39">
        <f>D21/'Input values'!D42</f>
        <v>2.7646719538572455</v>
      </c>
    </row>
    <row r="30" spans="2:5" x14ac:dyDescent="0.25">
      <c r="B30" s="38" t="s">
        <v>5</v>
      </c>
      <c r="C30" s="39">
        <f>C22/'Input values'!C43</f>
        <v>3.5268729917131738</v>
      </c>
      <c r="D30" s="39">
        <f>D22/'Input values'!D43</f>
        <v>2.6419096704190963</v>
      </c>
    </row>
    <row r="31" spans="2:5" x14ac:dyDescent="0.25">
      <c r="B31" s="38" t="s">
        <v>6</v>
      </c>
      <c r="C31" s="39">
        <f>C23/'Input values'!C44</f>
        <v>2.990088638195004</v>
      </c>
      <c r="D31" s="39">
        <f>D23/'Input values'!D44</f>
        <v>2.2884990966679619</v>
      </c>
    </row>
    <row r="32" spans="2:5" x14ac:dyDescent="0.25">
      <c r="B32" s="38" t="s">
        <v>7</v>
      </c>
      <c r="C32" s="39">
        <f>C24/'Input values'!C45</f>
        <v>2.0467502185951618</v>
      </c>
      <c r="D32" s="39">
        <f>D24/'Input values'!D45</f>
        <v>2.0041095890410956</v>
      </c>
    </row>
    <row r="34" spans="2:5" x14ac:dyDescent="0.25">
      <c r="B34" s="60" t="s">
        <v>9</v>
      </c>
      <c r="C34" s="60"/>
      <c r="D34" s="60"/>
      <c r="E34" s="60"/>
    </row>
    <row r="35" spans="2:5" x14ac:dyDescent="0.25">
      <c r="B35" s="38" t="s">
        <v>0</v>
      </c>
      <c r="C35" s="38" t="s">
        <v>1</v>
      </c>
      <c r="D35" s="38" t="s">
        <v>2</v>
      </c>
    </row>
    <row r="36" spans="2:5" x14ac:dyDescent="0.25">
      <c r="B36" s="38" t="s">
        <v>3</v>
      </c>
      <c r="C36" s="39">
        <f>C28*'Input values'!$B$13</f>
        <v>16.121948249619482</v>
      </c>
      <c r="D36" s="39">
        <f>D28*'Input values'!$B$13</f>
        <v>18.987249499769124</v>
      </c>
    </row>
    <row r="37" spans="2:5" x14ac:dyDescent="0.25">
      <c r="B37" s="38" t="s">
        <v>4</v>
      </c>
      <c r="C37" s="39">
        <f>C29*'Input values'!$B$13</f>
        <v>22.294840182648404</v>
      </c>
      <c r="D37" s="39">
        <f>D29*'Input values'!$B$13</f>
        <v>18.799769286229267</v>
      </c>
    </row>
    <row r="38" spans="2:5" x14ac:dyDescent="0.25">
      <c r="B38" s="38" t="s">
        <v>5</v>
      </c>
      <c r="C38" s="39">
        <f>C30*'Input values'!$B$13</f>
        <v>23.982736343649581</v>
      </c>
      <c r="D38" s="39">
        <f>D30*'Input values'!$B$13</f>
        <v>17.964985758849853</v>
      </c>
    </row>
    <row r="39" spans="2:5" x14ac:dyDescent="0.25">
      <c r="B39" s="38" t="s">
        <v>6</v>
      </c>
      <c r="C39" s="39">
        <f>C31*'Input values'!$B$13</f>
        <v>20.332602739726028</v>
      </c>
      <c r="D39" s="39">
        <f>D31*'Input values'!$B$13</f>
        <v>15.56179385734214</v>
      </c>
    </row>
    <row r="40" spans="2:5" x14ac:dyDescent="0.25">
      <c r="B40" s="38" t="s">
        <v>7</v>
      </c>
      <c r="C40" s="39">
        <f>C32*'Input values'!$B$13</f>
        <v>13.9179014864471</v>
      </c>
      <c r="D40" s="39">
        <f>D32*'Input values'!$B$13</f>
        <v>13.627945205479449</v>
      </c>
    </row>
    <row r="42" spans="2:5" x14ac:dyDescent="0.25">
      <c r="B42" s="60" t="s">
        <v>10</v>
      </c>
      <c r="C42" s="60"/>
      <c r="D42" s="60"/>
      <c r="E42" s="60"/>
    </row>
    <row r="43" spans="2:5" x14ac:dyDescent="0.25">
      <c r="B43" s="38" t="s">
        <v>0</v>
      </c>
      <c r="C43" s="38" t="s">
        <v>1</v>
      </c>
      <c r="D43" s="38" t="s">
        <v>2</v>
      </c>
    </row>
    <row r="44" spans="2:5" x14ac:dyDescent="0.25">
      <c r="B44" s="38" t="s">
        <v>3</v>
      </c>
      <c r="C44" s="39">
        <f>IF(EXP(-(-(LN('Input values'!$B$16))/11.25)*C36)&lt;'Input values'!$B$19,'Input values'!$B$19,EXP(-(-(LN('Input values'!$B$16))/11.25)*C36))</f>
        <v>0.85985788076929515</v>
      </c>
      <c r="D44" s="39">
        <f>IF(EXP(-(-(LN('Input values'!$B$16))/11.25)*D36)&lt;'Input values'!$B$19,'Input values'!$B$19,EXP(-(-(LN('Input values'!$B$16))/11.25)*D36))</f>
        <v>0.83709075040020731</v>
      </c>
    </row>
    <row r="45" spans="2:5" x14ac:dyDescent="0.25">
      <c r="B45" s="38" t="s">
        <v>4</v>
      </c>
      <c r="C45" s="39">
        <f>IF(EXP(-(-(LN('Input values'!$B$16))/11.25)*C37)&lt;'Input values'!$B$19,'Input values'!$B$19,EXP(-(-(LN('Input values'!$B$16))/11.25)*C37))</f>
        <v>0.8115578297060172</v>
      </c>
      <c r="D45" s="39">
        <f>IF(EXP(-(-(LN('Input values'!$B$16))/11.25)*D37)&lt;'Input values'!$B$19,'Input values'!$B$19,EXP(-(-(LN('Input values'!$B$16))/11.25)*D37))</f>
        <v>0.8385618249282768</v>
      </c>
    </row>
    <row r="46" spans="2:5" x14ac:dyDescent="0.25">
      <c r="B46" s="38" t="s">
        <v>5</v>
      </c>
      <c r="C46" s="39">
        <f>IF(EXP(-(-(LN('Input values'!$B$16))/11.25)*C38)&lt;'Input values'!$B$19,'Input values'!$B$19,EXP(-(-(LN('Input values'!$B$16))/11.25)*C38))</f>
        <v>0.79882976229118763</v>
      </c>
      <c r="D46" s="39">
        <f>IF(EXP(-(-(LN('Input values'!$B$16))/11.25)*D38)&lt;'Input values'!$B$19,'Input values'!$B$19,EXP(-(-(LN('Input values'!$B$16))/11.25)*D38))</f>
        <v>0.84514344941828679</v>
      </c>
    </row>
    <row r="47" spans="2:5" x14ac:dyDescent="0.25">
      <c r="B47" s="38" t="s">
        <v>6</v>
      </c>
      <c r="C47" s="39">
        <f>IF(EXP(-(-(LN('Input values'!$B$16))/11.25)*C39)&lt;'Input values'!$B$19,'Input values'!$B$19,EXP(-(-(LN('Input values'!$B$16))/11.25)*C39))</f>
        <v>0.82660978926886419</v>
      </c>
      <c r="D47" s="39">
        <f>IF(EXP(-(-(LN('Input values'!$B$16))/11.25)*D39)&lt;'Input values'!$B$19,'Input values'!$B$19,EXP(-(-(LN('Input values'!$B$16))/11.25)*D39))</f>
        <v>0.86438059816891422</v>
      </c>
    </row>
    <row r="48" spans="2:5" x14ac:dyDescent="0.25">
      <c r="B48" s="38" t="s">
        <v>7</v>
      </c>
      <c r="C48" s="39">
        <f>IF(EXP(-(-(LN('Input values'!$B$16))/11.25)*C40)&lt;'Input values'!$B$19,'Input values'!$B$19,EXP(-(-(LN('Input values'!$B$16))/11.25)*C40))</f>
        <v>0.87779128968868003</v>
      </c>
      <c r="D48" s="39">
        <f>IF(EXP(-(-(LN('Input values'!$B$16))/11.25)*D40)&lt;'Input values'!$B$19,'Input values'!$B$19,EXP(-(-(LN('Input values'!$B$16))/11.25)*D40))</f>
        <v>0.88017821571875532</v>
      </c>
    </row>
    <row r="50" spans="2:10" x14ac:dyDescent="0.25">
      <c r="B50" s="60" t="s">
        <v>11</v>
      </c>
      <c r="C50" s="60"/>
      <c r="D50" s="60"/>
      <c r="E50" s="60"/>
    </row>
    <row r="51" spans="2:10" x14ac:dyDescent="0.25">
      <c r="B51" s="38" t="s">
        <v>0</v>
      </c>
      <c r="C51" s="38" t="s">
        <v>1</v>
      </c>
      <c r="D51" s="38" t="s">
        <v>2</v>
      </c>
    </row>
    <row r="52" spans="2:10" x14ac:dyDescent="0.25">
      <c r="B52" s="38" t="s">
        <v>3</v>
      </c>
      <c r="C52" s="39">
        <f>(1-C44)/1</f>
        <v>0.14014211923070485</v>
      </c>
      <c r="D52" s="39">
        <f t="shared" ref="D52:D56" si="0">(1-D44)/1</f>
        <v>0.16290924959979269</v>
      </c>
    </row>
    <row r="53" spans="2:10" x14ac:dyDescent="0.25">
      <c r="B53" s="38" t="s">
        <v>4</v>
      </c>
      <c r="C53" s="39">
        <f t="shared" ref="C53" si="1">(1-C45)/1</f>
        <v>0.1884421702939828</v>
      </c>
      <c r="D53" s="39">
        <f t="shared" si="0"/>
        <v>0.1614381750717232</v>
      </c>
    </row>
    <row r="54" spans="2:10" x14ac:dyDescent="0.25">
      <c r="B54" s="38" t="s">
        <v>5</v>
      </c>
      <c r="C54" s="39">
        <f t="shared" ref="C54" si="2">(1-C46)/1</f>
        <v>0.20117023770881237</v>
      </c>
      <c r="D54" s="39">
        <f t="shared" si="0"/>
        <v>0.15485655058171321</v>
      </c>
    </row>
    <row r="55" spans="2:10" x14ac:dyDescent="0.25">
      <c r="B55" s="38" t="s">
        <v>6</v>
      </c>
      <c r="C55" s="39">
        <f t="shared" ref="C55" si="3">(1-C47)/1</f>
        <v>0.17339021073113581</v>
      </c>
      <c r="D55" s="39">
        <f t="shared" si="0"/>
        <v>0.13561940183108578</v>
      </c>
    </row>
    <row r="56" spans="2:10" x14ac:dyDescent="0.25">
      <c r="B56" s="38" t="s">
        <v>7</v>
      </c>
      <c r="C56" s="39">
        <f t="shared" ref="C56" si="4">(1-C48)/1</f>
        <v>0.12220871031131997</v>
      </c>
      <c r="D56" s="39">
        <f t="shared" si="0"/>
        <v>0.11982178428124468</v>
      </c>
    </row>
    <row r="58" spans="2:10" x14ac:dyDescent="0.25">
      <c r="B58" s="60" t="s">
        <v>12</v>
      </c>
      <c r="C58" s="60"/>
      <c r="D58" s="60"/>
      <c r="E58" s="60"/>
    </row>
    <row r="59" spans="2:10" x14ac:dyDescent="0.25">
      <c r="B59" s="38" t="s">
        <v>0</v>
      </c>
      <c r="C59" s="38" t="s">
        <v>1</v>
      </c>
      <c r="D59" s="38" t="s">
        <v>2</v>
      </c>
      <c r="E59" s="38" t="s">
        <v>13</v>
      </c>
      <c r="H59" s="60" t="s">
        <v>74</v>
      </c>
      <c r="I59" s="60"/>
      <c r="J59" s="60"/>
    </row>
    <row r="60" spans="2:10" x14ac:dyDescent="0.25">
      <c r="B60" s="38" t="s">
        <v>3</v>
      </c>
      <c r="C60" s="39">
        <f>C52*'Input values'!C49*'New cyclist'!C11*H60</f>
        <v>0</v>
      </c>
      <c r="D60" s="39">
        <f>D52*'Input values'!D49*'New cyclist'!D11*H60</f>
        <v>0</v>
      </c>
      <c r="E60" s="39">
        <f>SUM(C60:D60)</f>
        <v>0</v>
      </c>
      <c r="H60" s="38">
        <v>0</v>
      </c>
    </row>
    <row r="61" spans="2:10" x14ac:dyDescent="0.25">
      <c r="B61" s="38" t="s">
        <v>4</v>
      </c>
      <c r="C61" s="39">
        <f>C53*'Input values'!C50*'New cyclist'!C12</f>
        <v>4.7831724073913388E-2</v>
      </c>
      <c r="D61" s="39">
        <f>D53*'Input values'!D50*'New cyclist'!D12</f>
        <v>1.0109956834895129E-2</v>
      </c>
      <c r="E61" s="39">
        <f t="shared" ref="E61:E64" si="5">SUM(C61:D61)</f>
        <v>5.7941680908808517E-2</v>
      </c>
    </row>
    <row r="62" spans="2:10" x14ac:dyDescent="0.25">
      <c r="B62" s="38" t="s">
        <v>5</v>
      </c>
      <c r="C62" s="39">
        <f>C54*'Input values'!C51*'New cyclist'!C13</f>
        <v>9.0141421744321215E-2</v>
      </c>
      <c r="D62" s="39">
        <f>D54*'Input values'!D51*'New cyclist'!D13</f>
        <v>1.7837879550567641E-2</v>
      </c>
      <c r="E62" s="39">
        <f t="shared" si="5"/>
        <v>0.10797930129488886</v>
      </c>
    </row>
    <row r="63" spans="2:10" x14ac:dyDescent="0.25">
      <c r="B63" s="38" t="s">
        <v>6</v>
      </c>
      <c r="C63" s="39">
        <f>C55*'Input values'!C52*'New cyclist'!C14</f>
        <v>0.11725765186986514</v>
      </c>
      <c r="D63" s="39">
        <f>D55*'Input values'!D52*'New cyclist'!D14</f>
        <v>1.2446396777639927E-2</v>
      </c>
      <c r="E63" s="39">
        <f t="shared" si="5"/>
        <v>0.12970404864750507</v>
      </c>
    </row>
    <row r="64" spans="2:10" x14ac:dyDescent="0.25">
      <c r="B64" s="38" t="s">
        <v>7</v>
      </c>
      <c r="C64" s="39">
        <f>C56*'Input values'!C53*'New cyclist'!C15</f>
        <v>7.7099834952334995E-2</v>
      </c>
      <c r="D64" s="39">
        <f>D56*'Input values'!D53*'New cyclist'!D15</f>
        <v>0</v>
      </c>
      <c r="E64" s="39">
        <f t="shared" si="5"/>
        <v>7.7099834952334995E-2</v>
      </c>
    </row>
    <row r="65" spans="2:5" x14ac:dyDescent="0.25">
      <c r="B65" s="38" t="s">
        <v>13</v>
      </c>
      <c r="C65" s="39">
        <f>SUM(C60:C64)</f>
        <v>0.33233063264043472</v>
      </c>
      <c r="D65" s="39">
        <f t="shared" ref="D65:E65" si="6">SUM(D60:D64)</f>
        <v>4.03942331631027E-2</v>
      </c>
      <c r="E65" s="39">
        <f t="shared" si="6"/>
        <v>0.37272486580353748</v>
      </c>
    </row>
    <row r="67" spans="2:5" x14ac:dyDescent="0.25">
      <c r="B67" s="60" t="s">
        <v>14</v>
      </c>
      <c r="C67" s="60"/>
      <c r="D67" s="60"/>
      <c r="E67" s="60"/>
    </row>
    <row r="68" spans="2:5" x14ac:dyDescent="0.25">
      <c r="B68" s="38" t="s">
        <v>0</v>
      </c>
      <c r="C68" s="38" t="s">
        <v>1</v>
      </c>
      <c r="D68" s="38" t="s">
        <v>2</v>
      </c>
      <c r="E68" s="38" t="s">
        <v>13</v>
      </c>
    </row>
    <row r="69" spans="2:5" x14ac:dyDescent="0.25">
      <c r="B69" s="38" t="s">
        <v>3</v>
      </c>
      <c r="C69" s="39">
        <f>C60*'Input values'!C57</f>
        <v>0</v>
      </c>
      <c r="D69" s="39">
        <f>D60*'Input values'!D57</f>
        <v>0</v>
      </c>
      <c r="E69" s="39">
        <f>SUM(C69:D69)</f>
        <v>0</v>
      </c>
    </row>
    <row r="70" spans="2:5" x14ac:dyDescent="0.25">
      <c r="B70" s="38" t="s">
        <v>4</v>
      </c>
      <c r="C70" s="39">
        <f>C61*'Input values'!C58</f>
        <v>1.6289806244519434</v>
      </c>
      <c r="D70" s="39">
        <f>D61*'Input values'!D58</f>
        <v>0.33921268056900639</v>
      </c>
      <c r="E70" s="39">
        <f t="shared" ref="E70:E73" si="7">SUM(C70:D70)</f>
        <v>1.9681933050209497</v>
      </c>
    </row>
    <row r="71" spans="2:5" x14ac:dyDescent="0.25">
      <c r="B71" s="38" t="s">
        <v>5</v>
      </c>
      <c r="C71" s="39">
        <f>C62*'Input values'!C59</f>
        <v>2.1387599775616692</v>
      </c>
      <c r="D71" s="39">
        <f>D62*'Input values'!D59</f>
        <v>0.42323431480293094</v>
      </c>
      <c r="E71" s="39">
        <f t="shared" si="7"/>
        <v>2.5619942923646004</v>
      </c>
    </row>
    <row r="72" spans="2:5" x14ac:dyDescent="0.25">
      <c r="B72" s="38" t="s">
        <v>6</v>
      </c>
      <c r="C72" s="39">
        <f>C63*'Input values'!C60</f>
        <v>1.7742564917786241</v>
      </c>
      <c r="D72" s="39">
        <f>D63*'Input values'!D60</f>
        <v>0.17852156906697444</v>
      </c>
      <c r="E72" s="39">
        <f t="shared" si="7"/>
        <v>1.9527780608455985</v>
      </c>
    </row>
    <row r="73" spans="2:5" x14ac:dyDescent="0.25">
      <c r="B73" s="38" t="s">
        <v>7</v>
      </c>
      <c r="C73" s="39">
        <f>C64*'Input values'!C61</f>
        <v>0.44584097300296344</v>
      </c>
      <c r="D73" s="39">
        <f>D64*'Input values'!D61</f>
        <v>0</v>
      </c>
      <c r="E73" s="39">
        <f t="shared" si="7"/>
        <v>0.44584097300296344</v>
      </c>
    </row>
    <row r="74" spans="2:5" x14ac:dyDescent="0.25">
      <c r="B74" s="38" t="s">
        <v>13</v>
      </c>
      <c r="C74" s="39">
        <f>SUM(C69:C73)</f>
        <v>5.9878380667951996</v>
      </c>
      <c r="D74" s="39">
        <f t="shared" ref="D74:E74" si="8">SUM(D69:D73)</f>
        <v>0.94096856443891175</v>
      </c>
      <c r="E74" s="39">
        <f t="shared" si="8"/>
        <v>6.9288066312341119</v>
      </c>
    </row>
  </sheetData>
  <mergeCells count="10">
    <mergeCell ref="B50:E50"/>
    <mergeCell ref="B58:E58"/>
    <mergeCell ref="H59:J59"/>
    <mergeCell ref="B67:E67"/>
    <mergeCell ref="B2:E2"/>
    <mergeCell ref="B10:E10"/>
    <mergeCell ref="B18:E18"/>
    <mergeCell ref="B26:E26"/>
    <mergeCell ref="B34:E34"/>
    <mergeCell ref="B42: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G6" sqref="G6"/>
    </sheetView>
  </sheetViews>
  <sheetFormatPr defaultRowHeight="15" x14ac:dyDescent="0.25"/>
  <sheetData>
    <row r="3" spans="2:5" x14ac:dyDescent="0.25">
      <c r="B3" s="60" t="s">
        <v>25</v>
      </c>
      <c r="C3" s="60"/>
      <c r="D3" s="60"/>
      <c r="E3" s="60"/>
    </row>
    <row r="4" spans="2:5" x14ac:dyDescent="0.25">
      <c r="B4" s="29">
        <f>'Scenario setup and results'!C6</f>
        <v>230</v>
      </c>
    </row>
    <row r="6" spans="2:5" x14ac:dyDescent="0.25">
      <c r="B6" s="60" t="s">
        <v>51</v>
      </c>
      <c r="C6" s="60"/>
      <c r="D6" s="60"/>
      <c r="E6" s="60"/>
    </row>
    <row r="7" spans="2:5" x14ac:dyDescent="0.25">
      <c r="B7" s="36">
        <f>(B4*('Input values'!B4/2)+B4*(1-'Input values'!B4))</f>
        <v>126.5</v>
      </c>
    </row>
    <row r="9" spans="2:5" x14ac:dyDescent="0.25">
      <c r="B9" s="60" t="s">
        <v>17</v>
      </c>
      <c r="C9" s="60"/>
      <c r="D9" s="60"/>
      <c r="E9" s="60"/>
    </row>
    <row r="10" spans="2:5" x14ac:dyDescent="0.25">
      <c r="B10" s="29" t="s">
        <v>0</v>
      </c>
      <c r="C10" s="29" t="s">
        <v>1</v>
      </c>
      <c r="D10" s="29" t="s">
        <v>2</v>
      </c>
      <c r="E10" s="29" t="s">
        <v>15</v>
      </c>
    </row>
    <row r="11" spans="2:5" x14ac:dyDescent="0.25">
      <c r="B11" s="29" t="s">
        <v>3</v>
      </c>
      <c r="C11" s="37">
        <f>$B$7*'Input values'!J24</f>
        <v>18.974999999999998</v>
      </c>
      <c r="D11" s="37">
        <f>$B$7*'Input values'!K24</f>
        <v>18.974999999999998</v>
      </c>
      <c r="E11" s="36">
        <f>SUM(C11:D11)</f>
        <v>37.949999999999996</v>
      </c>
    </row>
    <row r="12" spans="2:5" x14ac:dyDescent="0.25">
      <c r="B12" s="29" t="s">
        <v>4</v>
      </c>
      <c r="C12" s="37">
        <f>$B$7*'Input values'!J25</f>
        <v>21.505000000000003</v>
      </c>
      <c r="D12" s="37">
        <f>$B$7*'Input values'!K25</f>
        <v>30.36</v>
      </c>
      <c r="E12" s="36">
        <f t="shared" ref="E12:E15" si="0">SUM(C12:D12)</f>
        <v>51.865000000000002</v>
      </c>
    </row>
    <row r="13" spans="2:5" x14ac:dyDescent="0.25">
      <c r="B13" s="29" t="s">
        <v>5</v>
      </c>
      <c r="C13" s="37">
        <f>$B$7*'Input values'!J26</f>
        <v>8.8550000000000004</v>
      </c>
      <c r="D13" s="37">
        <f>$B$7*'Input values'!K26</f>
        <v>11.385</v>
      </c>
      <c r="E13" s="36">
        <f t="shared" si="0"/>
        <v>20.240000000000002</v>
      </c>
    </row>
    <row r="14" spans="2:5" x14ac:dyDescent="0.25">
      <c r="B14" s="29" t="s">
        <v>6</v>
      </c>
      <c r="C14" s="37">
        <f>$B$7*'Input values'!J27</f>
        <v>6.3250000000000002</v>
      </c>
      <c r="D14" s="37">
        <f>$B$7*'Input values'!K27</f>
        <v>6.3250000000000002</v>
      </c>
      <c r="E14" s="36">
        <f t="shared" si="0"/>
        <v>12.65</v>
      </c>
    </row>
    <row r="15" spans="2:5" x14ac:dyDescent="0.25">
      <c r="B15" s="29" t="s">
        <v>7</v>
      </c>
      <c r="C15" s="37">
        <f>$B$7*'Input values'!J28</f>
        <v>1.2650000000000001</v>
      </c>
      <c r="D15" s="37">
        <f>$B$7*'Input values'!K28</f>
        <v>1.2650000000000001</v>
      </c>
      <c r="E15" s="36">
        <f t="shared" si="0"/>
        <v>2.5300000000000002</v>
      </c>
    </row>
    <row r="16" spans="2:5" x14ac:dyDescent="0.25">
      <c r="B16" s="29" t="s">
        <v>15</v>
      </c>
      <c r="C16" s="36">
        <f>SUM(C11:C15)</f>
        <v>56.925000000000011</v>
      </c>
      <c r="D16" s="36">
        <f t="shared" ref="D16:E16" si="1">SUM(D11:D15)</f>
        <v>68.309999999999988</v>
      </c>
      <c r="E16" s="36">
        <f t="shared" si="1"/>
        <v>125.23500000000001</v>
      </c>
    </row>
  </sheetData>
  <mergeCells count="3">
    <mergeCell ref="B3:E3"/>
    <mergeCell ref="B6:E6"/>
    <mergeCell ref="B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4"/>
  <sheetViews>
    <sheetView topLeftCell="A55" workbookViewId="0">
      <selection activeCell="I73" sqref="I73"/>
    </sheetView>
  </sheetViews>
  <sheetFormatPr defaultRowHeight="15" x14ac:dyDescent="0.25"/>
  <sheetData>
    <row r="2" spans="2:10" ht="51" customHeight="1" x14ac:dyDescent="0.25">
      <c r="B2" s="62" t="s">
        <v>35</v>
      </c>
      <c r="C2" s="60"/>
      <c r="D2" s="60"/>
      <c r="E2" s="60"/>
    </row>
    <row r="3" spans="2:10" x14ac:dyDescent="0.25">
      <c r="B3" s="38" t="s">
        <v>0</v>
      </c>
      <c r="C3" s="38" t="s">
        <v>1</v>
      </c>
      <c r="D3" s="38" t="s">
        <v>2</v>
      </c>
    </row>
    <row r="4" spans="2:10" x14ac:dyDescent="0.25">
      <c r="B4" s="38" t="s">
        <v>3</v>
      </c>
      <c r="C4" s="38">
        <f>'Input values'!J33</f>
        <v>0.68</v>
      </c>
      <c r="D4" s="38">
        <f>'Input values'!K33</f>
        <v>0.64</v>
      </c>
    </row>
    <row r="5" spans="2:10" x14ac:dyDescent="0.25">
      <c r="B5" s="38" t="s">
        <v>4</v>
      </c>
      <c r="C5" s="38">
        <f>'Input values'!J34</f>
        <v>0.74</v>
      </c>
      <c r="D5" s="38">
        <f>'Input values'!K34</f>
        <v>0.67</v>
      </c>
    </row>
    <row r="6" spans="2:10" x14ac:dyDescent="0.25">
      <c r="B6" s="38" t="s">
        <v>5</v>
      </c>
      <c r="C6" s="38">
        <f>'Input values'!J35</f>
        <v>0.76</v>
      </c>
      <c r="D6" s="38">
        <f>'Input values'!K35</f>
        <v>0.73</v>
      </c>
    </row>
    <row r="7" spans="2:10" x14ac:dyDescent="0.25">
      <c r="B7" s="38" t="s">
        <v>6</v>
      </c>
      <c r="C7" s="38">
        <f>'Input values'!J36</f>
        <v>0.73</v>
      </c>
      <c r="D7" s="38">
        <f>'Input values'!K36</f>
        <v>0.68</v>
      </c>
    </row>
    <row r="8" spans="2:10" x14ac:dyDescent="0.25">
      <c r="B8" s="38" t="s">
        <v>7</v>
      </c>
      <c r="C8" s="38">
        <f>'Input values'!J37</f>
        <v>0.6</v>
      </c>
      <c r="D8" s="38">
        <f>'Input values'!K37</f>
        <v>0.53</v>
      </c>
    </row>
    <row r="10" spans="2:10" ht="43.5" customHeight="1" x14ac:dyDescent="0.25">
      <c r="B10" s="60" t="s">
        <v>59</v>
      </c>
      <c r="C10" s="60"/>
      <c r="D10" s="60"/>
      <c r="E10" s="60"/>
    </row>
    <row r="11" spans="2:10" x14ac:dyDescent="0.25">
      <c r="B11" s="38" t="s">
        <v>0</v>
      </c>
      <c r="C11" s="38" t="s">
        <v>1</v>
      </c>
      <c r="D11" s="38" t="s">
        <v>2</v>
      </c>
    </row>
    <row r="12" spans="2:10" x14ac:dyDescent="0.25">
      <c r="B12" s="38" t="s">
        <v>3</v>
      </c>
      <c r="C12" s="40">
        <f xml:space="preserve"> (1*(1-'Input values'!$B$4)+('Input values'!$B$4*2))*C4</f>
        <v>1.292</v>
      </c>
      <c r="D12" s="40">
        <f xml:space="preserve"> (1*(1-'Input values'!$B$4)+('Input values'!$B$4*2))*D4</f>
        <v>1.216</v>
      </c>
      <c r="I12" s="1"/>
      <c r="J12" s="1"/>
    </row>
    <row r="13" spans="2:10" x14ac:dyDescent="0.25">
      <c r="B13" s="38" t="s">
        <v>4</v>
      </c>
      <c r="C13" s="40">
        <f xml:space="preserve"> (1*(1-'Input values'!$B$4)+('Input values'!$B$4*2))*C5</f>
        <v>1.4059999999999999</v>
      </c>
      <c r="D13" s="40">
        <f xml:space="preserve"> (1*(1-'Input values'!$B$4)+('Input values'!$B$4*2))*D5</f>
        <v>1.2729999999999999</v>
      </c>
      <c r="I13" s="1"/>
      <c r="J13" s="1"/>
    </row>
    <row r="14" spans="2:10" x14ac:dyDescent="0.25">
      <c r="B14" s="38" t="s">
        <v>5</v>
      </c>
      <c r="C14" s="40">
        <f xml:space="preserve"> (1*(1-'Input values'!$B$4)+('Input values'!$B$4*2))*C6</f>
        <v>1.444</v>
      </c>
      <c r="D14" s="40">
        <f xml:space="preserve"> (1*(1-'Input values'!$B$4)+('Input values'!$B$4*2))*D6</f>
        <v>1.387</v>
      </c>
      <c r="I14" s="1"/>
      <c r="J14" s="1"/>
    </row>
    <row r="15" spans="2:10" x14ac:dyDescent="0.25">
      <c r="B15" s="38" t="s">
        <v>6</v>
      </c>
      <c r="C15" s="40">
        <f xml:space="preserve"> (1*(1-'Input values'!$B$4)+('Input values'!$B$4*2))*C7</f>
        <v>1.387</v>
      </c>
      <c r="D15" s="40">
        <f xml:space="preserve"> (1*(1-'Input values'!$B$4)+('Input values'!$B$4*2))*D7</f>
        <v>1.292</v>
      </c>
      <c r="I15" s="1"/>
      <c r="J15" s="1"/>
    </row>
    <row r="16" spans="2:10" x14ac:dyDescent="0.25">
      <c r="B16" s="38" t="s">
        <v>7</v>
      </c>
      <c r="C16" s="40">
        <f xml:space="preserve"> (1*(1-'Input values'!$B$4)+('Input values'!$B$4*2))*C8</f>
        <v>1.1399999999999999</v>
      </c>
      <c r="D16" s="40">
        <f xml:space="preserve"> (1*(1-'Input values'!$B$4)+('Input values'!$B$4*2))*D8</f>
        <v>1.0069999999999999</v>
      </c>
      <c r="I16" s="1"/>
      <c r="J16" s="1"/>
    </row>
    <row r="18" spans="2:5" ht="30" customHeight="1" x14ac:dyDescent="0.25">
      <c r="B18" s="60" t="s">
        <v>57</v>
      </c>
      <c r="C18" s="60"/>
      <c r="D18" s="60"/>
      <c r="E18" s="60"/>
    </row>
    <row r="19" spans="2:5" x14ac:dyDescent="0.25">
      <c r="B19" s="38" t="s">
        <v>0</v>
      </c>
      <c r="C19" s="38" t="s">
        <v>1</v>
      </c>
      <c r="D19" s="38" t="s">
        <v>2</v>
      </c>
    </row>
    <row r="20" spans="2:5" x14ac:dyDescent="0.25">
      <c r="B20" s="38" t="s">
        <v>3</v>
      </c>
      <c r="C20" s="40">
        <f>C12*'Input values'!$B$10</f>
        <v>5.451178082191781</v>
      </c>
      <c r="D20" s="40">
        <f>D12*'Input values'!$B$10</f>
        <v>5.1305205479452054</v>
      </c>
    </row>
    <row r="21" spans="2:5" x14ac:dyDescent="0.25">
      <c r="B21" s="38" t="s">
        <v>4</v>
      </c>
      <c r="C21" s="40">
        <f>C13*'Input values'!$B$10</f>
        <v>5.9321643835616431</v>
      </c>
      <c r="D21" s="40">
        <f>D13*'Input values'!$B$10</f>
        <v>5.3710136986301364</v>
      </c>
    </row>
    <row r="22" spans="2:5" x14ac:dyDescent="0.25">
      <c r="B22" s="38" t="s">
        <v>5</v>
      </c>
      <c r="C22" s="40">
        <f>C14*'Input values'!$B$10</f>
        <v>6.0924931506849314</v>
      </c>
      <c r="D22" s="40">
        <f>D14*'Input values'!$B$10</f>
        <v>5.8520000000000003</v>
      </c>
    </row>
    <row r="23" spans="2:5" x14ac:dyDescent="0.25">
      <c r="B23" s="38" t="s">
        <v>6</v>
      </c>
      <c r="C23" s="40">
        <f>C15*'Input values'!$B$10</f>
        <v>5.8520000000000003</v>
      </c>
      <c r="D23" s="40">
        <f>D15*'Input values'!$B$10</f>
        <v>5.451178082191781</v>
      </c>
    </row>
    <row r="24" spans="2:5" x14ac:dyDescent="0.25">
      <c r="B24" s="38" t="s">
        <v>7</v>
      </c>
      <c r="C24" s="40">
        <f>C16*'Input values'!$B$10</f>
        <v>4.8098630136986298</v>
      </c>
      <c r="D24" s="40">
        <f>D16*'Input values'!$B$10</f>
        <v>4.2487123287671231</v>
      </c>
    </row>
    <row r="26" spans="2:5" x14ac:dyDescent="0.25">
      <c r="B26" s="60" t="s">
        <v>8</v>
      </c>
      <c r="C26" s="60"/>
      <c r="D26" s="60"/>
      <c r="E26" s="60"/>
    </row>
    <row r="27" spans="2:5" x14ac:dyDescent="0.25">
      <c r="B27" s="38" t="s">
        <v>0</v>
      </c>
      <c r="C27" s="38" t="s">
        <v>1</v>
      </c>
      <c r="D27" s="38" t="s">
        <v>2</v>
      </c>
    </row>
    <row r="28" spans="2:5" x14ac:dyDescent="0.25">
      <c r="B28" s="38" t="s">
        <v>3</v>
      </c>
      <c r="C28" s="39">
        <f>C20/'Input values'!J41</f>
        <v>2.137716894977169</v>
      </c>
      <c r="D28" s="39">
        <f>D20/'Input values'!K41</f>
        <v>2.0278737343656941</v>
      </c>
    </row>
    <row r="29" spans="2:5" x14ac:dyDescent="0.25">
      <c r="B29" s="38" t="s">
        <v>4</v>
      </c>
      <c r="C29" s="39">
        <f>C21/'Input values'!J42</f>
        <v>2.1650234976502345</v>
      </c>
      <c r="D29" s="39">
        <f>D21/'Input values'!K42</f>
        <v>2.0657744994731293</v>
      </c>
    </row>
    <row r="30" spans="2:5" x14ac:dyDescent="0.25">
      <c r="B30" s="38" t="s">
        <v>5</v>
      </c>
      <c r="C30" s="39">
        <f>C22/'Input values'!J43</f>
        <v>2.3253790651469202</v>
      </c>
      <c r="D30" s="39">
        <f>D22/'Input values'!K43</f>
        <v>2.3502008032128514</v>
      </c>
    </row>
    <row r="31" spans="2:5" x14ac:dyDescent="0.25">
      <c r="B31" s="38" t="s">
        <v>6</v>
      </c>
      <c r="C31" s="39">
        <f>C23/'Input values'!J44</f>
        <v>2.3502008032128514</v>
      </c>
      <c r="D31" s="39">
        <f>D23/'Input values'!K44</f>
        <v>2.3196502477411833</v>
      </c>
    </row>
    <row r="32" spans="2:5" x14ac:dyDescent="0.25">
      <c r="B32" s="38" t="s">
        <v>7</v>
      </c>
      <c r="C32" s="39">
        <f>C24/'Input values'!J45</f>
        <v>2.2795559306628577</v>
      </c>
      <c r="D32" s="39">
        <f>D24/'Input values'!K45</f>
        <v>2.082702121944668</v>
      </c>
    </row>
    <row r="34" spans="2:5" x14ac:dyDescent="0.25">
      <c r="B34" s="60" t="s">
        <v>9</v>
      </c>
      <c r="C34" s="60"/>
      <c r="D34" s="60"/>
      <c r="E34" s="60"/>
    </row>
    <row r="35" spans="2:5" x14ac:dyDescent="0.25">
      <c r="B35" s="38" t="s">
        <v>0</v>
      </c>
      <c r="C35" s="38" t="s">
        <v>1</v>
      </c>
      <c r="D35" s="38" t="s">
        <v>2</v>
      </c>
    </row>
    <row r="36" spans="2:5" x14ac:dyDescent="0.25">
      <c r="B36" s="38" t="s">
        <v>3</v>
      </c>
      <c r="C36" s="39">
        <f>C28*'Input values'!$I$13</f>
        <v>7.0544657534246573</v>
      </c>
      <c r="D36" s="39">
        <f>D28*'Input values'!$I$13</f>
        <v>6.6919833234067898</v>
      </c>
    </row>
    <row r="37" spans="2:5" x14ac:dyDescent="0.25">
      <c r="B37" s="38" t="s">
        <v>4</v>
      </c>
      <c r="C37" s="39">
        <f>C29*'Input values'!$I$13</f>
        <v>7.1445775422457736</v>
      </c>
      <c r="D37" s="39">
        <f>D29*'Input values'!$I$13</f>
        <v>6.8170558482613259</v>
      </c>
    </row>
    <row r="38" spans="2:5" x14ac:dyDescent="0.25">
      <c r="B38" s="38" t="s">
        <v>5</v>
      </c>
      <c r="C38" s="39">
        <f>C30*'Input values'!$I$13</f>
        <v>7.6737509149848364</v>
      </c>
      <c r="D38" s="39">
        <f>D30*'Input values'!$I$13</f>
        <v>7.7556626506024093</v>
      </c>
    </row>
    <row r="39" spans="2:5" x14ac:dyDescent="0.25">
      <c r="B39" s="38" t="s">
        <v>6</v>
      </c>
      <c r="C39" s="39">
        <f>C31*'Input values'!$I$13</f>
        <v>7.7556626506024093</v>
      </c>
      <c r="D39" s="39">
        <f>D31*'Input values'!$I$13</f>
        <v>7.6548458175459047</v>
      </c>
    </row>
    <row r="40" spans="2:5" x14ac:dyDescent="0.25">
      <c r="B40" s="38" t="s">
        <v>7</v>
      </c>
      <c r="C40" s="39">
        <f>C32*'Input values'!$I$13</f>
        <v>7.5225345711874301</v>
      </c>
      <c r="D40" s="39">
        <f>D32*'Input values'!$I$13</f>
        <v>6.8729170024174042</v>
      </c>
    </row>
    <row r="42" spans="2:5" x14ac:dyDescent="0.25">
      <c r="B42" s="60" t="s">
        <v>23</v>
      </c>
      <c r="C42" s="60"/>
      <c r="D42" s="60"/>
      <c r="E42" s="60"/>
    </row>
    <row r="43" spans="2:5" x14ac:dyDescent="0.25">
      <c r="B43" s="38" t="s">
        <v>0</v>
      </c>
      <c r="C43" s="38" t="s">
        <v>1</v>
      </c>
      <c r="D43" s="38" t="s">
        <v>2</v>
      </c>
    </row>
    <row r="44" spans="2:5" x14ac:dyDescent="0.25">
      <c r="B44" s="38" t="s">
        <v>3</v>
      </c>
      <c r="C44" s="39">
        <f>IF(EXP(-(-(LN('Input values'!$I$16))/11.25)*C36)&lt;'Input values'!$I$19,'Input values'!$I$19,EXP(-(-(LN('Input values'!$I$16))/11.25)*C36))</f>
        <v>0.93606744673818021</v>
      </c>
      <c r="D44" s="39">
        <f>IF(EXP(-(-(LN('Input values'!$I$16))/11.25)*D36)&lt;'Input values'!$I$19,'Input values'!$I$19,EXP(-(-(LN('Input values'!$I$16))/11.25)*D36))</f>
        <v>0.93925059483455597</v>
      </c>
    </row>
    <row r="45" spans="2:5" x14ac:dyDescent="0.25">
      <c r="B45" s="38" t="s">
        <v>4</v>
      </c>
      <c r="C45" s="39">
        <f>IF(EXP(-(-(LN('Input values'!$I$16))/11.25)*C37)&lt;'Input values'!$I$19,'Input values'!$I$19,EXP(-(-(LN('Input values'!$I$16))/11.25)*C37))</f>
        <v>0.93527780358536239</v>
      </c>
      <c r="D45" s="39">
        <f>IF(EXP(-(-(LN('Input values'!$I$16))/11.25)*D37)&lt;'Input values'!$I$19,'Input values'!$I$19,EXP(-(-(LN('Input values'!$I$16))/11.25)*D37))</f>
        <v>0.9381510462344248</v>
      </c>
    </row>
    <row r="46" spans="2:5" x14ac:dyDescent="0.25">
      <c r="B46" s="38" t="s">
        <v>5</v>
      </c>
      <c r="C46" s="39">
        <f>IF(EXP(-(-(LN('Input values'!$I$16))/11.25)*C38)&lt;'Input values'!$I$19,'Input values'!$I$19,EXP(-(-(LN('Input values'!$I$16))/11.25)*C38))</f>
        <v>0.93065411838292977</v>
      </c>
      <c r="D46" s="39">
        <f>IF(EXP(-(-(LN('Input values'!$I$16))/11.25)*D38)&lt;'Input values'!$I$19,'Input values'!$I$19,EXP(-(-(LN('Input values'!$I$16))/11.25)*D38))</f>
        <v>0.92994045530882152</v>
      </c>
    </row>
    <row r="47" spans="2:5" x14ac:dyDescent="0.25">
      <c r="B47" s="38" t="s">
        <v>6</v>
      </c>
      <c r="C47" s="39">
        <f>IF(EXP(-(-(LN('Input values'!$I$16))/11.25)*C39)&lt;'Input values'!$I$19,'Input values'!$I$19,EXP(-(-(LN('Input values'!$I$16))/11.25)*C39))</f>
        <v>0.92994045530882152</v>
      </c>
      <c r="D47" s="39">
        <f>IF(EXP(-(-(LN('Input values'!$I$16))/11.25)*D39)&lt;'Input values'!$I$19,'Input values'!$I$19,EXP(-(-(LN('Input values'!$I$16))/11.25)*D39))</f>
        <v>0.93081890845205906</v>
      </c>
    </row>
    <row r="48" spans="2:5" x14ac:dyDescent="0.25">
      <c r="B48" s="38" t="s">
        <v>7</v>
      </c>
      <c r="C48" s="39">
        <f>IF(EXP(-(-(LN('Input values'!$I$16))/11.25)*C40)&lt;'Input values'!$I$19,'Input values'!$I$19,EXP(-(-(LN('Input values'!$I$16))/11.25)*C40))</f>
        <v>0.93197304296189309</v>
      </c>
      <c r="D48" s="39">
        <f>IF(EXP(-(-(LN('Input values'!$I$16))/11.25)*D40)&lt;'Input values'!$I$19,'Input values'!$I$19,EXP(-(-(LN('Input values'!$I$16))/11.25)*D40))</f>
        <v>0.93766037066089669</v>
      </c>
    </row>
    <row r="50" spans="2:10" x14ac:dyDescent="0.25">
      <c r="B50" s="60" t="s">
        <v>24</v>
      </c>
      <c r="C50" s="60"/>
      <c r="D50" s="60"/>
      <c r="E50" s="60"/>
    </row>
    <row r="51" spans="2:10" x14ac:dyDescent="0.25">
      <c r="B51" s="38" t="s">
        <v>0</v>
      </c>
      <c r="C51" s="38" t="s">
        <v>1</v>
      </c>
      <c r="D51" s="38" t="s">
        <v>2</v>
      </c>
    </row>
    <row r="52" spans="2:10" x14ac:dyDescent="0.25">
      <c r="B52" s="38" t="s">
        <v>3</v>
      </c>
      <c r="C52" s="39">
        <f>(1-C44)/1</f>
        <v>6.3932553261819791E-2</v>
      </c>
      <c r="D52" s="39">
        <f t="shared" ref="D52:D56" si="0">(1-D44)/1</f>
        <v>6.0749405165444026E-2</v>
      </c>
    </row>
    <row r="53" spans="2:10" x14ac:dyDescent="0.25">
      <c r="B53" s="38" t="s">
        <v>4</v>
      </c>
      <c r="C53" s="39">
        <f t="shared" ref="C53:C56" si="1">(1-C45)/1</f>
        <v>6.4722196414637612E-2</v>
      </c>
      <c r="D53" s="39">
        <f t="shared" si="0"/>
        <v>6.1848953765575199E-2</v>
      </c>
    </row>
    <row r="54" spans="2:10" x14ac:dyDescent="0.25">
      <c r="B54" s="38" t="s">
        <v>5</v>
      </c>
      <c r="C54" s="39">
        <f t="shared" si="1"/>
        <v>6.9345881617070226E-2</v>
      </c>
      <c r="D54" s="39">
        <f t="shared" si="0"/>
        <v>7.0059544691178477E-2</v>
      </c>
    </row>
    <row r="55" spans="2:10" x14ac:dyDescent="0.25">
      <c r="B55" s="38" t="s">
        <v>6</v>
      </c>
      <c r="C55" s="39">
        <f t="shared" si="1"/>
        <v>7.0059544691178477E-2</v>
      </c>
      <c r="D55" s="39">
        <f t="shared" si="0"/>
        <v>6.9181091547940943E-2</v>
      </c>
    </row>
    <row r="56" spans="2:10" x14ac:dyDescent="0.25">
      <c r="B56" s="38" t="s">
        <v>7</v>
      </c>
      <c r="C56" s="39">
        <f t="shared" si="1"/>
        <v>6.8026957038106906E-2</v>
      </c>
      <c r="D56" s="39">
        <f t="shared" si="0"/>
        <v>6.2339629339103309E-2</v>
      </c>
    </row>
    <row r="58" spans="2:10" x14ac:dyDescent="0.25">
      <c r="B58" s="60" t="s">
        <v>12</v>
      </c>
      <c r="C58" s="60"/>
      <c r="D58" s="60"/>
      <c r="E58" s="60"/>
    </row>
    <row r="59" spans="2:10" x14ac:dyDescent="0.25">
      <c r="B59" s="38" t="s">
        <v>0</v>
      </c>
      <c r="C59" s="38" t="s">
        <v>1</v>
      </c>
      <c r="D59" s="38" t="s">
        <v>2</v>
      </c>
      <c r="E59" s="38" t="s">
        <v>13</v>
      </c>
      <c r="H59" s="60" t="s">
        <v>74</v>
      </c>
      <c r="I59" s="60"/>
      <c r="J59" s="60"/>
    </row>
    <row r="60" spans="2:10" x14ac:dyDescent="0.25">
      <c r="B60" s="38" t="s">
        <v>3</v>
      </c>
      <c r="C60" s="39">
        <f>C52*'Input values'!C49*'New pedestrians'!C11*H60</f>
        <v>0</v>
      </c>
      <c r="D60" s="39">
        <f>D52*'Input values'!D49*'New pedestrians'!D11*H60</f>
        <v>0</v>
      </c>
      <c r="E60" s="39">
        <f>SUM(C60:D60)</f>
        <v>0</v>
      </c>
      <c r="H60" s="38">
        <v>0</v>
      </c>
    </row>
    <row r="61" spans="2:10" x14ac:dyDescent="0.25">
      <c r="B61" s="38" t="s">
        <v>4</v>
      </c>
      <c r="C61" s="39">
        <f>C53*'Input values'!C50*'New pedestrians'!C12</f>
        <v>1.6470369228862968E-3</v>
      </c>
      <c r="D61" s="39">
        <f>D53*'Input values'!D50*'New pedestrians'!D12</f>
        <v>1.3362709107593532E-3</v>
      </c>
      <c r="E61" s="39">
        <f t="shared" ref="E61:E64" si="2">SUM(C61:D61)</f>
        <v>2.9833078336456501E-3</v>
      </c>
    </row>
    <row r="62" spans="2:10" x14ac:dyDescent="0.25">
      <c r="B62" s="38" t="s">
        <v>5</v>
      </c>
      <c r="C62" s="39">
        <f>C54*'Input values'!C51*'New pedestrians'!C13</f>
        <v>3.8482552641654279E-3</v>
      </c>
      <c r="D62" s="39">
        <f>D54*'Input values'!D51*'New pedestrians'!D13</f>
        <v>3.3410370950274909E-3</v>
      </c>
      <c r="E62" s="39">
        <f t="shared" si="2"/>
        <v>7.1892923591929184E-3</v>
      </c>
    </row>
    <row r="63" spans="2:10" x14ac:dyDescent="0.25">
      <c r="B63" s="38" t="s">
        <v>6</v>
      </c>
      <c r="C63" s="39">
        <f>C55*'Input values'!C52*'New pedestrians'!C14</f>
        <v>1.0897120797024247E-2</v>
      </c>
      <c r="D63" s="39">
        <f>D55*'Input values'!D52*'New pedestrians'!D14</f>
        <v>7.3014155702191014E-3</v>
      </c>
      <c r="E63" s="39">
        <f t="shared" si="2"/>
        <v>1.8198536367243348E-2</v>
      </c>
    </row>
    <row r="64" spans="2:10" x14ac:dyDescent="0.25">
      <c r="B64" s="38" t="s">
        <v>7</v>
      </c>
      <c r="C64" s="39">
        <f>C56*'Input values'!C53*'New pedestrians'!C15</f>
        <v>9.8709776391136261E-3</v>
      </c>
      <c r="D64" s="39">
        <f>D56*'Input values'!D53*'New pedestrians'!D15</f>
        <v>7.8452930152193082E-3</v>
      </c>
      <c r="E64" s="39">
        <f t="shared" si="2"/>
        <v>1.7716270654332934E-2</v>
      </c>
    </row>
    <row r="65" spans="2:5" x14ac:dyDescent="0.25">
      <c r="B65" s="38" t="s">
        <v>13</v>
      </c>
      <c r="C65" s="39">
        <f>SUM(C60:C64)</f>
        <v>2.6263390623189598E-2</v>
      </c>
      <c r="D65" s="39">
        <f t="shared" ref="D65:E65" si="3">SUM(D60:D64)</f>
        <v>1.9824016591225253E-2</v>
      </c>
      <c r="E65" s="39">
        <f t="shared" si="3"/>
        <v>4.6087407214414851E-2</v>
      </c>
    </row>
    <row r="67" spans="2:5" x14ac:dyDescent="0.25">
      <c r="B67" s="60" t="s">
        <v>14</v>
      </c>
      <c r="C67" s="60"/>
      <c r="D67" s="60"/>
      <c r="E67" s="60"/>
    </row>
    <row r="68" spans="2:5" x14ac:dyDescent="0.25">
      <c r="B68" s="38" t="s">
        <v>0</v>
      </c>
      <c r="C68" s="38" t="s">
        <v>1</v>
      </c>
      <c r="D68" s="38" t="s">
        <v>2</v>
      </c>
      <c r="E68" s="38" t="s">
        <v>13</v>
      </c>
    </row>
    <row r="69" spans="2:5" x14ac:dyDescent="0.25">
      <c r="B69" s="38" t="s">
        <v>3</v>
      </c>
      <c r="C69" s="39">
        <f>C60*'Input values'!C57</f>
        <v>0</v>
      </c>
      <c r="D69" s="39">
        <f>D60*'Input values'!D57</f>
        <v>0</v>
      </c>
      <c r="E69" s="39">
        <f>SUM(C69:D69)</f>
        <v>0</v>
      </c>
    </row>
    <row r="70" spans="2:5" x14ac:dyDescent="0.25">
      <c r="B70" s="38" t="s">
        <v>4</v>
      </c>
      <c r="C70" s="39">
        <f>C61*'Input values'!C58</f>
        <v>5.6092296213131589E-2</v>
      </c>
      <c r="D70" s="39">
        <f>D61*'Input values'!D58</f>
        <v>4.4835012157573628E-2</v>
      </c>
      <c r="E70" s="39">
        <f t="shared" ref="E70:E73" si="4">SUM(C70:D70)</f>
        <v>0.10092730837070521</v>
      </c>
    </row>
    <row r="71" spans="2:5" x14ac:dyDescent="0.25">
      <c r="B71" s="38" t="s">
        <v>5</v>
      </c>
      <c r="C71" s="39">
        <f>C62*'Input values'!C59</f>
        <v>9.1306462480513703E-2</v>
      </c>
      <c r="D71" s="39">
        <f>D62*'Input values'!D59</f>
        <v>7.9271840671226931E-2</v>
      </c>
      <c r="E71" s="39">
        <f t="shared" si="4"/>
        <v>0.17057830315174063</v>
      </c>
    </row>
    <row r="72" spans="2:5" x14ac:dyDescent="0.25">
      <c r="B72" s="38" t="s">
        <v>6</v>
      </c>
      <c r="C72" s="39">
        <f>C63*'Input values'!C60</f>
        <v>0.16488721211365975</v>
      </c>
      <c r="D72" s="39">
        <f>D63*'Input values'!D60</f>
        <v>0.10472590479738127</v>
      </c>
      <c r="E72" s="39">
        <f t="shared" si="4"/>
        <v>0.26961311691104101</v>
      </c>
    </row>
    <row r="73" spans="2:5" x14ac:dyDescent="0.25">
      <c r="B73" s="38" t="s">
        <v>7</v>
      </c>
      <c r="C73" s="39">
        <f>C64*'Input values'!C61</f>
        <v>5.7080359222995092E-2</v>
      </c>
      <c r="D73" s="39">
        <f>D64*'Input values'!D61</f>
        <v>4.5366544215835559E-2</v>
      </c>
      <c r="E73" s="39">
        <f t="shared" si="4"/>
        <v>0.10244690343883064</v>
      </c>
    </row>
    <row r="74" spans="2:5" x14ac:dyDescent="0.25">
      <c r="B74" s="38" t="s">
        <v>13</v>
      </c>
      <c r="C74" s="39">
        <f>SUM(C69:C73)</f>
        <v>0.36936633003030012</v>
      </c>
      <c r="D74" s="39">
        <f t="shared" ref="D74:E74" si="5">SUM(D69:D73)</f>
        <v>0.27419930184201741</v>
      </c>
      <c r="E74" s="39">
        <f t="shared" si="5"/>
        <v>0.64356563187231752</v>
      </c>
    </row>
  </sheetData>
  <mergeCells count="10">
    <mergeCell ref="B50:E50"/>
    <mergeCell ref="B58:E58"/>
    <mergeCell ref="H59:J59"/>
    <mergeCell ref="B67:E67"/>
    <mergeCell ref="B2:E2"/>
    <mergeCell ref="B10:E10"/>
    <mergeCell ref="B18:E18"/>
    <mergeCell ref="B26:E26"/>
    <mergeCell ref="B34:E34"/>
    <mergeCell ref="B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abSelected="1" workbookViewId="0">
      <selection activeCell="B37" sqref="B37"/>
    </sheetView>
  </sheetViews>
  <sheetFormatPr defaultRowHeight="15" x14ac:dyDescent="0.25"/>
  <cols>
    <col min="3" max="12" width="20.7109375" customWidth="1"/>
  </cols>
  <sheetData>
    <row r="3" spans="2:13" x14ac:dyDescent="0.25">
      <c r="B3" s="43"/>
      <c r="C3" s="44" t="s">
        <v>53</v>
      </c>
      <c r="D3" s="45">
        <f>'Scenario setup and results'!C10</f>
        <v>60000</v>
      </c>
    </row>
    <row r="5" spans="2:13" s="7" customFormat="1" x14ac:dyDescent="0.25">
      <c r="B5" s="48"/>
      <c r="C5" s="48"/>
      <c r="D5" s="48"/>
      <c r="E5" s="18" t="s">
        <v>19</v>
      </c>
      <c r="F5" s="18"/>
      <c r="G5" s="18"/>
      <c r="H5" s="19" t="s">
        <v>20</v>
      </c>
      <c r="I5" s="19"/>
      <c r="J5" s="19"/>
      <c r="K5" s="49" t="s">
        <v>21</v>
      </c>
      <c r="L5" s="49"/>
      <c r="M5" s="49"/>
    </row>
    <row r="6" spans="2:13" s="7" customFormat="1" ht="45" x14ac:dyDescent="0.25">
      <c r="B6" s="16" t="s">
        <v>38</v>
      </c>
      <c r="C6" s="16" t="s">
        <v>46</v>
      </c>
      <c r="D6" s="16" t="s">
        <v>64</v>
      </c>
      <c r="E6" s="17" t="s">
        <v>12</v>
      </c>
      <c r="F6" s="17" t="s">
        <v>47</v>
      </c>
      <c r="G6" s="17" t="s">
        <v>48</v>
      </c>
      <c r="H6" s="18" t="s">
        <v>12</v>
      </c>
      <c r="I6" s="18" t="s">
        <v>47</v>
      </c>
      <c r="J6" s="18" t="s">
        <v>48</v>
      </c>
      <c r="K6" s="19" t="s">
        <v>12</v>
      </c>
      <c r="L6" s="19" t="s">
        <v>47</v>
      </c>
      <c r="M6" s="19" t="s">
        <v>48</v>
      </c>
    </row>
    <row r="7" spans="2:13" x14ac:dyDescent="0.25">
      <c r="B7" s="14">
        <f>'Scenario setup and results'!C8</f>
        <v>2010</v>
      </c>
      <c r="C7" s="15">
        <f>'Input values'!C76</f>
        <v>0</v>
      </c>
      <c r="D7" s="15">
        <f>((1/(1+'Input values'!$B$69))^(B7-'Scenario setup and results'!$C$8))</f>
        <v>1</v>
      </c>
      <c r="E7" s="8">
        <f>'Cycling health'!$E$65*C7</f>
        <v>0</v>
      </c>
      <c r="F7" s="8">
        <f>'Cycling health'!$E$74*C7</f>
        <v>0</v>
      </c>
      <c r="G7" s="9">
        <f>F7*$D$3*D7</f>
        <v>0</v>
      </c>
      <c r="H7" s="10">
        <f>'Walking health'!$E$65*C7</f>
        <v>0</v>
      </c>
      <c r="I7" s="10">
        <f>'Walking health'!$E$74*C7</f>
        <v>0</v>
      </c>
      <c r="J7" s="11">
        <f>I7*$D$3*D7</f>
        <v>0</v>
      </c>
      <c r="K7" s="12">
        <f>E7+H7</f>
        <v>0</v>
      </c>
      <c r="L7" s="12">
        <f t="shared" ref="L7:L27" si="0">F7+I7</f>
        <v>0</v>
      </c>
      <c r="M7" s="13">
        <f t="shared" ref="M7:M27" si="1">G7+J7</f>
        <v>0</v>
      </c>
    </row>
    <row r="8" spans="2:13" x14ac:dyDescent="0.25">
      <c r="B8" s="14">
        <f>B7+1</f>
        <v>2011</v>
      </c>
      <c r="C8" s="15">
        <f>'Input values'!C77</f>
        <v>0</v>
      </c>
      <c r="D8" s="15">
        <f>((1/(1+'Input values'!$B$69))^(B8-'Scenario setup and results'!$C$8))</f>
        <v>0.98522167487684742</v>
      </c>
      <c r="E8" s="8">
        <f>'Cycling health'!$E$65*C8</f>
        <v>0</v>
      </c>
      <c r="F8" s="8">
        <f>'Cycling health'!$E$74*C8</f>
        <v>0</v>
      </c>
      <c r="G8" s="9">
        <f t="shared" ref="G8:G47" si="2">F8*$D$3*D8</f>
        <v>0</v>
      </c>
      <c r="H8" s="10">
        <f>'Walking health'!$E$65*C8</f>
        <v>0</v>
      </c>
      <c r="I8" s="10">
        <f>'Walking health'!$E$74*C8</f>
        <v>0</v>
      </c>
      <c r="J8" s="11">
        <f t="shared" ref="J8:J47" si="3">I8*$D$3*D8</f>
        <v>0</v>
      </c>
      <c r="K8" s="12">
        <f t="shared" ref="K8:K27" si="4">E8+H8</f>
        <v>0</v>
      </c>
      <c r="L8" s="12">
        <f t="shared" si="0"/>
        <v>0</v>
      </c>
      <c r="M8" s="13">
        <f t="shared" si="1"/>
        <v>0</v>
      </c>
    </row>
    <row r="9" spans="2:13" x14ac:dyDescent="0.25">
      <c r="B9" s="14">
        <f t="shared" ref="B9:B26" si="5">B8+1</f>
        <v>2012</v>
      </c>
      <c r="C9" s="15">
        <f>'Input values'!C78</f>
        <v>0</v>
      </c>
      <c r="D9" s="15">
        <f>((1/(1+'Input values'!$B$69))^(B9-'Scenario setup and results'!$C$8))</f>
        <v>0.97066174864714039</v>
      </c>
      <c r="E9" s="8">
        <f>'Cycling health'!$E$65*C9</f>
        <v>0</v>
      </c>
      <c r="F9" s="8">
        <f>'Cycling health'!$E$74*C9</f>
        <v>0</v>
      </c>
      <c r="G9" s="9">
        <f t="shared" si="2"/>
        <v>0</v>
      </c>
      <c r="H9" s="10">
        <f>'Walking health'!$E$65*C9</f>
        <v>0</v>
      </c>
      <c r="I9" s="10">
        <f>'Walking health'!$E$74*C9</f>
        <v>0</v>
      </c>
      <c r="J9" s="11">
        <f t="shared" si="3"/>
        <v>0</v>
      </c>
      <c r="K9" s="12">
        <f t="shared" si="4"/>
        <v>0</v>
      </c>
      <c r="L9" s="12">
        <f t="shared" si="0"/>
        <v>0</v>
      </c>
      <c r="M9" s="13">
        <f t="shared" si="1"/>
        <v>0</v>
      </c>
    </row>
    <row r="10" spans="2:13" x14ac:dyDescent="0.25">
      <c r="B10" s="14">
        <f t="shared" si="5"/>
        <v>2013</v>
      </c>
      <c r="C10" s="15">
        <f>'Input values'!C79</f>
        <v>0</v>
      </c>
      <c r="D10" s="15">
        <f>((1/(1+'Input values'!$B$69))^(B10-'Scenario setup and results'!$C$8))</f>
        <v>0.95631699374102519</v>
      </c>
      <c r="E10" s="8">
        <f>'Cycling health'!$E$65*C10</f>
        <v>0</v>
      </c>
      <c r="F10" s="8">
        <f>'Cycling health'!$E$74*C10</f>
        <v>0</v>
      </c>
      <c r="G10" s="9">
        <f t="shared" si="2"/>
        <v>0</v>
      </c>
      <c r="H10" s="10">
        <f>'Walking health'!$E$65*C10</f>
        <v>0</v>
      </c>
      <c r="I10" s="10">
        <f>'Walking health'!$E$74*C10</f>
        <v>0</v>
      </c>
      <c r="J10" s="11">
        <f t="shared" si="3"/>
        <v>0</v>
      </c>
      <c r="K10" s="12">
        <f t="shared" si="4"/>
        <v>0</v>
      </c>
      <c r="L10" s="12">
        <f t="shared" si="0"/>
        <v>0</v>
      </c>
      <c r="M10" s="13">
        <f t="shared" si="1"/>
        <v>0</v>
      </c>
    </row>
    <row r="11" spans="2:13" x14ac:dyDescent="0.25">
      <c r="B11" s="14">
        <f t="shared" si="5"/>
        <v>2014</v>
      </c>
      <c r="C11" s="15">
        <f>'Input values'!C80</f>
        <v>0</v>
      </c>
      <c r="D11" s="15">
        <f>((1/(1+'Input values'!$B$69))^(B11-'Scenario setup and results'!$C$8))</f>
        <v>0.94218423028672438</v>
      </c>
      <c r="E11" s="8">
        <f>'Cycling health'!$E$65*C11</f>
        <v>0</v>
      </c>
      <c r="F11" s="8">
        <f>'Cycling health'!$E$74*C11</f>
        <v>0</v>
      </c>
      <c r="G11" s="9">
        <f t="shared" si="2"/>
        <v>0</v>
      </c>
      <c r="H11" s="10">
        <f>'Walking health'!$E$65*C11</f>
        <v>0</v>
      </c>
      <c r="I11" s="10">
        <f>'Walking health'!$E$74*C11</f>
        <v>0</v>
      </c>
      <c r="J11" s="11">
        <f t="shared" si="3"/>
        <v>0</v>
      </c>
      <c r="K11" s="12">
        <f t="shared" si="4"/>
        <v>0</v>
      </c>
      <c r="L11" s="12">
        <f t="shared" si="0"/>
        <v>0</v>
      </c>
      <c r="M11" s="13">
        <f t="shared" si="1"/>
        <v>0</v>
      </c>
    </row>
    <row r="12" spans="2:13" x14ac:dyDescent="0.25">
      <c r="B12" s="14">
        <f t="shared" si="5"/>
        <v>2015</v>
      </c>
      <c r="C12" s="15">
        <f>'Input values'!C81</f>
        <v>0</v>
      </c>
      <c r="D12" s="15">
        <f>((1/(1+'Input values'!$B$69))^(B12-'Scenario setup and results'!$C$8))</f>
        <v>0.92826032540563985</v>
      </c>
      <c r="E12" s="8">
        <f>'Cycling health'!$E$65*C12</f>
        <v>0</v>
      </c>
      <c r="F12" s="8">
        <f>'Cycling health'!$E$74*C12</f>
        <v>0</v>
      </c>
      <c r="G12" s="9">
        <f t="shared" si="2"/>
        <v>0</v>
      </c>
      <c r="H12" s="10">
        <f>'Walking health'!$E$65*C12</f>
        <v>0</v>
      </c>
      <c r="I12" s="10">
        <f>'Walking health'!$E$74*C12</f>
        <v>0</v>
      </c>
      <c r="J12" s="11">
        <f t="shared" si="3"/>
        <v>0</v>
      </c>
      <c r="K12" s="12">
        <f t="shared" si="4"/>
        <v>0</v>
      </c>
      <c r="L12" s="12">
        <f t="shared" si="0"/>
        <v>0</v>
      </c>
      <c r="M12" s="13">
        <f t="shared" si="1"/>
        <v>0</v>
      </c>
    </row>
    <row r="13" spans="2:13" x14ac:dyDescent="0.25">
      <c r="B13" s="14">
        <f t="shared" si="5"/>
        <v>2016</v>
      </c>
      <c r="C13" s="15">
        <f>'Input values'!C82</f>
        <v>0</v>
      </c>
      <c r="D13" s="15">
        <f>((1/(1+'Input values'!$B$69))^(B13-'Scenario setup and results'!$C$8))</f>
        <v>0.91454219251787194</v>
      </c>
      <c r="E13" s="8">
        <f>'Cycling health'!$E$65*C13</f>
        <v>0</v>
      </c>
      <c r="F13" s="8">
        <f>'Cycling health'!$E$74*C13</f>
        <v>0</v>
      </c>
      <c r="G13" s="9">
        <f t="shared" si="2"/>
        <v>0</v>
      </c>
      <c r="H13" s="10">
        <f>'Walking health'!$E$65*C13</f>
        <v>0</v>
      </c>
      <c r="I13" s="10">
        <f>'Walking health'!$E$74*C13</f>
        <v>0</v>
      </c>
      <c r="J13" s="11">
        <f t="shared" si="3"/>
        <v>0</v>
      </c>
      <c r="K13" s="12">
        <f t="shared" si="4"/>
        <v>0</v>
      </c>
      <c r="L13" s="12">
        <f t="shared" si="0"/>
        <v>0</v>
      </c>
      <c r="M13" s="13">
        <f t="shared" si="1"/>
        <v>0</v>
      </c>
    </row>
    <row r="14" spans="2:13" x14ac:dyDescent="0.25">
      <c r="B14" s="14">
        <f t="shared" si="5"/>
        <v>2017</v>
      </c>
      <c r="C14" s="15">
        <f>'Input values'!C83</f>
        <v>1</v>
      </c>
      <c r="D14" s="15">
        <f>((1/(1+'Input values'!$B$69))^(B14-'Scenario setup and results'!$C$8))</f>
        <v>0.90102679065800206</v>
      </c>
      <c r="E14" s="8">
        <f>'Cycling health'!$E$65*C14</f>
        <v>0.37272486580353748</v>
      </c>
      <c r="F14" s="8">
        <f>'Cycling health'!$E$74*C14</f>
        <v>6.9288066312341119</v>
      </c>
      <c r="G14" s="9">
        <f t="shared" si="2"/>
        <v>374582.42412184528</v>
      </c>
      <c r="H14" s="10">
        <f>'Walking health'!$E$65*C14</f>
        <v>4.6087407214414851E-2</v>
      </c>
      <c r="I14" s="10">
        <f>'Walking health'!$E$74*C14</f>
        <v>0.64356563187231752</v>
      </c>
      <c r="J14" s="11">
        <f t="shared" si="3"/>
        <v>34792.192551822212</v>
      </c>
      <c r="K14" s="12">
        <f t="shared" si="4"/>
        <v>0.41881227301795232</v>
      </c>
      <c r="L14" s="12">
        <f t="shared" si="0"/>
        <v>7.5723722631064296</v>
      </c>
      <c r="M14" s="13">
        <f t="shared" si="1"/>
        <v>409374.61667366751</v>
      </c>
    </row>
    <row r="15" spans="2:13" x14ac:dyDescent="0.25">
      <c r="B15" s="14">
        <f t="shared" si="5"/>
        <v>2018</v>
      </c>
      <c r="C15" s="15">
        <f>'Input values'!C84</f>
        <v>1</v>
      </c>
      <c r="D15" s="15">
        <f>((1/(1+'Input values'!$B$69))^(B15-'Scenario setup and results'!$C$8))</f>
        <v>0.88771112380098727</v>
      </c>
      <c r="E15" s="8">
        <f>'Cycling health'!$E$65*C15</f>
        <v>0.37272486580353748</v>
      </c>
      <c r="F15" s="8">
        <f>'Cycling health'!$E$74*C15</f>
        <v>6.9288066312341119</v>
      </c>
      <c r="G15" s="9">
        <f t="shared" si="2"/>
        <v>369046.72327275394</v>
      </c>
      <c r="H15" s="10">
        <f>'Walking health'!$E$65*C15</f>
        <v>4.6087407214414851E-2</v>
      </c>
      <c r="I15" s="10">
        <f>'Walking health'!$E$74*C15</f>
        <v>0.64356563187231752</v>
      </c>
      <c r="J15" s="11">
        <f t="shared" si="3"/>
        <v>34278.022218544051</v>
      </c>
      <c r="K15" s="12">
        <f t="shared" si="4"/>
        <v>0.41881227301795232</v>
      </c>
      <c r="L15" s="12">
        <f t="shared" si="0"/>
        <v>7.5723722631064296</v>
      </c>
      <c r="M15" s="13">
        <f t="shared" si="1"/>
        <v>403324.74549129797</v>
      </c>
    </row>
    <row r="16" spans="2:13" x14ac:dyDescent="0.25">
      <c r="B16" s="14">
        <f t="shared" si="5"/>
        <v>2019</v>
      </c>
      <c r="C16" s="15">
        <f>'Input values'!C85</f>
        <v>1</v>
      </c>
      <c r="D16" s="15">
        <f>((1/(1+'Input values'!$B$69))^(B16-'Scenario setup and results'!$C$8))</f>
        <v>0.87459224019801718</v>
      </c>
      <c r="E16" s="8">
        <f>'Cycling health'!$E$65*C16</f>
        <v>0.37272486580353748</v>
      </c>
      <c r="F16" s="8">
        <f>'Cycling health'!$E$74*C16</f>
        <v>6.9288066312341119</v>
      </c>
      <c r="G16" s="9">
        <f t="shared" si="2"/>
        <v>363592.83081059513</v>
      </c>
      <c r="H16" s="10">
        <f>'Walking health'!$E$65*C16</f>
        <v>4.6087407214414851E-2</v>
      </c>
      <c r="I16" s="10">
        <f>'Walking health'!$E$74*C16</f>
        <v>0.64356563187231752</v>
      </c>
      <c r="J16" s="11">
        <f t="shared" si="3"/>
        <v>33771.450461619759</v>
      </c>
      <c r="K16" s="12">
        <f t="shared" si="4"/>
        <v>0.41881227301795232</v>
      </c>
      <c r="L16" s="12">
        <f t="shared" si="0"/>
        <v>7.5723722631064296</v>
      </c>
      <c r="M16" s="13">
        <f t="shared" si="1"/>
        <v>397364.2812722149</v>
      </c>
    </row>
    <row r="17" spans="2:13" x14ac:dyDescent="0.25">
      <c r="B17" s="14">
        <f t="shared" si="5"/>
        <v>2020</v>
      </c>
      <c r="C17" s="15">
        <f>'Input values'!C86</f>
        <v>1</v>
      </c>
      <c r="D17" s="15">
        <f>((1/(1+'Input values'!$B$69))^(B17-'Scenario setup and results'!$C$8))</f>
        <v>0.8616672317221844</v>
      </c>
      <c r="E17" s="8">
        <f>'Cycling health'!$E$65*C17</f>
        <v>0.37272486580353748</v>
      </c>
      <c r="F17" s="8">
        <f>'Cycling health'!$E$74*C17</f>
        <v>6.9288066312341119</v>
      </c>
      <c r="G17" s="9">
        <f t="shared" si="2"/>
        <v>358219.53774442867</v>
      </c>
      <c r="H17" s="10">
        <f>'Walking health'!$E$65*C17</f>
        <v>4.6087407214414851E-2</v>
      </c>
      <c r="I17" s="10">
        <f>'Walking health'!$E$74*C17</f>
        <v>0.64356563187231752</v>
      </c>
      <c r="J17" s="11">
        <f t="shared" si="3"/>
        <v>33272.364986817498</v>
      </c>
      <c r="K17" s="12">
        <f t="shared" si="4"/>
        <v>0.41881227301795232</v>
      </c>
      <c r="L17" s="12">
        <f t="shared" si="0"/>
        <v>7.5723722631064296</v>
      </c>
      <c r="M17" s="13">
        <f t="shared" si="1"/>
        <v>391491.9027312462</v>
      </c>
    </row>
    <row r="18" spans="2:13" x14ac:dyDescent="0.25">
      <c r="B18" s="14">
        <f t="shared" si="5"/>
        <v>2021</v>
      </c>
      <c r="C18" s="15">
        <f>'Input values'!C87</f>
        <v>1</v>
      </c>
      <c r="D18" s="15">
        <f>((1/(1+'Input values'!$B$69))^(B18-'Scenario setup and results'!$C$8))</f>
        <v>0.84893323322382719</v>
      </c>
      <c r="E18" s="8">
        <f>'Cycling health'!$E$65*C18</f>
        <v>0.37272486580353748</v>
      </c>
      <c r="F18" s="8">
        <f>'Cycling health'!$E$74*C18</f>
        <v>6.9288066312341119</v>
      </c>
      <c r="G18" s="9">
        <f t="shared" si="2"/>
        <v>352925.6529501761</v>
      </c>
      <c r="H18" s="10">
        <f>'Walking health'!$E$65*C18</f>
        <v>4.6087407214414851E-2</v>
      </c>
      <c r="I18" s="10">
        <f>'Walking health'!$E$74*C18</f>
        <v>0.64356563187231752</v>
      </c>
      <c r="J18" s="11">
        <f t="shared" si="3"/>
        <v>32780.655159426111</v>
      </c>
      <c r="K18" s="12">
        <f t="shared" si="4"/>
        <v>0.41881227301795232</v>
      </c>
      <c r="L18" s="12">
        <f t="shared" si="0"/>
        <v>7.5723722631064296</v>
      </c>
      <c r="M18" s="13">
        <f t="shared" si="1"/>
        <v>385706.30810960219</v>
      </c>
    </row>
    <row r="19" spans="2:13" x14ac:dyDescent="0.25">
      <c r="B19" s="14">
        <f t="shared" si="5"/>
        <v>2022</v>
      </c>
      <c r="C19" s="15">
        <f>'Input values'!C88</f>
        <v>1</v>
      </c>
      <c r="D19" s="15">
        <f>((1/(1+'Input values'!$B$69))^(B19-'Scenario setup and results'!$C$8))</f>
        <v>0.83638742189539628</v>
      </c>
      <c r="E19" s="8">
        <f>'Cycling health'!$E$65*C19</f>
        <v>0.37272486580353748</v>
      </c>
      <c r="F19" s="8">
        <f>'Cycling health'!$E$74*C19</f>
        <v>6.9288066312341119</v>
      </c>
      <c r="G19" s="9">
        <f t="shared" si="2"/>
        <v>347710.00290657749</v>
      </c>
      <c r="H19" s="10">
        <f>'Walking health'!$E$65*C19</f>
        <v>4.6087407214414851E-2</v>
      </c>
      <c r="I19" s="10">
        <f>'Walking health'!$E$74*C19</f>
        <v>0.64356563187231752</v>
      </c>
      <c r="J19" s="11">
        <f t="shared" si="3"/>
        <v>32296.21197973016</v>
      </c>
      <c r="K19" s="12">
        <f t="shared" si="4"/>
        <v>0.41881227301795232</v>
      </c>
      <c r="L19" s="12">
        <f t="shared" si="0"/>
        <v>7.5723722631064296</v>
      </c>
      <c r="M19" s="13">
        <f t="shared" si="1"/>
        <v>380006.21488630766</v>
      </c>
    </row>
    <row r="20" spans="2:13" x14ac:dyDescent="0.25">
      <c r="B20" s="14">
        <f t="shared" si="5"/>
        <v>2023</v>
      </c>
      <c r="C20" s="15">
        <f>'Input values'!C89</f>
        <v>1</v>
      </c>
      <c r="D20" s="15">
        <f>((1/(1+'Input values'!$B$69))^(B20-'Scenario setup and results'!$C$8))</f>
        <v>0.82402701664571065</v>
      </c>
      <c r="E20" s="8">
        <f>'Cycling health'!$E$65*C20</f>
        <v>0.37272486580353748</v>
      </c>
      <c r="F20" s="8">
        <f>'Cycling health'!$E$74*C20</f>
        <v>6.9288066312341119</v>
      </c>
      <c r="G20" s="9">
        <f t="shared" si="2"/>
        <v>342571.43143505172</v>
      </c>
      <c r="H20" s="10">
        <f>'Walking health'!$E$65*C20</f>
        <v>4.6087407214414851E-2</v>
      </c>
      <c r="I20" s="10">
        <f>'Walking health'!$E$74*C20</f>
        <v>0.64356563187231752</v>
      </c>
      <c r="J20" s="11">
        <f t="shared" si="3"/>
        <v>31818.92805884745</v>
      </c>
      <c r="K20" s="12">
        <f t="shared" si="4"/>
        <v>0.41881227301795232</v>
      </c>
      <c r="L20" s="12">
        <f t="shared" si="0"/>
        <v>7.5723722631064296</v>
      </c>
      <c r="M20" s="13">
        <f t="shared" si="1"/>
        <v>374390.35949389916</v>
      </c>
    </row>
    <row r="21" spans="2:13" x14ac:dyDescent="0.25">
      <c r="B21" s="14">
        <f t="shared" si="5"/>
        <v>2024</v>
      </c>
      <c r="C21" s="15">
        <f>'Input values'!C90</f>
        <v>1</v>
      </c>
      <c r="D21" s="15">
        <f>((1/(1+'Input values'!$B$69))^(B21-'Scenario setup and results'!$C$8))</f>
        <v>0.81184927748345892</v>
      </c>
      <c r="E21" s="8">
        <f>'Cycling health'!$E$65*C21</f>
        <v>0.37272486580353748</v>
      </c>
      <c r="F21" s="8">
        <f>'Cycling health'!$E$74*C21</f>
        <v>6.9288066312341119</v>
      </c>
      <c r="G21" s="9">
        <f t="shared" si="2"/>
        <v>337508.79944340076</v>
      </c>
      <c r="H21" s="10">
        <f>'Walking health'!$E$65*C21</f>
        <v>4.6087407214414851E-2</v>
      </c>
      <c r="I21" s="10">
        <f>'Walking health'!$E$74*C21</f>
        <v>0.64356563187231752</v>
      </c>
      <c r="J21" s="11">
        <f t="shared" si="3"/>
        <v>31348.697594923604</v>
      </c>
      <c r="K21" s="12">
        <f t="shared" si="4"/>
        <v>0.41881227301795232</v>
      </c>
      <c r="L21" s="12">
        <f t="shared" si="0"/>
        <v>7.5723722631064296</v>
      </c>
      <c r="M21" s="13">
        <f t="shared" si="1"/>
        <v>368857.49703832436</v>
      </c>
    </row>
    <row r="22" spans="2:13" x14ac:dyDescent="0.25">
      <c r="B22" s="14">
        <f t="shared" si="5"/>
        <v>2025</v>
      </c>
      <c r="C22" s="15">
        <f>'Input values'!C91</f>
        <v>1</v>
      </c>
      <c r="D22" s="15">
        <f>((1/(1+'Input values'!$B$69))^(B22-'Scenario setup and results'!$C$8))</f>
        <v>0.79985150490981194</v>
      </c>
      <c r="E22" s="8">
        <f>'Cycling health'!$E$65*C22</f>
        <v>0.37272486580353748</v>
      </c>
      <c r="F22" s="8">
        <f>'Cycling health'!$E$74*C22</f>
        <v>6.9288066312341119</v>
      </c>
      <c r="G22" s="9">
        <f t="shared" si="2"/>
        <v>332520.98467330134</v>
      </c>
      <c r="H22" s="10">
        <f>'Walking health'!$E$65*C22</f>
        <v>4.6087407214414851E-2</v>
      </c>
      <c r="I22" s="10">
        <f>'Walking health'!$E$74*C22</f>
        <v>0.64356563187231752</v>
      </c>
      <c r="J22" s="11">
        <f t="shared" si="3"/>
        <v>30885.416349678435</v>
      </c>
      <c r="K22" s="12">
        <f t="shared" si="4"/>
        <v>0.41881227301795232</v>
      </c>
      <c r="L22" s="12">
        <f t="shared" si="0"/>
        <v>7.5723722631064296</v>
      </c>
      <c r="M22" s="13">
        <f t="shared" si="1"/>
        <v>363406.40102297976</v>
      </c>
    </row>
    <row r="23" spans="2:13" x14ac:dyDescent="0.25">
      <c r="B23" s="14">
        <f t="shared" si="5"/>
        <v>2026</v>
      </c>
      <c r="C23" s="15">
        <f>'Input values'!C92</f>
        <v>1</v>
      </c>
      <c r="D23" s="15">
        <f>((1/(1+'Input values'!$B$69))^(B23-'Scenario setup and results'!$C$8))</f>
        <v>0.78803103932001173</v>
      </c>
      <c r="E23" s="8">
        <f>'Cycling health'!$E$65*C23</f>
        <v>0.37272486580353748</v>
      </c>
      <c r="F23" s="8">
        <f>'Cycling health'!$E$74*C23</f>
        <v>6.9288066312341119</v>
      </c>
      <c r="G23" s="9">
        <f t="shared" si="2"/>
        <v>327606.8814515284</v>
      </c>
      <c r="H23" s="10">
        <f>'Walking health'!$E$65*C23</f>
        <v>4.6087407214414851E-2</v>
      </c>
      <c r="I23" s="10">
        <f>'Walking health'!$E$74*C23</f>
        <v>0.64356563187231752</v>
      </c>
      <c r="J23" s="11">
        <f t="shared" si="3"/>
        <v>30428.981625298948</v>
      </c>
      <c r="K23" s="12">
        <f t="shared" si="4"/>
        <v>0.41881227301795232</v>
      </c>
      <c r="L23" s="12">
        <f t="shared" si="0"/>
        <v>7.5723722631064296</v>
      </c>
      <c r="M23" s="13">
        <f t="shared" si="1"/>
        <v>358035.86307682737</v>
      </c>
    </row>
    <row r="24" spans="2:13" x14ac:dyDescent="0.25">
      <c r="B24" s="14">
        <f t="shared" si="5"/>
        <v>2027</v>
      </c>
      <c r="C24" s="15">
        <f>'Input values'!C93</f>
        <v>1</v>
      </c>
      <c r="D24" s="15">
        <f>((1/(1+'Input values'!$B$69))^(B24-'Scenario setup and results'!$C$8))</f>
        <v>0.77638526041380473</v>
      </c>
      <c r="E24" s="8">
        <f>'Cycling health'!$E$65*C24</f>
        <v>0.37272486580353748</v>
      </c>
      <c r="F24" s="8">
        <f>'Cycling health'!$E$74*C24</f>
        <v>6.9288066312341119</v>
      </c>
      <c r="G24" s="9">
        <f t="shared" si="2"/>
        <v>322765.40044485556</v>
      </c>
      <c r="H24" s="10">
        <f>'Walking health'!$E$65*C24</f>
        <v>4.6087407214414851E-2</v>
      </c>
      <c r="I24" s="10">
        <f>'Walking health'!$E$74*C24</f>
        <v>0.64356563187231752</v>
      </c>
      <c r="J24" s="11">
        <f t="shared" si="3"/>
        <v>29979.292241673844</v>
      </c>
      <c r="K24" s="12">
        <f t="shared" si="4"/>
        <v>0.41881227301795232</v>
      </c>
      <c r="L24" s="12">
        <f t="shared" si="0"/>
        <v>7.5723722631064296</v>
      </c>
      <c r="M24" s="13">
        <f t="shared" si="1"/>
        <v>352744.69268652942</v>
      </c>
    </row>
    <row r="25" spans="2:13" x14ac:dyDescent="0.25">
      <c r="B25" s="14">
        <f t="shared" si="5"/>
        <v>2028</v>
      </c>
      <c r="C25" s="15">
        <f>'Input values'!C94</f>
        <v>1</v>
      </c>
      <c r="D25" s="15">
        <f>((1/(1+'Input values'!$B$69))^(B25-'Scenario setup and results'!$C$8))</f>
        <v>0.76491158661458603</v>
      </c>
      <c r="E25" s="8">
        <f>'Cycling health'!$E$65*C25</f>
        <v>0.37272486580353748</v>
      </c>
      <c r="F25" s="8">
        <f>'Cycling health'!$E$74*C25</f>
        <v>6.9288066312341119</v>
      </c>
      <c r="G25" s="9">
        <f t="shared" si="2"/>
        <v>317995.46841857693</v>
      </c>
      <c r="H25" s="10">
        <f>'Walking health'!$E$65*C25</f>
        <v>4.6087407214414851E-2</v>
      </c>
      <c r="I25" s="10">
        <f>'Walking health'!$E$74*C25</f>
        <v>0.64356563187231752</v>
      </c>
      <c r="J25" s="11">
        <f t="shared" si="3"/>
        <v>29536.24851396438</v>
      </c>
      <c r="K25" s="12">
        <f t="shared" si="4"/>
        <v>0.41881227301795232</v>
      </c>
      <c r="L25" s="12">
        <f t="shared" si="0"/>
        <v>7.5723722631064296</v>
      </c>
      <c r="M25" s="13">
        <f t="shared" si="1"/>
        <v>347531.71693254128</v>
      </c>
    </row>
    <row r="26" spans="2:13" x14ac:dyDescent="0.25">
      <c r="B26" s="14">
        <f t="shared" si="5"/>
        <v>2029</v>
      </c>
      <c r="C26" s="15">
        <f>'Input values'!C95</f>
        <v>1</v>
      </c>
      <c r="D26" s="15">
        <f>((1/(1+'Input values'!$B$69))^(B26-'Scenario setup and results'!$C$8))</f>
        <v>0.75360747449712928</v>
      </c>
      <c r="E26" s="8">
        <f>'Cycling health'!$E$65*C26</f>
        <v>0.37272486580353748</v>
      </c>
      <c r="F26" s="8">
        <f>'Cycling health'!$E$74*C26</f>
        <v>6.9288066312341119</v>
      </c>
      <c r="G26" s="9">
        <f t="shared" si="2"/>
        <v>313296.02799859806</v>
      </c>
      <c r="H26" s="10">
        <f>'Walking health'!$E$65*C26</f>
        <v>4.6087407214414851E-2</v>
      </c>
      <c r="I26" s="10">
        <f>'Walking health'!$E$74*C26</f>
        <v>0.64356563187231752</v>
      </c>
      <c r="J26" s="11">
        <f t="shared" si="3"/>
        <v>29099.752230506787</v>
      </c>
      <c r="K26" s="12">
        <f t="shared" si="4"/>
        <v>0.41881227301795232</v>
      </c>
      <c r="L26" s="12">
        <f t="shared" si="0"/>
        <v>7.5723722631064296</v>
      </c>
      <c r="M26" s="13">
        <f t="shared" si="1"/>
        <v>342395.78022910486</v>
      </c>
    </row>
    <row r="27" spans="2:13" x14ac:dyDescent="0.25">
      <c r="B27" s="14">
        <f>B26+1</f>
        <v>2030</v>
      </c>
      <c r="C27" s="15">
        <f>'Input values'!C96</f>
        <v>1</v>
      </c>
      <c r="D27" s="15">
        <f>((1/(1+'Input values'!$B$69))^(B27-'Scenario setup and results'!$C$8))</f>
        <v>0.74247041822377269</v>
      </c>
      <c r="E27" s="8">
        <f>'Cycling health'!$E$65*C27</f>
        <v>0.37272486580353748</v>
      </c>
      <c r="F27" s="8">
        <f>'Cycling health'!$E$74*C27</f>
        <v>6.9288066312341119</v>
      </c>
      <c r="G27" s="9">
        <f t="shared" si="2"/>
        <v>308666.0374370424</v>
      </c>
      <c r="H27" s="10">
        <f>'Walking health'!$E$65*C27</f>
        <v>4.6087407214414851E-2</v>
      </c>
      <c r="I27" s="10">
        <f>'Walking health'!$E$74*C27</f>
        <v>0.64356563187231752</v>
      </c>
      <c r="J27" s="11">
        <f t="shared" si="3"/>
        <v>28669.706631041168</v>
      </c>
      <c r="K27" s="12">
        <f t="shared" si="4"/>
        <v>0.41881227301795232</v>
      </c>
      <c r="L27" s="12">
        <f t="shared" si="0"/>
        <v>7.5723722631064296</v>
      </c>
      <c r="M27" s="13">
        <f t="shared" si="1"/>
        <v>337335.74406808359</v>
      </c>
    </row>
    <row r="28" spans="2:13" x14ac:dyDescent="0.25">
      <c r="B28" s="14">
        <f>B27+1</f>
        <v>2031</v>
      </c>
      <c r="C28" s="15">
        <f>'Input values'!C97</f>
        <v>1</v>
      </c>
      <c r="D28" s="15">
        <f>((1/(1+'Input values'!$B$69))^(B28-'Scenario setup and results'!$C$8))</f>
        <v>0.73149794898893861</v>
      </c>
      <c r="E28" s="8">
        <f>'Cycling health'!$E$65*C28</f>
        <v>0.37272486580353748</v>
      </c>
      <c r="F28" s="8">
        <f>'Cycling health'!$E$74*C28</f>
        <v>6.9288066312341119</v>
      </c>
      <c r="G28" s="9">
        <f t="shared" si="2"/>
        <v>304104.47038132261</v>
      </c>
      <c r="H28" s="10">
        <f>'Walking health'!$E$65*C28</f>
        <v>4.6087407214414851E-2</v>
      </c>
      <c r="I28" s="10">
        <f>'Walking health'!$E$74*C28</f>
        <v>0.64356563187231752</v>
      </c>
      <c r="J28" s="11">
        <f t="shared" si="3"/>
        <v>28246.016385262235</v>
      </c>
      <c r="K28" s="12">
        <f t="shared" ref="K28:K47" si="6">E28+H28</f>
        <v>0.41881227301795232</v>
      </c>
      <c r="L28" s="12">
        <f t="shared" ref="L28:L47" si="7">F28+I28</f>
        <v>7.5723722631064296</v>
      </c>
      <c r="M28" s="13">
        <f t="shared" ref="M28:M47" si="8">G28+J28</f>
        <v>332350.48676658486</v>
      </c>
    </row>
    <row r="29" spans="2:13" x14ac:dyDescent="0.25">
      <c r="B29" s="14">
        <f t="shared" ref="B29:B46" si="9">B28+1</f>
        <v>2032</v>
      </c>
      <c r="C29" s="15">
        <f>'Input values'!C98</f>
        <v>1</v>
      </c>
      <c r="D29" s="15">
        <f>((1/(1+'Input values'!$B$69))^(B29-'Scenario setup and results'!$C$8))</f>
        <v>0.72068763447186091</v>
      </c>
      <c r="E29" s="8">
        <f>'Cycling health'!$E$65*C29</f>
        <v>0.37272486580353748</v>
      </c>
      <c r="F29" s="8">
        <f>'Cycling health'!$E$74*C29</f>
        <v>6.9288066312341119</v>
      </c>
      <c r="G29" s="9">
        <f t="shared" si="2"/>
        <v>299610.31564662332</v>
      </c>
      <c r="H29" s="10">
        <f>'Walking health'!$E$65*C29</f>
        <v>4.6087407214414851E-2</v>
      </c>
      <c r="I29" s="10">
        <f>'Walking health'!$E$74*C29</f>
        <v>0.64356563187231752</v>
      </c>
      <c r="J29" s="11">
        <f t="shared" si="3"/>
        <v>27828.587571686941</v>
      </c>
      <c r="K29" s="12">
        <f t="shared" si="6"/>
        <v>0.41881227301795232</v>
      </c>
      <c r="L29" s="12">
        <f t="shared" si="7"/>
        <v>7.5723722631064296</v>
      </c>
      <c r="M29" s="13">
        <f t="shared" si="8"/>
        <v>327438.90321831027</v>
      </c>
    </row>
    <row r="30" spans="2:13" x14ac:dyDescent="0.25">
      <c r="B30" s="14">
        <f t="shared" si="9"/>
        <v>2033</v>
      </c>
      <c r="C30" s="15">
        <f>'Input values'!C99</f>
        <v>1</v>
      </c>
      <c r="D30" s="15">
        <f>((1/(1+'Input values'!$B$69))^(B30-'Scenario setup and results'!$C$8))</f>
        <v>0.71003707829740004</v>
      </c>
      <c r="E30" s="8">
        <f>'Cycling health'!$E$65*C30</f>
        <v>0.37272486580353748</v>
      </c>
      <c r="F30" s="8">
        <f>'Cycling health'!$E$74*C30</f>
        <v>6.9288066312341119</v>
      </c>
      <c r="G30" s="9">
        <f t="shared" si="2"/>
        <v>295182.57699174719</v>
      </c>
      <c r="H30" s="10">
        <f>'Walking health'!$E$65*C30</f>
        <v>4.6087407214414851E-2</v>
      </c>
      <c r="I30" s="10">
        <f>'Walking health'!$E$74*C30</f>
        <v>0.64356563187231752</v>
      </c>
      <c r="J30" s="11">
        <f t="shared" si="3"/>
        <v>27417.32765683443</v>
      </c>
      <c r="K30" s="12">
        <f t="shared" si="6"/>
        <v>0.41881227301795232</v>
      </c>
      <c r="L30" s="12">
        <f t="shared" si="7"/>
        <v>7.5723722631064296</v>
      </c>
      <c r="M30" s="13">
        <f t="shared" si="8"/>
        <v>322599.90464858164</v>
      </c>
    </row>
    <row r="31" spans="2:13" x14ac:dyDescent="0.25">
      <c r="B31" s="14">
        <f t="shared" si="9"/>
        <v>2034</v>
      </c>
      <c r="C31" s="15">
        <f>'Input values'!C100</f>
        <v>1</v>
      </c>
      <c r="D31" s="15">
        <f>((1/(1+'Input values'!$B$69))^(B31-'Scenario setup and results'!$C$8))</f>
        <v>0.69954391950482764</v>
      </c>
      <c r="E31" s="8">
        <f>'Cycling health'!$E$65*C31</f>
        <v>0.37272486580353748</v>
      </c>
      <c r="F31" s="8">
        <f>'Cycling health'!$E$74*C31</f>
        <v>6.9288066312341119</v>
      </c>
      <c r="G31" s="9">
        <f t="shared" si="2"/>
        <v>290820.27289827308</v>
      </c>
      <c r="H31" s="10">
        <f>'Walking health'!$E$65*C31</f>
        <v>4.6087407214414851E-2</v>
      </c>
      <c r="I31" s="10">
        <f>'Walking health'!$E$74*C31</f>
        <v>0.64356563187231752</v>
      </c>
      <c r="J31" s="11">
        <f t="shared" si="3"/>
        <v>27012.145474713721</v>
      </c>
      <c r="K31" s="12">
        <f t="shared" si="6"/>
        <v>0.41881227301795232</v>
      </c>
      <c r="L31" s="12">
        <f t="shared" si="7"/>
        <v>7.5723722631064296</v>
      </c>
      <c r="M31" s="13">
        <f t="shared" si="8"/>
        <v>317832.41837298678</v>
      </c>
    </row>
    <row r="32" spans="2:13" x14ac:dyDescent="0.25">
      <c r="B32" s="14">
        <f t="shared" si="9"/>
        <v>2035</v>
      </c>
      <c r="C32" s="15">
        <f>'Input values'!C101</f>
        <v>1</v>
      </c>
      <c r="D32" s="15">
        <f>((1/(1+'Input values'!$B$69))^(B32-'Scenario setup and results'!$C$8))</f>
        <v>0.68920583202446084</v>
      </c>
      <c r="E32" s="8">
        <f>'Cycling health'!$E$65*C32</f>
        <v>0.37272486580353748</v>
      </c>
      <c r="F32" s="8">
        <f>'Cycling health'!$E$74*C32</f>
        <v>6.9288066312341119</v>
      </c>
      <c r="G32" s="9">
        <f t="shared" si="2"/>
        <v>286522.43635297846</v>
      </c>
      <c r="H32" s="10">
        <f>'Walking health'!$E$65*C32</f>
        <v>4.6087407214414851E-2</v>
      </c>
      <c r="I32" s="10">
        <f>'Walking health'!$E$74*C32</f>
        <v>0.64356563187231752</v>
      </c>
      <c r="J32" s="11">
        <f t="shared" si="3"/>
        <v>26612.951206614511</v>
      </c>
      <c r="K32" s="12">
        <f t="shared" si="6"/>
        <v>0.41881227301795232</v>
      </c>
      <c r="L32" s="12">
        <f t="shared" si="7"/>
        <v>7.5723722631064296</v>
      </c>
      <c r="M32" s="13">
        <f t="shared" si="8"/>
        <v>313135.38755959296</v>
      </c>
    </row>
    <row r="33" spans="2:13" x14ac:dyDescent="0.25">
      <c r="B33" s="14">
        <f t="shared" si="9"/>
        <v>2036</v>
      </c>
      <c r="C33" s="15">
        <f>'Input values'!C102</f>
        <v>1</v>
      </c>
      <c r="D33" s="15">
        <f>((1/(1+'Input values'!$B$69))^(B33-'Scenario setup and results'!$C$8))</f>
        <v>0.6790205241620304</v>
      </c>
      <c r="E33" s="8">
        <f>'Cycling health'!$E$65*C33</f>
        <v>0.37272486580353748</v>
      </c>
      <c r="F33" s="8">
        <f>'Cycling health'!$E$74*C33</f>
        <v>6.9288066312341119</v>
      </c>
      <c r="G33" s="9">
        <f t="shared" si="2"/>
        <v>282288.1146334763</v>
      </c>
      <c r="H33" s="10">
        <f>'Walking health'!$E$65*C33</f>
        <v>4.6087407214414851E-2</v>
      </c>
      <c r="I33" s="10">
        <f>'Walking health'!$E$74*C33</f>
        <v>0.64356563187231752</v>
      </c>
      <c r="J33" s="11">
        <f t="shared" si="3"/>
        <v>26219.656361196561</v>
      </c>
      <c r="K33" s="12">
        <f t="shared" si="6"/>
        <v>0.41881227301795232</v>
      </c>
      <c r="L33" s="12">
        <f t="shared" si="7"/>
        <v>7.5723722631064296</v>
      </c>
      <c r="M33" s="13">
        <f t="shared" si="8"/>
        <v>308507.77099467284</v>
      </c>
    </row>
    <row r="34" spans="2:13" x14ac:dyDescent="0.25">
      <c r="B34" s="14">
        <f t="shared" si="9"/>
        <v>2037</v>
      </c>
      <c r="C34" s="15">
        <f>'Input values'!C103</f>
        <v>1</v>
      </c>
      <c r="D34" s="15">
        <f>((1/(1+'Input values'!$B$69))^(B34-'Scenario setup and results'!$C$8))</f>
        <v>0.66898573809067041</v>
      </c>
      <c r="E34" s="8">
        <f>'Cycling health'!$E$65*C34</f>
        <v>0.37272486580353748</v>
      </c>
      <c r="F34" s="8">
        <f>'Cycling health'!$E$74*C34</f>
        <v>6.9288066312341119</v>
      </c>
      <c r="G34" s="9">
        <f t="shared" si="2"/>
        <v>278116.369097021</v>
      </c>
      <c r="H34" s="10">
        <f>'Walking health'!$E$65*C34</f>
        <v>4.6087407214414851E-2</v>
      </c>
      <c r="I34" s="10">
        <f>'Walking health'!$E$74*C34</f>
        <v>0.64356563187231752</v>
      </c>
      <c r="J34" s="11">
        <f t="shared" si="3"/>
        <v>25832.173754873464</v>
      </c>
      <c r="K34" s="12">
        <f t="shared" si="6"/>
        <v>0.41881227301795232</v>
      </c>
      <c r="L34" s="12">
        <f t="shared" si="7"/>
        <v>7.5723722631064296</v>
      </c>
      <c r="M34" s="13">
        <f t="shared" si="8"/>
        <v>303948.54285189445</v>
      </c>
    </row>
    <row r="35" spans="2:13" x14ac:dyDescent="0.25">
      <c r="B35" s="14">
        <f t="shared" si="9"/>
        <v>2038</v>
      </c>
      <c r="C35" s="15">
        <f>'Input values'!C104</f>
        <v>0</v>
      </c>
      <c r="D35" s="15">
        <f>((1/(1+'Input values'!$B$69))^(B35-'Scenario setup and results'!$C$8))</f>
        <v>0.65909924935041431</v>
      </c>
      <c r="E35" s="8">
        <f>'Cycling health'!$E$65*C35</f>
        <v>0</v>
      </c>
      <c r="F35" s="8">
        <f>'Cycling health'!$E$74*C35</f>
        <v>0</v>
      </c>
      <c r="G35" s="9">
        <f t="shared" si="2"/>
        <v>0</v>
      </c>
      <c r="H35" s="10">
        <f>'Walking health'!$E$65*C35</f>
        <v>0</v>
      </c>
      <c r="I35" s="10">
        <f>'Walking health'!$E$74*C35</f>
        <v>0</v>
      </c>
      <c r="J35" s="11">
        <f t="shared" si="3"/>
        <v>0</v>
      </c>
      <c r="K35" s="12">
        <f t="shared" si="6"/>
        <v>0</v>
      </c>
      <c r="L35" s="12">
        <f t="shared" si="7"/>
        <v>0</v>
      </c>
      <c r="M35" s="13">
        <f t="shared" si="8"/>
        <v>0</v>
      </c>
    </row>
    <row r="36" spans="2:13" x14ac:dyDescent="0.25">
      <c r="B36" s="14">
        <f t="shared" si="9"/>
        <v>2039</v>
      </c>
      <c r="C36" s="15">
        <f>'Input values'!C105</f>
        <v>0</v>
      </c>
      <c r="D36" s="15">
        <f>((1/(1+'Input values'!$B$69))^(B36-'Scenario setup and results'!$C$8))</f>
        <v>0.64935886635508799</v>
      </c>
      <c r="E36" s="8">
        <f>'Cycling health'!$E$65*C36</f>
        <v>0</v>
      </c>
      <c r="F36" s="8">
        <f>'Cycling health'!$E$74*C36</f>
        <v>0</v>
      </c>
      <c r="G36" s="9">
        <f t="shared" si="2"/>
        <v>0</v>
      </c>
      <c r="H36" s="10">
        <f>'Walking health'!$E$65*C36</f>
        <v>0</v>
      </c>
      <c r="I36" s="10">
        <f>'Walking health'!$E$74*C36</f>
        <v>0</v>
      </c>
      <c r="J36" s="11">
        <f t="shared" si="3"/>
        <v>0</v>
      </c>
      <c r="K36" s="12">
        <f t="shared" si="6"/>
        <v>0</v>
      </c>
      <c r="L36" s="12">
        <f t="shared" si="7"/>
        <v>0</v>
      </c>
      <c r="M36" s="13">
        <f t="shared" si="8"/>
        <v>0</v>
      </c>
    </row>
    <row r="37" spans="2:13" x14ac:dyDescent="0.25">
      <c r="B37" s="14">
        <f t="shared" si="9"/>
        <v>2040</v>
      </c>
      <c r="C37" s="15">
        <f>'Input values'!C106</f>
        <v>0</v>
      </c>
      <c r="D37" s="15">
        <f>((1/(1+'Input values'!$B$69))^(B37-'Scenario setup and results'!$C$8))</f>
        <v>0.63976242990649068</v>
      </c>
      <c r="E37" s="8">
        <f>'Cycling health'!$E$65*C37</f>
        <v>0</v>
      </c>
      <c r="F37" s="8">
        <f>'Cycling health'!$E$74*C37</f>
        <v>0</v>
      </c>
      <c r="G37" s="9">
        <f t="shared" si="2"/>
        <v>0</v>
      </c>
      <c r="H37" s="10">
        <f>'Walking health'!$E$65*C37</f>
        <v>0</v>
      </c>
      <c r="I37" s="10">
        <f>'Walking health'!$E$74*C37</f>
        <v>0</v>
      </c>
      <c r="J37" s="11">
        <f t="shared" si="3"/>
        <v>0</v>
      </c>
      <c r="K37" s="12">
        <f t="shared" si="6"/>
        <v>0</v>
      </c>
      <c r="L37" s="12">
        <f t="shared" si="7"/>
        <v>0</v>
      </c>
      <c r="M37" s="13">
        <f t="shared" si="8"/>
        <v>0</v>
      </c>
    </row>
    <row r="38" spans="2:13" x14ac:dyDescent="0.25">
      <c r="B38" s="14">
        <f t="shared" si="9"/>
        <v>2041</v>
      </c>
      <c r="C38" s="15">
        <f>'Input values'!C107</f>
        <v>0</v>
      </c>
      <c r="D38" s="15">
        <f>((1/(1+'Input values'!$B$69))^(B38-'Scenario setup and results'!$C$8))</f>
        <v>0.63030781271575453</v>
      </c>
      <c r="E38" s="8">
        <f>'Cycling health'!$E$65*C38</f>
        <v>0</v>
      </c>
      <c r="F38" s="8">
        <f>'Cycling health'!$E$74*C38</f>
        <v>0</v>
      </c>
      <c r="G38" s="9">
        <f t="shared" si="2"/>
        <v>0</v>
      </c>
      <c r="H38" s="10">
        <f>'Walking health'!$E$65*C38</f>
        <v>0</v>
      </c>
      <c r="I38" s="10">
        <f>'Walking health'!$E$74*C38</f>
        <v>0</v>
      </c>
      <c r="J38" s="11">
        <f t="shared" si="3"/>
        <v>0</v>
      </c>
      <c r="K38" s="12">
        <f t="shared" si="6"/>
        <v>0</v>
      </c>
      <c r="L38" s="12">
        <f t="shared" si="7"/>
        <v>0</v>
      </c>
      <c r="M38" s="13">
        <f t="shared" si="8"/>
        <v>0</v>
      </c>
    </row>
    <row r="39" spans="2:13" x14ac:dyDescent="0.25">
      <c r="B39" s="14">
        <f t="shared" si="9"/>
        <v>2042</v>
      </c>
      <c r="C39" s="15">
        <f>'Input values'!C108</f>
        <v>0</v>
      </c>
      <c r="D39" s="15">
        <f>((1/(1+'Input values'!$B$69))^(B39-'Scenario setup and results'!$C$8))</f>
        <v>0.62099291893177788</v>
      </c>
      <c r="E39" s="8">
        <f>'Cycling health'!$E$65*C39</f>
        <v>0</v>
      </c>
      <c r="F39" s="8">
        <f>'Cycling health'!$E$74*C39</f>
        <v>0</v>
      </c>
      <c r="G39" s="9">
        <f t="shared" si="2"/>
        <v>0</v>
      </c>
      <c r="H39" s="10">
        <f>'Walking health'!$E$65*C39</f>
        <v>0</v>
      </c>
      <c r="I39" s="10">
        <f>'Walking health'!$E$74*C39</f>
        <v>0</v>
      </c>
      <c r="J39" s="11">
        <f t="shared" si="3"/>
        <v>0</v>
      </c>
      <c r="K39" s="12">
        <f t="shared" si="6"/>
        <v>0</v>
      </c>
      <c r="L39" s="12">
        <f t="shared" si="7"/>
        <v>0</v>
      </c>
      <c r="M39" s="13">
        <f t="shared" si="8"/>
        <v>0</v>
      </c>
    </row>
    <row r="40" spans="2:13" x14ac:dyDescent="0.25">
      <c r="B40" s="14">
        <f t="shared" si="9"/>
        <v>2043</v>
      </c>
      <c r="C40" s="15">
        <f>'Input values'!C109</f>
        <v>0</v>
      </c>
      <c r="D40" s="15">
        <f>((1/(1+'Input values'!$B$69))^(B40-'Scenario setup and results'!$C$8))</f>
        <v>0.61181568367662853</v>
      </c>
      <c r="E40" s="8">
        <f>'Cycling health'!$E$65*C40</f>
        <v>0</v>
      </c>
      <c r="F40" s="8">
        <f>'Cycling health'!$E$74*C40</f>
        <v>0</v>
      </c>
      <c r="G40" s="9">
        <f t="shared" si="2"/>
        <v>0</v>
      </c>
      <c r="H40" s="10">
        <f>'Walking health'!$E$65*C40</f>
        <v>0</v>
      </c>
      <c r="I40" s="10">
        <f>'Walking health'!$E$74*C40</f>
        <v>0</v>
      </c>
      <c r="J40" s="11">
        <f t="shared" si="3"/>
        <v>0</v>
      </c>
      <c r="K40" s="12">
        <f t="shared" si="6"/>
        <v>0</v>
      </c>
      <c r="L40" s="12">
        <f t="shared" si="7"/>
        <v>0</v>
      </c>
      <c r="M40" s="13">
        <f t="shared" si="8"/>
        <v>0</v>
      </c>
    </row>
    <row r="41" spans="2:13" x14ac:dyDescent="0.25">
      <c r="B41" s="14">
        <f t="shared" si="9"/>
        <v>2044</v>
      </c>
      <c r="C41" s="15">
        <f>'Input values'!C110</f>
        <v>0</v>
      </c>
      <c r="D41" s="15">
        <f>((1/(1+'Input values'!$B$69))^(B41-'Scenario setup and results'!$C$8))</f>
        <v>0.60277407258781146</v>
      </c>
      <c r="E41" s="8">
        <f>'Cycling health'!$E$65*C41</f>
        <v>0</v>
      </c>
      <c r="F41" s="8">
        <f>'Cycling health'!$E$74*C41</f>
        <v>0</v>
      </c>
      <c r="G41" s="9">
        <f t="shared" si="2"/>
        <v>0</v>
      </c>
      <c r="H41" s="10">
        <f>'Walking health'!$E$65*C41</f>
        <v>0</v>
      </c>
      <c r="I41" s="10">
        <f>'Walking health'!$E$74*C41</f>
        <v>0</v>
      </c>
      <c r="J41" s="11">
        <f t="shared" si="3"/>
        <v>0</v>
      </c>
      <c r="K41" s="12">
        <f t="shared" si="6"/>
        <v>0</v>
      </c>
      <c r="L41" s="12">
        <f t="shared" si="7"/>
        <v>0</v>
      </c>
      <c r="M41" s="13">
        <f t="shared" si="8"/>
        <v>0</v>
      </c>
    </row>
    <row r="42" spans="2:13" x14ac:dyDescent="0.25">
      <c r="B42" s="14">
        <f t="shared" si="9"/>
        <v>2045</v>
      </c>
      <c r="C42" s="15">
        <f>'Input values'!C111</f>
        <v>0</v>
      </c>
      <c r="D42" s="15">
        <f>((1/(1+'Input values'!$B$69))^(B42-'Scenario setup and results'!$C$8))</f>
        <v>0.59386608136730201</v>
      </c>
      <c r="E42" s="8">
        <f>'Cycling health'!$E$65*C42</f>
        <v>0</v>
      </c>
      <c r="F42" s="8">
        <f>'Cycling health'!$E$74*C42</f>
        <v>0</v>
      </c>
      <c r="G42" s="9">
        <f t="shared" si="2"/>
        <v>0</v>
      </c>
      <c r="H42" s="10">
        <f>'Walking health'!$E$65*C42</f>
        <v>0</v>
      </c>
      <c r="I42" s="10">
        <f>'Walking health'!$E$74*C42</f>
        <v>0</v>
      </c>
      <c r="J42" s="11">
        <f t="shared" si="3"/>
        <v>0</v>
      </c>
      <c r="K42" s="12">
        <f t="shared" si="6"/>
        <v>0</v>
      </c>
      <c r="L42" s="12">
        <f t="shared" si="7"/>
        <v>0</v>
      </c>
      <c r="M42" s="13">
        <f t="shared" si="8"/>
        <v>0</v>
      </c>
    </row>
    <row r="43" spans="2:13" x14ac:dyDescent="0.25">
      <c r="B43" s="14">
        <f t="shared" si="9"/>
        <v>2046</v>
      </c>
      <c r="C43" s="15">
        <f>'Input values'!C112</f>
        <v>0</v>
      </c>
      <c r="D43" s="15">
        <f>((1/(1+'Input values'!$B$69))^(B43-'Scenario setup and results'!$C$8))</f>
        <v>0.5850897353372434</v>
      </c>
      <c r="E43" s="8">
        <f>'Cycling health'!$E$65*C43</f>
        <v>0</v>
      </c>
      <c r="F43" s="8">
        <f>'Cycling health'!$E$74*C43</f>
        <v>0</v>
      </c>
      <c r="G43" s="9">
        <f t="shared" si="2"/>
        <v>0</v>
      </c>
      <c r="H43" s="10">
        <f>'Walking health'!$E$65*C43</f>
        <v>0</v>
      </c>
      <c r="I43" s="10">
        <f>'Walking health'!$E$74*C43</f>
        <v>0</v>
      </c>
      <c r="J43" s="11">
        <f t="shared" si="3"/>
        <v>0</v>
      </c>
      <c r="K43" s="12">
        <f t="shared" si="6"/>
        <v>0</v>
      </c>
      <c r="L43" s="12">
        <f t="shared" si="7"/>
        <v>0</v>
      </c>
      <c r="M43" s="13">
        <f t="shared" si="8"/>
        <v>0</v>
      </c>
    </row>
    <row r="44" spans="2:13" x14ac:dyDescent="0.25">
      <c r="B44" s="14">
        <f t="shared" si="9"/>
        <v>2047</v>
      </c>
      <c r="C44" s="15">
        <f>'Input values'!C113</f>
        <v>0</v>
      </c>
      <c r="D44" s="15">
        <f>((1/(1+'Input values'!$B$69))^(B44-'Scenario setup and results'!$C$8))</f>
        <v>0.57644308900221031</v>
      </c>
      <c r="E44" s="8">
        <f>'Cycling health'!$E$65*C44</f>
        <v>0</v>
      </c>
      <c r="F44" s="8">
        <f>'Cycling health'!$E$74*C44</f>
        <v>0</v>
      </c>
      <c r="G44" s="9">
        <f t="shared" si="2"/>
        <v>0</v>
      </c>
      <c r="H44" s="10">
        <f>'Walking health'!$E$65*C44</f>
        <v>0</v>
      </c>
      <c r="I44" s="10">
        <f>'Walking health'!$E$74*C44</f>
        <v>0</v>
      </c>
      <c r="J44" s="11">
        <f t="shared" si="3"/>
        <v>0</v>
      </c>
      <c r="K44" s="12">
        <f t="shared" si="6"/>
        <v>0</v>
      </c>
      <c r="L44" s="12">
        <f t="shared" si="7"/>
        <v>0</v>
      </c>
      <c r="M44" s="13">
        <f t="shared" si="8"/>
        <v>0</v>
      </c>
    </row>
    <row r="45" spans="2:13" x14ac:dyDescent="0.25">
      <c r="B45" s="14">
        <f t="shared" si="9"/>
        <v>2048</v>
      </c>
      <c r="C45" s="15">
        <f>'Input values'!C114</f>
        <v>0</v>
      </c>
      <c r="D45" s="15">
        <f>((1/(1+'Input values'!$B$69))^(B45-'Scenario setup and results'!$C$8))</f>
        <v>0.5679242256179412</v>
      </c>
      <c r="E45" s="8">
        <f>'Cycling health'!$E$65*C45</f>
        <v>0</v>
      </c>
      <c r="F45" s="8">
        <f>'Cycling health'!$E$74*C45</f>
        <v>0</v>
      </c>
      <c r="G45" s="9">
        <f t="shared" si="2"/>
        <v>0</v>
      </c>
      <c r="H45" s="10">
        <f>'Walking health'!$E$65*C45</f>
        <v>0</v>
      </c>
      <c r="I45" s="10">
        <f>'Walking health'!$E$74*C45</f>
        <v>0</v>
      </c>
      <c r="J45" s="11">
        <f t="shared" si="3"/>
        <v>0</v>
      </c>
      <c r="K45" s="12">
        <f t="shared" si="6"/>
        <v>0</v>
      </c>
      <c r="L45" s="12">
        <f t="shared" si="7"/>
        <v>0</v>
      </c>
      <c r="M45" s="13">
        <f t="shared" si="8"/>
        <v>0</v>
      </c>
    </row>
    <row r="46" spans="2:13" x14ac:dyDescent="0.25">
      <c r="B46" s="14">
        <f t="shared" si="9"/>
        <v>2049</v>
      </c>
      <c r="C46" s="15">
        <f>'Input values'!C115</f>
        <v>0</v>
      </c>
      <c r="D46" s="15">
        <f>((1/(1+'Input values'!$B$69))^(B46-'Scenario setup and results'!$C$8))</f>
        <v>0.55953125676644466</v>
      </c>
      <c r="E46" s="8">
        <f>'Cycling health'!$E$65*C46</f>
        <v>0</v>
      </c>
      <c r="F46" s="8">
        <f>'Cycling health'!$E$74*C46</f>
        <v>0</v>
      </c>
      <c r="G46" s="9">
        <f t="shared" si="2"/>
        <v>0</v>
      </c>
      <c r="H46" s="10">
        <f>'Walking health'!$E$65*C46</f>
        <v>0</v>
      </c>
      <c r="I46" s="10">
        <f>'Walking health'!$E$74*C46</f>
        <v>0</v>
      </c>
      <c r="J46" s="11">
        <f t="shared" si="3"/>
        <v>0</v>
      </c>
      <c r="K46" s="12">
        <f t="shared" si="6"/>
        <v>0</v>
      </c>
      <c r="L46" s="12">
        <f t="shared" si="7"/>
        <v>0</v>
      </c>
      <c r="M46" s="13">
        <f t="shared" si="8"/>
        <v>0</v>
      </c>
    </row>
    <row r="47" spans="2:13" x14ac:dyDescent="0.25">
      <c r="B47" s="14">
        <f>B46+1</f>
        <v>2050</v>
      </c>
      <c r="C47" s="15">
        <f>'Input values'!C116</f>
        <v>0</v>
      </c>
      <c r="D47" s="15">
        <f>((1/(1+'Input values'!$B$69))^(B47-'Scenario setup and results'!$C$8))</f>
        <v>0.55126232193738389</v>
      </c>
      <c r="E47" s="8">
        <f>'Cycling health'!$E$65*C47</f>
        <v>0</v>
      </c>
      <c r="F47" s="8">
        <f>'Cycling health'!$E$74*C47</f>
        <v>0</v>
      </c>
      <c r="G47" s="9">
        <f t="shared" si="2"/>
        <v>0</v>
      </c>
      <c r="H47" s="10">
        <f>'Walking health'!$E$65*C47</f>
        <v>0</v>
      </c>
      <c r="I47" s="10">
        <f>'Walking health'!$E$74*C47</f>
        <v>0</v>
      </c>
      <c r="J47" s="11">
        <f t="shared" si="3"/>
        <v>0</v>
      </c>
      <c r="K47" s="12">
        <f t="shared" si="6"/>
        <v>0</v>
      </c>
      <c r="L47" s="12">
        <f t="shared" si="7"/>
        <v>0</v>
      </c>
      <c r="M47" s="13">
        <f t="shared" si="8"/>
        <v>0</v>
      </c>
    </row>
    <row r="48" spans="2:13" x14ac:dyDescent="0.25">
      <c r="B48" s="20" t="s">
        <v>15</v>
      </c>
      <c r="C48" s="21" t="s">
        <v>16</v>
      </c>
      <c r="D48" s="21"/>
      <c r="E48" s="22">
        <f t="shared" ref="E48:L48" si="10">SUM(E7:E47)</f>
        <v>7.8272221818742844</v>
      </c>
      <c r="F48" s="22">
        <f t="shared" si="10"/>
        <v>145.50493925591636</v>
      </c>
      <c r="G48" s="23">
        <f t="shared" si="10"/>
        <v>6805652.7591101732</v>
      </c>
      <c r="H48" s="24">
        <f t="shared" si="10"/>
        <v>0.96783555150271183</v>
      </c>
      <c r="I48" s="24">
        <f t="shared" si="10"/>
        <v>13.514878269318665</v>
      </c>
      <c r="J48" s="25">
        <f t="shared" si="10"/>
        <v>632126.77901507635</v>
      </c>
      <c r="K48" s="26">
        <f t="shared" si="10"/>
        <v>8.7950577333769981</v>
      </c>
      <c r="L48" s="26">
        <f t="shared" si="10"/>
        <v>159.01981752523497</v>
      </c>
      <c r="M48" s="27">
        <f>SUM(M7:M47)</f>
        <v>7437779.5381252486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Scenario setup and results</vt:lpstr>
      <vt:lpstr>Input values</vt:lpstr>
      <vt:lpstr>YLL discount</vt:lpstr>
      <vt:lpstr>New cyclist</vt:lpstr>
      <vt:lpstr>Cycling health</vt:lpstr>
      <vt:lpstr>New pedestrians</vt:lpstr>
      <vt:lpstr>Walking health</vt:lpstr>
      <vt:lpstr>Health effects summary</vt:lpstr>
      <vt:lpstr>Year</vt:lpstr>
    </vt:vector>
  </TitlesOfParts>
  <Company>University of Cambridge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mode health benefits worksheet</dc:title>
  <dc:creator>Marko Tainio</dc:creator>
  <cp:keywords>active mode, health benefits, worksheet</cp:keywords>
  <cp:lastModifiedBy>DFT</cp:lastModifiedBy>
  <dcterms:created xsi:type="dcterms:W3CDTF">2016-11-24T11:56:15Z</dcterms:created>
  <dcterms:modified xsi:type="dcterms:W3CDTF">2017-08-21T13:18:17Z</dcterms:modified>
</cp:coreProperties>
</file>