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9046E208-F03E-4A1D-8AD7-990C0FE886F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otball" sheetId="1" r:id="rId1"/>
    <sheet name="DCF" sheetId="2" r:id="rId2"/>
    <sheet name="Comps" sheetId="3" r:id="rId3"/>
  </sheets>
  <definedNames>
    <definedName name="_fcf1">#REF!</definedName>
    <definedName name="_fcf2">#REF!</definedName>
    <definedName name="_fcf3">#REF!</definedName>
    <definedName name="_fcf4">#REF!</definedName>
    <definedName name="_fcf5">#REF!</definedName>
    <definedName name="AcqTaxRate1">#REF!</definedName>
    <definedName name="AdvisoryFees1">#REF!</definedName>
    <definedName name="affiliates">#REF!</definedName>
    <definedName name="amort_revolver">#REF!</definedName>
    <definedName name="amort_senior">#REF!</definedName>
    <definedName name="amort_sub">#REF!</definedName>
    <definedName name="amort_year_1">#REF!</definedName>
    <definedName name="ARselect">#REF!</definedName>
    <definedName name="beat_unlev">#REF!</definedName>
    <definedName name="beta_levered">#REF!</definedName>
    <definedName name="beta_observed">#REF!</definedName>
    <definedName name="beta_observed_unlevered">#REF!</definedName>
    <definedName name="beta_unlev_comps">#REF!</definedName>
    <definedName name="Capexdepmethod">#REF!</definedName>
    <definedName name="Capexlife">#REF!</definedName>
    <definedName name="capgainstax">#REF!</definedName>
    <definedName name="carryback">#REF!</definedName>
    <definedName name="caseinput">#REF!</definedName>
    <definedName name="circref">#REF!</definedName>
    <definedName name="cost_debt">#REF!</definedName>
    <definedName name="cost_equity">#REF!</definedName>
    <definedName name="costdebtfirm">#REF!</definedName>
    <definedName name="costequity">#REF!</definedName>
    <definedName name="Date">#REF!</definedName>
    <definedName name="DCFPeriods">#REF!</definedName>
    <definedName name="DealPP1">#REF!</definedName>
    <definedName name="Debt">#REF!</definedName>
    <definedName name="debt_revolver">#REF!</definedName>
    <definedName name="debt_senior">#REF!</definedName>
    <definedName name="debt_sub">#REF!</definedName>
    <definedName name="debt_weight">#REF!</definedName>
    <definedName name="DebtRefinanced1">#REF!</definedName>
    <definedName name="Depmethod">#REF!</definedName>
    <definedName name="DisplayChoice">#REF!</definedName>
    <definedName name="dividends">#REF!</definedName>
    <definedName name="Exit">#REF!</definedName>
    <definedName name="exitequity">#REF!</definedName>
    <definedName name="fees_revolver">#REF!</definedName>
    <definedName name="fees_senior">#REF!</definedName>
    <definedName name="fees_sub">#REF!</definedName>
    <definedName name="gainloss">#REF!</definedName>
    <definedName name="GWAmort">#REF!</definedName>
    <definedName name="GWDeduct">#REF!</definedName>
    <definedName name="GWDeductible1">#REF!</definedName>
    <definedName name="incremental_borrow_cost">#REF!</definedName>
    <definedName name="interest_revolver">#REF!</definedName>
    <definedName name="interest_senior">#REF!</definedName>
    <definedName name="interest_sub">#REF!</definedName>
    <definedName name="LastQ">#REF!</definedName>
    <definedName name="LBO">#REF!</definedName>
    <definedName name="lbocircref">#REF!</definedName>
    <definedName name="lbotax">#REF!</definedName>
    <definedName name="leverage">#REF!</definedName>
    <definedName name="LFY">#REF!</definedName>
    <definedName name="ltm">#REF!</definedName>
    <definedName name="Market_Equity">#REF!</definedName>
    <definedName name="Midyear">#REF!</definedName>
    <definedName name="minority">#REF!</definedName>
    <definedName name="Net_Debt">#REF!</definedName>
    <definedName name="NOLreport">#REF!</definedName>
    <definedName name="otherincome">#REF!</definedName>
    <definedName name="Period">#REF!</definedName>
    <definedName name="Plus1AcqTaxRate1">#REF!</definedName>
    <definedName name="Plus2AcqTaxRate1">#REF!</definedName>
    <definedName name="PPElife">#REF!</definedName>
    <definedName name="_xlnm.Print_Area" localSheetId="1">DCF!$A$4:$W$57</definedName>
    <definedName name="QDate">#REF!</definedName>
    <definedName name="range">#REF!</definedName>
    <definedName name="relevered_beta">#REF!</definedName>
    <definedName name="risk_free_rate">#REF!</definedName>
    <definedName name="risk_premium">#REF!</definedName>
    <definedName name="rrr">#REF!</definedName>
    <definedName name="salvage">#REF!</definedName>
    <definedName name="stub">#REF!</definedName>
    <definedName name="Stub_year_fraction">#REF!</definedName>
    <definedName name="StubYr">#REF!</definedName>
    <definedName name="syd">#REF!</definedName>
    <definedName name="TargetOldGoodwillAmort1">#REF!</definedName>
    <definedName name="taxrate">#REF!</definedName>
    <definedName name="totalcap">#REF!</definedName>
    <definedName name="TransactionDate">#REF!</definedName>
    <definedName name="transtype">#REF!</definedName>
    <definedName name="TransWt1">#REF!</definedName>
    <definedName name="TVSelect">#REF!</definedName>
    <definedName name="Useful_Life_of_Depreciable_PP_E">"PPElife"</definedName>
    <definedName name="wacc">#REF!</definedName>
    <definedName name="wacc1">#REF!</definedName>
    <definedName name="wacc2">#REF!</definedName>
    <definedName name="wacc3">#REF!</definedName>
    <definedName name="wacc4">#REF!</definedName>
    <definedName name="Year">#REF!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K52" i="2"/>
  <c r="E22" i="3"/>
  <c r="K49" i="2"/>
  <c r="K48" i="2"/>
  <c r="M43" i="2"/>
  <c r="Q43" i="2" s="1"/>
  <c r="Q36" i="2"/>
  <c r="P36" i="2" s="1"/>
  <c r="N19" i="2"/>
  <c r="O19" i="2"/>
  <c r="P19" i="2"/>
  <c r="Q19" i="2"/>
  <c r="M19" i="2"/>
  <c r="B38" i="2"/>
  <c r="B39" i="2" s="1"/>
  <c r="N36" i="2"/>
  <c r="L36" i="2"/>
  <c r="M24" i="2"/>
  <c r="N24" i="2" s="1"/>
  <c r="O24" i="2" s="1"/>
  <c r="P24" i="2" s="1"/>
  <c r="Q24" i="2" s="1"/>
  <c r="B32" i="2"/>
  <c r="B30" i="2"/>
  <c r="R27" i="2"/>
  <c r="N26" i="2"/>
  <c r="O26" i="2" s="1"/>
  <c r="P26" i="2" s="1"/>
  <c r="Q26" i="2" s="1"/>
  <c r="R26" i="2" s="1"/>
  <c r="M17" i="2"/>
  <c r="R16" i="2"/>
  <c r="R12" i="2"/>
  <c r="L20" i="2"/>
  <c r="N17" i="2"/>
  <c r="O17" i="2" s="1"/>
  <c r="P17" i="2" s="1"/>
  <c r="Q17" i="2" s="1"/>
  <c r="R17" i="2" s="1"/>
  <c r="F13" i="2"/>
  <c r="F14" i="2" s="1"/>
  <c r="G13" i="2"/>
  <c r="G14" i="2" s="1"/>
  <c r="H13" i="2"/>
  <c r="H14" i="2" s="1"/>
  <c r="I13" i="2"/>
  <c r="I14" i="2" s="1"/>
  <c r="J13" i="2"/>
  <c r="J14" i="2" s="1"/>
  <c r="K13" i="2"/>
  <c r="K14" i="2" s="1"/>
  <c r="L13" i="2"/>
  <c r="L14" i="2" s="1"/>
  <c r="E13" i="2"/>
  <c r="E14" i="2" s="1"/>
  <c r="F12" i="2"/>
  <c r="G12" i="2"/>
  <c r="H12" i="2"/>
  <c r="I12" i="2"/>
  <c r="J12" i="2"/>
  <c r="K12" i="2"/>
  <c r="L12" i="2"/>
  <c r="E12" i="2"/>
  <c r="F19" i="2"/>
  <c r="G19" i="2"/>
  <c r="H19" i="2"/>
  <c r="I19" i="2"/>
  <c r="J19" i="2"/>
  <c r="K19" i="2"/>
  <c r="L19" i="2"/>
  <c r="E19" i="2"/>
  <c r="F10" i="2"/>
  <c r="G10" i="2"/>
  <c r="H10" i="2"/>
  <c r="I10" i="2"/>
  <c r="J10" i="2"/>
  <c r="K10" i="2"/>
  <c r="L10" i="2"/>
  <c r="M10" i="2" s="1"/>
  <c r="N10" i="2" s="1"/>
  <c r="O10" i="2" s="1"/>
  <c r="P10" i="2" s="1"/>
  <c r="Q10" i="2" s="1"/>
  <c r="E10" i="2"/>
  <c r="G8" i="2"/>
  <c r="H8" i="2"/>
  <c r="I8" i="2"/>
  <c r="J8" i="2"/>
  <c r="K8" i="2"/>
  <c r="L8" i="2"/>
  <c r="M7" i="2" s="1"/>
  <c r="F8" i="2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E27" i="3"/>
  <c r="E13" i="3"/>
  <c r="E16" i="3" s="1"/>
  <c r="E20" i="3" s="1"/>
  <c r="R36" i="2" l="1"/>
  <c r="L43" i="2"/>
  <c r="B45" i="2"/>
  <c r="B37" i="2"/>
  <c r="P43" i="2"/>
  <c r="R43" i="2"/>
  <c r="N43" i="2"/>
  <c r="L30" i="2"/>
  <c r="L31" i="2"/>
  <c r="L32" i="2"/>
  <c r="L16" i="2"/>
  <c r="K16" i="2"/>
  <c r="E16" i="2"/>
  <c r="I16" i="2"/>
  <c r="G16" i="2"/>
  <c r="H16" i="2"/>
  <c r="J16" i="2"/>
  <c r="F16" i="2"/>
  <c r="M18" i="2"/>
  <c r="M9" i="2"/>
  <c r="E25" i="3"/>
  <c r="E30" i="3" s="1"/>
  <c r="D10" i="1" s="1"/>
  <c r="E15" i="3"/>
  <c r="E19" i="3" s="1"/>
  <c r="E24" i="3" s="1"/>
  <c r="E29" i="3" s="1"/>
  <c r="B10" i="1" s="1"/>
  <c r="E9" i="1"/>
  <c r="C9" i="1"/>
  <c r="E8" i="1"/>
  <c r="C8" i="1"/>
  <c r="B46" i="2" l="1"/>
  <c r="B44" i="2"/>
  <c r="M11" i="2"/>
  <c r="M13" i="2" s="1"/>
  <c r="N7" i="2"/>
  <c r="C10" i="1"/>
  <c r="E10" i="1"/>
  <c r="E12" i="1" s="1"/>
  <c r="M14" i="2" l="1"/>
  <c r="M15" i="2"/>
  <c r="M20" i="2" s="1"/>
  <c r="N9" i="2"/>
  <c r="N18" i="2"/>
  <c r="O7" i="2"/>
  <c r="M21" i="2" l="1"/>
  <c r="M31" i="2"/>
  <c r="M32" i="2"/>
  <c r="M30" i="2"/>
  <c r="R19" i="2"/>
  <c r="N11" i="2"/>
  <c r="N13" i="2" s="1"/>
  <c r="N14" i="2" s="1"/>
  <c r="O9" i="2"/>
  <c r="O18" i="2"/>
  <c r="P7" i="2"/>
  <c r="P18" i="2" s="1"/>
  <c r="R10" i="2" l="1"/>
  <c r="N15" i="2"/>
  <c r="N20" i="2" s="1"/>
  <c r="P11" i="2"/>
  <c r="O11" i="2"/>
  <c r="O13" i="2" s="1"/>
  <c r="Q7" i="2"/>
  <c r="P9" i="2"/>
  <c r="N21" i="2" l="1"/>
  <c r="N30" i="2"/>
  <c r="N32" i="2"/>
  <c r="N31" i="2"/>
  <c r="R7" i="2"/>
  <c r="R18" i="2" s="1"/>
  <c r="R11" i="2" s="1"/>
  <c r="P13" i="2"/>
  <c r="P14" i="2" s="1"/>
  <c r="O14" i="2"/>
  <c r="O15" i="2"/>
  <c r="O20" i="2" s="1"/>
  <c r="Q18" i="2"/>
  <c r="Q9" i="2"/>
  <c r="R9" i="2" l="1"/>
  <c r="R13" i="2" s="1"/>
  <c r="R14" i="2" s="1"/>
  <c r="R8" i="2"/>
  <c r="O21" i="2"/>
  <c r="O32" i="2"/>
  <c r="O31" i="2"/>
  <c r="O30" i="2"/>
  <c r="P15" i="2"/>
  <c r="P20" i="2" s="1"/>
  <c r="Q11" i="2"/>
  <c r="Q13" i="2" s="1"/>
  <c r="R15" i="2" l="1"/>
  <c r="R20" i="2" s="1"/>
  <c r="L37" i="2" s="1"/>
  <c r="L44" i="2" s="1"/>
  <c r="M37" i="2"/>
  <c r="M44" i="2" s="1"/>
  <c r="N38" i="2"/>
  <c r="N45" i="2" s="1"/>
  <c r="P21" i="2"/>
  <c r="P30" i="2"/>
  <c r="P31" i="2"/>
  <c r="P32" i="2"/>
  <c r="Q14" i="2"/>
  <c r="Q15" i="2"/>
  <c r="Q20" i="2" s="1"/>
  <c r="N37" i="2" l="1"/>
  <c r="N44" i="2" s="1"/>
  <c r="L38" i="2"/>
  <c r="L45" i="2" s="1"/>
  <c r="N39" i="2"/>
  <c r="N46" i="2" s="1"/>
  <c r="M39" i="2"/>
  <c r="M46" i="2" s="1"/>
  <c r="L39" i="2"/>
  <c r="L46" i="2" s="1"/>
  <c r="M38" i="2"/>
  <c r="M45" i="2" s="1"/>
  <c r="Q31" i="2"/>
  <c r="R31" i="2" s="1"/>
  <c r="Q32" i="2"/>
  <c r="R32" i="2" s="1"/>
  <c r="Q30" i="2"/>
  <c r="R30" i="2" s="1"/>
  <c r="Q37" i="2" s="1"/>
  <c r="Q44" i="2" s="1"/>
  <c r="Q21" i="2"/>
  <c r="R39" i="2" l="1"/>
  <c r="R46" i="2" s="1"/>
  <c r="Q38" i="2"/>
  <c r="Q45" i="2" s="1"/>
  <c r="P38" i="2"/>
  <c r="P45" i="2" s="1"/>
  <c r="R37" i="2"/>
  <c r="R44" i="2" s="1"/>
  <c r="R38" i="2"/>
  <c r="R45" i="2" s="1"/>
  <c r="P37" i="2"/>
  <c r="P44" i="2" s="1"/>
  <c r="P39" i="2"/>
  <c r="P46" i="2" s="1"/>
  <c r="Q39" i="2"/>
  <c r="Q46" i="2" s="1"/>
  <c r="K51" i="2" l="1"/>
  <c r="K53" i="2" s="1"/>
  <c r="K55" i="2" s="1"/>
</calcChain>
</file>

<file path=xl/sharedStrings.xml><?xml version="1.0" encoding="utf-8"?>
<sst xmlns="http://schemas.openxmlformats.org/spreadsheetml/2006/main" count="78" uniqueCount="70">
  <si>
    <t>Football Field Valuation Template</t>
  </si>
  <si>
    <t>Current price</t>
  </si>
  <si>
    <t>Low</t>
  </si>
  <si>
    <t>Difference</t>
  </si>
  <si>
    <t>High</t>
  </si>
  <si>
    <t>midpoint</t>
  </si>
  <si>
    <t>52 week trading high/low</t>
  </si>
  <si>
    <t>DCF - 7-9% WACC / 2% Growth in Perpetuity</t>
  </si>
  <si>
    <t>Trading Comparables
11.6x - 14.2x EV/EBITDA</t>
  </si>
  <si>
    <t>SOTP Valuation</t>
  </si>
  <si>
    <t>TV</t>
  </si>
  <si>
    <t>EBIT</t>
  </si>
  <si>
    <t>Tax</t>
  </si>
  <si>
    <t>D&amp;A</t>
  </si>
  <si>
    <t>g</t>
  </si>
  <si>
    <t>WACC</t>
  </si>
  <si>
    <t>EV</t>
  </si>
  <si>
    <t>(-) Bridge</t>
  </si>
  <si>
    <t>EqV</t>
  </si>
  <si>
    <t>Shares outstanding</t>
  </si>
  <si>
    <t>Share price</t>
  </si>
  <si>
    <t>LVMH Moet Hennessy Louis</t>
  </si>
  <si>
    <t>Unilever</t>
  </si>
  <si>
    <t xml:space="preserve">Procter &amp; Gamble </t>
  </si>
  <si>
    <t>Interparfums</t>
  </si>
  <si>
    <t>Kenvue</t>
  </si>
  <si>
    <t>Shiseido</t>
  </si>
  <si>
    <t>Kao</t>
  </si>
  <si>
    <t xml:space="preserve">Estee Lauder A </t>
  </si>
  <si>
    <t xml:space="preserve">Coty A </t>
  </si>
  <si>
    <t>Beiersdorf</t>
  </si>
  <si>
    <t>Average</t>
  </si>
  <si>
    <t>Average -10%</t>
  </si>
  <si>
    <t>Average+10%</t>
  </si>
  <si>
    <t>EV LVMH Minimum</t>
  </si>
  <si>
    <t>EV LVMH Maximum</t>
  </si>
  <si>
    <t>Bridge</t>
  </si>
  <si>
    <t>Equity Value LVMH Minimum</t>
  </si>
  <si>
    <t>Equity Value LVMH Maximum</t>
  </si>
  <si>
    <t>NoSH</t>
  </si>
  <si>
    <t>Share price minimum</t>
  </si>
  <si>
    <t>Share price maximum</t>
  </si>
  <si>
    <t>Discounted Cash Flows</t>
  </si>
  <si>
    <t>31-12-N, €m</t>
  </si>
  <si>
    <t>in €m, unless stated otherwise</t>
  </si>
  <si>
    <t>Revenues</t>
  </si>
  <si>
    <t>Historical</t>
  </si>
  <si>
    <t>Broker</t>
  </si>
  <si>
    <t>Forecast</t>
  </si>
  <si>
    <t>%Growth</t>
  </si>
  <si>
    <t>EBITDA</t>
  </si>
  <si>
    <t>%Margin</t>
  </si>
  <si>
    <t>%Capex</t>
  </si>
  <si>
    <t>Capex</t>
  </si>
  <si>
    <t>n.a.</t>
  </si>
  <si>
    <t>%Tax Rate</t>
  </si>
  <si>
    <t>Change in WC</t>
  </si>
  <si>
    <t>%Revenue</t>
  </si>
  <si>
    <t>Free Cash Flow to Firm</t>
  </si>
  <si>
    <t>Growth</t>
  </si>
  <si>
    <t>Discount Years</t>
  </si>
  <si>
    <t>% of Cash Flow of the Year</t>
  </si>
  <si>
    <t>DCFs</t>
  </si>
  <si>
    <t>Terminal Value NPV</t>
  </si>
  <si>
    <t>PGR of</t>
  </si>
  <si>
    <t>Enterprise Value NPV</t>
  </si>
  <si>
    <t>Terminal Value / TV EBITDA</t>
  </si>
  <si>
    <t>EV/25E EBITDA</t>
  </si>
  <si>
    <t>EV/LTM EBITDA</t>
  </si>
  <si>
    <t>EBITDA L'Oreal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</si>
</sst>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\€#,##0.00_);\(\€#,##0.00\);@_)"/>
    <numFmt numFmtId="166" formatCode="_(* #,##0_);_(* \(#,##0\);_(* &quot;-&quot;??_);_(@_)"/>
    <numFmt numFmtId="168" formatCode="0&quot;A&quot;"/>
    <numFmt numFmtId="169" formatCode="0&quot;E&quot;"/>
    <numFmt numFmtId="170" formatCode="0.0%"/>
    <numFmt numFmtId="171" formatCode="0.0%;\(0.0\)%"/>
    <numFmt numFmtId="178" formatCode="0,000;\(0,000\)"/>
    <numFmt numFmtId="179" formatCode="0.0\x"/>
  </numFmts>
  <fonts count="23" x14ac:knownFonts="1">
    <font>
      <sz val="10"/>
      <name val="Arial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8"/>
      <name val="Arial"/>
      <family val="2"/>
    </font>
    <font>
      <sz val="20"/>
      <name val="Garamond"/>
      <family val="1"/>
    </font>
    <font>
      <i/>
      <sz val="8"/>
      <name val="Arial"/>
      <family val="2"/>
    </font>
    <font>
      <sz val="8"/>
      <name val="Arial"/>
      <family val="2"/>
    </font>
    <font>
      <sz val="8"/>
      <color rgb="FF0000FF"/>
      <name val="Arial"/>
      <family val="2"/>
    </font>
    <font>
      <sz val="8"/>
      <name val="Garamond"/>
      <family val="1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color rgb="FFFF0000"/>
      <name val="Arial"/>
      <family val="2"/>
    </font>
    <font>
      <i/>
      <sz val="8"/>
      <color rgb="FF0000FF"/>
      <name val="Arial"/>
      <family val="2"/>
    </font>
    <font>
      <b/>
      <sz val="8"/>
      <name val="Arial"/>
      <family val="2"/>
    </font>
    <font>
      <sz val="8"/>
      <color rgb="FF5A8B39"/>
      <name val="Arial"/>
      <family val="2"/>
    </font>
    <font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8B3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4" fontId="0" fillId="0" borderId="0" xfId="0" applyNumberFormat="1"/>
    <xf numFmtId="4" fontId="2" fillId="0" borderId="0" xfId="1" applyNumberFormat="1" applyFont="1"/>
    <xf numFmtId="4" fontId="3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4" xfId="0" applyBorder="1"/>
    <xf numFmtId="0" fontId="4" fillId="0" borderId="4" xfId="0" applyFont="1" applyBorder="1"/>
    <xf numFmtId="165" fontId="2" fillId="0" borderId="0" xfId="0" applyNumberFormat="1" applyFont="1"/>
    <xf numFmtId="0" fontId="0" fillId="0" borderId="5" xfId="0" applyBorder="1"/>
    <xf numFmtId="0" fontId="0" fillId="0" borderId="6" xfId="0" applyBorder="1"/>
    <xf numFmtId="0" fontId="6" fillId="0" borderId="0" xfId="0" applyFont="1"/>
    <xf numFmtId="0" fontId="0" fillId="0" borderId="7" xfId="0" applyBorder="1"/>
    <xf numFmtId="0" fontId="0" fillId="0" borderId="9" xfId="0" applyBorder="1"/>
    <xf numFmtId="1" fontId="0" fillId="0" borderId="8" xfId="0" applyNumberFormat="1" applyBorder="1"/>
    <xf numFmtId="1" fontId="0" fillId="0" borderId="10" xfId="0" applyNumberFormat="1" applyBorder="1"/>
    <xf numFmtId="0" fontId="3" fillId="0" borderId="0" xfId="0" applyFont="1" applyAlignment="1">
      <alignment wrapText="1"/>
    </xf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9" fillId="0" borderId="6" xfId="0" applyFont="1" applyBorder="1"/>
    <xf numFmtId="166" fontId="9" fillId="0" borderId="0" xfId="2" applyNumberFormat="1" applyFont="1"/>
    <xf numFmtId="0" fontId="9" fillId="0" borderId="0" xfId="0" quotePrefix="1" applyFont="1"/>
    <xf numFmtId="166" fontId="9" fillId="0" borderId="0" xfId="0" applyNumberFormat="1" applyFont="1"/>
    <xf numFmtId="0" fontId="9" fillId="0" borderId="1" xfId="0" applyFont="1" applyBorder="1"/>
    <xf numFmtId="166" fontId="9" fillId="0" borderId="3" xfId="0" applyNumberFormat="1" applyFont="1" applyBorder="1"/>
    <xf numFmtId="0" fontId="9" fillId="0" borderId="0" xfId="0" applyFont="1" applyBorder="1"/>
    <xf numFmtId="0" fontId="9" fillId="0" borderId="2" xfId="0" applyFont="1" applyBorder="1"/>
    <xf numFmtId="3" fontId="10" fillId="0" borderId="0" xfId="0" applyNumberFormat="1" applyFont="1"/>
    <xf numFmtId="0" fontId="11" fillId="0" borderId="6" xfId="0" applyFont="1" applyBorder="1"/>
    <xf numFmtId="0" fontId="13" fillId="2" borderId="11" xfId="0" applyFont="1" applyFill="1" applyBorder="1" applyAlignment="1">
      <alignment horizontal="centerContinuous"/>
    </xf>
    <xf numFmtId="0" fontId="12" fillId="2" borderId="12" xfId="0" applyFont="1" applyFill="1" applyBorder="1" applyAlignment="1">
      <alignment horizontal="centerContinuous"/>
    </xf>
    <xf numFmtId="0" fontId="12" fillId="2" borderId="13" xfId="0" applyFont="1" applyFill="1" applyBorder="1" applyAlignment="1">
      <alignment horizontal="centerContinuous"/>
    </xf>
    <xf numFmtId="0" fontId="13" fillId="3" borderId="11" xfId="0" applyFont="1" applyFill="1" applyBorder="1" applyAlignment="1">
      <alignment horizontal="centerContinuous"/>
    </xf>
    <xf numFmtId="0" fontId="13" fillId="4" borderId="11" xfId="0" applyFont="1" applyFill="1" applyBorder="1" applyAlignment="1">
      <alignment horizontal="centerContinuous"/>
    </xf>
    <xf numFmtId="0" fontId="12" fillId="4" borderId="12" xfId="0" applyFont="1" applyFill="1" applyBorder="1" applyAlignment="1">
      <alignment horizontal="centerContinuous"/>
    </xf>
    <xf numFmtId="0" fontId="15" fillId="0" borderId="0" xfId="0" applyFont="1" applyAlignment="1">
      <alignment horizontal="left" indent="1"/>
    </xf>
    <xf numFmtId="0" fontId="15" fillId="0" borderId="0" xfId="0" applyFont="1"/>
    <xf numFmtId="170" fontId="15" fillId="0" borderId="0" xfId="3" applyNumberFormat="1" applyFont="1"/>
    <xf numFmtId="171" fontId="15" fillId="0" borderId="0" xfId="3" applyNumberFormat="1" applyFont="1"/>
    <xf numFmtId="9" fontId="15" fillId="0" borderId="0" xfId="3" applyFont="1"/>
    <xf numFmtId="170" fontId="16" fillId="0" borderId="0" xfId="3" applyNumberFormat="1" applyFont="1"/>
    <xf numFmtId="170" fontId="17" fillId="0" borderId="0" xfId="3" applyNumberFormat="1" applyFont="1"/>
    <xf numFmtId="166" fontId="10" fillId="0" borderId="0" xfId="2" applyNumberFormat="1" applyFont="1"/>
    <xf numFmtId="168" fontId="18" fillId="0" borderId="6" xfId="0" applyNumberFormat="1" applyFont="1" applyBorder="1"/>
    <xf numFmtId="169" fontId="18" fillId="0" borderId="6" xfId="0" applyNumberFormat="1" applyFont="1" applyBorder="1"/>
    <xf numFmtId="169" fontId="18" fillId="0" borderId="6" xfId="0" applyNumberFormat="1" applyFont="1" applyBorder="1" applyAlignment="1">
      <alignment horizontal="center"/>
    </xf>
    <xf numFmtId="3" fontId="15" fillId="0" borderId="0" xfId="0" applyNumberFormat="1" applyFont="1" applyAlignment="1">
      <alignment horizontal="right"/>
    </xf>
    <xf numFmtId="9" fontId="17" fillId="0" borderId="0" xfId="3" applyFont="1"/>
    <xf numFmtId="166" fontId="14" fillId="0" borderId="0" xfId="3" applyNumberFormat="1" applyFont="1"/>
    <xf numFmtId="9" fontId="8" fillId="0" borderId="0" xfId="0" applyNumberFormat="1" applyFont="1"/>
    <xf numFmtId="166" fontId="19" fillId="0" borderId="0" xfId="3" applyNumberFormat="1" applyFont="1"/>
    <xf numFmtId="0" fontId="9" fillId="5" borderId="6" xfId="0" applyFont="1" applyFill="1" applyBorder="1"/>
    <xf numFmtId="166" fontId="9" fillId="5" borderId="6" xfId="0" applyNumberFormat="1" applyFont="1" applyFill="1" applyBorder="1"/>
    <xf numFmtId="0" fontId="18" fillId="0" borderId="0" xfId="0" applyFont="1"/>
    <xf numFmtId="0" fontId="18" fillId="5" borderId="7" xfId="0" applyFont="1" applyFill="1" applyBorder="1"/>
    <xf numFmtId="0" fontId="18" fillId="5" borderId="5" xfId="0" applyFont="1" applyFill="1" applyBorder="1"/>
    <xf numFmtId="166" fontId="18" fillId="5" borderId="5" xfId="0" applyNumberFormat="1" applyFont="1" applyFill="1" applyBorder="1"/>
    <xf numFmtId="166" fontId="18" fillId="5" borderId="8" xfId="0" applyNumberFormat="1" applyFont="1" applyFill="1" applyBorder="1"/>
    <xf numFmtId="0" fontId="8" fillId="5" borderId="9" xfId="0" applyFont="1" applyFill="1" applyBorder="1"/>
    <xf numFmtId="170" fontId="8" fillId="5" borderId="6" xfId="3" applyNumberFormat="1" applyFont="1" applyFill="1" applyBorder="1"/>
    <xf numFmtId="166" fontId="20" fillId="0" borderId="0" xfId="0" applyNumberFormat="1" applyFont="1"/>
    <xf numFmtId="9" fontId="20" fillId="0" borderId="0" xfId="3" applyFont="1"/>
    <xf numFmtId="9" fontId="17" fillId="0" borderId="0" xfId="3" applyNumberFormat="1" applyFont="1"/>
    <xf numFmtId="171" fontId="8" fillId="5" borderId="10" xfId="3" applyNumberFormat="1" applyFont="1" applyFill="1" applyBorder="1"/>
    <xf numFmtId="166" fontId="10" fillId="0" borderId="0" xfId="2" applyNumberFormat="1" applyFont="1" applyAlignment="1">
      <alignment horizontal="right"/>
    </xf>
    <xf numFmtId="168" fontId="18" fillId="0" borderId="0" xfId="0" applyNumberFormat="1" applyFont="1" applyBorder="1"/>
    <xf numFmtId="169" fontId="18" fillId="0" borderId="0" xfId="0" applyNumberFormat="1" applyFont="1" applyBorder="1"/>
    <xf numFmtId="169" fontId="18" fillId="0" borderId="0" xfId="0" applyNumberFormat="1" applyFont="1" applyBorder="1" applyAlignment="1">
      <alignment horizontal="center"/>
    </xf>
    <xf numFmtId="0" fontId="10" fillId="0" borderId="0" xfId="0" applyFont="1"/>
    <xf numFmtId="43" fontId="10" fillId="0" borderId="0" xfId="2" applyFont="1"/>
    <xf numFmtId="0" fontId="20" fillId="0" borderId="0" xfId="0" applyFont="1"/>
    <xf numFmtId="9" fontId="10" fillId="0" borderId="0" xfId="0" applyNumberFormat="1" applyFont="1"/>
    <xf numFmtId="0" fontId="18" fillId="0" borderId="0" xfId="0" applyFont="1" applyAlignment="1">
      <alignment horizontal="center"/>
    </xf>
    <xf numFmtId="0" fontId="8" fillId="5" borderId="6" xfId="0" applyFont="1" applyFill="1" applyBorder="1"/>
    <xf numFmtId="10" fontId="9" fillId="0" borderId="0" xfId="0" applyNumberFormat="1" applyFont="1" applyAlignment="1">
      <alignment horizontal="center"/>
    </xf>
    <xf numFmtId="10" fontId="10" fillId="5" borderId="14" xfId="0" applyNumberFormat="1" applyFont="1" applyFill="1" applyBorder="1" applyAlignment="1">
      <alignment horizontal="center"/>
    </xf>
    <xf numFmtId="0" fontId="18" fillId="0" borderId="6" xfId="0" applyFont="1" applyBorder="1" applyAlignment="1">
      <alignment horizontal="center"/>
    </xf>
    <xf numFmtId="166" fontId="9" fillId="0" borderId="7" xfId="2" applyNumberFormat="1" applyFont="1" applyBorder="1"/>
    <xf numFmtId="166" fontId="9" fillId="0" borderId="5" xfId="2" applyNumberFormat="1" applyFont="1" applyBorder="1"/>
    <xf numFmtId="166" fontId="18" fillId="0" borderId="8" xfId="2" applyNumberFormat="1" applyFont="1" applyBorder="1"/>
    <xf numFmtId="166" fontId="9" fillId="0" borderId="15" xfId="2" applyNumberFormat="1" applyFont="1" applyBorder="1"/>
    <xf numFmtId="166" fontId="9" fillId="0" borderId="0" xfId="2" applyNumberFormat="1" applyFont="1" applyBorder="1"/>
    <xf numFmtId="166" fontId="18" fillId="0" borderId="16" xfId="2" applyNumberFormat="1" applyFont="1" applyBorder="1"/>
    <xf numFmtId="166" fontId="9" fillId="0" borderId="9" xfId="2" applyNumberFormat="1" applyFont="1" applyBorder="1"/>
    <xf numFmtId="166" fontId="9" fillId="0" borderId="6" xfId="2" applyNumberFormat="1" applyFont="1" applyBorder="1"/>
    <xf numFmtId="166" fontId="18" fillId="0" borderId="10" xfId="2" applyNumberFormat="1" applyFont="1" applyBorder="1"/>
    <xf numFmtId="170" fontId="9" fillId="0" borderId="14" xfId="0" applyNumberFormat="1" applyFont="1" applyBorder="1" applyAlignment="1">
      <alignment horizontal="center"/>
    </xf>
    <xf numFmtId="178" fontId="9" fillId="0" borderId="0" xfId="0" applyNumberFormat="1" applyFont="1" applyAlignment="1">
      <alignment horizontal="center"/>
    </xf>
    <xf numFmtId="178" fontId="9" fillId="5" borderId="14" xfId="0" applyNumberFormat="1" applyFont="1" applyFill="1" applyBorder="1" applyAlignment="1">
      <alignment horizontal="center"/>
    </xf>
    <xf numFmtId="170" fontId="21" fillId="5" borderId="14" xfId="0" applyNumberFormat="1" applyFont="1" applyFill="1" applyBorder="1" applyAlignment="1">
      <alignment horizontal="center"/>
    </xf>
    <xf numFmtId="179" fontId="9" fillId="0" borderId="0" xfId="0" applyNumberFormat="1" applyFont="1" applyAlignment="1">
      <alignment horizontal="center"/>
    </xf>
    <xf numFmtId="179" fontId="9" fillId="5" borderId="14" xfId="0" applyNumberFormat="1" applyFont="1" applyFill="1" applyBorder="1" applyAlignment="1">
      <alignment horizontal="center"/>
    </xf>
    <xf numFmtId="10" fontId="9" fillId="5" borderId="14" xfId="0" applyNumberFormat="1" applyFont="1" applyFill="1" applyBorder="1" applyAlignment="1">
      <alignment horizontal="center"/>
    </xf>
    <xf numFmtId="166" fontId="9" fillId="0" borderId="8" xfId="2" applyNumberFormat="1" applyFont="1" applyBorder="1"/>
    <xf numFmtId="166" fontId="9" fillId="0" borderId="16" xfId="2" applyNumberFormat="1" applyFont="1" applyBorder="1"/>
    <xf numFmtId="166" fontId="9" fillId="0" borderId="10" xfId="2" applyNumberFormat="1" applyFont="1" applyBorder="1"/>
    <xf numFmtId="170" fontId="18" fillId="5" borderId="14" xfId="0" applyNumberFormat="1" applyFont="1" applyFill="1" applyBorder="1" applyAlignment="1">
      <alignment horizontal="center"/>
    </xf>
    <xf numFmtId="170" fontId="10" fillId="0" borderId="0" xfId="0" applyNumberFormat="1" applyFont="1"/>
    <xf numFmtId="166" fontId="10" fillId="0" borderId="0" xfId="0" applyNumberFormat="1" applyFont="1"/>
    <xf numFmtId="179" fontId="2" fillId="0" borderId="0" xfId="0" applyNumberFormat="1" applyFont="1"/>
    <xf numFmtId="0" fontId="1" fillId="0" borderId="0" xfId="0" applyFont="1"/>
    <xf numFmtId="0" fontId="0" fillId="5" borderId="1" xfId="0" applyFill="1" applyBorder="1"/>
    <xf numFmtId="0" fontId="0" fillId="5" borderId="2" xfId="0" applyFill="1" applyBorder="1"/>
    <xf numFmtId="179" fontId="0" fillId="5" borderId="3" xfId="0" applyNumberFormat="1" applyFill="1" applyBorder="1"/>
    <xf numFmtId="179" fontId="0" fillId="0" borderId="8" xfId="0" applyNumberFormat="1" applyBorder="1"/>
    <xf numFmtId="179" fontId="0" fillId="0" borderId="10" xfId="0" applyNumberFormat="1" applyBorder="1"/>
    <xf numFmtId="0" fontId="22" fillId="0" borderId="0" xfId="0" applyFont="1"/>
    <xf numFmtId="179" fontId="0" fillId="0" borderId="0" xfId="0" applyNumberFormat="1"/>
    <xf numFmtId="3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  <color rgb="FF5A8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88562596599686E-2"/>
          <c:y val="0.1926829268292683"/>
          <c:w val="0.90417310664605877"/>
          <c:h val="0.69024390243902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Football!$B$7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\€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Football!$A$8:$A$11</c:f>
              <c:strCache>
                <c:ptCount val="4"/>
                <c:pt idx="0">
                  <c:v>52 week trading high/low</c:v>
                </c:pt>
                <c:pt idx="1">
                  <c:v>DCF - 7-9% WACC / 2% Growth in Perpetuity</c:v>
                </c:pt>
                <c:pt idx="2">
                  <c:v>Trading Comparables
11.6x - 14.2x EV/EBITDA</c:v>
                </c:pt>
                <c:pt idx="3">
                  <c:v>SOTP Valuation</c:v>
                </c:pt>
              </c:strCache>
            </c:strRef>
          </c:cat>
          <c:val>
            <c:numRef>
              <c:f>Football!$B$8:$B$11</c:f>
              <c:numCache>
                <c:formatCode>#,##0.00</c:formatCode>
                <c:ptCount val="4"/>
                <c:pt idx="0">
                  <c:v>608.1</c:v>
                </c:pt>
                <c:pt idx="1">
                  <c:v>717.90698593924208</c:v>
                </c:pt>
                <c:pt idx="2">
                  <c:v>282.39871069123564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8-4B8D-B03A-30C2D60854FF}"/>
            </c:ext>
          </c:extLst>
        </c:ser>
        <c:ser>
          <c:idx val="2"/>
          <c:order val="1"/>
          <c:tx>
            <c:strRef>
              <c:f>Football!$C$7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Football!$A$8:$A$11</c:f>
              <c:strCache>
                <c:ptCount val="4"/>
                <c:pt idx="0">
                  <c:v>52 week trading high/low</c:v>
                </c:pt>
                <c:pt idx="1">
                  <c:v>DCF - 7-9% WACC / 2% Growth in Perpetuity</c:v>
                </c:pt>
                <c:pt idx="2">
                  <c:v>Trading Comparables
11.6x - 14.2x EV/EBITDA</c:v>
                </c:pt>
                <c:pt idx="3">
                  <c:v>SOTP Valuation</c:v>
                </c:pt>
              </c:strCache>
            </c:strRef>
          </c:cat>
          <c:val>
            <c:numRef>
              <c:f>Football!$C$8:$C$11</c:f>
              <c:numCache>
                <c:formatCode>#,##0.00</c:formatCode>
                <c:ptCount val="4"/>
                <c:pt idx="0">
                  <c:v>263.89999999999998</c:v>
                </c:pt>
                <c:pt idx="1">
                  <c:v>247.50021412999718</c:v>
                </c:pt>
                <c:pt idx="2">
                  <c:v>64.650944532784592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8-4B8D-B03A-30C2D60854FF}"/>
            </c:ext>
          </c:extLst>
        </c:ser>
        <c:ser>
          <c:idx val="1"/>
          <c:order val="2"/>
          <c:tx>
            <c:strRef>
              <c:f>Football!$D$7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\€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Football!$A$8:$A$11</c:f>
              <c:strCache>
                <c:ptCount val="4"/>
                <c:pt idx="0">
                  <c:v>52 week trading high/low</c:v>
                </c:pt>
                <c:pt idx="1">
                  <c:v>DCF - 7-9% WACC / 2% Growth in Perpetuity</c:v>
                </c:pt>
                <c:pt idx="2">
                  <c:v>Trading Comparables
11.6x - 14.2x EV/EBITDA</c:v>
                </c:pt>
                <c:pt idx="3">
                  <c:v>SOTP Valuation</c:v>
                </c:pt>
              </c:strCache>
            </c:strRef>
          </c:cat>
          <c:val>
            <c:numRef>
              <c:f>Football!$D$8:$D$11</c:f>
              <c:numCache>
                <c:formatCode>#,##0.00</c:formatCode>
                <c:ptCount val="4"/>
                <c:pt idx="0">
                  <c:v>872</c:v>
                </c:pt>
                <c:pt idx="1">
                  <c:v>965.40720006923925</c:v>
                </c:pt>
                <c:pt idx="2">
                  <c:v>347.04965522402023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8-4B8D-B03A-30C2D6085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3270488"/>
        <c:axId val="1"/>
      </c:barChart>
      <c:catAx>
        <c:axId val="63327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5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270488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Comps!$E$3:$E$12</c:f>
              <c:numCache>
                <c:formatCode>0.0\x</c:formatCode>
                <c:ptCount val="10"/>
                <c:pt idx="0">
                  <c:v>11.26</c:v>
                </c:pt>
                <c:pt idx="1">
                  <c:v>13.88</c:v>
                </c:pt>
                <c:pt idx="2">
                  <c:v>19.18</c:v>
                </c:pt>
                <c:pt idx="3">
                  <c:v>18.84</c:v>
                </c:pt>
                <c:pt idx="4">
                  <c:v>14.82</c:v>
                </c:pt>
                <c:pt idx="5">
                  <c:v>21.77</c:v>
                </c:pt>
                <c:pt idx="6">
                  <c:v>15.21</c:v>
                </c:pt>
                <c:pt idx="7">
                  <c:v>16.02</c:v>
                </c:pt>
                <c:pt idx="8">
                  <c:v>10.99</c:v>
                </c:pt>
                <c:pt idx="9">
                  <c:v>15.06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4-465A-937F-E7573821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4282719"/>
        <c:axId val="1254274079"/>
      </c:barChart>
      <c:catAx>
        <c:axId val="12542827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54274079"/>
        <c:crosses val="autoZero"/>
        <c:auto val="1"/>
        <c:lblAlgn val="ctr"/>
        <c:lblOffset val="100"/>
        <c:noMultiLvlLbl val="0"/>
      </c:catAx>
      <c:valAx>
        <c:axId val="1254274079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12542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13</xdr:row>
      <xdr:rowOff>19050</xdr:rowOff>
    </xdr:from>
    <xdr:to>
      <xdr:col>11</xdr:col>
      <xdr:colOff>228600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76021-39C8-4D40-82A8-4A4697E0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30</xdr:row>
      <xdr:rowOff>123825</xdr:rowOff>
    </xdr:from>
    <xdr:to>
      <xdr:col>11</xdr:col>
      <xdr:colOff>142875</xdr:colOff>
      <xdr:row>30</xdr:row>
      <xdr:rowOff>123825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D71013E9-E47B-4B2B-AAE5-C95317EE14EA}"/>
            </a:ext>
          </a:extLst>
        </xdr:cNvPr>
        <xdr:cNvSpPr>
          <a:spLocks noChangeShapeType="1"/>
        </xdr:cNvSpPr>
      </xdr:nvSpPr>
      <xdr:spPr bwMode="auto">
        <a:xfrm>
          <a:off x="5524500" y="4895850"/>
          <a:ext cx="5000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447675</xdr:colOff>
      <xdr:row>31</xdr:row>
      <xdr:rowOff>0</xdr:rowOff>
    </xdr:from>
    <xdr:ext cx="1725601" cy="17056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3A2B71B8-6B10-404E-9AE0-A7EB78BED5D6}"/>
            </a:ext>
          </a:extLst>
        </xdr:cNvPr>
        <xdr:cNvSpPr txBox="1">
          <a:spLocks noChangeArrowheads="1"/>
        </xdr:cNvSpPr>
      </xdr:nvSpPr>
      <xdr:spPr bwMode="auto">
        <a:xfrm>
          <a:off x="7172325" y="4933950"/>
          <a:ext cx="1725601" cy="170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share price = €608.10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181794</xdr:colOff>
      <xdr:row>1</xdr:row>
      <xdr:rowOff>151507</xdr:rowOff>
    </xdr:from>
    <xdr:to>
      <xdr:col>15</xdr:col>
      <xdr:colOff>101931</xdr:colOff>
      <xdr:row>12</xdr:row>
      <xdr:rowOff>71414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98D83-A24E-9F2A-E977-5C0F7D1E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showGridLines="0" tabSelected="1" workbookViewId="0">
      <selection activeCell="B6" sqref="B6"/>
    </sheetView>
  </sheetViews>
  <sheetFormatPr defaultColWidth="8.85546875" defaultRowHeight="12.75" x14ac:dyDescent="0.2"/>
  <cols>
    <col min="1" max="1" width="59" bestFit="1" customWidth="1"/>
    <col min="2" max="2" width="14.42578125" customWidth="1"/>
    <col min="256" max="256" width="22" customWidth="1"/>
    <col min="257" max="257" width="29.28515625" bestFit="1" customWidth="1"/>
    <col min="512" max="512" width="22" customWidth="1"/>
    <col min="513" max="513" width="29.28515625" bestFit="1" customWidth="1"/>
    <col min="768" max="768" width="22" customWidth="1"/>
    <col min="769" max="769" width="29.28515625" bestFit="1" customWidth="1"/>
    <col min="1024" max="1024" width="22" customWidth="1"/>
    <col min="1025" max="1025" width="29.28515625" bestFit="1" customWidth="1"/>
    <col min="1280" max="1280" width="22" customWidth="1"/>
    <col min="1281" max="1281" width="29.28515625" bestFit="1" customWidth="1"/>
    <col min="1536" max="1536" width="22" customWidth="1"/>
    <col min="1537" max="1537" width="29.28515625" bestFit="1" customWidth="1"/>
    <col min="1792" max="1792" width="22" customWidth="1"/>
    <col min="1793" max="1793" width="29.28515625" bestFit="1" customWidth="1"/>
    <col min="2048" max="2048" width="22" customWidth="1"/>
    <col min="2049" max="2049" width="29.28515625" bestFit="1" customWidth="1"/>
    <col min="2304" max="2304" width="22" customWidth="1"/>
    <col min="2305" max="2305" width="29.28515625" bestFit="1" customWidth="1"/>
    <col min="2560" max="2560" width="22" customWidth="1"/>
    <col min="2561" max="2561" width="29.28515625" bestFit="1" customWidth="1"/>
    <col min="2816" max="2816" width="22" customWidth="1"/>
    <col min="2817" max="2817" width="29.28515625" bestFit="1" customWidth="1"/>
    <col min="3072" max="3072" width="22" customWidth="1"/>
    <col min="3073" max="3073" width="29.28515625" bestFit="1" customWidth="1"/>
    <col min="3328" max="3328" width="22" customWidth="1"/>
    <col min="3329" max="3329" width="29.28515625" bestFit="1" customWidth="1"/>
    <col min="3584" max="3584" width="22" customWidth="1"/>
    <col min="3585" max="3585" width="29.28515625" bestFit="1" customWidth="1"/>
    <col min="3840" max="3840" width="22" customWidth="1"/>
    <col min="3841" max="3841" width="29.28515625" bestFit="1" customWidth="1"/>
    <col min="4096" max="4096" width="22" customWidth="1"/>
    <col min="4097" max="4097" width="29.28515625" bestFit="1" customWidth="1"/>
    <col min="4352" max="4352" width="22" customWidth="1"/>
    <col min="4353" max="4353" width="29.28515625" bestFit="1" customWidth="1"/>
    <col min="4608" max="4608" width="22" customWidth="1"/>
    <col min="4609" max="4609" width="29.28515625" bestFit="1" customWidth="1"/>
    <col min="4864" max="4864" width="22" customWidth="1"/>
    <col min="4865" max="4865" width="29.28515625" bestFit="1" customWidth="1"/>
    <col min="5120" max="5120" width="22" customWidth="1"/>
    <col min="5121" max="5121" width="29.28515625" bestFit="1" customWidth="1"/>
    <col min="5376" max="5376" width="22" customWidth="1"/>
    <col min="5377" max="5377" width="29.28515625" bestFit="1" customWidth="1"/>
    <col min="5632" max="5632" width="22" customWidth="1"/>
    <col min="5633" max="5633" width="29.28515625" bestFit="1" customWidth="1"/>
    <col min="5888" max="5888" width="22" customWidth="1"/>
    <col min="5889" max="5889" width="29.28515625" bestFit="1" customWidth="1"/>
    <col min="6144" max="6144" width="22" customWidth="1"/>
    <col min="6145" max="6145" width="29.28515625" bestFit="1" customWidth="1"/>
    <col min="6400" max="6400" width="22" customWidth="1"/>
    <col min="6401" max="6401" width="29.28515625" bestFit="1" customWidth="1"/>
    <col min="6656" max="6656" width="22" customWidth="1"/>
    <col min="6657" max="6657" width="29.28515625" bestFit="1" customWidth="1"/>
    <col min="6912" max="6912" width="22" customWidth="1"/>
    <col min="6913" max="6913" width="29.28515625" bestFit="1" customWidth="1"/>
    <col min="7168" max="7168" width="22" customWidth="1"/>
    <col min="7169" max="7169" width="29.28515625" bestFit="1" customWidth="1"/>
    <col min="7424" max="7424" width="22" customWidth="1"/>
    <col min="7425" max="7425" width="29.28515625" bestFit="1" customWidth="1"/>
    <col min="7680" max="7680" width="22" customWidth="1"/>
    <col min="7681" max="7681" width="29.28515625" bestFit="1" customWidth="1"/>
    <col min="7936" max="7936" width="22" customWidth="1"/>
    <col min="7937" max="7937" width="29.28515625" bestFit="1" customWidth="1"/>
    <col min="8192" max="8192" width="22" customWidth="1"/>
    <col min="8193" max="8193" width="29.28515625" bestFit="1" customWidth="1"/>
    <col min="8448" max="8448" width="22" customWidth="1"/>
    <col min="8449" max="8449" width="29.28515625" bestFit="1" customWidth="1"/>
    <col min="8704" max="8704" width="22" customWidth="1"/>
    <col min="8705" max="8705" width="29.28515625" bestFit="1" customWidth="1"/>
    <col min="8960" max="8960" width="22" customWidth="1"/>
    <col min="8961" max="8961" width="29.28515625" bestFit="1" customWidth="1"/>
    <col min="9216" max="9216" width="22" customWidth="1"/>
    <col min="9217" max="9217" width="29.28515625" bestFit="1" customWidth="1"/>
    <col min="9472" max="9472" width="22" customWidth="1"/>
    <col min="9473" max="9473" width="29.28515625" bestFit="1" customWidth="1"/>
    <col min="9728" max="9728" width="22" customWidth="1"/>
    <col min="9729" max="9729" width="29.28515625" bestFit="1" customWidth="1"/>
    <col min="9984" max="9984" width="22" customWidth="1"/>
    <col min="9985" max="9985" width="29.28515625" bestFit="1" customWidth="1"/>
    <col min="10240" max="10240" width="22" customWidth="1"/>
    <col min="10241" max="10241" width="29.28515625" bestFit="1" customWidth="1"/>
    <col min="10496" max="10496" width="22" customWidth="1"/>
    <col min="10497" max="10497" width="29.28515625" bestFit="1" customWidth="1"/>
    <col min="10752" max="10752" width="22" customWidth="1"/>
    <col min="10753" max="10753" width="29.28515625" bestFit="1" customWidth="1"/>
    <col min="11008" max="11008" width="22" customWidth="1"/>
    <col min="11009" max="11009" width="29.28515625" bestFit="1" customWidth="1"/>
    <col min="11264" max="11264" width="22" customWidth="1"/>
    <col min="11265" max="11265" width="29.28515625" bestFit="1" customWidth="1"/>
    <col min="11520" max="11520" width="22" customWidth="1"/>
    <col min="11521" max="11521" width="29.28515625" bestFit="1" customWidth="1"/>
    <col min="11776" max="11776" width="22" customWidth="1"/>
    <col min="11777" max="11777" width="29.28515625" bestFit="1" customWidth="1"/>
    <col min="12032" max="12032" width="22" customWidth="1"/>
    <col min="12033" max="12033" width="29.28515625" bestFit="1" customWidth="1"/>
    <col min="12288" max="12288" width="22" customWidth="1"/>
    <col min="12289" max="12289" width="29.28515625" bestFit="1" customWidth="1"/>
    <col min="12544" max="12544" width="22" customWidth="1"/>
    <col min="12545" max="12545" width="29.28515625" bestFit="1" customWidth="1"/>
    <col min="12800" max="12800" width="22" customWidth="1"/>
    <col min="12801" max="12801" width="29.28515625" bestFit="1" customWidth="1"/>
    <col min="13056" max="13056" width="22" customWidth="1"/>
    <col min="13057" max="13057" width="29.28515625" bestFit="1" customWidth="1"/>
    <col min="13312" max="13312" width="22" customWidth="1"/>
    <col min="13313" max="13313" width="29.28515625" bestFit="1" customWidth="1"/>
    <col min="13568" max="13568" width="22" customWidth="1"/>
    <col min="13569" max="13569" width="29.28515625" bestFit="1" customWidth="1"/>
    <col min="13824" max="13824" width="22" customWidth="1"/>
    <col min="13825" max="13825" width="29.28515625" bestFit="1" customWidth="1"/>
    <col min="14080" max="14080" width="22" customWidth="1"/>
    <col min="14081" max="14081" width="29.28515625" bestFit="1" customWidth="1"/>
    <col min="14336" max="14336" width="22" customWidth="1"/>
    <col min="14337" max="14337" width="29.28515625" bestFit="1" customWidth="1"/>
    <col min="14592" max="14592" width="22" customWidth="1"/>
    <col min="14593" max="14593" width="29.28515625" bestFit="1" customWidth="1"/>
    <col min="14848" max="14848" width="22" customWidth="1"/>
    <col min="14849" max="14849" width="29.28515625" bestFit="1" customWidth="1"/>
    <col min="15104" max="15104" width="22" customWidth="1"/>
    <col min="15105" max="15105" width="29.28515625" bestFit="1" customWidth="1"/>
    <col min="15360" max="15360" width="22" customWidth="1"/>
    <col min="15361" max="15361" width="29.28515625" bestFit="1" customWidth="1"/>
    <col min="15616" max="15616" width="22" customWidth="1"/>
    <col min="15617" max="15617" width="29.28515625" bestFit="1" customWidth="1"/>
    <col min="15872" max="15872" width="22" customWidth="1"/>
    <col min="15873" max="15873" width="29.28515625" bestFit="1" customWidth="1"/>
    <col min="16128" max="16128" width="22" customWidth="1"/>
    <col min="16129" max="16129" width="29.28515625" bestFit="1" customWidth="1"/>
  </cols>
  <sheetData>
    <row r="1" spans="1:13" ht="18.75" thickBot="1" x14ac:dyDescent="0.3">
      <c r="A1" s="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6" spans="1:13" x14ac:dyDescent="0.2">
      <c r="A6" t="s">
        <v>1</v>
      </c>
      <c r="B6" s="9">
        <v>608.1</v>
      </c>
    </row>
    <row r="7" spans="1:13" ht="12.75" customHeight="1" x14ac:dyDescent="0.2">
      <c r="B7" s="6" t="s">
        <v>2</v>
      </c>
      <c r="C7" s="6" t="s">
        <v>3</v>
      </c>
      <c r="D7" s="6" t="s">
        <v>4</v>
      </c>
      <c r="E7" s="6" t="s">
        <v>5</v>
      </c>
    </row>
    <row r="8" spans="1:13" x14ac:dyDescent="0.2">
      <c r="A8" s="5" t="s">
        <v>6</v>
      </c>
      <c r="B8" s="2">
        <v>608.1</v>
      </c>
      <c r="C8" s="3">
        <f>D8-B8</f>
        <v>263.89999999999998</v>
      </c>
      <c r="D8" s="2">
        <v>872</v>
      </c>
      <c r="E8" s="3">
        <f>AVERAGE(D8,B8)</f>
        <v>740.05</v>
      </c>
    </row>
    <row r="9" spans="1:13" x14ac:dyDescent="0.2">
      <c r="A9" s="5" t="s">
        <v>7</v>
      </c>
      <c r="B9" s="2">
        <v>717.90698593924208</v>
      </c>
      <c r="C9" s="3">
        <f>D9-B9</f>
        <v>247.50021412999718</v>
      </c>
      <c r="D9" s="2">
        <v>965.40720006923925</v>
      </c>
      <c r="E9" s="3">
        <f>AVERAGE(D9,B9)</f>
        <v>841.65709300424066</v>
      </c>
    </row>
    <row r="10" spans="1:13" ht="25.5" x14ac:dyDescent="0.2">
      <c r="A10" s="17" t="s">
        <v>8</v>
      </c>
      <c r="B10" s="4">
        <f>Comps!E29</f>
        <v>282.39871069123564</v>
      </c>
      <c r="C10" s="3">
        <f>D10-B10</f>
        <v>64.650944532784592</v>
      </c>
      <c r="D10" s="4">
        <f>Comps!E30</f>
        <v>347.04965522402023</v>
      </c>
      <c r="E10" s="3">
        <f>AVERAGE(D10,B10)</f>
        <v>314.72418295762793</v>
      </c>
    </row>
    <row r="11" spans="1:13" x14ac:dyDescent="0.2">
      <c r="A11" t="s">
        <v>9</v>
      </c>
      <c r="B11" s="4"/>
      <c r="C11" s="3"/>
      <c r="D11" s="4"/>
      <c r="E11" s="3"/>
    </row>
    <row r="12" spans="1:13" x14ac:dyDescent="0.2">
      <c r="E12" s="1">
        <f>AVERAGE(E8:E10)</f>
        <v>632.14375865395607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55"/>
  <sheetViews>
    <sheetView showGridLines="0" zoomScale="123" zoomScaleNormal="100" zoomScaleSheetLayoutView="100" workbookViewId="0">
      <selection activeCell="B4" sqref="B4:R46"/>
    </sheetView>
  </sheetViews>
  <sheetFormatPr defaultColWidth="8.85546875" defaultRowHeight="11.25" outlineLevelRow="1" x14ac:dyDescent="0.2"/>
  <cols>
    <col min="1" max="1" width="1.7109375" style="20" customWidth="1"/>
    <col min="2" max="2" width="13.7109375" style="20" bestFit="1" customWidth="1"/>
    <col min="3" max="4" width="3.7109375" style="20" customWidth="1"/>
    <col min="5" max="17" width="7.7109375" style="20" customWidth="1"/>
    <col min="18" max="16384" width="8.85546875" style="20"/>
  </cols>
  <sheetData>
    <row r="1" spans="2:18" ht="26.25" x14ac:dyDescent="0.4">
      <c r="B1" s="18" t="s">
        <v>42</v>
      </c>
      <c r="C1" s="18"/>
      <c r="D1" s="18"/>
      <c r="E1" s="30"/>
      <c r="F1" s="30"/>
      <c r="G1" s="30"/>
      <c r="H1" s="30"/>
      <c r="I1" s="30"/>
      <c r="J1" s="30"/>
      <c r="K1" s="21"/>
      <c r="L1" s="21"/>
      <c r="M1" s="21"/>
      <c r="N1" s="21"/>
      <c r="O1" s="21"/>
      <c r="P1" s="21"/>
      <c r="Q1" s="21"/>
      <c r="R1" s="21"/>
    </row>
    <row r="2" spans="2:18" x14ac:dyDescent="0.2">
      <c r="B2" s="19" t="s">
        <v>44</v>
      </c>
      <c r="C2" s="19"/>
      <c r="D2" s="19"/>
      <c r="E2" s="19"/>
      <c r="F2" s="19"/>
      <c r="G2" s="19"/>
      <c r="H2" s="19"/>
      <c r="I2" s="19"/>
      <c r="J2" s="19"/>
    </row>
    <row r="3" spans="2:18" ht="12" thickBot="1" x14ac:dyDescent="0.25"/>
    <row r="4" spans="2:18" ht="12.75" thickTop="1" thickBot="1" x14ac:dyDescent="0.25">
      <c r="E4" s="31" t="s">
        <v>46</v>
      </c>
      <c r="F4" s="32"/>
      <c r="G4" s="32"/>
      <c r="H4" s="32"/>
      <c r="I4" s="32"/>
      <c r="J4" s="32"/>
      <c r="K4" s="33"/>
      <c r="L4" s="34" t="s">
        <v>47</v>
      </c>
      <c r="M4" s="35" t="s">
        <v>48</v>
      </c>
      <c r="N4" s="36"/>
      <c r="O4" s="36"/>
      <c r="P4" s="36"/>
      <c r="Q4" s="36"/>
    </row>
    <row r="5" spans="2:18" ht="12" thickTop="1" x14ac:dyDescent="0.2">
      <c r="B5" s="19" t="s">
        <v>43</v>
      </c>
      <c r="C5" s="19"/>
      <c r="D5" s="19"/>
      <c r="E5" s="45">
        <v>2017</v>
      </c>
      <c r="F5" s="45">
        <f>E5+1</f>
        <v>2018</v>
      </c>
      <c r="G5" s="45">
        <f t="shared" ref="G5:Q5" si="0">F5+1</f>
        <v>2019</v>
      </c>
      <c r="H5" s="45">
        <f t="shared" si="0"/>
        <v>2020</v>
      </c>
      <c r="I5" s="45">
        <f t="shared" si="0"/>
        <v>2021</v>
      </c>
      <c r="J5" s="45">
        <f t="shared" si="0"/>
        <v>2022</v>
      </c>
      <c r="K5" s="45">
        <f t="shared" si="0"/>
        <v>2023</v>
      </c>
      <c r="L5" s="46">
        <f t="shared" si="0"/>
        <v>2024</v>
      </c>
      <c r="M5" s="46">
        <f t="shared" si="0"/>
        <v>2025</v>
      </c>
      <c r="N5" s="46">
        <f t="shared" si="0"/>
        <v>2026</v>
      </c>
      <c r="O5" s="46">
        <f t="shared" si="0"/>
        <v>2027</v>
      </c>
      <c r="P5" s="46">
        <f t="shared" si="0"/>
        <v>2028</v>
      </c>
      <c r="Q5" s="46">
        <f t="shared" si="0"/>
        <v>2029</v>
      </c>
      <c r="R5" s="47" t="s">
        <v>10</v>
      </c>
    </row>
    <row r="6" spans="2:18" x14ac:dyDescent="0.2">
      <c r="K6" s="27"/>
      <c r="L6" s="27"/>
      <c r="M6" s="27"/>
      <c r="N6" s="27"/>
      <c r="O6" s="27"/>
      <c r="P6" s="27"/>
      <c r="Q6" s="27"/>
      <c r="R6" s="27"/>
    </row>
    <row r="7" spans="2:18" x14ac:dyDescent="0.2">
      <c r="B7" s="20" t="s">
        <v>45</v>
      </c>
      <c r="E7" s="29">
        <v>26024</v>
      </c>
      <c r="F7" s="29">
        <v>26938</v>
      </c>
      <c r="G7" s="29">
        <v>29874</v>
      </c>
      <c r="H7" s="29">
        <v>27992</v>
      </c>
      <c r="I7" s="29">
        <v>32288</v>
      </c>
      <c r="J7" s="29">
        <v>38034</v>
      </c>
      <c r="K7" s="29">
        <v>41795</v>
      </c>
      <c r="L7" s="29">
        <v>44174</v>
      </c>
      <c r="M7" s="22">
        <f>L7*(1+M8)</f>
        <v>46382.700000000004</v>
      </c>
      <c r="N7" s="22">
        <f t="shared" ref="N7:Q7" si="1">M7*(1+N8)</f>
        <v>48469.921500000004</v>
      </c>
      <c r="O7" s="22">
        <f t="shared" si="1"/>
        <v>50408.718360000006</v>
      </c>
      <c r="P7" s="22">
        <f t="shared" si="1"/>
        <v>52173.023502600001</v>
      </c>
      <c r="Q7" s="22">
        <f t="shared" si="1"/>
        <v>53738.214207678</v>
      </c>
      <c r="R7" s="62">
        <f>Q7</f>
        <v>53738.214207678</v>
      </c>
    </row>
    <row r="8" spans="2:18" s="38" customFormat="1" x14ac:dyDescent="0.2">
      <c r="B8" s="37" t="s">
        <v>49</v>
      </c>
      <c r="C8" s="37"/>
      <c r="D8" s="37"/>
      <c r="E8" s="48" t="s">
        <v>54</v>
      </c>
      <c r="F8" s="40">
        <f>F7/E7-1</f>
        <v>3.5121426375653186E-2</v>
      </c>
      <c r="G8" s="40">
        <f t="shared" ref="G8:L8" si="2">G7/F7-1</f>
        <v>0.10899101640804809</v>
      </c>
      <c r="H8" s="40">
        <f t="shared" si="2"/>
        <v>-6.29979246167236E-2</v>
      </c>
      <c r="I8" s="40">
        <f t="shared" si="2"/>
        <v>0.15347242069162625</v>
      </c>
      <c r="J8" s="40">
        <f t="shared" si="2"/>
        <v>0.17796085232903858</v>
      </c>
      <c r="K8" s="40">
        <f t="shared" si="2"/>
        <v>9.888520797181477E-2</v>
      </c>
      <c r="L8" s="40">
        <f t="shared" si="2"/>
        <v>5.6920684292379509E-2</v>
      </c>
      <c r="M8" s="43">
        <v>0.05</v>
      </c>
      <c r="N8" s="43">
        <v>4.4999999999999998E-2</v>
      </c>
      <c r="O8" s="43">
        <v>0.04</v>
      </c>
      <c r="P8" s="43">
        <v>3.5000000000000003E-2</v>
      </c>
      <c r="Q8" s="43">
        <v>0.03</v>
      </c>
      <c r="R8" s="40">
        <f>R7/Q7-1</f>
        <v>0</v>
      </c>
    </row>
    <row r="9" spans="2:18" x14ac:dyDescent="0.2">
      <c r="B9" s="20" t="s">
        <v>50</v>
      </c>
      <c r="E9" s="29">
        <v>5895</v>
      </c>
      <c r="F9" s="29">
        <v>6031</v>
      </c>
      <c r="G9" s="29">
        <v>7506</v>
      </c>
      <c r="H9" s="29">
        <v>7237</v>
      </c>
      <c r="I9" s="29">
        <v>7941</v>
      </c>
      <c r="J9" s="29">
        <v>9358</v>
      </c>
      <c r="K9" s="29">
        <v>10419</v>
      </c>
      <c r="L9" s="29">
        <v>11004</v>
      </c>
      <c r="M9" s="22">
        <f>M10*M7</f>
        <v>11786.113500000001</v>
      </c>
      <c r="N9" s="22">
        <f t="shared" ref="N9:R9" si="3">N10*N7</f>
        <v>12558.838215000002</v>
      </c>
      <c r="O9" s="22">
        <f t="shared" si="3"/>
        <v>13313.235335400002</v>
      </c>
      <c r="P9" s="22">
        <f t="shared" si="3"/>
        <v>14040.063689652001</v>
      </c>
      <c r="Q9" s="22">
        <f t="shared" si="3"/>
        <v>14729.95667137995</v>
      </c>
      <c r="R9" s="22">
        <f t="shared" si="3"/>
        <v>14729.95667137995</v>
      </c>
    </row>
    <row r="10" spans="2:18" s="38" customFormat="1" x14ac:dyDescent="0.2">
      <c r="B10" s="37" t="s">
        <v>51</v>
      </c>
      <c r="C10" s="37"/>
      <c r="D10" s="37"/>
      <c r="E10" s="39">
        <f>E9/E7</f>
        <v>0.22652167230249001</v>
      </c>
      <c r="F10" s="39">
        <f t="shared" ref="F10:L10" si="4">F9/F7</f>
        <v>0.22388447546217238</v>
      </c>
      <c r="G10" s="39">
        <f t="shared" si="4"/>
        <v>0.25125527214300059</v>
      </c>
      <c r="H10" s="39">
        <f t="shared" si="4"/>
        <v>0.25853815375821665</v>
      </c>
      <c r="I10" s="39">
        <f t="shared" si="4"/>
        <v>0.24594276511397423</v>
      </c>
      <c r="J10" s="39">
        <f t="shared" si="4"/>
        <v>0.24604301414523846</v>
      </c>
      <c r="K10" s="39">
        <f t="shared" si="4"/>
        <v>0.24928819236750807</v>
      </c>
      <c r="L10" s="39">
        <f t="shared" si="4"/>
        <v>0.24910580884683298</v>
      </c>
      <c r="M10" s="43">
        <f>L10+0.5%</f>
        <v>0.25410580884683298</v>
      </c>
      <c r="N10" s="43">
        <f t="shared" ref="N10:Q10" si="5">M10+0.5%</f>
        <v>0.25910580884683299</v>
      </c>
      <c r="O10" s="43">
        <f t="shared" si="5"/>
        <v>0.26410580884683299</v>
      </c>
      <c r="P10" s="43">
        <f t="shared" si="5"/>
        <v>0.26910580884683299</v>
      </c>
      <c r="Q10" s="43">
        <f t="shared" si="5"/>
        <v>0.274105808846833</v>
      </c>
      <c r="R10" s="42">
        <f>Q10</f>
        <v>0.274105808846833</v>
      </c>
    </row>
    <row r="11" spans="2:18" x14ac:dyDescent="0.2">
      <c r="B11" s="20" t="s">
        <v>13</v>
      </c>
      <c r="E11" s="44">
        <v>-1219</v>
      </c>
      <c r="F11" s="44">
        <v>-1109</v>
      </c>
      <c r="G11" s="44">
        <v>-1958</v>
      </c>
      <c r="H11" s="44">
        <v>-2028</v>
      </c>
      <c r="I11" s="44">
        <v>-1781</v>
      </c>
      <c r="J11" s="44">
        <v>-1921</v>
      </c>
      <c r="K11" s="44">
        <v>-2052</v>
      </c>
      <c r="L11" s="44">
        <v>-2127</v>
      </c>
      <c r="M11" s="22">
        <f>M12*M18</f>
        <v>-1866.9036750000002</v>
      </c>
      <c r="N11" s="22">
        <f>N12*N18</f>
        <v>-1866.0919777500005</v>
      </c>
      <c r="O11" s="22">
        <f>O12*O18</f>
        <v>-1852.5203997300005</v>
      </c>
      <c r="P11" s="22">
        <f>P12*P18</f>
        <v>-1826.0558225910002</v>
      </c>
      <c r="Q11" s="22">
        <f>Q12*Q18</f>
        <v>-1880.8374972687302</v>
      </c>
      <c r="R11" s="22">
        <f>R12*R18</f>
        <v>-1880.8374972687302</v>
      </c>
    </row>
    <row r="12" spans="2:18" s="38" customFormat="1" x14ac:dyDescent="0.2">
      <c r="B12" s="37" t="s">
        <v>52</v>
      </c>
      <c r="C12" s="37"/>
      <c r="D12" s="37"/>
      <c r="E12" s="41">
        <f>E11/E18</f>
        <v>0.96439873417721522</v>
      </c>
      <c r="F12" s="41">
        <f>F11/F18</f>
        <v>0.78319209039548021</v>
      </c>
      <c r="G12" s="41">
        <f>G11/G18</f>
        <v>1.5905767668562145</v>
      </c>
      <c r="H12" s="41">
        <f>H11/H18</f>
        <v>2.0864197530864197</v>
      </c>
      <c r="I12" s="41">
        <f>I11/I18</f>
        <v>1.6567441860465115</v>
      </c>
      <c r="J12" s="41">
        <f>J11/J18</f>
        <v>1.443275732531931</v>
      </c>
      <c r="K12" s="41">
        <f>K11/K18</f>
        <v>1.4025974025974026</v>
      </c>
      <c r="L12" s="41">
        <f>L11/L18</f>
        <v>1.2037351443123938</v>
      </c>
      <c r="M12" s="64">
        <v>1.1499999999999999</v>
      </c>
      <c r="N12" s="64">
        <v>1.1000000000000001</v>
      </c>
      <c r="O12" s="64">
        <v>1.05</v>
      </c>
      <c r="P12" s="64">
        <v>1</v>
      </c>
      <c r="Q12" s="64">
        <v>1</v>
      </c>
      <c r="R12" s="42">
        <f>Q12</f>
        <v>1</v>
      </c>
    </row>
    <row r="13" spans="2:18" s="38" customFormat="1" x14ac:dyDescent="0.2">
      <c r="B13" s="20" t="s">
        <v>11</v>
      </c>
      <c r="C13" s="20"/>
      <c r="D13" s="20"/>
      <c r="E13" s="50">
        <f>E11+E9</f>
        <v>4676</v>
      </c>
      <c r="F13" s="50">
        <f t="shared" ref="F13:R13" si="6">F11+F9</f>
        <v>4922</v>
      </c>
      <c r="G13" s="50">
        <f t="shared" si="6"/>
        <v>5548</v>
      </c>
      <c r="H13" s="50">
        <f t="shared" si="6"/>
        <v>5209</v>
      </c>
      <c r="I13" s="50">
        <f t="shared" si="6"/>
        <v>6160</v>
      </c>
      <c r="J13" s="50">
        <f t="shared" si="6"/>
        <v>7437</v>
      </c>
      <c r="K13" s="50">
        <f t="shared" si="6"/>
        <v>8367</v>
      </c>
      <c r="L13" s="50">
        <f t="shared" si="6"/>
        <v>8877</v>
      </c>
      <c r="M13" s="50">
        <f t="shared" si="6"/>
        <v>9919.2098250000017</v>
      </c>
      <c r="N13" s="50">
        <f t="shared" si="6"/>
        <v>10692.746237250001</v>
      </c>
      <c r="O13" s="50">
        <f t="shared" si="6"/>
        <v>11460.714935670003</v>
      </c>
      <c r="P13" s="50">
        <f t="shared" si="6"/>
        <v>12214.007867061</v>
      </c>
      <c r="Q13" s="50">
        <f t="shared" si="6"/>
        <v>12849.11917411122</v>
      </c>
      <c r="R13" s="50">
        <f t="shared" si="6"/>
        <v>12849.11917411122</v>
      </c>
    </row>
    <row r="14" spans="2:18" s="38" customFormat="1" x14ac:dyDescent="0.2">
      <c r="B14" s="37" t="s">
        <v>51</v>
      </c>
      <c r="C14" s="37"/>
      <c r="D14" s="37"/>
      <c r="E14" s="39">
        <f>E13/E7</f>
        <v>0.17968029511220412</v>
      </c>
      <c r="F14" s="39">
        <f t="shared" ref="F14:R14" si="7">F13/F7</f>
        <v>0.1827158660628109</v>
      </c>
      <c r="G14" s="39">
        <f t="shared" si="7"/>
        <v>0.18571332931646248</v>
      </c>
      <c r="H14" s="39">
        <f t="shared" si="7"/>
        <v>0.18608888253786796</v>
      </c>
      <c r="I14" s="39">
        <f t="shared" si="7"/>
        <v>0.19078295341922696</v>
      </c>
      <c r="J14" s="39">
        <f t="shared" si="7"/>
        <v>0.19553557343429562</v>
      </c>
      <c r="K14" s="39">
        <f t="shared" si="7"/>
        <v>0.20019141045579614</v>
      </c>
      <c r="L14" s="39">
        <f t="shared" si="7"/>
        <v>0.20095531308009237</v>
      </c>
      <c r="M14" s="39">
        <f t="shared" si="7"/>
        <v>0.213855808846833</v>
      </c>
      <c r="N14" s="39">
        <f t="shared" si="7"/>
        <v>0.22060580884683298</v>
      </c>
      <c r="O14" s="39">
        <f t="shared" si="7"/>
        <v>0.22735580884683301</v>
      </c>
      <c r="P14" s="39">
        <f t="shared" si="7"/>
        <v>0.23410580884683296</v>
      </c>
      <c r="Q14" s="39">
        <f t="shared" si="7"/>
        <v>0.23910580884683297</v>
      </c>
      <c r="R14" s="39">
        <f t="shared" si="7"/>
        <v>0.23910580884683297</v>
      </c>
    </row>
    <row r="15" spans="2:18" x14ac:dyDescent="0.2">
      <c r="B15" s="20" t="s">
        <v>12</v>
      </c>
      <c r="E15" s="44">
        <v>-1178</v>
      </c>
      <c r="F15" s="44">
        <v>-1379</v>
      </c>
      <c r="G15" s="44">
        <v>-2094</v>
      </c>
      <c r="H15" s="44">
        <v>-1919</v>
      </c>
      <c r="I15" s="44">
        <v>-1877</v>
      </c>
      <c r="J15" s="44">
        <v>-1943</v>
      </c>
      <c r="K15" s="44">
        <v>-2188</v>
      </c>
      <c r="L15" s="44">
        <v>-2340</v>
      </c>
      <c r="M15" s="50">
        <f>-M16*M13</f>
        <v>-2479.8024562500004</v>
      </c>
      <c r="N15" s="50">
        <f t="shared" ref="N15:R15" si="8">-N16*N13</f>
        <v>-2673.1865593125003</v>
      </c>
      <c r="O15" s="50">
        <f t="shared" si="8"/>
        <v>-2865.1787339175007</v>
      </c>
      <c r="P15" s="50">
        <f t="shared" si="8"/>
        <v>-3053.50196676525</v>
      </c>
      <c r="Q15" s="50">
        <f t="shared" si="8"/>
        <v>-3212.2797935278049</v>
      </c>
      <c r="R15" s="50">
        <f t="shared" si="8"/>
        <v>-3212.2797935278049</v>
      </c>
    </row>
    <row r="16" spans="2:18" s="19" customFormat="1" x14ac:dyDescent="0.2">
      <c r="B16" s="37" t="s">
        <v>55</v>
      </c>
      <c r="C16" s="37"/>
      <c r="D16" s="37"/>
      <c r="E16" s="51">
        <f>-E15/E13</f>
        <v>0.25192472198460225</v>
      </c>
      <c r="F16" s="51">
        <f t="shared" ref="F16:L16" si="9">-F15/F13</f>
        <v>0.28017066233238519</v>
      </c>
      <c r="G16" s="51">
        <f t="shared" si="9"/>
        <v>0.37743330930064889</v>
      </c>
      <c r="H16" s="51">
        <f t="shared" si="9"/>
        <v>0.36840084469187945</v>
      </c>
      <c r="I16" s="51">
        <f t="shared" si="9"/>
        <v>0.30470779220779221</v>
      </c>
      <c r="J16" s="51">
        <f t="shared" si="9"/>
        <v>0.26126126126126126</v>
      </c>
      <c r="K16" s="51">
        <f t="shared" si="9"/>
        <v>0.26150352575594599</v>
      </c>
      <c r="L16" s="51">
        <f t="shared" si="9"/>
        <v>0.26360256843528218</v>
      </c>
      <c r="M16" s="49">
        <v>0.25</v>
      </c>
      <c r="N16" s="49">
        <v>0.25</v>
      </c>
      <c r="O16" s="49">
        <v>0.25</v>
      </c>
      <c r="P16" s="49">
        <v>0.25</v>
      </c>
      <c r="Q16" s="49">
        <v>0.25</v>
      </c>
      <c r="R16" s="42">
        <f>Q16</f>
        <v>0.25</v>
      </c>
    </row>
    <row r="17" spans="2:18" x14ac:dyDescent="0.2">
      <c r="B17" s="23" t="s">
        <v>56</v>
      </c>
      <c r="C17" s="23"/>
      <c r="D17" s="23"/>
      <c r="E17" s="44">
        <v>261</v>
      </c>
      <c r="F17" s="44">
        <v>114</v>
      </c>
      <c r="G17" s="44">
        <v>461</v>
      </c>
      <c r="H17" s="44">
        <v>729</v>
      </c>
      <c r="I17" s="44">
        <v>88</v>
      </c>
      <c r="J17" s="44">
        <v>70</v>
      </c>
      <c r="K17" s="44">
        <v>70</v>
      </c>
      <c r="L17" s="44">
        <v>70</v>
      </c>
      <c r="M17" s="52">
        <f>L17</f>
        <v>70</v>
      </c>
      <c r="N17" s="52">
        <f t="shared" ref="N17:Q17" si="10">M17</f>
        <v>70</v>
      </c>
      <c r="O17" s="52">
        <f t="shared" si="10"/>
        <v>70</v>
      </c>
      <c r="P17" s="52">
        <f t="shared" si="10"/>
        <v>70</v>
      </c>
      <c r="Q17" s="52">
        <f t="shared" si="10"/>
        <v>70</v>
      </c>
      <c r="R17" s="66">
        <f>Q17</f>
        <v>70</v>
      </c>
    </row>
    <row r="18" spans="2:18" x14ac:dyDescent="0.2">
      <c r="B18" s="20" t="s">
        <v>53</v>
      </c>
      <c r="E18" s="44">
        <v>-1264</v>
      </c>
      <c r="F18" s="44">
        <v>-1416</v>
      </c>
      <c r="G18" s="44">
        <v>-1231</v>
      </c>
      <c r="H18" s="44">
        <v>-972</v>
      </c>
      <c r="I18" s="44">
        <v>-1075</v>
      </c>
      <c r="J18" s="44">
        <v>-1331</v>
      </c>
      <c r="K18" s="44">
        <v>-1463</v>
      </c>
      <c r="L18" s="44">
        <v>-1767</v>
      </c>
      <c r="M18" s="22">
        <f>-M19*M7</f>
        <v>-1623.3945000000003</v>
      </c>
      <c r="N18" s="22">
        <f>-N19*N7</f>
        <v>-1696.4472525000003</v>
      </c>
      <c r="O18" s="22">
        <f>-O19*O7</f>
        <v>-1764.3051426000004</v>
      </c>
      <c r="P18" s="22">
        <f>-P19*P7</f>
        <v>-1826.0558225910002</v>
      </c>
      <c r="Q18" s="22">
        <f>-Q19*Q7</f>
        <v>-1880.8374972687302</v>
      </c>
      <c r="R18" s="22">
        <f>-R19*R7</f>
        <v>-1880.8374972687302</v>
      </c>
    </row>
    <row r="19" spans="2:18" s="38" customFormat="1" x14ac:dyDescent="0.2">
      <c r="B19" s="37" t="s">
        <v>57</v>
      </c>
      <c r="C19" s="37"/>
      <c r="D19" s="37"/>
      <c r="E19" s="39">
        <f>-E18/E7</f>
        <v>4.8570550261297266E-2</v>
      </c>
      <c r="F19" s="39">
        <f>-F18/F7</f>
        <v>5.2565149602791593E-2</v>
      </c>
      <c r="G19" s="39">
        <f>-G18/G7</f>
        <v>4.1206400214233115E-2</v>
      </c>
      <c r="H19" s="39">
        <f>-H18/H7</f>
        <v>3.4724206916261789E-2</v>
      </c>
      <c r="I19" s="39">
        <f>-I18/I7</f>
        <v>3.3294103072348862E-2</v>
      </c>
      <c r="J19" s="39">
        <f>-J18/J7</f>
        <v>3.4995004469685016E-2</v>
      </c>
      <c r="K19" s="39">
        <f>-K18/K7</f>
        <v>3.5004187103720538E-2</v>
      </c>
      <c r="L19" s="39">
        <f>-L18/L7</f>
        <v>4.0000905510028523E-2</v>
      </c>
      <c r="M19" s="42">
        <f>3.5%</f>
        <v>3.5000000000000003E-2</v>
      </c>
      <c r="N19" s="42">
        <f t="shared" ref="N19:Q19" si="11">3.5%</f>
        <v>3.5000000000000003E-2</v>
      </c>
      <c r="O19" s="42">
        <f t="shared" si="11"/>
        <v>3.5000000000000003E-2</v>
      </c>
      <c r="P19" s="42">
        <f t="shared" si="11"/>
        <v>3.5000000000000003E-2</v>
      </c>
      <c r="Q19" s="42">
        <f t="shared" si="11"/>
        <v>3.5000000000000003E-2</v>
      </c>
      <c r="R19" s="42">
        <f t="shared" ref="R19" si="12">Q19</f>
        <v>3.5000000000000003E-2</v>
      </c>
    </row>
    <row r="20" spans="2:18" s="55" customFormat="1" x14ac:dyDescent="0.2">
      <c r="B20" s="56" t="s">
        <v>58</v>
      </c>
      <c r="C20" s="57"/>
      <c r="D20" s="57"/>
      <c r="E20" s="57"/>
      <c r="F20" s="57"/>
      <c r="G20" s="57"/>
      <c r="H20" s="57"/>
      <c r="I20" s="57"/>
      <c r="J20" s="57"/>
      <c r="K20" s="58"/>
      <c r="L20" s="58">
        <f>L18+L17+L15+L9</f>
        <v>6967</v>
      </c>
      <c r="M20" s="58">
        <f t="shared" ref="M20:R20" si="13">M18+M17+M15+M9</f>
        <v>7752.9165437500005</v>
      </c>
      <c r="N20" s="58">
        <f t="shared" si="13"/>
        <v>8259.2044031875012</v>
      </c>
      <c r="O20" s="58">
        <f t="shared" si="13"/>
        <v>8753.7514588825015</v>
      </c>
      <c r="P20" s="58">
        <f t="shared" si="13"/>
        <v>9230.5059002957496</v>
      </c>
      <c r="Q20" s="58">
        <f t="shared" si="13"/>
        <v>9706.8393805834148</v>
      </c>
      <c r="R20" s="59">
        <f t="shared" si="13"/>
        <v>9706.8393805834148</v>
      </c>
    </row>
    <row r="21" spans="2:18" x14ac:dyDescent="0.2">
      <c r="B21" s="60" t="s">
        <v>59</v>
      </c>
      <c r="C21" s="75"/>
      <c r="D21" s="75"/>
      <c r="E21" s="53"/>
      <c r="F21" s="53"/>
      <c r="G21" s="53"/>
      <c r="H21" s="53"/>
      <c r="I21" s="53"/>
      <c r="J21" s="53"/>
      <c r="K21" s="54"/>
      <c r="L21" s="54"/>
      <c r="M21" s="61">
        <f>M20/L20-1</f>
        <v>0.11280558974450994</v>
      </c>
      <c r="N21" s="61">
        <f t="shared" ref="N21:Q21" si="14">N20/M20-1</f>
        <v>6.5302890412981984E-2</v>
      </c>
      <c r="O21" s="61">
        <f t="shared" si="14"/>
        <v>5.9878292333355843E-2</v>
      </c>
      <c r="P21" s="61">
        <f t="shared" si="14"/>
        <v>5.4462871564565862E-2</v>
      </c>
      <c r="Q21" s="61">
        <f t="shared" si="14"/>
        <v>5.1604265836870722E-2</v>
      </c>
      <c r="R21" s="65"/>
    </row>
    <row r="23" spans="2:18" hidden="1" outlineLevel="1" x14ac:dyDescent="0.2"/>
    <row r="24" spans="2:18" hidden="1" outlineLevel="1" x14ac:dyDescent="0.2">
      <c r="E24" s="67"/>
      <c r="F24" s="67"/>
      <c r="G24" s="67"/>
      <c r="H24" s="67"/>
      <c r="I24" s="67"/>
      <c r="J24" s="67"/>
      <c r="K24" s="67"/>
      <c r="L24" s="46">
        <v>2024</v>
      </c>
      <c r="M24" s="46">
        <f t="shared" ref="M24:Q24" si="15">L24+1</f>
        <v>2025</v>
      </c>
      <c r="N24" s="46">
        <f t="shared" si="15"/>
        <v>2026</v>
      </c>
      <c r="O24" s="46">
        <f t="shared" si="15"/>
        <v>2027</v>
      </c>
      <c r="P24" s="46">
        <f t="shared" si="15"/>
        <v>2028</v>
      </c>
      <c r="Q24" s="46">
        <f t="shared" si="15"/>
        <v>2029</v>
      </c>
      <c r="R24" s="47" t="s">
        <v>10</v>
      </c>
    </row>
    <row r="25" spans="2:18" hidden="1" outlineLevel="1" x14ac:dyDescent="0.2">
      <c r="E25" s="67"/>
      <c r="F25" s="67"/>
      <c r="G25" s="67"/>
      <c r="H25" s="67"/>
      <c r="I25" s="67"/>
      <c r="J25" s="67"/>
      <c r="K25" s="67"/>
      <c r="L25" s="68"/>
      <c r="M25" s="68"/>
      <c r="N25" s="68"/>
      <c r="O25" s="68"/>
      <c r="P25" s="68"/>
      <c r="Q25" s="68"/>
      <c r="R25" s="69"/>
    </row>
    <row r="26" spans="2:18" hidden="1" outlineLevel="1" x14ac:dyDescent="0.2">
      <c r="B26" s="20" t="s">
        <v>60</v>
      </c>
      <c r="E26" s="71"/>
      <c r="F26" s="71"/>
      <c r="G26" s="71"/>
      <c r="H26" s="71"/>
      <c r="I26" s="71"/>
      <c r="J26" s="71"/>
      <c r="K26" s="71"/>
      <c r="L26" s="71">
        <v>0</v>
      </c>
      <c r="M26" s="70">
        <v>0.5</v>
      </c>
      <c r="N26" s="20">
        <f>M26+1</f>
        <v>1.5</v>
      </c>
      <c r="O26" s="20">
        <f t="shared" ref="O26:Q26" si="16">N26+1</f>
        <v>2.5</v>
      </c>
      <c r="P26" s="20">
        <f t="shared" si="16"/>
        <v>3.5</v>
      </c>
      <c r="Q26" s="20">
        <f t="shared" si="16"/>
        <v>4.5</v>
      </c>
      <c r="R26" s="72">
        <f>Q26</f>
        <v>4.5</v>
      </c>
    </row>
    <row r="27" spans="2:18" hidden="1" outlineLevel="1" x14ac:dyDescent="0.2">
      <c r="B27" s="20" t="s">
        <v>61</v>
      </c>
      <c r="L27" s="73">
        <v>0</v>
      </c>
      <c r="M27" s="73">
        <v>1</v>
      </c>
      <c r="N27" s="73">
        <v>1</v>
      </c>
      <c r="O27" s="73">
        <v>1</v>
      </c>
      <c r="P27" s="73">
        <v>1</v>
      </c>
      <c r="Q27" s="73">
        <v>1</v>
      </c>
      <c r="R27" s="63">
        <f>Q27</f>
        <v>1</v>
      </c>
    </row>
    <row r="28" spans="2:18" hidden="1" outlineLevel="1" x14ac:dyDescent="0.2"/>
    <row r="29" spans="2:18" hidden="1" outlineLevel="1" x14ac:dyDescent="0.2">
      <c r="B29" s="78" t="s">
        <v>15</v>
      </c>
      <c r="C29" s="74"/>
      <c r="D29" s="74"/>
      <c r="R29" s="55" t="s">
        <v>62</v>
      </c>
    </row>
    <row r="30" spans="2:18" hidden="1" outlineLevel="1" x14ac:dyDescent="0.2">
      <c r="B30" s="76">
        <f>B31-1%</f>
        <v>8.5000000000000006E-2</v>
      </c>
      <c r="L30" s="79">
        <f>L$20*L$27/(1+$B30)^L$26</f>
        <v>0</v>
      </c>
      <c r="M30" s="80">
        <f t="shared" ref="M30:Q32" si="17">M$20*M$27/(1+$B30)^M$26</f>
        <v>7443.0380630289746</v>
      </c>
      <c r="N30" s="80">
        <f t="shared" si="17"/>
        <v>7307.9170156669215</v>
      </c>
      <c r="O30" s="80">
        <f t="shared" si="17"/>
        <v>7138.7120802570789</v>
      </c>
      <c r="P30" s="80">
        <f t="shared" si="17"/>
        <v>6937.7943220465759</v>
      </c>
      <c r="Q30" s="95">
        <f t="shared" si="17"/>
        <v>6724.2526309336399</v>
      </c>
      <c r="R30" s="81">
        <f>SUM(L30:Q30)</f>
        <v>35551.714111933194</v>
      </c>
    </row>
    <row r="31" spans="2:18" hidden="1" outlineLevel="1" x14ac:dyDescent="0.2">
      <c r="B31" s="77">
        <v>9.5000000000000001E-2</v>
      </c>
      <c r="L31" s="82">
        <f t="shared" ref="L31:L32" si="18">L$20*L$27/(1+$B31)^L$26</f>
        <v>0</v>
      </c>
      <c r="M31" s="83">
        <f t="shared" si="17"/>
        <v>7408.9736368141312</v>
      </c>
      <c r="N31" s="83">
        <f t="shared" si="17"/>
        <v>7208.0374705860049</v>
      </c>
      <c r="O31" s="83">
        <f t="shared" si="17"/>
        <v>6976.8424158899888</v>
      </c>
      <c r="P31" s="83">
        <f t="shared" si="17"/>
        <v>6718.5582541669582</v>
      </c>
      <c r="Q31" s="96">
        <f t="shared" si="17"/>
        <v>6452.2963656214542</v>
      </c>
      <c r="R31" s="84">
        <f t="shared" ref="R31:R32" si="19">SUM(L31:Q31)</f>
        <v>34764.70814307854</v>
      </c>
    </row>
    <row r="32" spans="2:18" hidden="1" outlineLevel="1" x14ac:dyDescent="0.2">
      <c r="B32" s="76">
        <f>B31+1%</f>
        <v>0.105</v>
      </c>
      <c r="L32" s="85">
        <f t="shared" si="18"/>
        <v>0</v>
      </c>
      <c r="M32" s="86">
        <f t="shared" si="17"/>
        <v>7375.3726761795679</v>
      </c>
      <c r="N32" s="86">
        <f t="shared" si="17"/>
        <v>7110.412515662465</v>
      </c>
      <c r="O32" s="86">
        <f t="shared" si="17"/>
        <v>6820.0650451457495</v>
      </c>
      <c r="P32" s="86">
        <f t="shared" si="17"/>
        <v>6508.149657702721</v>
      </c>
      <c r="Q32" s="97">
        <f t="shared" si="17"/>
        <v>6193.663296601766</v>
      </c>
      <c r="R32" s="87">
        <f t="shared" si="19"/>
        <v>34007.663191292268</v>
      </c>
    </row>
    <row r="33" spans="2:18" collapsed="1" x14ac:dyDescent="0.2"/>
    <row r="34" spans="2:18" x14ac:dyDescent="0.2">
      <c r="M34" s="74" t="s">
        <v>63</v>
      </c>
      <c r="Q34" s="74" t="s">
        <v>65</v>
      </c>
    </row>
    <row r="35" spans="2:18" x14ac:dyDescent="0.2">
      <c r="M35" s="74" t="s">
        <v>64</v>
      </c>
      <c r="Q35" s="74" t="s">
        <v>64</v>
      </c>
    </row>
    <row r="36" spans="2:18" x14ac:dyDescent="0.2">
      <c r="B36" s="78" t="s">
        <v>15</v>
      </c>
      <c r="L36" s="88">
        <f>M36-0.5%</f>
        <v>2.4999999999999998E-2</v>
      </c>
      <c r="M36" s="91">
        <v>0.03</v>
      </c>
      <c r="N36" s="88">
        <f>M36+0.5%</f>
        <v>3.4999999999999996E-2</v>
      </c>
      <c r="P36" s="88">
        <f>Q36-0.5%</f>
        <v>2.4999999999999998E-2</v>
      </c>
      <c r="Q36" s="98">
        <f>M36</f>
        <v>0.03</v>
      </c>
      <c r="R36" s="88">
        <f>Q36+0.5%</f>
        <v>3.4999999999999996E-2</v>
      </c>
    </row>
    <row r="37" spans="2:18" x14ac:dyDescent="0.2">
      <c r="B37" s="76">
        <f>B38-1%</f>
        <v>8.5000000000000006E-2</v>
      </c>
      <c r="L37" s="89">
        <f>$R$20*(1+L$36)/($B37-L$36)/(1+$B37)^$R$26</f>
        <v>114872.64911178299</v>
      </c>
      <c r="M37" s="89">
        <f>$R$20*(1+M$36)/($B37-M$36)/(1+$B37)^$R$26</f>
        <v>125926.91290657542</v>
      </c>
      <c r="N37" s="89">
        <f>$R$20*(1+N$36)/($B37-N$36)/(1+$B37)^$R$26</f>
        <v>139192.0294603263</v>
      </c>
      <c r="P37" s="89">
        <f>L37+$R30</f>
        <v>150424.36322371618</v>
      </c>
      <c r="Q37" s="89">
        <f>M37+$R30</f>
        <v>161478.62701850862</v>
      </c>
      <c r="R37" s="89">
        <f>N37+$R30</f>
        <v>174743.7435722595</v>
      </c>
    </row>
    <row r="38" spans="2:18" x14ac:dyDescent="0.2">
      <c r="B38" s="94">
        <f>B31</f>
        <v>9.5000000000000001E-2</v>
      </c>
      <c r="L38" s="89">
        <f>$R$20*(1+L$36)/($B38-L$36)/(1+$B38)^$R$26</f>
        <v>94480.053925171276</v>
      </c>
      <c r="M38" s="90">
        <f>$R$20*(1+M$36)/($B38-M$36)/(1+$B38)^$R$26</f>
        <v>102244.08087061689</v>
      </c>
      <c r="N38" s="89">
        <f>$R$20*(1+N$36)/($B38-N$36)/(1+$B38)^$R$26</f>
        <v>111302.11230697007</v>
      </c>
      <c r="P38" s="89">
        <f>L38+$R31</f>
        <v>129244.76206824981</v>
      </c>
      <c r="Q38" s="90">
        <f>M38+$R31</f>
        <v>137008.78901369544</v>
      </c>
      <c r="R38" s="89">
        <f>N38+$R31</f>
        <v>146066.8204500486</v>
      </c>
    </row>
    <row r="39" spans="2:18" x14ac:dyDescent="0.2">
      <c r="B39" s="76">
        <f>B38+1%</f>
        <v>0.105</v>
      </c>
      <c r="L39" s="89">
        <f>$R$20*(1+L$36)/($B39-L$36)/(1+$B39)^$R$26</f>
        <v>79356.310987710123</v>
      </c>
      <c r="M39" s="89">
        <f>$R$20*(1+M$36)/($B39-M$36)/(1+$B39)^$R$26</f>
        <v>85059.64260666426</v>
      </c>
      <c r="N39" s="89">
        <f>$R$20*(1+N$36)/($B39-N$36)/(1+$B39)^$R$26</f>
        <v>91577.735885468952</v>
      </c>
      <c r="P39" s="89">
        <f>L39+$R32</f>
        <v>113363.9741790024</v>
      </c>
      <c r="Q39" s="89">
        <f>M39+$R32</f>
        <v>119067.30579795653</v>
      </c>
      <c r="R39" s="89">
        <f>N39+$R32</f>
        <v>125585.39907676121</v>
      </c>
    </row>
    <row r="41" spans="2:18" x14ac:dyDescent="0.2">
      <c r="M41" s="74" t="s">
        <v>66</v>
      </c>
      <c r="Q41" s="74" t="s">
        <v>67</v>
      </c>
    </row>
    <row r="42" spans="2:18" x14ac:dyDescent="0.2">
      <c r="M42" s="74" t="s">
        <v>64</v>
      </c>
      <c r="Q42" s="74" t="s">
        <v>64</v>
      </c>
    </row>
    <row r="43" spans="2:18" x14ac:dyDescent="0.2">
      <c r="B43" s="78" t="s">
        <v>15</v>
      </c>
      <c r="L43" s="88">
        <f>M43-0.5%</f>
        <v>2.4999999999999998E-2</v>
      </c>
      <c r="M43" s="98">
        <f>M36</f>
        <v>0.03</v>
      </c>
      <c r="N43" s="88">
        <f>M43+0.5%</f>
        <v>3.4999999999999996E-2</v>
      </c>
      <c r="P43" s="88">
        <f>Q43-0.5%</f>
        <v>2.4999999999999998E-2</v>
      </c>
      <c r="Q43" s="98">
        <f>M43</f>
        <v>0.03</v>
      </c>
      <c r="R43" s="88">
        <f>Q43+0.5%</f>
        <v>3.4999999999999996E-2</v>
      </c>
    </row>
    <row r="44" spans="2:18" x14ac:dyDescent="0.2">
      <c r="B44" s="76">
        <f>B45-1%</f>
        <v>8.5000000000000006E-2</v>
      </c>
      <c r="L44" s="92">
        <f>L37/$R$9</f>
        <v>7.7985734564296818</v>
      </c>
      <c r="M44" s="92">
        <f t="shared" ref="M44:N44" si="20">M37/$R$9</f>
        <v>8.5490348489109422</v>
      </c>
      <c r="N44" s="92">
        <f t="shared" si="20"/>
        <v>9.4495885198884526</v>
      </c>
      <c r="P44" s="92">
        <f>P37/$M$9</f>
        <v>12.762846991395099</v>
      </c>
      <c r="Q44" s="92">
        <f t="shared" ref="Q44:R44" si="21">Q37/$M$9</f>
        <v>13.700752756072525</v>
      </c>
      <c r="R44" s="92">
        <f t="shared" si="21"/>
        <v>14.826239673685434</v>
      </c>
    </row>
    <row r="45" spans="2:18" x14ac:dyDescent="0.2">
      <c r="B45" s="94">
        <f>B38</f>
        <v>9.5000000000000001E-2</v>
      </c>
      <c r="L45" s="92">
        <f t="shared" ref="L45:N45" si="22">L38/$R$9</f>
        <v>6.4141433700714394</v>
      </c>
      <c r="M45" s="93">
        <f t="shared" si="22"/>
        <v>6.9412343261861293</v>
      </c>
      <c r="N45" s="92">
        <f t="shared" si="22"/>
        <v>7.5561737749865987</v>
      </c>
      <c r="P45" s="92">
        <f t="shared" ref="P45:R45" si="23">P38/$M$9</f>
        <v>10.965850792820703</v>
      </c>
      <c r="Q45" s="93">
        <f t="shared" si="23"/>
        <v>11.624594402021957</v>
      </c>
      <c r="R45" s="92">
        <f t="shared" si="23"/>
        <v>12.393128612756749</v>
      </c>
    </row>
    <row r="46" spans="2:18" x14ac:dyDescent="0.2">
      <c r="B46" s="76">
        <f>B45+1%</f>
        <v>0.105</v>
      </c>
      <c r="L46" s="92">
        <f t="shared" ref="L46:N46" si="24">L39/$R$9</f>
        <v>5.3874096684817854</v>
      </c>
      <c r="M46" s="92">
        <f t="shared" si="24"/>
        <v>5.774602363354786</v>
      </c>
      <c r="N46" s="92">
        <f t="shared" si="24"/>
        <v>6.217108300352499</v>
      </c>
      <c r="P46" s="92">
        <f t="shared" ref="P46:R46" si="25">P39/$M$9</f>
        <v>9.6184356428437905</v>
      </c>
      <c r="Q46" s="92">
        <f t="shared" si="25"/>
        <v>10.102338298197834</v>
      </c>
      <c r="R46" s="92">
        <f t="shared" si="25"/>
        <v>10.655369904316737</v>
      </c>
    </row>
    <row r="47" spans="2:18" x14ac:dyDescent="0.2">
      <c r="B47" s="76"/>
      <c r="L47" s="89"/>
      <c r="M47" s="89"/>
      <c r="N47" s="89"/>
      <c r="P47" s="89"/>
      <c r="Q47" s="89"/>
      <c r="R47" s="89"/>
    </row>
    <row r="48" spans="2:18" x14ac:dyDescent="0.2">
      <c r="B48" s="20" t="s">
        <v>14</v>
      </c>
      <c r="K48" s="99">
        <f>M36</f>
        <v>0.03</v>
      </c>
    </row>
    <row r="49" spans="2:11" x14ac:dyDescent="0.2">
      <c r="B49" s="20" t="s">
        <v>15</v>
      </c>
      <c r="K49" s="99">
        <f>B31</f>
        <v>9.5000000000000001E-2</v>
      </c>
    </row>
    <row r="51" spans="2:11" x14ac:dyDescent="0.2">
      <c r="B51" s="20" t="s">
        <v>16</v>
      </c>
      <c r="K51" s="24">
        <f>Q38</f>
        <v>137008.78901369544</v>
      </c>
    </row>
    <row r="52" spans="2:11" x14ac:dyDescent="0.2">
      <c r="B52" s="20" t="s">
        <v>17</v>
      </c>
      <c r="K52" s="44">
        <f>-(7290-2730)</f>
        <v>-4560</v>
      </c>
    </row>
    <row r="53" spans="2:11" x14ac:dyDescent="0.2">
      <c r="B53" s="20" t="s">
        <v>18</v>
      </c>
      <c r="K53" s="24">
        <f>K51+K52</f>
        <v>132448.78901369544</v>
      </c>
    </row>
    <row r="54" spans="2:11" x14ac:dyDescent="0.2">
      <c r="B54" s="20" t="s">
        <v>19</v>
      </c>
      <c r="K54" s="100">
        <v>534.54999999999995</v>
      </c>
    </row>
    <row r="55" spans="2:11" x14ac:dyDescent="0.2">
      <c r="B55" s="25" t="s">
        <v>20</v>
      </c>
      <c r="C55" s="28"/>
      <c r="D55" s="28"/>
      <c r="E55" s="28"/>
      <c r="F55" s="28"/>
      <c r="G55" s="28"/>
      <c r="H55" s="28"/>
      <c r="I55" s="28"/>
      <c r="J55" s="28"/>
      <c r="K55" s="26">
        <f>K53/K54</f>
        <v>247.77623985351315</v>
      </c>
    </row>
  </sheetData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30"/>
  <sheetViews>
    <sheetView showGridLines="0" zoomScale="94" workbookViewId="0">
      <selection activeCell="A2" sqref="A2"/>
    </sheetView>
  </sheetViews>
  <sheetFormatPr defaultColWidth="8.85546875" defaultRowHeight="12.75" x14ac:dyDescent="0.2"/>
  <cols>
    <col min="1" max="1" width="1.7109375" customWidth="1"/>
    <col min="5" max="5" width="16" bestFit="1" customWidth="1"/>
  </cols>
  <sheetData>
    <row r="2" spans="2:6" x14ac:dyDescent="0.2">
      <c r="E2" s="108" t="s">
        <v>68</v>
      </c>
    </row>
    <row r="3" spans="2:6" x14ac:dyDescent="0.2">
      <c r="B3" s="102" t="s">
        <v>21</v>
      </c>
      <c r="C3" s="12"/>
      <c r="D3" s="12"/>
      <c r="E3" s="101">
        <v>11.26</v>
      </c>
      <c r="F3" s="109"/>
    </row>
    <row r="4" spans="2:6" x14ac:dyDescent="0.2">
      <c r="B4" s="102" t="s">
        <v>22</v>
      </c>
      <c r="C4" s="12"/>
      <c r="D4" s="12"/>
      <c r="E4" s="101">
        <v>13.88</v>
      </c>
      <c r="F4" s="109"/>
    </row>
    <row r="5" spans="2:6" x14ac:dyDescent="0.2">
      <c r="B5" s="102" t="s">
        <v>23</v>
      </c>
      <c r="C5" s="12"/>
      <c r="D5" s="12"/>
      <c r="E5" s="101">
        <v>19.18</v>
      </c>
      <c r="F5" s="109"/>
    </row>
    <row r="6" spans="2:6" x14ac:dyDescent="0.2">
      <c r="B6" s="102" t="s">
        <v>24</v>
      </c>
      <c r="C6" s="12"/>
      <c r="D6" s="12"/>
      <c r="E6" s="101">
        <v>18.84</v>
      </c>
      <c r="F6" s="109"/>
    </row>
    <row r="7" spans="2:6" x14ac:dyDescent="0.2">
      <c r="B7" s="102" t="s">
        <v>25</v>
      </c>
      <c r="C7" s="12"/>
      <c r="D7" s="12"/>
      <c r="E7" s="101">
        <v>14.82</v>
      </c>
      <c r="F7" s="109"/>
    </row>
    <row r="8" spans="2:6" x14ac:dyDescent="0.2">
      <c r="B8" s="102" t="s">
        <v>26</v>
      </c>
      <c r="C8" s="12"/>
      <c r="D8" s="12"/>
      <c r="E8" s="101">
        <v>21.77</v>
      </c>
      <c r="F8" s="109"/>
    </row>
    <row r="9" spans="2:6" x14ac:dyDescent="0.2">
      <c r="B9" s="102" t="s">
        <v>27</v>
      </c>
      <c r="C9" s="12"/>
      <c r="D9" s="12"/>
      <c r="E9" s="101">
        <v>15.21</v>
      </c>
      <c r="F9" s="109"/>
    </row>
    <row r="10" spans="2:6" x14ac:dyDescent="0.2">
      <c r="B10" s="102" t="s">
        <v>28</v>
      </c>
      <c r="C10" s="12"/>
      <c r="D10" s="12"/>
      <c r="E10" s="101">
        <v>16.02</v>
      </c>
      <c r="F10" s="109"/>
    </row>
    <row r="11" spans="2:6" x14ac:dyDescent="0.2">
      <c r="B11" s="102" t="s">
        <v>29</v>
      </c>
      <c r="C11" s="12"/>
      <c r="D11" s="12"/>
      <c r="E11" s="101">
        <v>10.99</v>
      </c>
      <c r="F11" s="109"/>
    </row>
    <row r="12" spans="2:6" x14ac:dyDescent="0.2">
      <c r="B12" s="102" t="s">
        <v>30</v>
      </c>
      <c r="C12" s="12"/>
      <c r="D12" s="12"/>
      <c r="E12" s="101">
        <v>15.06</v>
      </c>
      <c r="F12" s="109"/>
    </row>
    <row r="13" spans="2:6" x14ac:dyDescent="0.2">
      <c r="B13" s="103" t="s">
        <v>31</v>
      </c>
      <c r="C13" s="104"/>
      <c r="D13" s="104"/>
      <c r="E13" s="105">
        <f>AVERAGE(E3:E12)</f>
        <v>15.702999999999999</v>
      </c>
      <c r="F13" s="109"/>
    </row>
    <row r="15" spans="2:6" x14ac:dyDescent="0.2">
      <c r="B15" s="13" t="s">
        <v>32</v>
      </c>
      <c r="C15" s="10"/>
      <c r="D15" s="10"/>
      <c r="E15" s="106">
        <f>E13*0.9</f>
        <v>14.1327</v>
      </c>
    </row>
    <row r="16" spans="2:6" x14ac:dyDescent="0.2">
      <c r="B16" s="14" t="s">
        <v>33</v>
      </c>
      <c r="C16" s="11"/>
      <c r="D16" s="11"/>
      <c r="E16" s="107">
        <f>E13*1.1</f>
        <v>17.273299999999999</v>
      </c>
    </row>
    <row r="18" spans="2:5" x14ac:dyDescent="0.2">
      <c r="B18" t="s">
        <v>69</v>
      </c>
      <c r="E18" s="110">
        <f>DCF!L9</f>
        <v>11004</v>
      </c>
    </row>
    <row r="19" spans="2:5" x14ac:dyDescent="0.2">
      <c r="B19" s="13" t="s">
        <v>34</v>
      </c>
      <c r="C19" s="10"/>
      <c r="D19" s="10"/>
      <c r="E19" s="15">
        <f>E18*E15</f>
        <v>155516.23079999999</v>
      </c>
    </row>
    <row r="20" spans="2:5" x14ac:dyDescent="0.2">
      <c r="B20" s="14" t="s">
        <v>35</v>
      </c>
      <c r="C20" s="11"/>
      <c r="D20" s="11"/>
      <c r="E20" s="16">
        <f>E18*E16</f>
        <v>190075.39319999999</v>
      </c>
    </row>
    <row r="22" spans="2:5" x14ac:dyDescent="0.2">
      <c r="B22" t="s">
        <v>36</v>
      </c>
      <c r="E22" s="12">
        <f>DCF!K52</f>
        <v>-4560</v>
      </c>
    </row>
    <row r="24" spans="2:5" x14ac:dyDescent="0.2">
      <c r="B24" s="13" t="s">
        <v>37</v>
      </c>
      <c r="C24" s="10"/>
      <c r="D24" s="10"/>
      <c r="E24" s="15">
        <f>E22+E19</f>
        <v>150956.23079999999</v>
      </c>
    </row>
    <row r="25" spans="2:5" x14ac:dyDescent="0.2">
      <c r="B25" s="14" t="s">
        <v>38</v>
      </c>
      <c r="C25" s="11"/>
      <c r="D25" s="11"/>
      <c r="E25" s="16">
        <f>E22+E20</f>
        <v>185515.39319999999</v>
      </c>
    </row>
    <row r="27" spans="2:5" x14ac:dyDescent="0.2">
      <c r="B27" t="s">
        <v>39</v>
      </c>
      <c r="E27" s="12">
        <f>DCF!K54</f>
        <v>534.54999999999995</v>
      </c>
    </row>
    <row r="29" spans="2:5" x14ac:dyDescent="0.2">
      <c r="B29" s="13" t="s">
        <v>40</v>
      </c>
      <c r="C29" s="10"/>
      <c r="D29" s="10"/>
      <c r="E29" s="15">
        <f>E24/E27</f>
        <v>282.39871069123564</v>
      </c>
    </row>
    <row r="30" spans="2:5" x14ac:dyDescent="0.2">
      <c r="B30" s="14" t="s">
        <v>41</v>
      </c>
      <c r="C30" s="11"/>
      <c r="D30" s="11"/>
      <c r="E30" s="16">
        <f>E25/E27</f>
        <v>347.04965522402023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Football</vt:lpstr>
      <vt:lpstr>DCF</vt:lpstr>
      <vt:lpstr>Comps</vt:lpstr>
      <vt:lpstr>DCF!Print_Area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Wall Street Prep</dc:creator>
  <cp:keywords/>
  <dc:description/>
  <cp:lastModifiedBy>Wassim Lakehal</cp:lastModifiedBy>
  <cp:revision/>
  <dcterms:created xsi:type="dcterms:W3CDTF">2017-11-10T21:02:47Z</dcterms:created>
  <dcterms:modified xsi:type="dcterms:W3CDTF">2024-09-17T00:51:08Z</dcterms:modified>
  <cp:category/>
  <cp:contentStatus/>
</cp:coreProperties>
</file>