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EBE03117-6452-9047-956E-BFBF7D834F05}" xr6:coauthVersionLast="47" xr6:coauthVersionMax="47" xr10:uidLastSave="{00000000-0000-0000-0000-000000000000}"/>
  <bookViews>
    <workbookView xWindow="2700" yWindow="1000" windowWidth="28800" windowHeight="16840" xr2:uid="{00000000-000D-0000-FFFF-FFFF00000000}"/>
  </bookViews>
  <sheets>
    <sheet name="Football" sheetId="1" r:id="rId1"/>
    <sheet name="Feuil1" sheetId="4" r:id="rId2"/>
    <sheet name="Feuil3" sheetId="6" r:id="rId3"/>
    <sheet name="DCF" sheetId="2" r:id="rId4"/>
    <sheet name="Comps" sheetId="3" r:id="rId5"/>
    <sheet name="Feuil2" sheetId="5" r:id="rId6"/>
  </sheets>
  <definedNames>
    <definedName name="_fcf1">#REF!</definedName>
    <definedName name="_fcf2">#REF!</definedName>
    <definedName name="_fcf3">#REF!</definedName>
    <definedName name="_fcf4">#REF!</definedName>
    <definedName name="_fcf5">#REF!</definedName>
    <definedName name="_xlchart.v1.0" hidden="1">Football!$A$49</definedName>
    <definedName name="_xlchart.v1.1" hidden="1">Football!$A$50</definedName>
    <definedName name="_xlchart.v1.10" hidden="1">Football!$B$48:$D$48</definedName>
    <definedName name="_xlchart.v1.11" hidden="1">Football!$B$49:$D$49</definedName>
    <definedName name="_xlchart.v1.12" hidden="1">Football!$B$50:$D$50</definedName>
    <definedName name="_xlchart.v1.13" hidden="1">Football!$B$51:$D$51</definedName>
    <definedName name="_xlchart.v1.14" hidden="1">Football!$A$49:$A$52</definedName>
    <definedName name="_xlchart.v1.15" hidden="1">Football!$B$49:$B$52</definedName>
    <definedName name="_xlchart.v1.16" hidden="1">Football!$C$49:$C$52</definedName>
    <definedName name="_xlchart.v1.2" hidden="1">Football!$A$51</definedName>
    <definedName name="_xlchart.v1.3" hidden="1">Football!$B$48:$D$48</definedName>
    <definedName name="_xlchart.v1.4" hidden="1">Football!$B$49:$D$49</definedName>
    <definedName name="_xlchart.v1.5" hidden="1">Football!$B$50:$D$50</definedName>
    <definedName name="_xlchart.v1.6" hidden="1">Football!$B$51:$D$51</definedName>
    <definedName name="_xlchart.v1.7" hidden="1">Football!$A$49</definedName>
    <definedName name="_xlchart.v1.8" hidden="1">Football!$A$50</definedName>
    <definedName name="_xlchart.v1.9" hidden="1">Football!$A$51</definedName>
    <definedName name="_xlchart.v2.17" hidden="1">Football!$A$49</definedName>
    <definedName name="_xlchart.v2.18" hidden="1">Football!$A$50</definedName>
    <definedName name="_xlchart.v2.19" hidden="1">Football!$A$51</definedName>
    <definedName name="_xlchart.v2.20" hidden="1">Football!$B$48:$D$48</definedName>
    <definedName name="_xlchart.v2.21" hidden="1">Football!$B$49:$D$49</definedName>
    <definedName name="_xlchart.v2.22" hidden="1">Football!$B$50:$D$50</definedName>
    <definedName name="_xlchart.v2.23" hidden="1">Football!$B$51:$D$51</definedName>
    <definedName name="_xlchart.v2.24" hidden="1">Football!$A$49:$A$51</definedName>
    <definedName name="_xlchart.v2.25" hidden="1">Football!$B$48</definedName>
    <definedName name="_xlchart.v2.26" hidden="1">Football!$B$49:$B$51</definedName>
    <definedName name="_xlchart.v2.27" hidden="1">Football!$C$48</definedName>
    <definedName name="_xlchart.v2.28" hidden="1">Football!$C$49:$C$51</definedName>
    <definedName name="_xlchart.v2.29" hidden="1">Football!$D$48</definedName>
    <definedName name="_xlchart.v2.30" hidden="1">Football!$D$49:$D$51</definedName>
    <definedName name="AcqTaxRate1">#REF!</definedName>
    <definedName name="AdvisoryFees1">#REF!</definedName>
    <definedName name="affiliates">#REF!</definedName>
    <definedName name="amort_revolver">#REF!</definedName>
    <definedName name="amort_senior">#REF!</definedName>
    <definedName name="amort_sub">#REF!</definedName>
    <definedName name="amort_year_1">#REF!</definedName>
    <definedName name="ARselect">#REF!</definedName>
    <definedName name="beat_unlev">#REF!</definedName>
    <definedName name="beta_levered">#REF!</definedName>
    <definedName name="beta_observed">#REF!</definedName>
    <definedName name="beta_observed_unlevered">#REF!</definedName>
    <definedName name="beta_unlev_comps">#REF!</definedName>
    <definedName name="Capexdepmethod">#REF!</definedName>
    <definedName name="Capexlife">#REF!</definedName>
    <definedName name="capgainstax">#REF!</definedName>
    <definedName name="carryback">#REF!</definedName>
    <definedName name="caseinput">#REF!</definedName>
    <definedName name="circref">#REF!</definedName>
    <definedName name="cost_debt">#REF!</definedName>
    <definedName name="cost_equity">#REF!</definedName>
    <definedName name="costdebtfirm">#REF!</definedName>
    <definedName name="costequity">#REF!</definedName>
    <definedName name="Date">#REF!</definedName>
    <definedName name="DCFPeriods">#REF!</definedName>
    <definedName name="DealPP1">#REF!</definedName>
    <definedName name="Debt">#REF!</definedName>
    <definedName name="debt_revolver">#REF!</definedName>
    <definedName name="debt_senior">#REF!</definedName>
    <definedName name="debt_sub">#REF!</definedName>
    <definedName name="debt_weight">#REF!</definedName>
    <definedName name="DebtRefinanced1">#REF!</definedName>
    <definedName name="Depmethod">#REF!</definedName>
    <definedName name="DisplayChoice">#REF!</definedName>
    <definedName name="dividends">#REF!</definedName>
    <definedName name="Exit">#REF!</definedName>
    <definedName name="exitequity">#REF!</definedName>
    <definedName name="fees_revolver">#REF!</definedName>
    <definedName name="fees_senior">#REF!</definedName>
    <definedName name="fees_sub">#REF!</definedName>
    <definedName name="gainloss">#REF!</definedName>
    <definedName name="GWAmort">#REF!</definedName>
    <definedName name="GWDeduct">#REF!</definedName>
    <definedName name="GWDeductible1">#REF!</definedName>
    <definedName name="incremental_borrow_cost">#REF!</definedName>
    <definedName name="interest_revolver">#REF!</definedName>
    <definedName name="interest_senior">#REF!</definedName>
    <definedName name="interest_sub">#REF!</definedName>
    <definedName name="LastQ">#REF!</definedName>
    <definedName name="LBO">#REF!</definedName>
    <definedName name="lbocircref">#REF!</definedName>
    <definedName name="lbotax">#REF!</definedName>
    <definedName name="leverage">#REF!</definedName>
    <definedName name="LFY">#REF!</definedName>
    <definedName name="ltm">#REF!</definedName>
    <definedName name="Market_Equity">#REF!</definedName>
    <definedName name="Midyear">#REF!</definedName>
    <definedName name="minority">#REF!</definedName>
    <definedName name="Net_Debt">#REF!</definedName>
    <definedName name="NOLreport">#REF!</definedName>
    <definedName name="otherincome">#REF!</definedName>
    <definedName name="Period">#REF!</definedName>
    <definedName name="Plus1AcqTaxRate1">#REF!</definedName>
    <definedName name="Plus2AcqTaxRate1">#REF!</definedName>
    <definedName name="PPElife">#REF!</definedName>
    <definedName name="QDate">#REF!</definedName>
    <definedName name="range">#REF!</definedName>
    <definedName name="relevered_beta">#REF!</definedName>
    <definedName name="risk_free_rate">#REF!</definedName>
    <definedName name="risk_premium">#REF!</definedName>
    <definedName name="rrr">#REF!</definedName>
    <definedName name="salvage">#REF!</definedName>
    <definedName name="stub">#REF!</definedName>
    <definedName name="Stub_year_fraction">#REF!</definedName>
    <definedName name="StubYr">#REF!</definedName>
    <definedName name="syd">#REF!</definedName>
    <definedName name="TargetOldGoodwillAmort1">#REF!</definedName>
    <definedName name="taxrate">#REF!</definedName>
    <definedName name="totalcap">#REF!</definedName>
    <definedName name="TransactionDate">#REF!</definedName>
    <definedName name="transtype">#REF!</definedName>
    <definedName name="TransWt1">#REF!</definedName>
    <definedName name="TVSelect">#REF!</definedName>
    <definedName name="Useful_Life_of_Depreciable_PP_E">"PPElife"</definedName>
    <definedName name="wacc">#REF!</definedName>
    <definedName name="wacc1">#REF!</definedName>
    <definedName name="wacc2">#REF!</definedName>
    <definedName name="wacc3">#REF!</definedName>
    <definedName name="wacc4">#REF!</definedName>
    <definedName name="Year">#REF!</definedName>
    <definedName name="_xlnm.Print_Area" localSheetId="3">DCF!$A$4:$W$57</definedName>
    <definedName name="_xlnm.Print_Area" localSheetId="1">Feuil1!$A$1:$Y$36</definedName>
  </definedName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C10" i="1"/>
  <c r="D51" i="1"/>
  <c r="C51" i="1"/>
  <c r="B51" i="1"/>
  <c r="D50" i="1"/>
  <c r="C50" i="1"/>
  <c r="B50" i="1"/>
  <c r="D49" i="1"/>
  <c r="E8" i="1"/>
  <c r="V30" i="4"/>
  <c r="W30" i="4"/>
  <c r="X30" i="4"/>
  <c r="U30" i="4"/>
  <c r="J23" i="4"/>
  <c r="X23" i="4"/>
  <c r="W23" i="4"/>
  <c r="V23" i="4"/>
  <c r="U23" i="4"/>
  <c r="T23" i="4"/>
  <c r="S23" i="4"/>
  <c r="R23" i="4"/>
  <c r="Q23" i="4"/>
  <c r="P23" i="4"/>
  <c r="O23" i="4"/>
  <c r="N23" i="4"/>
  <c r="M23" i="4"/>
  <c r="K23" i="4"/>
  <c r="F17" i="4"/>
  <c r="G17" i="4"/>
  <c r="H17" i="4"/>
  <c r="I17" i="4"/>
  <c r="J17" i="4"/>
  <c r="K17" i="4"/>
  <c r="L17" i="4"/>
  <c r="E17" i="4"/>
  <c r="N7" i="4"/>
  <c r="O7" i="4" s="1"/>
  <c r="P7" i="4" s="1"/>
  <c r="Q7" i="4" s="1"/>
  <c r="R7" i="4" s="1"/>
  <c r="S7" i="4" s="1"/>
  <c r="T7" i="4" s="1"/>
  <c r="U7" i="4" s="1"/>
  <c r="V7" i="4" s="1"/>
  <c r="W7" i="4" s="1"/>
  <c r="S20" i="4"/>
  <c r="T20" i="4"/>
  <c r="U20" i="4"/>
  <c r="V20" i="4"/>
  <c r="W20" i="4"/>
  <c r="R20" i="4"/>
  <c r="K51" i="2"/>
  <c r="L19" i="5"/>
  <c r="X20" i="4" l="1"/>
  <c r="X15" i="4"/>
  <c r="P20" i="4"/>
  <c r="K9" i="4"/>
  <c r="K11" i="4"/>
  <c r="K12" i="4"/>
  <c r="K13" i="4" s="1"/>
  <c r="K20" i="4"/>
  <c r="K21" i="4"/>
  <c r="I21" i="4"/>
  <c r="H21" i="4"/>
  <c r="G21" i="4"/>
  <c r="F21" i="4"/>
  <c r="E21" i="4"/>
  <c r="J21" i="4"/>
  <c r="F7" i="4"/>
  <c r="K16" i="4" l="1"/>
  <c r="K24" i="4"/>
  <c r="J24" i="4"/>
  <c r="K15" i="4"/>
  <c r="D13" i="5"/>
  <c r="Q20" i="4"/>
  <c r="O20" i="4"/>
  <c r="N20" i="4"/>
  <c r="M20" i="4"/>
  <c r="L20" i="4"/>
  <c r="J20" i="4"/>
  <c r="I20" i="4"/>
  <c r="H20" i="4"/>
  <c r="G20" i="4"/>
  <c r="F20" i="4"/>
  <c r="E20" i="4"/>
  <c r="M18" i="4"/>
  <c r="N18" i="4" s="1"/>
  <c r="O18" i="4" s="1"/>
  <c r="P18" i="4" s="1"/>
  <c r="L12" i="4"/>
  <c r="J12" i="4"/>
  <c r="I12" i="4"/>
  <c r="H12" i="4"/>
  <c r="G12" i="4"/>
  <c r="F12" i="4"/>
  <c r="E12" i="4"/>
  <c r="L11" i="4"/>
  <c r="J11" i="4"/>
  <c r="I11" i="4"/>
  <c r="H11" i="4"/>
  <c r="G11" i="4"/>
  <c r="F11" i="4"/>
  <c r="E11" i="4"/>
  <c r="L9" i="4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J9" i="4"/>
  <c r="I9" i="4"/>
  <c r="H9" i="4"/>
  <c r="G9" i="4"/>
  <c r="F9" i="4"/>
  <c r="E9" i="4"/>
  <c r="L7" i="4"/>
  <c r="K7" i="4"/>
  <c r="J7" i="4"/>
  <c r="I7" i="4"/>
  <c r="H7" i="4"/>
  <c r="G7" i="4"/>
  <c r="F4" i="4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E15" i="3"/>
  <c r="K52" i="2"/>
  <c r="E19" i="3"/>
  <c r="K49" i="2"/>
  <c r="K48" i="2"/>
  <c r="M43" i="2"/>
  <c r="Q43" i="2" s="1"/>
  <c r="Q36" i="2"/>
  <c r="P36" i="2" s="1"/>
  <c r="N19" i="2"/>
  <c r="O19" i="2"/>
  <c r="P19" i="2"/>
  <c r="Q19" i="2"/>
  <c r="M19" i="2"/>
  <c r="B38" i="2"/>
  <c r="B39" i="2" s="1"/>
  <c r="N36" i="2"/>
  <c r="L36" i="2"/>
  <c r="M24" i="2"/>
  <c r="N24" i="2" s="1"/>
  <c r="O24" i="2" s="1"/>
  <c r="P24" i="2" s="1"/>
  <c r="Q24" i="2" s="1"/>
  <c r="B32" i="2"/>
  <c r="B30" i="2"/>
  <c r="R27" i="2"/>
  <c r="N26" i="2"/>
  <c r="O26" i="2" s="1"/>
  <c r="P26" i="2" s="1"/>
  <c r="Q26" i="2" s="1"/>
  <c r="R26" i="2" s="1"/>
  <c r="M17" i="2"/>
  <c r="R16" i="2"/>
  <c r="R12" i="2"/>
  <c r="L20" i="2"/>
  <c r="N17" i="2"/>
  <c r="O17" i="2" s="1"/>
  <c r="P17" i="2" s="1"/>
  <c r="Q17" i="2" s="1"/>
  <c r="R17" i="2" s="1"/>
  <c r="F13" i="2"/>
  <c r="F14" i="2" s="1"/>
  <c r="G13" i="2"/>
  <c r="G14" i="2" s="1"/>
  <c r="H13" i="2"/>
  <c r="H14" i="2" s="1"/>
  <c r="I13" i="2"/>
  <c r="I14" i="2" s="1"/>
  <c r="J13" i="2"/>
  <c r="J14" i="2" s="1"/>
  <c r="K13" i="2"/>
  <c r="K14" i="2" s="1"/>
  <c r="L13" i="2"/>
  <c r="L14" i="2" s="1"/>
  <c r="E13" i="2"/>
  <c r="E14" i="2" s="1"/>
  <c r="F12" i="2"/>
  <c r="G12" i="2"/>
  <c r="H12" i="2"/>
  <c r="I12" i="2"/>
  <c r="J12" i="2"/>
  <c r="K12" i="2"/>
  <c r="L12" i="2"/>
  <c r="E12" i="2"/>
  <c r="F19" i="2"/>
  <c r="G19" i="2"/>
  <c r="H19" i="2"/>
  <c r="I19" i="2"/>
  <c r="J19" i="2"/>
  <c r="K19" i="2"/>
  <c r="L19" i="2"/>
  <c r="E19" i="2"/>
  <c r="F10" i="2"/>
  <c r="G10" i="2"/>
  <c r="H10" i="2"/>
  <c r="I10" i="2"/>
  <c r="J10" i="2"/>
  <c r="K10" i="2"/>
  <c r="L10" i="2"/>
  <c r="M10" i="2" s="1"/>
  <c r="N10" i="2" s="1"/>
  <c r="O10" i="2" s="1"/>
  <c r="P10" i="2" s="1"/>
  <c r="Q10" i="2" s="1"/>
  <c r="E10" i="2"/>
  <c r="G8" i="2"/>
  <c r="H8" i="2"/>
  <c r="I8" i="2"/>
  <c r="J8" i="2"/>
  <c r="K8" i="2"/>
  <c r="L8" i="2"/>
  <c r="M7" i="2" s="1"/>
  <c r="F8" i="2"/>
  <c r="F5" i="2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E24" i="3"/>
  <c r="E10" i="3"/>
  <c r="E13" i="3" s="1"/>
  <c r="M11" i="4" l="1"/>
  <c r="N11" i="4" s="1"/>
  <c r="O11" i="4" s="1"/>
  <c r="P11" i="4" s="1"/>
  <c r="Q11" i="4" s="1"/>
  <c r="R11" i="4" s="1"/>
  <c r="S11" i="4" s="1"/>
  <c r="T11" i="4" s="1"/>
  <c r="U11" i="4" s="1"/>
  <c r="V11" i="4" s="1"/>
  <c r="W11" i="4" s="1"/>
  <c r="F15" i="4"/>
  <c r="F16" i="4"/>
  <c r="G15" i="4"/>
  <c r="G16" i="4"/>
  <c r="H15" i="4"/>
  <c r="H16" i="4"/>
  <c r="L15" i="4"/>
  <c r="L16" i="4"/>
  <c r="J15" i="4"/>
  <c r="J16" i="4"/>
  <c r="E15" i="4"/>
  <c r="E16" i="4"/>
  <c r="I15" i="4"/>
  <c r="I16" i="4"/>
  <c r="H13" i="4"/>
  <c r="L13" i="4"/>
  <c r="E17" i="3"/>
  <c r="E22" i="3" s="1"/>
  <c r="E27" i="3" s="1"/>
  <c r="E13" i="4"/>
  <c r="I13" i="4"/>
  <c r="F13" i="4"/>
  <c r="J13" i="4"/>
  <c r="G13" i="4"/>
  <c r="R36" i="2"/>
  <c r="L43" i="2"/>
  <c r="B45" i="2"/>
  <c r="B37" i="2"/>
  <c r="P43" i="2"/>
  <c r="R43" i="2"/>
  <c r="N43" i="2"/>
  <c r="L30" i="2"/>
  <c r="L31" i="2"/>
  <c r="L32" i="2"/>
  <c r="L16" i="2"/>
  <c r="K16" i="2"/>
  <c r="E16" i="2"/>
  <c r="I16" i="2"/>
  <c r="G16" i="2"/>
  <c r="H16" i="2"/>
  <c r="J16" i="2"/>
  <c r="F16" i="2"/>
  <c r="M18" i="2"/>
  <c r="M9" i="2"/>
  <c r="E12" i="3"/>
  <c r="E16" i="3" s="1"/>
  <c r="E21" i="3" s="1"/>
  <c r="E26" i="3" s="1"/>
  <c r="C8" i="1"/>
  <c r="N22" i="4" l="1"/>
  <c r="B46" i="2"/>
  <c r="B44" i="2"/>
  <c r="M11" i="2"/>
  <c r="M13" i="2" s="1"/>
  <c r="N7" i="2"/>
  <c r="C9" i="1"/>
  <c r="O22" i="4" l="1"/>
  <c r="M14" i="2"/>
  <c r="M15" i="2"/>
  <c r="M20" i="2" s="1"/>
  <c r="N9" i="2"/>
  <c r="N18" i="2"/>
  <c r="O7" i="2"/>
  <c r="P22" i="4" l="1"/>
  <c r="M21" i="2"/>
  <c r="M31" i="2"/>
  <c r="M32" i="2"/>
  <c r="M30" i="2"/>
  <c r="R19" i="2"/>
  <c r="N11" i="2"/>
  <c r="N13" i="2" s="1"/>
  <c r="N14" i="2" s="1"/>
  <c r="O9" i="2"/>
  <c r="O18" i="2"/>
  <c r="P7" i="2"/>
  <c r="P18" i="2" s="1"/>
  <c r="Q22" i="4" l="1"/>
  <c r="R10" i="2"/>
  <c r="N15" i="2"/>
  <c r="N20" i="2" s="1"/>
  <c r="P11" i="2"/>
  <c r="O11" i="2"/>
  <c r="O13" i="2" s="1"/>
  <c r="Q7" i="2"/>
  <c r="P9" i="2"/>
  <c r="R22" i="4" l="1"/>
  <c r="S22" i="4" s="1"/>
  <c r="N21" i="2"/>
  <c r="N30" i="2"/>
  <c r="N32" i="2"/>
  <c r="N31" i="2"/>
  <c r="R7" i="2"/>
  <c r="R18" i="2" s="1"/>
  <c r="R11" i="2" s="1"/>
  <c r="P13" i="2"/>
  <c r="P14" i="2" s="1"/>
  <c r="O14" i="2"/>
  <c r="O15" i="2"/>
  <c r="O20" i="2" s="1"/>
  <c r="Q18" i="2"/>
  <c r="Q9" i="2"/>
  <c r="T22" i="4" l="1"/>
  <c r="R9" i="2"/>
  <c r="R13" i="2" s="1"/>
  <c r="R14" i="2" s="1"/>
  <c r="R8" i="2"/>
  <c r="O21" i="2"/>
  <c r="O32" i="2"/>
  <c r="O31" i="2"/>
  <c r="O30" i="2"/>
  <c r="P15" i="2"/>
  <c r="P20" i="2" s="1"/>
  <c r="Q11" i="2"/>
  <c r="Q13" i="2" s="1"/>
  <c r="U22" i="4" l="1"/>
  <c r="R15" i="2"/>
  <c r="R20" i="2" s="1"/>
  <c r="L37" i="2" s="1"/>
  <c r="L44" i="2" s="1"/>
  <c r="P21" i="2"/>
  <c r="P30" i="2"/>
  <c r="P31" i="2"/>
  <c r="P32" i="2"/>
  <c r="Q14" i="2"/>
  <c r="Q15" i="2"/>
  <c r="Q20" i="2" s="1"/>
  <c r="V22" i="4" l="1"/>
  <c r="M37" i="2"/>
  <c r="M44" i="2" s="1"/>
  <c r="N38" i="2"/>
  <c r="N45" i="2" s="1"/>
  <c r="N37" i="2"/>
  <c r="N44" i="2" s="1"/>
  <c r="L38" i="2"/>
  <c r="L45" i="2" s="1"/>
  <c r="N39" i="2"/>
  <c r="N46" i="2" s="1"/>
  <c r="M39" i="2"/>
  <c r="M46" i="2" s="1"/>
  <c r="L39" i="2"/>
  <c r="L46" i="2" s="1"/>
  <c r="M38" i="2"/>
  <c r="Q38" i="2" s="1"/>
  <c r="Q31" i="2"/>
  <c r="R31" i="2" s="1"/>
  <c r="Q32" i="2"/>
  <c r="R32" i="2" s="1"/>
  <c r="Q30" i="2"/>
  <c r="R30" i="2" s="1"/>
  <c r="Q21" i="2"/>
  <c r="W22" i="4" l="1"/>
  <c r="M45" i="2"/>
  <c r="Q45" i="2"/>
  <c r="Q37" i="2"/>
  <c r="Q44" i="2" s="1"/>
  <c r="R39" i="2"/>
  <c r="R46" i="2" s="1"/>
  <c r="P38" i="2"/>
  <c r="P45" i="2" s="1"/>
  <c r="R37" i="2"/>
  <c r="R44" i="2" s="1"/>
  <c r="R38" i="2"/>
  <c r="R45" i="2" s="1"/>
  <c r="P37" i="2"/>
  <c r="P44" i="2" s="1"/>
  <c r="P39" i="2"/>
  <c r="P46" i="2" s="1"/>
  <c r="Q39" i="2"/>
  <c r="Q46" i="2" s="1"/>
  <c r="X22" i="4" l="1"/>
  <c r="L33" i="4" s="1"/>
  <c r="K53" i="2"/>
  <c r="K55" i="2" s="1"/>
  <c r="Q18" i="4" l="1"/>
  <c r="R18" i="4" l="1"/>
  <c r="S18" i="4" s="1"/>
  <c r="T18" i="4" s="1"/>
  <c r="U18" i="4" s="1"/>
  <c r="V18" i="4" s="1"/>
  <c r="W18" i="4" s="1"/>
  <c r="X18" i="4" s="1"/>
  <c r="X9" i="4" l="1"/>
  <c r="M6" i="4" l="1"/>
  <c r="M8" i="4" s="1"/>
  <c r="M19" i="4" l="1"/>
  <c r="M10" i="4" s="1"/>
  <c r="M12" i="4" l="1"/>
  <c r="M13" i="4" s="1"/>
  <c r="M17" i="4"/>
  <c r="M14" i="4"/>
  <c r="M21" i="4" s="1"/>
  <c r="M24" i="4" s="1"/>
  <c r="N6" i="4"/>
  <c r="M16" i="4" l="1"/>
  <c r="N19" i="4"/>
  <c r="N8" i="4"/>
  <c r="N10" i="4" l="1"/>
  <c r="N12" i="4" l="1"/>
  <c r="N14" i="4" s="1"/>
  <c r="N21" i="4" s="1"/>
  <c r="N24" i="4" s="1"/>
  <c r="N17" i="4"/>
  <c r="N13" i="4" l="1"/>
  <c r="N16" i="4"/>
  <c r="O6" i="4"/>
  <c r="O8" i="4" s="1"/>
  <c r="O19" i="4" l="1"/>
  <c r="O10" i="4" s="1"/>
  <c r="O17" i="4" s="1"/>
  <c r="P6" i="4"/>
  <c r="P19" i="4" s="1"/>
  <c r="O12" i="4" l="1"/>
  <c r="P8" i="4"/>
  <c r="P10" i="4"/>
  <c r="P17" i="4" s="1"/>
  <c r="O13" i="4" l="1"/>
  <c r="O14" i="4"/>
  <c r="O21" i="4" s="1"/>
  <c r="O24" i="4" s="1"/>
  <c r="P12" i="4"/>
  <c r="Q6" i="4"/>
  <c r="Q8" i="4" l="1"/>
  <c r="Q19" i="4"/>
  <c r="Q10" i="4" s="1"/>
  <c r="P13" i="4"/>
  <c r="P14" i="4"/>
  <c r="P21" i="4" s="1"/>
  <c r="P24" i="4" s="1"/>
  <c r="O16" i="4"/>
  <c r="P16" i="4" l="1"/>
  <c r="R6" i="4"/>
  <c r="R19" i="4" s="1"/>
  <c r="R10" i="4" l="1"/>
  <c r="R8" i="4"/>
  <c r="S6" i="4"/>
  <c r="S19" i="4" s="1"/>
  <c r="S10" i="4" s="1"/>
  <c r="T6" i="4" l="1"/>
  <c r="T19" i="4" s="1"/>
  <c r="T10" i="4" s="1"/>
  <c r="S8" i="4"/>
  <c r="U6" i="4" l="1"/>
  <c r="U19" i="4" s="1"/>
  <c r="U10" i="4" s="1"/>
  <c r="T8" i="4"/>
  <c r="V6" i="4" l="1"/>
  <c r="V19" i="4" s="1"/>
  <c r="V10" i="4" s="1"/>
  <c r="U8" i="4"/>
  <c r="W6" i="4" l="1"/>
  <c r="V8" i="4"/>
  <c r="W8" i="4" l="1"/>
  <c r="X6" i="4"/>
  <c r="W19" i="4"/>
  <c r="W10" i="4" s="1"/>
  <c r="W17" i="4" s="1"/>
  <c r="Q12" i="4"/>
  <c r="Q14" i="4" s="1"/>
  <c r="Q21" i="4" s="1"/>
  <c r="Q24" i="4" s="1"/>
  <c r="R12" i="4"/>
  <c r="R13" i="4" s="1"/>
  <c r="S12" i="4"/>
  <c r="T12" i="4"/>
  <c r="T13" i="4" s="1"/>
  <c r="U12" i="4"/>
  <c r="V12" i="4"/>
  <c r="Q13" i="4"/>
  <c r="S13" i="4"/>
  <c r="Q16" i="4"/>
  <c r="X16" i="4" s="1"/>
  <c r="Q17" i="4"/>
  <c r="R17" i="4"/>
  <c r="S17" i="4"/>
  <c r="T17" i="4"/>
  <c r="U17" i="4"/>
  <c r="V17" i="4"/>
  <c r="X19" i="4" l="1"/>
  <c r="X8" i="4"/>
  <c r="L30" i="4" s="1"/>
  <c r="L32" i="4" s="1"/>
  <c r="L34" i="4" s="1"/>
  <c r="W12" i="4"/>
  <c r="T14" i="4"/>
  <c r="T21" i="4" s="1"/>
  <c r="T24" i="4" s="1"/>
  <c r="R14" i="4"/>
  <c r="R21" i="4" s="1"/>
  <c r="R24" i="4" s="1"/>
  <c r="V13" i="4"/>
  <c r="V14" i="4"/>
  <c r="V21" i="4" s="1"/>
  <c r="V24" i="4" s="1"/>
  <c r="U14" i="4"/>
  <c r="U21" i="4" s="1"/>
  <c r="U24" i="4" s="1"/>
  <c r="S14" i="4"/>
  <c r="S21" i="4" s="1"/>
  <c r="S24" i="4" s="1"/>
  <c r="U13" i="4"/>
  <c r="S16" i="4" l="1"/>
  <c r="R16" i="4"/>
  <c r="U16" i="4"/>
  <c r="V16" i="4"/>
  <c r="T16" i="4"/>
  <c r="W13" i="4"/>
  <c r="W14" i="4"/>
  <c r="W21" i="4" s="1"/>
  <c r="W24" i="4" s="1"/>
  <c r="L29" i="4" s="1"/>
  <c r="L35" i="4" s="1"/>
  <c r="X10" i="4"/>
  <c r="Q29" i="4" l="1"/>
  <c r="Q33" i="4" s="1"/>
  <c r="Q35" i="4" s="1"/>
  <c r="S30" i="4"/>
  <c r="X17" i="4"/>
  <c r="X12" i="4"/>
  <c r="W16" i="4"/>
  <c r="X13" i="4" l="1"/>
  <c r="X14" i="4"/>
  <c r="X21" i="4" s="1"/>
  <c r="X24" i="4" s="1"/>
</calcChain>
</file>

<file path=xl/sharedStrings.xml><?xml version="1.0" encoding="utf-8"?>
<sst xmlns="http://schemas.openxmlformats.org/spreadsheetml/2006/main" count="134" uniqueCount="96">
  <si>
    <t>Football Field Valuation Template</t>
  </si>
  <si>
    <t>Current price</t>
  </si>
  <si>
    <t>Low</t>
  </si>
  <si>
    <t>Difference</t>
  </si>
  <si>
    <t>High</t>
  </si>
  <si>
    <t>midpoint</t>
  </si>
  <si>
    <t>TV</t>
  </si>
  <si>
    <t>EBIT</t>
  </si>
  <si>
    <t>Tax</t>
  </si>
  <si>
    <t>D&amp;A</t>
  </si>
  <si>
    <t>g</t>
  </si>
  <si>
    <t>WACC</t>
  </si>
  <si>
    <t>EV</t>
  </si>
  <si>
    <t>(-) Bridge</t>
  </si>
  <si>
    <t>EqV</t>
  </si>
  <si>
    <t>Shares outstanding</t>
  </si>
  <si>
    <t>Share price</t>
  </si>
  <si>
    <t>LVMH Moet Hennessy Louis</t>
  </si>
  <si>
    <t>Unilever</t>
  </si>
  <si>
    <t xml:space="preserve">Procter &amp; Gamble </t>
  </si>
  <si>
    <t>Interparfums</t>
  </si>
  <si>
    <t>Kenvue</t>
  </si>
  <si>
    <t>Shiseido</t>
  </si>
  <si>
    <t>Kao</t>
  </si>
  <si>
    <t xml:space="preserve">Estee Lauder A </t>
  </si>
  <si>
    <t xml:space="preserve">Coty A </t>
  </si>
  <si>
    <t>Beiersdorf</t>
  </si>
  <si>
    <t>Average</t>
  </si>
  <si>
    <t>Average -10%</t>
  </si>
  <si>
    <t>Average+10%</t>
  </si>
  <si>
    <t>EV LVMH Minimum</t>
  </si>
  <si>
    <t>EV LVMH Maximum</t>
  </si>
  <si>
    <t>Bridge</t>
  </si>
  <si>
    <t>Equity Value LVMH Minimum</t>
  </si>
  <si>
    <t>Equity Value LVMH Maximum</t>
  </si>
  <si>
    <t>NoSH</t>
  </si>
  <si>
    <t>Share price minimum</t>
  </si>
  <si>
    <t>Share price maximum</t>
  </si>
  <si>
    <t>Discounted Cash Flows</t>
  </si>
  <si>
    <t>31-12-N, €m</t>
  </si>
  <si>
    <t>in €m, unless stated otherwise</t>
  </si>
  <si>
    <t>Revenues</t>
  </si>
  <si>
    <t>Historical</t>
  </si>
  <si>
    <t>Broker</t>
  </si>
  <si>
    <t>Forecast</t>
  </si>
  <si>
    <t>%Growth</t>
  </si>
  <si>
    <t>EBITDA</t>
  </si>
  <si>
    <t>%Margin</t>
  </si>
  <si>
    <t>%Capex</t>
  </si>
  <si>
    <t>Capex</t>
  </si>
  <si>
    <t>n.a.</t>
  </si>
  <si>
    <t>%Tax Rate</t>
  </si>
  <si>
    <t>Change in WC</t>
  </si>
  <si>
    <t>%Revenue</t>
  </si>
  <si>
    <t>Free Cash Flow to Firm</t>
  </si>
  <si>
    <t>Growth</t>
  </si>
  <si>
    <t>Discount Years</t>
  </si>
  <si>
    <t>% of Cash Flow of the Year</t>
  </si>
  <si>
    <t>DCFs</t>
  </si>
  <si>
    <t>Terminal Value NPV</t>
  </si>
  <si>
    <t>PGR of</t>
  </si>
  <si>
    <t>Enterprise Value NPV</t>
  </si>
  <si>
    <t>Terminal Value / TV EBITDA</t>
  </si>
  <si>
    <t>EV/25E EBITDA</t>
  </si>
  <si>
    <t>EV/LTM EBITDA</t>
  </si>
  <si>
    <t>EBITDA L'Oreal</t>
  </si>
  <si>
    <t>Tax expenses</t>
  </si>
  <si>
    <t>NOPAT</t>
  </si>
  <si>
    <t>Unlevered Free Cash Flow (FCFF)</t>
  </si>
  <si>
    <t>Discount period</t>
  </si>
  <si>
    <t>Discount factor</t>
  </si>
  <si>
    <t>Present Value of FCFF</t>
  </si>
  <si>
    <t>Cumulative Present Value of FCF</t>
  </si>
  <si>
    <t>Terminal Year EBITDA</t>
  </si>
  <si>
    <t>Exit Multiple</t>
  </si>
  <si>
    <t>Disount factor</t>
  </si>
  <si>
    <t xml:space="preserve">   Terminal value </t>
  </si>
  <si>
    <t>Present value of Terminal Value</t>
  </si>
  <si>
    <t>Entreprise Value</t>
  </si>
  <si>
    <t>Entreprise value</t>
  </si>
  <si>
    <t>Implied Equity Value</t>
  </si>
  <si>
    <t>Number of Shares</t>
  </si>
  <si>
    <t>Total Net Debt</t>
  </si>
  <si>
    <t>Minoity Interest</t>
  </si>
  <si>
    <t>Implied Equity Value and Share Price</t>
  </si>
  <si>
    <t>Enterprise Value (Terminal Value with Exit Multiples)</t>
  </si>
  <si>
    <t>Associates</t>
  </si>
  <si>
    <t>Implied Share Price</t>
  </si>
  <si>
    <t>Sensitivity Analysis of EV</t>
  </si>
  <si>
    <t xml:space="preserve">DCF </t>
  </si>
  <si>
    <t>Trading Comparables
11x - 21.8x EV/EBITDA</t>
  </si>
  <si>
    <t>Precedent Transactions</t>
  </si>
  <si>
    <t>\</t>
  </si>
  <si>
    <t>Precedent Transactions
16,8x - 21x EV/EBITDA</t>
  </si>
  <si>
    <t xml:space="preserve">DCF Valorisation </t>
  </si>
  <si>
    <t>Trading Comparables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</si>
</sst>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\€#,##0.00_);\(\€#,##0.00\);@_)"/>
    <numFmt numFmtId="167" formatCode="_(* #,##0_);_(* \(#,##0\);_(* &quot;-&quot;??_);_(@_)"/>
    <numFmt numFmtId="168" formatCode="0&quot;A&quot;"/>
    <numFmt numFmtId="169" formatCode="0&quot;E&quot;"/>
    <numFmt numFmtId="170" formatCode="0.0%"/>
    <numFmt numFmtId="171" formatCode="0.0%;\(0.0\)%"/>
    <numFmt numFmtId="172" formatCode="0,000;\(0,000\)"/>
    <numFmt numFmtId="173" formatCode="0.0\x"/>
    <numFmt numFmtId="174" formatCode="_(* #,##0.0_);_(* \(#,##0.0\);_(* &quot;-&quot;??_);_(@_)"/>
    <numFmt numFmtId="175" formatCode="General&quot;E&quot;"/>
    <numFmt numFmtId="176" formatCode="0%;\(0%\)"/>
    <numFmt numFmtId="177" formatCode="#,##0;\(#,##0\);&quot;-&quot;"/>
    <numFmt numFmtId="178" formatCode="0.0%;\(0.0%\)"/>
    <numFmt numFmtId="179" formatCode="_ * #,##0.00_)\ _$_ ;_ * \(#,##0.00\)\ _$_ ;_ * &quot;-&quot;??_)\ _$_ ;_ @_ "/>
  </numFmts>
  <fonts count="34" x14ac:knownFonts="1">
    <font>
      <sz val="10"/>
      <name val="Arial"/>
    </font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color theme="8"/>
      <name val="Arial"/>
      <family val="2"/>
    </font>
    <font>
      <sz val="20"/>
      <name val="Garamond"/>
      <family val="1"/>
    </font>
    <font>
      <i/>
      <sz val="8"/>
      <name val="Arial"/>
      <family val="2"/>
    </font>
    <font>
      <sz val="8"/>
      <name val="Arial"/>
      <family val="2"/>
    </font>
    <font>
      <sz val="8"/>
      <color rgb="FF0000FF"/>
      <name val="Arial"/>
      <family val="2"/>
    </font>
    <font>
      <sz val="8"/>
      <name val="Garamond"/>
      <family val="1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i/>
      <sz val="8"/>
      <color rgb="FFFF0000"/>
      <name val="Arial"/>
      <family val="2"/>
    </font>
    <font>
      <i/>
      <sz val="8"/>
      <color rgb="FF0000FF"/>
      <name val="Arial"/>
      <family val="2"/>
    </font>
    <font>
      <b/>
      <sz val="8"/>
      <name val="Arial"/>
      <family val="2"/>
    </font>
    <font>
      <sz val="8"/>
      <color rgb="FF5A8B39"/>
      <name val="Arial"/>
      <family val="2"/>
    </font>
    <font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0"/>
      <name val="Arial"/>
      <family val="2"/>
    </font>
    <font>
      <sz val="8"/>
      <color rgb="FF002060"/>
      <name val="Arial"/>
      <family val="2"/>
    </font>
    <font>
      <b/>
      <sz val="8"/>
      <color rgb="FF002060"/>
      <name val="Arial"/>
      <family val="2"/>
    </font>
    <font>
      <i/>
      <sz val="8"/>
      <color rgb="FF002060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color indexed="10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5A8B3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FCAFF"/>
        <bgColor indexed="64"/>
      </patternFill>
    </fill>
    <fill>
      <patternFill patternType="solid">
        <fgColor rgb="FFD9E6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0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/>
    <xf numFmtId="0" fontId="4" fillId="0" borderId="4" xfId="0" applyFont="1" applyBorder="1"/>
    <xf numFmtId="166" fontId="2" fillId="0" borderId="0" xfId="0" applyNumberFormat="1" applyFont="1"/>
    <xf numFmtId="0" fontId="0" fillId="0" borderId="5" xfId="0" applyBorder="1"/>
    <xf numFmtId="0" fontId="0" fillId="0" borderId="6" xfId="0" applyBorder="1"/>
    <xf numFmtId="0" fontId="6" fillId="0" borderId="0" xfId="0" applyFont="1"/>
    <xf numFmtId="0" fontId="0" fillId="0" borderId="7" xfId="0" applyBorder="1"/>
    <xf numFmtId="0" fontId="0" fillId="0" borderId="9" xfId="0" applyBorder="1"/>
    <xf numFmtId="1" fontId="0" fillId="0" borderId="8" xfId="0" applyNumberFormat="1" applyBorder="1"/>
    <xf numFmtId="1" fontId="0" fillId="0" borderId="10" xfId="0" applyNumberFormat="1" applyBorder="1"/>
    <xf numFmtId="0" fontId="7" fillId="0" borderId="6" xfId="0" applyFont="1" applyBorder="1"/>
    <xf numFmtId="0" fontId="8" fillId="0" borderId="0" xfId="0" applyFont="1"/>
    <xf numFmtId="0" fontId="9" fillId="0" borderId="0" xfId="0" applyFont="1"/>
    <xf numFmtId="0" fontId="9" fillId="0" borderId="6" xfId="0" applyFont="1" applyBorder="1"/>
    <xf numFmtId="167" fontId="9" fillId="0" borderId="0" xfId="2" applyNumberFormat="1" applyFont="1"/>
    <xf numFmtId="0" fontId="9" fillId="0" borderId="0" xfId="0" quotePrefix="1" applyFont="1"/>
    <xf numFmtId="167" fontId="9" fillId="0" borderId="0" xfId="0" applyNumberFormat="1" applyFont="1"/>
    <xf numFmtId="0" fontId="9" fillId="0" borderId="1" xfId="0" applyFont="1" applyBorder="1"/>
    <xf numFmtId="167" fontId="9" fillId="0" borderId="3" xfId="0" applyNumberFormat="1" applyFont="1" applyBorder="1"/>
    <xf numFmtId="0" fontId="9" fillId="0" borderId="2" xfId="0" applyFont="1" applyBorder="1"/>
    <xf numFmtId="3" fontId="10" fillId="0" borderId="0" xfId="0" applyNumberFormat="1" applyFont="1"/>
    <xf numFmtId="0" fontId="11" fillId="0" borderId="6" xfId="0" applyFont="1" applyBorder="1"/>
    <xf numFmtId="0" fontId="13" fillId="2" borderId="11" xfId="0" applyFont="1" applyFill="1" applyBorder="1" applyAlignment="1">
      <alignment horizontal="centerContinuous"/>
    </xf>
    <xf numFmtId="0" fontId="12" fillId="2" borderId="12" xfId="0" applyFont="1" applyFill="1" applyBorder="1" applyAlignment="1">
      <alignment horizontal="centerContinuous"/>
    </xf>
    <xf numFmtId="0" fontId="12" fillId="2" borderId="13" xfId="0" applyFont="1" applyFill="1" applyBorder="1" applyAlignment="1">
      <alignment horizontal="centerContinuous"/>
    </xf>
    <xf numFmtId="0" fontId="13" fillId="3" borderId="11" xfId="0" applyFont="1" applyFill="1" applyBorder="1" applyAlignment="1">
      <alignment horizontal="centerContinuous"/>
    </xf>
    <xf numFmtId="0" fontId="13" fillId="4" borderId="11" xfId="0" applyFont="1" applyFill="1" applyBorder="1" applyAlignment="1">
      <alignment horizontal="centerContinuous"/>
    </xf>
    <xf numFmtId="0" fontId="12" fillId="4" borderId="12" xfId="0" applyFont="1" applyFill="1" applyBorder="1" applyAlignment="1">
      <alignment horizontal="centerContinuous"/>
    </xf>
    <xf numFmtId="0" fontId="15" fillId="0" borderId="0" xfId="0" applyFont="1" applyAlignment="1">
      <alignment horizontal="left" indent="1"/>
    </xf>
    <xf numFmtId="0" fontId="15" fillId="0" borderId="0" xfId="0" applyFont="1"/>
    <xf numFmtId="170" fontId="15" fillId="0" borderId="0" xfId="3" applyNumberFormat="1" applyFont="1"/>
    <xf numFmtId="171" fontId="15" fillId="0" borderId="0" xfId="3" applyNumberFormat="1" applyFont="1"/>
    <xf numFmtId="9" fontId="15" fillId="0" borderId="0" xfId="3" applyFont="1"/>
    <xf numFmtId="170" fontId="16" fillId="0" borderId="0" xfId="3" applyNumberFormat="1" applyFont="1"/>
    <xf numFmtId="170" fontId="17" fillId="0" borderId="0" xfId="3" applyNumberFormat="1" applyFont="1"/>
    <xf numFmtId="167" fontId="10" fillId="0" borderId="0" xfId="2" applyNumberFormat="1" applyFont="1"/>
    <xf numFmtId="168" fontId="18" fillId="0" borderId="6" xfId="0" applyNumberFormat="1" applyFont="1" applyBorder="1"/>
    <xf numFmtId="169" fontId="18" fillId="0" borderId="6" xfId="0" applyNumberFormat="1" applyFont="1" applyBorder="1"/>
    <xf numFmtId="169" fontId="18" fillId="0" borderId="6" xfId="0" applyNumberFormat="1" applyFont="1" applyBorder="1" applyAlignment="1">
      <alignment horizontal="center"/>
    </xf>
    <xf numFmtId="3" fontId="15" fillId="0" borderId="0" xfId="0" applyNumberFormat="1" applyFont="1" applyAlignment="1">
      <alignment horizontal="right"/>
    </xf>
    <xf numFmtId="9" fontId="17" fillId="0" borderId="0" xfId="3" applyFont="1"/>
    <xf numFmtId="167" fontId="14" fillId="0" borderId="0" xfId="3" applyNumberFormat="1" applyFont="1"/>
    <xf numFmtId="9" fontId="8" fillId="0" borderId="0" xfId="0" applyNumberFormat="1" applyFont="1"/>
    <xf numFmtId="167" fontId="19" fillId="0" borderId="0" xfId="3" applyNumberFormat="1" applyFont="1"/>
    <xf numFmtId="0" fontId="9" fillId="5" borderId="6" xfId="0" applyFont="1" applyFill="1" applyBorder="1"/>
    <xf numFmtId="167" fontId="9" fillId="5" borderId="6" xfId="0" applyNumberFormat="1" applyFont="1" applyFill="1" applyBorder="1"/>
    <xf numFmtId="0" fontId="18" fillId="0" borderId="0" xfId="0" applyFont="1"/>
    <xf numFmtId="0" fontId="18" fillId="5" borderId="7" xfId="0" applyFont="1" applyFill="1" applyBorder="1"/>
    <xf numFmtId="0" fontId="18" fillId="5" borderId="5" xfId="0" applyFont="1" applyFill="1" applyBorder="1"/>
    <xf numFmtId="167" fontId="18" fillId="5" borderId="5" xfId="0" applyNumberFormat="1" applyFont="1" applyFill="1" applyBorder="1"/>
    <xf numFmtId="167" fontId="18" fillId="5" borderId="8" xfId="0" applyNumberFormat="1" applyFont="1" applyFill="1" applyBorder="1"/>
    <xf numFmtId="0" fontId="8" fillId="5" borderId="9" xfId="0" applyFont="1" applyFill="1" applyBorder="1"/>
    <xf numFmtId="170" fontId="8" fillId="5" borderId="6" xfId="3" applyNumberFormat="1" applyFont="1" applyFill="1" applyBorder="1"/>
    <xf numFmtId="167" fontId="20" fillId="0" borderId="0" xfId="0" applyNumberFormat="1" applyFont="1"/>
    <xf numFmtId="9" fontId="20" fillId="0" borderId="0" xfId="3" applyFont="1"/>
    <xf numFmtId="171" fontId="8" fillId="5" borderId="10" xfId="3" applyNumberFormat="1" applyFont="1" applyFill="1" applyBorder="1"/>
    <xf numFmtId="167" fontId="10" fillId="0" borderId="0" xfId="2" applyNumberFormat="1" applyFont="1" applyAlignment="1">
      <alignment horizontal="right"/>
    </xf>
    <xf numFmtId="168" fontId="18" fillId="0" borderId="0" xfId="0" applyNumberFormat="1" applyFont="1"/>
    <xf numFmtId="169" fontId="18" fillId="0" borderId="0" xfId="0" applyNumberFormat="1" applyFont="1"/>
    <xf numFmtId="169" fontId="18" fillId="0" borderId="0" xfId="0" applyNumberFormat="1" applyFont="1" applyAlignment="1">
      <alignment horizontal="center"/>
    </xf>
    <xf numFmtId="0" fontId="10" fillId="0" borderId="0" xfId="0" applyFont="1"/>
    <xf numFmtId="165" fontId="10" fillId="0" borderId="0" xfId="2" applyFont="1"/>
    <xf numFmtId="0" fontId="20" fillId="0" borderId="0" xfId="0" applyFont="1"/>
    <xf numFmtId="9" fontId="10" fillId="0" borderId="0" xfId="0" applyNumberFormat="1" applyFont="1"/>
    <xf numFmtId="0" fontId="18" fillId="0" borderId="0" xfId="0" applyFont="1" applyAlignment="1">
      <alignment horizontal="center"/>
    </xf>
    <xf numFmtId="0" fontId="8" fillId="5" borderId="6" xfId="0" applyFont="1" applyFill="1" applyBorder="1"/>
    <xf numFmtId="10" fontId="9" fillId="0" borderId="0" xfId="0" applyNumberFormat="1" applyFont="1" applyAlignment="1">
      <alignment horizontal="center"/>
    </xf>
    <xf numFmtId="10" fontId="10" fillId="5" borderId="14" xfId="0" applyNumberFormat="1" applyFont="1" applyFill="1" applyBorder="1" applyAlignment="1">
      <alignment horizontal="center"/>
    </xf>
    <xf numFmtId="0" fontId="18" fillId="0" borderId="6" xfId="0" applyFont="1" applyBorder="1" applyAlignment="1">
      <alignment horizontal="center"/>
    </xf>
    <xf numFmtId="167" fontId="9" fillId="0" borderId="7" xfId="2" applyNumberFormat="1" applyFont="1" applyBorder="1"/>
    <xf numFmtId="167" fontId="9" fillId="0" borderId="5" xfId="2" applyNumberFormat="1" applyFont="1" applyBorder="1"/>
    <xf numFmtId="167" fontId="18" fillId="0" borderId="8" xfId="2" applyNumberFormat="1" applyFont="1" applyBorder="1"/>
    <xf numFmtId="167" fontId="9" fillId="0" borderId="15" xfId="2" applyNumberFormat="1" applyFont="1" applyBorder="1"/>
    <xf numFmtId="167" fontId="9" fillId="0" borderId="0" xfId="2" applyNumberFormat="1" applyFont="1" applyBorder="1"/>
    <xf numFmtId="167" fontId="18" fillId="0" borderId="16" xfId="2" applyNumberFormat="1" applyFont="1" applyBorder="1"/>
    <xf numFmtId="167" fontId="9" fillId="0" borderId="9" xfId="2" applyNumberFormat="1" applyFont="1" applyBorder="1"/>
    <xf numFmtId="167" fontId="9" fillId="0" borderId="6" xfId="2" applyNumberFormat="1" applyFont="1" applyBorder="1"/>
    <xf numFmtId="167" fontId="18" fillId="0" borderId="10" xfId="2" applyNumberFormat="1" applyFont="1" applyBorder="1"/>
    <xf numFmtId="170" fontId="9" fillId="0" borderId="14" xfId="0" applyNumberFormat="1" applyFont="1" applyBorder="1" applyAlignment="1">
      <alignment horizontal="center"/>
    </xf>
    <xf numFmtId="172" fontId="9" fillId="0" borderId="0" xfId="0" applyNumberFormat="1" applyFont="1" applyAlignment="1">
      <alignment horizontal="center"/>
    </xf>
    <xf numFmtId="172" fontId="9" fillId="5" borderId="14" xfId="0" applyNumberFormat="1" applyFont="1" applyFill="1" applyBorder="1" applyAlignment="1">
      <alignment horizontal="center"/>
    </xf>
    <xf numFmtId="170" fontId="21" fillId="5" borderId="14" xfId="0" applyNumberFormat="1" applyFont="1" applyFill="1" applyBorder="1" applyAlignment="1">
      <alignment horizontal="center"/>
    </xf>
    <xf numFmtId="173" fontId="9" fillId="0" borderId="0" xfId="0" applyNumberFormat="1" applyFont="1" applyAlignment="1">
      <alignment horizontal="center"/>
    </xf>
    <xf numFmtId="173" fontId="9" fillId="5" borderId="14" xfId="0" applyNumberFormat="1" applyFont="1" applyFill="1" applyBorder="1" applyAlignment="1">
      <alignment horizontal="center"/>
    </xf>
    <xf numFmtId="10" fontId="9" fillId="5" borderId="14" xfId="0" applyNumberFormat="1" applyFont="1" applyFill="1" applyBorder="1" applyAlignment="1">
      <alignment horizontal="center"/>
    </xf>
    <xf numFmtId="167" fontId="9" fillId="0" borderId="8" xfId="2" applyNumberFormat="1" applyFont="1" applyBorder="1"/>
    <xf numFmtId="167" fontId="9" fillId="0" borderId="16" xfId="2" applyNumberFormat="1" applyFont="1" applyBorder="1"/>
    <xf numFmtId="167" fontId="9" fillId="0" borderId="10" xfId="2" applyNumberFormat="1" applyFont="1" applyBorder="1"/>
    <xf numFmtId="170" fontId="18" fillId="5" borderId="14" xfId="0" applyNumberFormat="1" applyFont="1" applyFill="1" applyBorder="1" applyAlignment="1">
      <alignment horizontal="center"/>
    </xf>
    <xf numFmtId="170" fontId="10" fillId="0" borderId="0" xfId="0" applyNumberFormat="1" applyFont="1"/>
    <xf numFmtId="167" fontId="10" fillId="0" borderId="0" xfId="0" applyNumberFormat="1" applyFont="1"/>
    <xf numFmtId="173" fontId="2" fillId="0" borderId="0" xfId="0" applyNumberFormat="1" applyFont="1"/>
    <xf numFmtId="0" fontId="1" fillId="0" borderId="0" xfId="0" applyFont="1"/>
    <xf numFmtId="0" fontId="0" fillId="5" borderId="1" xfId="0" applyFill="1" applyBorder="1"/>
    <xf numFmtId="0" fontId="0" fillId="5" borderId="2" xfId="0" applyFill="1" applyBorder="1"/>
    <xf numFmtId="173" fontId="0" fillId="5" borderId="3" xfId="0" applyNumberFormat="1" applyFill="1" applyBorder="1"/>
    <xf numFmtId="173" fontId="0" fillId="0" borderId="8" xfId="0" applyNumberFormat="1" applyBorder="1"/>
    <xf numFmtId="173" fontId="0" fillId="0" borderId="10" xfId="0" applyNumberFormat="1" applyBorder="1"/>
    <xf numFmtId="0" fontId="22" fillId="0" borderId="0" xfId="0" applyFont="1"/>
    <xf numFmtId="173" fontId="0" fillId="0" borderId="0" xfId="0" applyNumberFormat="1"/>
    <xf numFmtId="3" fontId="0" fillId="0" borderId="0" xfId="0" applyNumberFormat="1"/>
    <xf numFmtId="170" fontId="8" fillId="0" borderId="0" xfId="3" applyNumberFormat="1" applyFont="1" applyBorder="1"/>
    <xf numFmtId="0" fontId="9" fillId="0" borderId="0" xfId="0" applyFont="1" applyBorder="1"/>
    <xf numFmtId="0" fontId="8" fillId="0" borderId="0" xfId="0" applyFont="1" applyBorder="1"/>
    <xf numFmtId="0" fontId="18" fillId="0" borderId="0" xfId="0" applyFont="1" applyBorder="1"/>
    <xf numFmtId="0" fontId="24" fillId="0" borderId="0" xfId="0" applyFont="1" applyBorder="1"/>
    <xf numFmtId="0" fontId="8" fillId="0" borderId="0" xfId="0" applyFont="1" applyBorder="1" applyAlignment="1">
      <alignment horizontal="left" indent="1"/>
    </xf>
    <xf numFmtId="3" fontId="8" fillId="0" borderId="0" xfId="0" applyNumberFormat="1" applyFont="1" applyBorder="1" applyAlignment="1">
      <alignment horizontal="right"/>
    </xf>
    <xf numFmtId="171" fontId="8" fillId="0" borderId="0" xfId="3" applyNumberFormat="1" applyFont="1" applyBorder="1"/>
    <xf numFmtId="0" fontId="25" fillId="0" borderId="0" xfId="0" applyFont="1" applyBorder="1"/>
    <xf numFmtId="0" fontId="23" fillId="0" borderId="0" xfId="0" applyFont="1" applyBorder="1"/>
    <xf numFmtId="9" fontId="8" fillId="0" borderId="0" xfId="3" applyFont="1" applyBorder="1"/>
    <xf numFmtId="9" fontId="8" fillId="0" borderId="0" xfId="0" applyNumberFormat="1" applyFont="1" applyBorder="1"/>
    <xf numFmtId="0" fontId="18" fillId="0" borderId="0" xfId="0" applyFont="1" applyBorder="1" applyAlignment="1">
      <alignment vertical="top"/>
    </xf>
    <xf numFmtId="0" fontId="18" fillId="0" borderId="0" xfId="0" applyFont="1" applyBorder="1" applyAlignment="1">
      <alignment horizontal="left" indent="1"/>
    </xf>
    <xf numFmtId="0" fontId="9" fillId="0" borderId="0" xfId="0" quotePrefix="1" applyFont="1" applyBorder="1"/>
    <xf numFmtId="0" fontId="8" fillId="5" borderId="0" xfId="0" applyFont="1" applyFill="1" applyBorder="1"/>
    <xf numFmtId="0" fontId="8" fillId="5" borderId="15" xfId="0" applyFont="1" applyFill="1" applyBorder="1"/>
    <xf numFmtId="0" fontId="18" fillId="5" borderId="9" xfId="0" applyFont="1" applyFill="1" applyBorder="1"/>
    <xf numFmtId="0" fontId="18" fillId="5" borderId="6" xfId="0" applyFont="1" applyFill="1" applyBorder="1"/>
    <xf numFmtId="167" fontId="9" fillId="0" borderId="0" xfId="0" applyNumberFormat="1" applyFont="1" applyBorder="1"/>
    <xf numFmtId="168" fontId="18" fillId="0" borderId="6" xfId="0" applyNumberFormat="1" applyFont="1" applyBorder="1" applyAlignment="1"/>
    <xf numFmtId="175" fontId="18" fillId="0" borderId="6" xfId="0" applyNumberFormat="1" applyFont="1" applyBorder="1" applyAlignment="1"/>
    <xf numFmtId="169" fontId="18" fillId="0" borderId="6" xfId="0" applyNumberFormat="1" applyFont="1" applyBorder="1" applyAlignment="1"/>
    <xf numFmtId="9" fontId="27" fillId="0" borderId="0" xfId="3" applyFont="1" applyBorder="1"/>
    <xf numFmtId="176" fontId="27" fillId="0" borderId="0" xfId="3" applyNumberFormat="1" applyFont="1" applyBorder="1"/>
    <xf numFmtId="167" fontId="8" fillId="5" borderId="0" xfId="0" applyNumberFormat="1" applyFont="1" applyFill="1" applyBorder="1"/>
    <xf numFmtId="174" fontId="8" fillId="5" borderId="0" xfId="0" applyNumberFormat="1" applyFont="1" applyFill="1" applyBorder="1"/>
    <xf numFmtId="174" fontId="27" fillId="5" borderId="0" xfId="0" applyNumberFormat="1" applyFont="1" applyFill="1" applyBorder="1"/>
    <xf numFmtId="174" fontId="28" fillId="5" borderId="16" xfId="0" applyNumberFormat="1" applyFont="1" applyFill="1" applyBorder="1"/>
    <xf numFmtId="177" fontId="18" fillId="5" borderId="6" xfId="0" applyNumberFormat="1" applyFont="1" applyFill="1" applyBorder="1" applyAlignment="1">
      <alignment horizontal="right"/>
    </xf>
    <xf numFmtId="177" fontId="18" fillId="5" borderId="10" xfId="0" applyNumberFormat="1" applyFont="1" applyFill="1" applyBorder="1" applyAlignment="1">
      <alignment horizontal="right"/>
    </xf>
    <xf numFmtId="177" fontId="18" fillId="5" borderId="5" xfId="0" applyNumberFormat="1" applyFont="1" applyFill="1" applyBorder="1"/>
    <xf numFmtId="177" fontId="18" fillId="5" borderId="8" xfId="0" applyNumberFormat="1" applyFont="1" applyFill="1" applyBorder="1"/>
    <xf numFmtId="177" fontId="18" fillId="0" borderId="0" xfId="0" applyNumberFormat="1" applyFont="1" applyBorder="1"/>
    <xf numFmtId="177" fontId="30" fillId="0" borderId="0" xfId="2" applyNumberFormat="1" applyFont="1" applyBorder="1"/>
    <xf numFmtId="177" fontId="29" fillId="0" borderId="0" xfId="2" applyNumberFormat="1" applyFont="1" applyBorder="1"/>
    <xf numFmtId="177" fontId="30" fillId="0" borderId="0" xfId="3" applyNumberFormat="1" applyFont="1" applyBorder="1"/>
    <xf numFmtId="177" fontId="30" fillId="0" borderId="0" xfId="2" applyNumberFormat="1" applyFont="1" applyBorder="1" applyAlignment="1">
      <alignment horizontal="right"/>
    </xf>
    <xf numFmtId="177" fontId="9" fillId="0" borderId="0" xfId="2" applyNumberFormat="1" applyFont="1" applyBorder="1"/>
    <xf numFmtId="177" fontId="9" fillId="0" borderId="0" xfId="3" applyNumberFormat="1" applyFont="1" applyBorder="1"/>
    <xf numFmtId="177" fontId="18" fillId="0" borderId="0" xfId="3" applyNumberFormat="1" applyFont="1" applyBorder="1"/>
    <xf numFmtId="177" fontId="26" fillId="0" borderId="0" xfId="0" applyNumberFormat="1" applyFont="1" applyBorder="1"/>
    <xf numFmtId="177" fontId="18" fillId="0" borderId="0" xfId="2" applyNumberFormat="1" applyFont="1" applyBorder="1"/>
    <xf numFmtId="0" fontId="31" fillId="0" borderId="0" xfId="0" applyFont="1" applyBorder="1"/>
    <xf numFmtId="0" fontId="32" fillId="0" borderId="0" xfId="0" applyFont="1" applyBorder="1"/>
    <xf numFmtId="177" fontId="30" fillId="0" borderId="0" xfId="0" applyNumberFormat="1" applyFont="1" applyBorder="1" applyAlignment="1">
      <alignment horizontal="right"/>
    </xf>
    <xf numFmtId="173" fontId="29" fillId="0" borderId="0" xfId="0" applyNumberFormat="1" applyFont="1" applyBorder="1" applyAlignment="1">
      <alignment horizontal="right"/>
    </xf>
    <xf numFmtId="177" fontId="31" fillId="0" borderId="0" xfId="0" applyNumberFormat="1" applyFont="1" applyBorder="1" applyAlignment="1">
      <alignment horizontal="right"/>
    </xf>
    <xf numFmtId="170" fontId="30" fillId="0" borderId="0" xfId="0" applyNumberFormat="1" applyFont="1" applyBorder="1" applyAlignment="1">
      <alignment horizontal="right"/>
    </xf>
    <xf numFmtId="177" fontId="29" fillId="0" borderId="0" xfId="0" applyNumberFormat="1" applyFont="1" applyBorder="1"/>
    <xf numFmtId="0" fontId="32" fillId="0" borderId="1" xfId="0" applyFont="1" applyBorder="1"/>
    <xf numFmtId="0" fontId="24" fillId="0" borderId="2" xfId="0" applyFont="1" applyBorder="1"/>
    <xf numFmtId="0" fontId="32" fillId="5" borderId="1" xfId="0" applyFont="1" applyFill="1" applyBorder="1"/>
    <xf numFmtId="0" fontId="24" fillId="5" borderId="2" xfId="0" applyFont="1" applyFill="1" applyBorder="1"/>
    <xf numFmtId="0" fontId="18" fillId="0" borderId="5" xfId="0" applyFont="1" applyBorder="1"/>
    <xf numFmtId="177" fontId="18" fillId="0" borderId="5" xfId="0" applyNumberFormat="1" applyFont="1" applyBorder="1"/>
    <xf numFmtId="177" fontId="24" fillId="5" borderId="3" xfId="0" applyNumberFormat="1" applyFont="1" applyFill="1" applyBorder="1"/>
    <xf numFmtId="177" fontId="32" fillId="5" borderId="3" xfId="0" applyNumberFormat="1" applyFont="1" applyFill="1" applyBorder="1" applyAlignment="1">
      <alignment horizontal="right"/>
    </xf>
    <xf numFmtId="0" fontId="32" fillId="0" borderId="0" xfId="0" applyFont="1" applyFill="1" applyBorder="1"/>
    <xf numFmtId="0" fontId="24" fillId="0" borderId="0" xfId="0" applyFont="1" applyFill="1" applyBorder="1"/>
    <xf numFmtId="0" fontId="18" fillId="0" borderId="0" xfId="0" applyFont="1" applyFill="1" applyBorder="1"/>
    <xf numFmtId="177" fontId="32" fillId="0" borderId="0" xfId="0" applyNumberFormat="1" applyFont="1" applyFill="1" applyBorder="1" applyAlignment="1">
      <alignment horizontal="right"/>
    </xf>
    <xf numFmtId="0" fontId="18" fillId="0" borderId="2" xfId="0" applyFont="1" applyBorder="1"/>
    <xf numFmtId="177" fontId="18" fillId="0" borderId="3" xfId="0" applyNumberFormat="1" applyFont="1" applyBorder="1" applyAlignment="1">
      <alignment horizontal="right"/>
    </xf>
    <xf numFmtId="0" fontId="13" fillId="2" borderId="0" xfId="0" applyFont="1" applyFill="1" applyBorder="1" applyAlignment="1">
      <alignment horizontal="centerContinuous"/>
    </xf>
    <xf numFmtId="0" fontId="12" fillId="2" borderId="0" xfId="0" applyFont="1" applyFill="1" applyBorder="1" applyAlignment="1">
      <alignment horizontal="centerContinuous"/>
    </xf>
    <xf numFmtId="177" fontId="13" fillId="2" borderId="0" xfId="0" applyNumberFormat="1" applyFont="1" applyFill="1" applyBorder="1" applyAlignment="1">
      <alignment horizontal="center"/>
    </xf>
    <xf numFmtId="176" fontId="8" fillId="5" borderId="0" xfId="3" applyNumberFormat="1" applyFont="1" applyFill="1" applyBorder="1"/>
    <xf numFmtId="176" fontId="8" fillId="5" borderId="16" xfId="3" applyNumberFormat="1" applyFont="1" applyFill="1" applyBorder="1"/>
    <xf numFmtId="176" fontId="8" fillId="0" borderId="0" xfId="3" applyNumberFormat="1" applyFont="1" applyBorder="1"/>
    <xf numFmtId="176" fontId="28" fillId="0" borderId="0" xfId="3" applyNumberFormat="1" applyFont="1" applyBorder="1"/>
    <xf numFmtId="10" fontId="9" fillId="0" borderId="0" xfId="0" applyNumberFormat="1" applyFont="1" applyBorder="1"/>
    <xf numFmtId="178" fontId="9" fillId="0" borderId="16" xfId="0" applyNumberFormat="1" applyFont="1" applyBorder="1"/>
    <xf numFmtId="173" fontId="9" fillId="0" borderId="6" xfId="0" applyNumberFormat="1" applyFont="1" applyBorder="1" applyAlignment="1">
      <alignment horizontal="center"/>
    </xf>
    <xf numFmtId="177" fontId="9" fillId="6" borderId="0" xfId="0" applyNumberFormat="1" applyFont="1" applyFill="1" applyBorder="1" applyAlignment="1">
      <alignment horizontal="center"/>
    </xf>
    <xf numFmtId="177" fontId="9" fillId="7" borderId="0" xfId="0" applyNumberFormat="1" applyFont="1" applyFill="1" applyBorder="1" applyAlignment="1">
      <alignment horizontal="center"/>
    </xf>
    <xf numFmtId="177" fontId="23" fillId="7" borderId="0" xfId="0" applyNumberFormat="1" applyFont="1" applyFill="1" applyBorder="1" applyAlignment="1">
      <alignment horizontal="center"/>
    </xf>
    <xf numFmtId="177" fontId="12" fillId="2" borderId="0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3" fillId="0" borderId="0" xfId="0" applyFont="1"/>
    <xf numFmtId="0" fontId="33" fillId="0" borderId="0" xfId="0" applyFont="1" applyAlignment="1">
      <alignment wrapText="1"/>
    </xf>
    <xf numFmtId="179" fontId="2" fillId="0" borderId="0" xfId="1" applyNumberFormat="1" applyFont="1"/>
    <xf numFmtId="179" fontId="3" fillId="0" borderId="0" xfId="1" applyNumberFormat="1" applyFont="1"/>
    <xf numFmtId="179" fontId="0" fillId="0" borderId="0" xfId="0" applyNumberFormat="1"/>
  </cellXfs>
  <cellStyles count="4">
    <cellStyle name="Milliers" xfId="2" builtinId="3"/>
    <cellStyle name="Monétaire" xfId="1" builtinId="4"/>
    <cellStyle name="Normal" xfId="0" builtinId="0"/>
    <cellStyle name="Pourcentag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8F8F8F"/>
      <rgbColor rgb="00000000"/>
      <rgbColor rgb="00CDDFF4"/>
      <rgbColor rgb="000582BE"/>
      <rgbColor rgb="00EBEBEB"/>
      <rgbColor rgb="00010000"/>
      <rgbColor rgb="00000000"/>
      <rgbColor rgb="00000080"/>
      <rgbColor rgb="00808000"/>
      <rgbColor rgb="00800080"/>
      <rgbColor rgb="00008080"/>
      <rgbColor rgb="00C0C0C0"/>
      <rgbColor rgb="00808080"/>
      <rgbColor rgb="000582BE"/>
      <rgbColor rgb="00FF9900"/>
      <rgbColor rgb="00000000"/>
      <rgbColor rgb="00EBEBEB"/>
      <rgbColor rgb="008FA7C8"/>
      <rgbColor rgb="00EFD303"/>
      <rgbColor rgb="00337F7B"/>
      <rgbColor rgb="008F8F8F"/>
      <rgbColor rgb="000582BE"/>
      <rgbColor rgb="00FF9900"/>
      <rgbColor rgb="00000000"/>
      <rgbColor rgb="008FA7C8"/>
      <rgbColor rgb="00EFD303"/>
      <rgbColor rgb="00337F7B"/>
      <rgbColor rgb="008F8F8F"/>
      <rgbColor rgb="00CDDFF4"/>
      <rgbColor rgb="008FA7C8"/>
      <rgbColor rgb="00CCFFFF"/>
      <rgbColor rgb="00CCFFCC"/>
      <rgbColor rgb="00EBEBEB"/>
      <rgbColor rgb="0099CCFF"/>
      <rgbColor rgb="00CDDFF4"/>
      <rgbColor rgb="00CC99FF"/>
      <rgbColor rgb="00BAC983"/>
      <rgbColor rgb="003366FF"/>
      <rgbColor rgb="0033CCCC"/>
      <rgbColor rgb="0099CC00"/>
      <rgbColor rgb="00BEBEBE"/>
      <rgbColor rgb="00FF9900"/>
      <rgbColor rgb="00FF99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  <mruColors>
      <color rgb="FFAFCAFF"/>
      <color rgb="FFD9E6FF"/>
      <color rgb="FF002060"/>
      <color rgb="FF89B0FF"/>
      <color rgb="FF0000FF"/>
      <color rgb="FF5A8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188494496053747E-2"/>
          <c:y val="0.17987371158871712"/>
          <c:w val="0.90417310664605877"/>
          <c:h val="0.69024390243902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Football!$B$7</c:f>
              <c:strCache>
                <c:ptCount val="1"/>
                <c:pt idx="0">
                  <c:v>Low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dLbls>
            <c:numFmt formatCode="\€#,##0.0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Football!$A$8:$A$10</c:f>
              <c:strCache>
                <c:ptCount val="3"/>
                <c:pt idx="0">
                  <c:v>DCF </c:v>
                </c:pt>
                <c:pt idx="1">
                  <c:v>Trading Comparables
11x - 21.8x EV/EBITDA</c:v>
                </c:pt>
                <c:pt idx="2">
                  <c:v>Precedent Transactions
16,8x - 21x EV/EBITDA</c:v>
                </c:pt>
              </c:strCache>
            </c:strRef>
          </c:cat>
          <c:val>
            <c:numRef>
              <c:f>Football!$B$8:$B$10</c:f>
              <c:numCache>
                <c:formatCode>_ * #\ ##0.00_)\ _$_ ;_ * \(#\ ##0.00\)\ _$_ ;_ * "-"??_)\ _$_ ;_ @_ </c:formatCode>
                <c:ptCount val="3"/>
                <c:pt idx="0">
                  <c:v>158</c:v>
                </c:pt>
                <c:pt idx="1">
                  <c:v>179.5</c:v>
                </c:pt>
                <c:pt idx="2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8-4B8D-B03A-30C2D60854FF}"/>
            </c:ext>
          </c:extLst>
        </c:ser>
        <c:ser>
          <c:idx val="2"/>
          <c:order val="1"/>
          <c:tx>
            <c:strRef>
              <c:f>Football!$C$7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rgbClr val="AFCA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Football!$A$8:$A$10</c:f>
              <c:strCache>
                <c:ptCount val="3"/>
                <c:pt idx="0">
                  <c:v>DCF </c:v>
                </c:pt>
                <c:pt idx="1">
                  <c:v>Trading Comparables
11x - 21.8x EV/EBITDA</c:v>
                </c:pt>
                <c:pt idx="2">
                  <c:v>Precedent Transactions
16,8x - 21x EV/EBITDA</c:v>
                </c:pt>
              </c:strCache>
            </c:strRef>
          </c:cat>
          <c:val>
            <c:numRef>
              <c:f>Football!$C$8:$C$10</c:f>
              <c:numCache>
                <c:formatCode>_ * #\ ##0.00_)\ _$_ ;_ * \(#\ ##0.00\)\ _$_ ;_ * "-"??_)\ _$_ ;_ @_ </c:formatCode>
                <c:ptCount val="3"/>
                <c:pt idx="0">
                  <c:v>43</c:v>
                </c:pt>
                <c:pt idx="1">
                  <c:v>176.23000000000002</c:v>
                </c:pt>
                <c:pt idx="2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8-4B8D-B03A-30C2D60854FF}"/>
            </c:ext>
          </c:extLst>
        </c:ser>
        <c:ser>
          <c:idx val="1"/>
          <c:order val="2"/>
          <c:tx>
            <c:strRef>
              <c:f>Football!$D$7</c:f>
              <c:strCache>
                <c:ptCount val="1"/>
                <c:pt idx="0">
                  <c:v>High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dLbls>
            <c:dLbl>
              <c:idx val="1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</c:extLst>
            </c:dLbl>
            <c:numFmt formatCode="\€#,##0.0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Football!$A$8:$A$10</c:f>
              <c:strCache>
                <c:ptCount val="3"/>
                <c:pt idx="0">
                  <c:v>DCF </c:v>
                </c:pt>
                <c:pt idx="1">
                  <c:v>Trading Comparables
11x - 21.8x EV/EBITDA</c:v>
                </c:pt>
                <c:pt idx="2">
                  <c:v>Precedent Transactions
16,8x - 21x EV/EBITDA</c:v>
                </c:pt>
              </c:strCache>
            </c:strRef>
          </c:cat>
          <c:val>
            <c:numRef>
              <c:f>Football!$D$8:$D$10</c:f>
              <c:numCache>
                <c:formatCode>_ * #\ ##0.00_)\ _$_ ;_ * \(#\ ##0.00\)\ _$_ ;_ * "-"??_)\ _$_ ;_ @_ </c:formatCode>
                <c:ptCount val="3"/>
                <c:pt idx="0">
                  <c:v>201</c:v>
                </c:pt>
                <c:pt idx="1">
                  <c:v>355.73</c:v>
                </c:pt>
                <c:pt idx="2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D8-4B8D-B03A-30C2D60854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33270488"/>
        <c:axId val="1"/>
      </c:barChart>
      <c:catAx>
        <c:axId val="633270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633270488"/>
        <c:crosses val="autoZero"/>
        <c:crossBetween val="between"/>
        <c:maj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Comps!$E$3:$E$9</c:f>
              <c:numCache>
                <c:formatCode>0.0\x</c:formatCode>
                <c:ptCount val="7"/>
                <c:pt idx="0">
                  <c:v>13.88</c:v>
                </c:pt>
                <c:pt idx="1">
                  <c:v>19.18</c:v>
                </c:pt>
                <c:pt idx="2">
                  <c:v>14.82</c:v>
                </c:pt>
                <c:pt idx="3">
                  <c:v>21.77</c:v>
                </c:pt>
                <c:pt idx="4">
                  <c:v>16.02</c:v>
                </c:pt>
                <c:pt idx="5">
                  <c:v>10.99</c:v>
                </c:pt>
                <c:pt idx="6">
                  <c:v>15.06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94-465A-937F-E75738216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54282719"/>
        <c:axId val="1254274079"/>
      </c:barChart>
      <c:catAx>
        <c:axId val="1254282719"/>
        <c:scaling>
          <c:orientation val="minMax"/>
        </c:scaling>
        <c:delete val="1"/>
        <c:axPos val="b"/>
        <c:majorTickMark val="none"/>
        <c:minorTickMark val="none"/>
        <c:tickLblPos val="nextTo"/>
        <c:crossAx val="1254274079"/>
        <c:crosses val="autoZero"/>
        <c:auto val="1"/>
        <c:lblAlgn val="ctr"/>
        <c:lblOffset val="100"/>
        <c:noMultiLvlLbl val="0"/>
      </c:catAx>
      <c:valAx>
        <c:axId val="1254274079"/>
        <c:scaling>
          <c:orientation val="minMax"/>
        </c:scaling>
        <c:delete val="1"/>
        <c:axPos val="l"/>
        <c:numFmt formatCode="0.0\x" sourceLinked="1"/>
        <c:majorTickMark val="none"/>
        <c:minorTickMark val="none"/>
        <c:tickLblPos val="nextTo"/>
        <c:crossAx val="125428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12</xdr:row>
      <xdr:rowOff>19050</xdr:rowOff>
    </xdr:from>
    <xdr:to>
      <xdr:col>11</xdr:col>
      <xdr:colOff>228600</xdr:colOff>
      <xdr:row>36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476021-39C8-4D40-82A8-4A4697E02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630088</xdr:colOff>
      <xdr:row>26</xdr:row>
      <xdr:rowOff>111844</xdr:rowOff>
    </xdr:from>
    <xdr:to>
      <xdr:col>11</xdr:col>
      <xdr:colOff>82970</xdr:colOff>
      <xdr:row>26</xdr:row>
      <xdr:rowOff>111844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D71013E9-E47B-4B2B-AAE5-C95317EE14EA}"/>
            </a:ext>
          </a:extLst>
        </xdr:cNvPr>
        <xdr:cNvSpPr>
          <a:spLocks noChangeShapeType="1"/>
        </xdr:cNvSpPr>
      </xdr:nvSpPr>
      <xdr:spPr bwMode="auto">
        <a:xfrm>
          <a:off x="6225277" y="4916278"/>
          <a:ext cx="573099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5</xdr:col>
      <xdr:colOff>591448</xdr:colOff>
      <xdr:row>31</xdr:row>
      <xdr:rowOff>143774</xdr:rowOff>
    </xdr:from>
    <xdr:ext cx="1547347" cy="170431"/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3A2B71B8-6B10-404E-9AE0-A7EB78BED5D6}"/>
            </a:ext>
          </a:extLst>
        </xdr:cNvPr>
        <xdr:cNvSpPr txBox="1">
          <a:spLocks noChangeArrowheads="1"/>
        </xdr:cNvSpPr>
      </xdr:nvSpPr>
      <xdr:spPr bwMode="auto">
        <a:xfrm>
          <a:off x="8199467" y="5786887"/>
          <a:ext cx="1547347" cy="170431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Current share price = €325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181794</xdr:colOff>
      <xdr:row>1</xdr:row>
      <xdr:rowOff>151507</xdr:rowOff>
    </xdr:from>
    <xdr:to>
      <xdr:col>16</xdr:col>
      <xdr:colOff>391809</xdr:colOff>
      <xdr:row>16</xdr:row>
      <xdr:rowOff>81063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C98D83-A24E-9F2A-E977-5C0F7D1EB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showGridLines="0" tabSelected="1" topLeftCell="A6" zoomScale="106" zoomScaleNormal="100" workbookViewId="0">
      <selection activeCell="G9" sqref="G9"/>
    </sheetView>
  </sheetViews>
  <sheetFormatPr baseColWidth="10" defaultColWidth="8.83203125" defaultRowHeight="13" x14ac:dyDescent="0.15"/>
  <cols>
    <col min="1" max="1" width="59" bestFit="1" customWidth="1"/>
    <col min="2" max="2" width="14.5" customWidth="1"/>
    <col min="3" max="5" width="9.6640625" bestFit="1" customWidth="1"/>
    <col min="7" max="7" width="9.6640625" bestFit="1" customWidth="1"/>
    <col min="256" max="256" width="22" customWidth="1"/>
    <col min="257" max="257" width="29.33203125" bestFit="1" customWidth="1"/>
    <col min="512" max="512" width="22" customWidth="1"/>
    <col min="513" max="513" width="29.33203125" bestFit="1" customWidth="1"/>
    <col min="768" max="768" width="22" customWidth="1"/>
    <col min="769" max="769" width="29.33203125" bestFit="1" customWidth="1"/>
    <col min="1024" max="1024" width="22" customWidth="1"/>
    <col min="1025" max="1025" width="29.33203125" bestFit="1" customWidth="1"/>
    <col min="1280" max="1280" width="22" customWidth="1"/>
    <col min="1281" max="1281" width="29.33203125" bestFit="1" customWidth="1"/>
    <col min="1536" max="1536" width="22" customWidth="1"/>
    <col min="1537" max="1537" width="29.33203125" bestFit="1" customWidth="1"/>
    <col min="1792" max="1792" width="22" customWidth="1"/>
    <col min="1793" max="1793" width="29.33203125" bestFit="1" customWidth="1"/>
    <col min="2048" max="2048" width="22" customWidth="1"/>
    <col min="2049" max="2049" width="29.33203125" bestFit="1" customWidth="1"/>
    <col min="2304" max="2304" width="22" customWidth="1"/>
    <col min="2305" max="2305" width="29.33203125" bestFit="1" customWidth="1"/>
    <col min="2560" max="2560" width="22" customWidth="1"/>
    <col min="2561" max="2561" width="29.33203125" bestFit="1" customWidth="1"/>
    <col min="2816" max="2816" width="22" customWidth="1"/>
    <col min="2817" max="2817" width="29.33203125" bestFit="1" customWidth="1"/>
    <col min="3072" max="3072" width="22" customWidth="1"/>
    <col min="3073" max="3073" width="29.33203125" bestFit="1" customWidth="1"/>
    <col min="3328" max="3328" width="22" customWidth="1"/>
    <col min="3329" max="3329" width="29.33203125" bestFit="1" customWidth="1"/>
    <col min="3584" max="3584" width="22" customWidth="1"/>
    <col min="3585" max="3585" width="29.33203125" bestFit="1" customWidth="1"/>
    <col min="3840" max="3840" width="22" customWidth="1"/>
    <col min="3841" max="3841" width="29.33203125" bestFit="1" customWidth="1"/>
    <col min="4096" max="4096" width="22" customWidth="1"/>
    <col min="4097" max="4097" width="29.33203125" bestFit="1" customWidth="1"/>
    <col min="4352" max="4352" width="22" customWidth="1"/>
    <col min="4353" max="4353" width="29.33203125" bestFit="1" customWidth="1"/>
    <col min="4608" max="4608" width="22" customWidth="1"/>
    <col min="4609" max="4609" width="29.33203125" bestFit="1" customWidth="1"/>
    <col min="4864" max="4864" width="22" customWidth="1"/>
    <col min="4865" max="4865" width="29.33203125" bestFit="1" customWidth="1"/>
    <col min="5120" max="5120" width="22" customWidth="1"/>
    <col min="5121" max="5121" width="29.33203125" bestFit="1" customWidth="1"/>
    <col min="5376" max="5376" width="22" customWidth="1"/>
    <col min="5377" max="5377" width="29.33203125" bestFit="1" customWidth="1"/>
    <col min="5632" max="5632" width="22" customWidth="1"/>
    <col min="5633" max="5633" width="29.33203125" bestFit="1" customWidth="1"/>
    <col min="5888" max="5888" width="22" customWidth="1"/>
    <col min="5889" max="5889" width="29.33203125" bestFit="1" customWidth="1"/>
    <col min="6144" max="6144" width="22" customWidth="1"/>
    <col min="6145" max="6145" width="29.33203125" bestFit="1" customWidth="1"/>
    <col min="6400" max="6400" width="22" customWidth="1"/>
    <col min="6401" max="6401" width="29.33203125" bestFit="1" customWidth="1"/>
    <col min="6656" max="6656" width="22" customWidth="1"/>
    <col min="6657" max="6657" width="29.33203125" bestFit="1" customWidth="1"/>
    <col min="6912" max="6912" width="22" customWidth="1"/>
    <col min="6913" max="6913" width="29.33203125" bestFit="1" customWidth="1"/>
    <col min="7168" max="7168" width="22" customWidth="1"/>
    <col min="7169" max="7169" width="29.33203125" bestFit="1" customWidth="1"/>
    <col min="7424" max="7424" width="22" customWidth="1"/>
    <col min="7425" max="7425" width="29.33203125" bestFit="1" customWidth="1"/>
    <col min="7680" max="7680" width="22" customWidth="1"/>
    <col min="7681" max="7681" width="29.33203125" bestFit="1" customWidth="1"/>
    <col min="7936" max="7936" width="22" customWidth="1"/>
    <col min="7937" max="7937" width="29.33203125" bestFit="1" customWidth="1"/>
    <col min="8192" max="8192" width="22" customWidth="1"/>
    <col min="8193" max="8193" width="29.33203125" bestFit="1" customWidth="1"/>
    <col min="8448" max="8448" width="22" customWidth="1"/>
    <col min="8449" max="8449" width="29.33203125" bestFit="1" customWidth="1"/>
    <col min="8704" max="8704" width="22" customWidth="1"/>
    <col min="8705" max="8705" width="29.33203125" bestFit="1" customWidth="1"/>
    <col min="8960" max="8960" width="22" customWidth="1"/>
    <col min="8961" max="8961" width="29.33203125" bestFit="1" customWidth="1"/>
    <col min="9216" max="9216" width="22" customWidth="1"/>
    <col min="9217" max="9217" width="29.33203125" bestFit="1" customWidth="1"/>
    <col min="9472" max="9472" width="22" customWidth="1"/>
    <col min="9473" max="9473" width="29.33203125" bestFit="1" customWidth="1"/>
    <col min="9728" max="9728" width="22" customWidth="1"/>
    <col min="9729" max="9729" width="29.33203125" bestFit="1" customWidth="1"/>
    <col min="9984" max="9984" width="22" customWidth="1"/>
    <col min="9985" max="9985" width="29.33203125" bestFit="1" customWidth="1"/>
    <col min="10240" max="10240" width="22" customWidth="1"/>
    <col min="10241" max="10241" width="29.33203125" bestFit="1" customWidth="1"/>
    <col min="10496" max="10496" width="22" customWidth="1"/>
    <col min="10497" max="10497" width="29.33203125" bestFit="1" customWidth="1"/>
    <col min="10752" max="10752" width="22" customWidth="1"/>
    <col min="10753" max="10753" width="29.33203125" bestFit="1" customWidth="1"/>
    <col min="11008" max="11008" width="22" customWidth="1"/>
    <col min="11009" max="11009" width="29.33203125" bestFit="1" customWidth="1"/>
    <col min="11264" max="11264" width="22" customWidth="1"/>
    <col min="11265" max="11265" width="29.33203125" bestFit="1" customWidth="1"/>
    <col min="11520" max="11520" width="22" customWidth="1"/>
    <col min="11521" max="11521" width="29.33203125" bestFit="1" customWidth="1"/>
    <col min="11776" max="11776" width="22" customWidth="1"/>
    <col min="11777" max="11777" width="29.33203125" bestFit="1" customWidth="1"/>
    <col min="12032" max="12032" width="22" customWidth="1"/>
    <col min="12033" max="12033" width="29.33203125" bestFit="1" customWidth="1"/>
    <col min="12288" max="12288" width="22" customWidth="1"/>
    <col min="12289" max="12289" width="29.33203125" bestFit="1" customWidth="1"/>
    <col min="12544" max="12544" width="22" customWidth="1"/>
    <col min="12545" max="12545" width="29.33203125" bestFit="1" customWidth="1"/>
    <col min="12800" max="12800" width="22" customWidth="1"/>
    <col min="12801" max="12801" width="29.33203125" bestFit="1" customWidth="1"/>
    <col min="13056" max="13056" width="22" customWidth="1"/>
    <col min="13057" max="13057" width="29.33203125" bestFit="1" customWidth="1"/>
    <col min="13312" max="13312" width="22" customWidth="1"/>
    <col min="13313" max="13313" width="29.33203125" bestFit="1" customWidth="1"/>
    <col min="13568" max="13568" width="22" customWidth="1"/>
    <col min="13569" max="13569" width="29.33203125" bestFit="1" customWidth="1"/>
    <col min="13824" max="13824" width="22" customWidth="1"/>
    <col min="13825" max="13825" width="29.33203125" bestFit="1" customWidth="1"/>
    <col min="14080" max="14080" width="22" customWidth="1"/>
    <col min="14081" max="14081" width="29.33203125" bestFit="1" customWidth="1"/>
    <col min="14336" max="14336" width="22" customWidth="1"/>
    <col min="14337" max="14337" width="29.33203125" bestFit="1" customWidth="1"/>
    <col min="14592" max="14592" width="22" customWidth="1"/>
    <col min="14593" max="14593" width="29.33203125" bestFit="1" customWidth="1"/>
    <col min="14848" max="14848" width="22" customWidth="1"/>
    <col min="14849" max="14849" width="29.33203125" bestFit="1" customWidth="1"/>
    <col min="15104" max="15104" width="22" customWidth="1"/>
    <col min="15105" max="15105" width="29.33203125" bestFit="1" customWidth="1"/>
    <col min="15360" max="15360" width="22" customWidth="1"/>
    <col min="15361" max="15361" width="29.33203125" bestFit="1" customWidth="1"/>
    <col min="15616" max="15616" width="22" customWidth="1"/>
    <col min="15617" max="15617" width="29.33203125" bestFit="1" customWidth="1"/>
    <col min="15872" max="15872" width="22" customWidth="1"/>
    <col min="15873" max="15873" width="29.33203125" bestFit="1" customWidth="1"/>
    <col min="16128" max="16128" width="22" customWidth="1"/>
    <col min="16129" max="16129" width="29.33203125" bestFit="1" customWidth="1"/>
  </cols>
  <sheetData>
    <row r="1" spans="1:13" ht="19" thickBot="1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6" spans="1:13" x14ac:dyDescent="0.15">
      <c r="A6" t="s">
        <v>1</v>
      </c>
      <c r="B6" s="5"/>
    </row>
    <row r="7" spans="1:13" ht="12.75" customHeight="1" x14ac:dyDescent="0.15">
      <c r="B7" s="2" t="s">
        <v>2</v>
      </c>
      <c r="C7" s="2" t="s">
        <v>3</v>
      </c>
      <c r="D7" s="2" t="s">
        <v>4</v>
      </c>
      <c r="E7" s="2" t="s">
        <v>5</v>
      </c>
    </row>
    <row r="8" spans="1:13" x14ac:dyDescent="0.15">
      <c r="A8" s="185" t="s">
        <v>89</v>
      </c>
      <c r="B8" s="187">
        <v>158</v>
      </c>
      <c r="C8" s="188">
        <f>D8-B8</f>
        <v>43</v>
      </c>
      <c r="D8" s="187">
        <v>201</v>
      </c>
      <c r="E8" s="188">
        <f>AVERAGE(D8,B8)</f>
        <v>179.5</v>
      </c>
    </row>
    <row r="9" spans="1:13" ht="28" x14ac:dyDescent="0.15">
      <c r="A9" s="186" t="s">
        <v>90</v>
      </c>
      <c r="B9" s="187">
        <v>179.5</v>
      </c>
      <c r="C9" s="188">
        <f>D9-B9</f>
        <v>176.23000000000002</v>
      </c>
      <c r="D9" s="187">
        <v>355.73</v>
      </c>
      <c r="E9" s="188">
        <f>AVERAGE(D9,B9)</f>
        <v>267.61500000000001</v>
      </c>
      <c r="G9" s="189"/>
      <c r="H9" s="189"/>
    </row>
    <row r="10" spans="1:13" ht="28" x14ac:dyDescent="0.15">
      <c r="A10" s="186" t="s">
        <v>93</v>
      </c>
      <c r="B10" s="187">
        <v>274</v>
      </c>
      <c r="C10" s="188">
        <f>D10-B10</f>
        <v>68</v>
      </c>
      <c r="D10" s="187">
        <v>342</v>
      </c>
      <c r="E10" s="188">
        <f>AVERAGE(D10,B10)</f>
        <v>308</v>
      </c>
    </row>
    <row r="11" spans="1:13" x14ac:dyDescent="0.15">
      <c r="A11" s="95" t="s">
        <v>92</v>
      </c>
      <c r="E11" s="1"/>
    </row>
    <row r="48" spans="2:4" x14ac:dyDescent="0.15">
      <c r="B48" s="183" t="s">
        <v>4</v>
      </c>
      <c r="C48" s="183" t="s">
        <v>2</v>
      </c>
      <c r="D48" s="2" t="s">
        <v>5</v>
      </c>
    </row>
    <row r="49" spans="1:4" x14ac:dyDescent="0.15">
      <c r="A49" s="95" t="s">
        <v>94</v>
      </c>
      <c r="B49" s="182">
        <v>201</v>
      </c>
      <c r="C49" s="184">
        <v>158</v>
      </c>
      <c r="D49" s="182">
        <f>AVERAGE(B49,C49)</f>
        <v>179.5</v>
      </c>
    </row>
    <row r="50" spans="1:4" x14ac:dyDescent="0.15">
      <c r="A50" s="95" t="s">
        <v>95</v>
      </c>
      <c r="B50" s="183">
        <f>11*(D49/11)</f>
        <v>179.49999999999997</v>
      </c>
      <c r="C50" s="184">
        <f>21.8*(D49/11)</f>
        <v>355.73636363636359</v>
      </c>
      <c r="D50" s="184">
        <f>AVERAGE(B50,C50)</f>
        <v>267.61818181818177</v>
      </c>
    </row>
    <row r="51" spans="1:4" x14ac:dyDescent="0.15">
      <c r="A51" s="95" t="s">
        <v>91</v>
      </c>
      <c r="B51" s="183">
        <f>16.8*(D49/11)</f>
        <v>274.14545454545453</v>
      </c>
      <c r="C51" s="184">
        <f>21*(D49/11)</f>
        <v>342.68181818181813</v>
      </c>
      <c r="D51" s="184">
        <f>AVERAGE(B51,C51)</f>
        <v>308.41363636363633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0994-CC68-0040-8265-D5C72B298112}">
  <dimension ref="B2:Z38"/>
  <sheetViews>
    <sheetView showGridLines="0" view="pageBreakPreview" zoomScale="141" zoomScaleNormal="150" zoomScaleSheetLayoutView="100" workbookViewId="0"/>
  </sheetViews>
  <sheetFormatPr baseColWidth="10" defaultColWidth="11.5" defaultRowHeight="11" outlineLevelCol="1" x14ac:dyDescent="0.15"/>
  <cols>
    <col min="1" max="1" width="1.6640625" style="105" customWidth="1"/>
    <col min="2" max="4" width="9.6640625" style="105" customWidth="1"/>
    <col min="5" max="11" width="9.33203125" style="105" hidden="1" customWidth="1" outlineLevel="1"/>
    <col min="12" max="12" width="9.6640625" style="105" customWidth="1" collapsed="1"/>
    <col min="13" max="24" width="9.6640625" style="105" customWidth="1"/>
    <col min="25" max="25" width="1.6640625" style="105" customWidth="1"/>
    <col min="26" max="16384" width="11.5" style="105"/>
  </cols>
  <sheetData>
    <row r="2" spans="2:26" ht="12" thickBot="1" x14ac:dyDescent="0.2"/>
    <row r="3" spans="2:26" ht="13" thickTop="1" thickBot="1" x14ac:dyDescent="0.2">
      <c r="E3" s="25" t="s">
        <v>42</v>
      </c>
      <c r="F3" s="26"/>
      <c r="G3" s="26"/>
      <c r="H3" s="26"/>
      <c r="I3" s="26"/>
      <c r="J3" s="27"/>
      <c r="K3" s="28" t="s">
        <v>43</v>
      </c>
      <c r="L3" s="25" t="s">
        <v>44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2:26" s="15" customFormat="1" ht="12" thickTop="1" x14ac:dyDescent="0.15">
      <c r="B4" s="14" t="s">
        <v>39</v>
      </c>
      <c r="C4" s="14"/>
      <c r="D4" s="14"/>
      <c r="E4" s="124">
        <v>2017</v>
      </c>
      <c r="F4" s="124">
        <f>E4+1</f>
        <v>2018</v>
      </c>
      <c r="G4" s="124">
        <f t="shared" ref="G4:Q4" si="0">F4+1</f>
        <v>2019</v>
      </c>
      <c r="H4" s="124">
        <f t="shared" si="0"/>
        <v>2020</v>
      </c>
      <c r="I4" s="124">
        <f t="shared" si="0"/>
        <v>2021</v>
      </c>
      <c r="J4" s="124">
        <f>I4+1</f>
        <v>2022</v>
      </c>
      <c r="K4" s="125">
        <f t="shared" si="0"/>
        <v>2023</v>
      </c>
      <c r="L4" s="126">
        <f t="shared" si="0"/>
        <v>2024</v>
      </c>
      <c r="M4" s="126">
        <f t="shared" si="0"/>
        <v>2025</v>
      </c>
      <c r="N4" s="126">
        <f t="shared" si="0"/>
        <v>2026</v>
      </c>
      <c r="O4" s="126">
        <f t="shared" si="0"/>
        <v>2027</v>
      </c>
      <c r="P4" s="126">
        <f t="shared" si="0"/>
        <v>2028</v>
      </c>
      <c r="Q4" s="126">
        <f t="shared" si="0"/>
        <v>2029</v>
      </c>
      <c r="R4" s="126">
        <f t="shared" ref="R4" si="1">Q4+1</f>
        <v>2030</v>
      </c>
      <c r="S4" s="126">
        <f t="shared" ref="S4" si="2">R4+1</f>
        <v>2031</v>
      </c>
      <c r="T4" s="126">
        <f t="shared" ref="T4" si="3">S4+1</f>
        <v>2032</v>
      </c>
      <c r="U4" s="126">
        <f t="shared" ref="U4" si="4">T4+1</f>
        <v>2033</v>
      </c>
      <c r="V4" s="126">
        <f t="shared" ref="V4" si="5">U4+1</f>
        <v>2034</v>
      </c>
      <c r="W4" s="126">
        <f t="shared" ref="W4" si="6">V4+1</f>
        <v>2035</v>
      </c>
      <c r="X4" s="41" t="s">
        <v>6</v>
      </c>
      <c r="Y4" s="105"/>
      <c r="Z4" s="105"/>
    </row>
    <row r="6" spans="2:26" s="108" customFormat="1" x14ac:dyDescent="0.15">
      <c r="B6" s="107" t="s">
        <v>41</v>
      </c>
      <c r="C6" s="107"/>
      <c r="D6" s="107"/>
      <c r="E6" s="145">
        <v>26024</v>
      </c>
      <c r="F6" s="145">
        <v>26938</v>
      </c>
      <c r="G6" s="145">
        <v>29874</v>
      </c>
      <c r="H6" s="145">
        <v>27992</v>
      </c>
      <c r="I6" s="145">
        <v>32288</v>
      </c>
      <c r="J6" s="145">
        <v>38034</v>
      </c>
      <c r="K6" s="145">
        <v>41795</v>
      </c>
      <c r="L6" s="145">
        <v>44174</v>
      </c>
      <c r="M6" s="146">
        <f>L6*(1+M7)</f>
        <v>46382.700000000004</v>
      </c>
      <c r="N6" s="146">
        <f t="shared" ref="N6:P6" si="7">M6*(1+N7)</f>
        <v>48585.878250000009</v>
      </c>
      <c r="O6" s="146">
        <f t="shared" si="7"/>
        <v>50772.242771250007</v>
      </c>
      <c r="P6" s="146">
        <f t="shared" si="7"/>
        <v>52930.063089028132</v>
      </c>
      <c r="Q6" s="146">
        <f t="shared" ref="Q6" si="8">P6*(1+Q7)</f>
        <v>55047.265612589261</v>
      </c>
      <c r="R6" s="146">
        <f t="shared" ref="R6" si="9">Q6*(1+R7)</f>
        <v>57111.538073061362</v>
      </c>
      <c r="S6" s="146">
        <f t="shared" ref="S6" si="10">R6*(1+S7)</f>
        <v>59110.441905618507</v>
      </c>
      <c r="T6" s="146">
        <f t="shared" ref="T6" si="11">S6*(1+T7)</f>
        <v>61031.531267551109</v>
      </c>
      <c r="U6" s="146">
        <f t="shared" ref="U6" si="12">T6*(1+U7)</f>
        <v>62862.477205577641</v>
      </c>
      <c r="V6" s="146">
        <f t="shared" ref="V6" si="13">U6*(1+V7)</f>
        <v>64591.195328731032</v>
      </c>
      <c r="W6" s="146">
        <f t="shared" ref="W6:X6" si="14">V6*(1+W7)</f>
        <v>66205.975211949306</v>
      </c>
      <c r="X6" s="146">
        <f t="shared" si="14"/>
        <v>66205.975211949306</v>
      </c>
      <c r="Y6" s="105"/>
      <c r="Z6" s="105"/>
    </row>
    <row r="7" spans="2:26" s="113" customFormat="1" x14ac:dyDescent="0.15">
      <c r="B7" s="109" t="s">
        <v>45</v>
      </c>
      <c r="C7" s="109"/>
      <c r="D7" s="109"/>
      <c r="E7" s="110"/>
      <c r="F7" s="111">
        <f>F6/E6-1</f>
        <v>3.5121426375653186E-2</v>
      </c>
      <c r="G7" s="111">
        <f t="shared" ref="G7:L7" si="15">G6/F6-1</f>
        <v>0.10899101640804809</v>
      </c>
      <c r="H7" s="111">
        <f t="shared" si="15"/>
        <v>-6.29979246167236E-2</v>
      </c>
      <c r="I7" s="111">
        <f t="shared" si="15"/>
        <v>0.15347242069162625</v>
      </c>
      <c r="J7" s="111">
        <f>J6/I6-1</f>
        <v>0.17796085232903858</v>
      </c>
      <c r="K7" s="111">
        <f t="shared" si="15"/>
        <v>9.888520797181477E-2</v>
      </c>
      <c r="L7" s="173">
        <f t="shared" si="15"/>
        <v>5.6920684292379509E-2</v>
      </c>
      <c r="M7" s="128">
        <v>0.05</v>
      </c>
      <c r="N7" s="128">
        <f>M7-0.25%</f>
        <v>4.7500000000000001E-2</v>
      </c>
      <c r="O7" s="128">
        <f t="shared" ref="O7:W7" si="16">N7-0.25%</f>
        <v>4.4999999999999998E-2</v>
      </c>
      <c r="P7" s="128">
        <f t="shared" si="16"/>
        <v>4.2499999999999996E-2</v>
      </c>
      <c r="Q7" s="128">
        <f t="shared" si="16"/>
        <v>3.9999999999999994E-2</v>
      </c>
      <c r="R7" s="128">
        <f t="shared" si="16"/>
        <v>3.7499999999999992E-2</v>
      </c>
      <c r="S7" s="128">
        <f t="shared" si="16"/>
        <v>3.4999999999999989E-2</v>
      </c>
      <c r="T7" s="128">
        <f t="shared" si="16"/>
        <v>3.2499999999999987E-2</v>
      </c>
      <c r="U7" s="128">
        <f t="shared" si="16"/>
        <v>2.9999999999999988E-2</v>
      </c>
      <c r="V7" s="128">
        <f t="shared" si="16"/>
        <v>2.749999999999999E-2</v>
      </c>
      <c r="W7" s="128">
        <f t="shared" si="16"/>
        <v>2.4999999999999991E-2</v>
      </c>
      <c r="X7" s="128">
        <v>0</v>
      </c>
      <c r="Y7" s="105"/>
      <c r="Z7" s="105"/>
    </row>
    <row r="8" spans="2:26" s="108" customFormat="1" x14ac:dyDescent="0.15">
      <c r="B8" s="107" t="s">
        <v>46</v>
      </c>
      <c r="C8" s="107"/>
      <c r="D8" s="107"/>
      <c r="E8" s="145">
        <v>5895</v>
      </c>
      <c r="F8" s="145">
        <v>6031</v>
      </c>
      <c r="G8" s="145">
        <v>7506</v>
      </c>
      <c r="H8" s="145">
        <v>7237</v>
      </c>
      <c r="I8" s="145">
        <v>7941</v>
      </c>
      <c r="J8" s="145">
        <v>9358</v>
      </c>
      <c r="K8" s="145">
        <v>10419</v>
      </c>
      <c r="L8" s="145">
        <v>11004</v>
      </c>
      <c r="M8" s="146">
        <f>M9*M6</f>
        <v>11786.113500000001</v>
      </c>
      <c r="N8" s="146">
        <f t="shared" ref="N8:X8" si="17">N9*N6</f>
        <v>12588.883282500003</v>
      </c>
      <c r="O8" s="146">
        <f t="shared" si="17"/>
        <v>13409.244244068752</v>
      </c>
      <c r="P8" s="146">
        <f t="shared" si="17"/>
        <v>14243.787439886815</v>
      </c>
      <c r="Q8" s="146">
        <f t="shared" si="17"/>
        <v>15088.775265545235</v>
      </c>
      <c r="R8" s="146">
        <f t="shared" ref="R8" si="18">R9*R6</f>
        <v>15940.16202836849</v>
      </c>
      <c r="S8" s="146">
        <f t="shared" ref="S8:W8" si="19">S9*S6</f>
        <v>16793.619908889479</v>
      </c>
      <c r="T8" s="146">
        <f t="shared" si="19"/>
        <v>17644.570212266142</v>
      </c>
      <c r="U8" s="146">
        <f t="shared" si="19"/>
        <v>18488.219704662017</v>
      </c>
      <c r="V8" s="146">
        <f t="shared" si="19"/>
        <v>19319.601723183878</v>
      </c>
      <c r="W8" s="146">
        <f t="shared" si="19"/>
        <v>20133.621642323222</v>
      </c>
      <c r="X8" s="146">
        <f t="shared" si="17"/>
        <v>20133.621642323222</v>
      </c>
      <c r="Y8" s="105"/>
      <c r="Z8" s="105"/>
    </row>
    <row r="9" spans="2:26" s="113" customFormat="1" x14ac:dyDescent="0.15">
      <c r="B9" s="109" t="s">
        <v>47</v>
      </c>
      <c r="C9" s="109"/>
      <c r="D9" s="109"/>
      <c r="E9" s="104">
        <f>E8/E6</f>
        <v>0.22652167230249001</v>
      </c>
      <c r="F9" s="104">
        <f t="shared" ref="F9:L9" si="20">F8/F6</f>
        <v>0.22388447546217238</v>
      </c>
      <c r="G9" s="104">
        <f t="shared" si="20"/>
        <v>0.25125527214300059</v>
      </c>
      <c r="H9" s="104">
        <f t="shared" si="20"/>
        <v>0.25853815375821665</v>
      </c>
      <c r="I9" s="104">
        <f t="shared" si="20"/>
        <v>0.24594276511397423</v>
      </c>
      <c r="J9" s="104">
        <f t="shared" si="20"/>
        <v>0.24604301414523846</v>
      </c>
      <c r="K9" s="104">
        <f t="shared" si="20"/>
        <v>0.24928819236750807</v>
      </c>
      <c r="L9" s="173">
        <f t="shared" si="20"/>
        <v>0.24910580884683298</v>
      </c>
      <c r="M9" s="128">
        <f>L9+0.5%</f>
        <v>0.25410580884683298</v>
      </c>
      <c r="N9" s="128">
        <f t="shared" ref="N9:W9" si="21">M9+0.5%</f>
        <v>0.25910580884683299</v>
      </c>
      <c r="O9" s="128">
        <f t="shared" si="21"/>
        <v>0.26410580884683299</v>
      </c>
      <c r="P9" s="128">
        <f t="shared" si="21"/>
        <v>0.26910580884683299</v>
      </c>
      <c r="Q9" s="128">
        <f t="shared" si="21"/>
        <v>0.274105808846833</v>
      </c>
      <c r="R9" s="128">
        <f t="shared" si="21"/>
        <v>0.279105808846833</v>
      </c>
      <c r="S9" s="128">
        <f t="shared" si="21"/>
        <v>0.28410580884683301</v>
      </c>
      <c r="T9" s="128">
        <f t="shared" si="21"/>
        <v>0.28910580884683301</v>
      </c>
      <c r="U9" s="128">
        <f t="shared" si="21"/>
        <v>0.29410580884683302</v>
      </c>
      <c r="V9" s="128">
        <f t="shared" si="21"/>
        <v>0.29910580884683302</v>
      </c>
      <c r="W9" s="128">
        <f t="shared" si="21"/>
        <v>0.30410580884683303</v>
      </c>
      <c r="X9" s="174">
        <f>W9</f>
        <v>0.30410580884683303</v>
      </c>
      <c r="Y9" s="105"/>
      <c r="Z9" s="105"/>
    </row>
    <row r="10" spans="2:26" s="113" customFormat="1" x14ac:dyDescent="0.15">
      <c r="B10" s="105" t="s">
        <v>9</v>
      </c>
      <c r="C10" s="105"/>
      <c r="D10" s="105"/>
      <c r="E10" s="139">
        <v>-1219</v>
      </c>
      <c r="F10" s="139">
        <v>-1109</v>
      </c>
      <c r="G10" s="139">
        <v>-1958</v>
      </c>
      <c r="H10" s="139">
        <v>-2028</v>
      </c>
      <c r="I10" s="139">
        <v>-1781</v>
      </c>
      <c r="J10" s="139">
        <v>-1921</v>
      </c>
      <c r="K10" s="139">
        <v>-2052</v>
      </c>
      <c r="L10" s="139">
        <v>-2127</v>
      </c>
      <c r="M10" s="142">
        <f t="shared" ref="M10:X10" si="22">M11*M19</f>
        <v>-1929.786095233447</v>
      </c>
      <c r="N10" s="142">
        <f t="shared" si="22"/>
        <v>-1995.9433486757862</v>
      </c>
      <c r="O10" s="142">
        <f t="shared" si="22"/>
        <v>-2059.1053719112901</v>
      </c>
      <c r="P10" s="142">
        <f t="shared" si="22"/>
        <v>-2118.8290670957804</v>
      </c>
      <c r="Q10" s="142">
        <f t="shared" si="22"/>
        <v>-2174.6824153330026</v>
      </c>
      <c r="R10" s="142">
        <f t="shared" si="22"/>
        <v>-2226.2494484196332</v>
      </c>
      <c r="S10" s="142">
        <f t="shared" si="22"/>
        <v>-2273.1351971138711</v>
      </c>
      <c r="T10" s="142">
        <f t="shared" si="22"/>
        <v>-2314.9705371046075</v>
      </c>
      <c r="U10" s="142">
        <f t="shared" si="22"/>
        <v>-2351.4168526848175</v>
      </c>
      <c r="V10" s="142">
        <f t="shared" si="22"/>
        <v>-2382.1704385860667</v>
      </c>
      <c r="W10" s="142">
        <f t="shared" si="22"/>
        <v>-2406.9665625644452</v>
      </c>
      <c r="X10" s="142">
        <f t="shared" si="22"/>
        <v>-2317.2091324182261</v>
      </c>
      <c r="Y10" s="105"/>
      <c r="Z10" s="105"/>
    </row>
    <row r="11" spans="2:26" s="113" customFormat="1" x14ac:dyDescent="0.15">
      <c r="B11" s="109" t="s">
        <v>48</v>
      </c>
      <c r="C11" s="109"/>
      <c r="D11" s="109"/>
      <c r="E11" s="114">
        <f t="shared" ref="E11:L11" si="23">E10/E19</f>
        <v>0.96439873417721522</v>
      </c>
      <c r="F11" s="114">
        <f t="shared" si="23"/>
        <v>0.78319209039548021</v>
      </c>
      <c r="G11" s="114">
        <f t="shared" si="23"/>
        <v>1.5905767668562145</v>
      </c>
      <c r="H11" s="114">
        <f t="shared" si="23"/>
        <v>2.0864197530864197</v>
      </c>
      <c r="I11" s="114">
        <f t="shared" si="23"/>
        <v>1.6567441860465115</v>
      </c>
      <c r="J11" s="114">
        <f t="shared" si="23"/>
        <v>1.443275732531931</v>
      </c>
      <c r="K11" s="114">
        <f t="shared" si="23"/>
        <v>1.4025974025974026</v>
      </c>
      <c r="L11" s="173">
        <f t="shared" si="23"/>
        <v>1.2037351443123938</v>
      </c>
      <c r="M11" s="128">
        <f>L11-1.5%</f>
        <v>1.1887351443123939</v>
      </c>
      <c r="N11" s="128">
        <f t="shared" ref="N11:W11" si="24">M11-1.5%</f>
        <v>1.173735144312394</v>
      </c>
      <c r="O11" s="128">
        <f t="shared" si="24"/>
        <v>1.1587351443123941</v>
      </c>
      <c r="P11" s="128">
        <f t="shared" si="24"/>
        <v>1.1437351443123942</v>
      </c>
      <c r="Q11" s="128">
        <f t="shared" si="24"/>
        <v>1.1287351443123943</v>
      </c>
      <c r="R11" s="128">
        <f t="shared" si="24"/>
        <v>1.1137351443123944</v>
      </c>
      <c r="S11" s="128">
        <f t="shared" si="24"/>
        <v>1.0987351443123945</v>
      </c>
      <c r="T11" s="128">
        <f t="shared" si="24"/>
        <v>1.0837351443123946</v>
      </c>
      <c r="U11" s="128">
        <f t="shared" si="24"/>
        <v>1.0687351443123947</v>
      </c>
      <c r="V11" s="128">
        <f t="shared" si="24"/>
        <v>1.0537351443123948</v>
      </c>
      <c r="W11" s="128">
        <f t="shared" si="24"/>
        <v>1.0387351443123949</v>
      </c>
      <c r="X11" s="173">
        <v>1</v>
      </c>
      <c r="Y11" s="105"/>
      <c r="Z11" s="105"/>
    </row>
    <row r="12" spans="2:26" s="108" customFormat="1" x14ac:dyDescent="0.15">
      <c r="B12" s="107" t="s">
        <v>7</v>
      </c>
      <c r="C12" s="107"/>
      <c r="D12" s="107"/>
      <c r="E12" s="144">
        <f>E10+E8</f>
        <v>4676</v>
      </c>
      <c r="F12" s="144">
        <f t="shared" ref="F12:X12" si="25">F10+F8</f>
        <v>4922</v>
      </c>
      <c r="G12" s="144">
        <f t="shared" si="25"/>
        <v>5548</v>
      </c>
      <c r="H12" s="144">
        <f t="shared" si="25"/>
        <v>5209</v>
      </c>
      <c r="I12" s="144">
        <f t="shared" si="25"/>
        <v>6160</v>
      </c>
      <c r="J12" s="144">
        <f t="shared" si="25"/>
        <v>7437</v>
      </c>
      <c r="K12" s="144">
        <f t="shared" si="25"/>
        <v>8367</v>
      </c>
      <c r="L12" s="144">
        <f t="shared" si="25"/>
        <v>8877</v>
      </c>
      <c r="M12" s="144">
        <f t="shared" si="25"/>
        <v>9856.3274047665545</v>
      </c>
      <c r="N12" s="144">
        <f t="shared" si="25"/>
        <v>10592.939933824216</v>
      </c>
      <c r="O12" s="144">
        <f t="shared" si="25"/>
        <v>11350.138872157462</v>
      </c>
      <c r="P12" s="144">
        <f t="shared" si="25"/>
        <v>12124.958372791036</v>
      </c>
      <c r="Q12" s="144">
        <f t="shared" si="25"/>
        <v>12914.092850212233</v>
      </c>
      <c r="R12" s="144">
        <f t="shared" ref="R12" si="26">R10+R8</f>
        <v>13713.912579948857</v>
      </c>
      <c r="S12" s="144">
        <f t="shared" ref="S12:W12" si="27">S10+S8</f>
        <v>14520.484711775607</v>
      </c>
      <c r="T12" s="144">
        <f t="shared" si="27"/>
        <v>15329.599675161535</v>
      </c>
      <c r="U12" s="144">
        <f t="shared" si="27"/>
        <v>16136.8028519772</v>
      </c>
      <c r="V12" s="144">
        <f t="shared" si="27"/>
        <v>16937.431284597813</v>
      </c>
      <c r="W12" s="144">
        <f t="shared" si="27"/>
        <v>17726.655079758777</v>
      </c>
      <c r="X12" s="144">
        <f t="shared" si="25"/>
        <v>17816.412509904996</v>
      </c>
      <c r="Y12" s="105"/>
      <c r="Z12" s="105"/>
    </row>
    <row r="13" spans="2:26" s="113" customFormat="1" x14ac:dyDescent="0.15">
      <c r="B13" s="109" t="s">
        <v>47</v>
      </c>
      <c r="C13" s="109"/>
      <c r="D13" s="109"/>
      <c r="E13" s="104">
        <f>E12/E6</f>
        <v>0.17968029511220412</v>
      </c>
      <c r="F13" s="104">
        <f t="shared" ref="F13:X13" si="28">F12/F6</f>
        <v>0.1827158660628109</v>
      </c>
      <c r="G13" s="104">
        <f t="shared" si="28"/>
        <v>0.18571332931646248</v>
      </c>
      <c r="H13" s="104">
        <f t="shared" si="28"/>
        <v>0.18608888253786796</v>
      </c>
      <c r="I13" s="104">
        <f t="shared" si="28"/>
        <v>0.19078295341922696</v>
      </c>
      <c r="J13" s="104">
        <f t="shared" si="28"/>
        <v>0.19553557343429562</v>
      </c>
      <c r="K13" s="104">
        <f t="shared" si="28"/>
        <v>0.20019141045579614</v>
      </c>
      <c r="L13" s="104">
        <f t="shared" si="28"/>
        <v>0.20095531308009237</v>
      </c>
      <c r="M13" s="104">
        <f t="shared" si="28"/>
        <v>0.21250007879589919</v>
      </c>
      <c r="N13" s="104">
        <f t="shared" si="28"/>
        <v>0.21802507879589919</v>
      </c>
      <c r="O13" s="104">
        <f t="shared" si="28"/>
        <v>0.22355007879589919</v>
      </c>
      <c r="P13" s="104">
        <f t="shared" si="28"/>
        <v>0.22907507879589922</v>
      </c>
      <c r="Q13" s="104">
        <f>Q12/Q6</f>
        <v>0.2346000787958992</v>
      </c>
      <c r="R13" s="104">
        <f t="shared" ref="R13" si="29">R12/R6</f>
        <v>0.24012507879589923</v>
      </c>
      <c r="S13" s="104">
        <f t="shared" ref="S13" si="30">S12/S6</f>
        <v>0.24565007879589917</v>
      </c>
      <c r="T13" s="104">
        <f t="shared" ref="T13" si="31">T12/T6</f>
        <v>0.25117507879589918</v>
      </c>
      <c r="U13" s="104">
        <f t="shared" ref="U13" si="32">U12/U6</f>
        <v>0.25670007879589923</v>
      </c>
      <c r="V13" s="104">
        <f t="shared" ref="V13" si="33">V12/V6</f>
        <v>0.26222507879589924</v>
      </c>
      <c r="W13" s="104">
        <f t="shared" ref="W13" si="34">W12/W6</f>
        <v>0.26775007879589924</v>
      </c>
      <c r="X13" s="104">
        <f t="shared" si="28"/>
        <v>0.26910580884683305</v>
      </c>
      <c r="Y13" s="105"/>
      <c r="Z13" s="105"/>
    </row>
    <row r="14" spans="2:26" s="113" customFormat="1" x14ac:dyDescent="0.15">
      <c r="B14" s="105" t="s">
        <v>66</v>
      </c>
      <c r="C14" s="105"/>
      <c r="D14" s="105"/>
      <c r="E14" s="139">
        <v>-1178</v>
      </c>
      <c r="F14" s="139">
        <v>-1379</v>
      </c>
      <c r="G14" s="139">
        <v>-2094</v>
      </c>
      <c r="H14" s="139">
        <v>-1919</v>
      </c>
      <c r="I14" s="139">
        <v>-1877</v>
      </c>
      <c r="J14" s="139">
        <v>-1943</v>
      </c>
      <c r="K14" s="139">
        <v>-2188</v>
      </c>
      <c r="L14" s="139">
        <v>-2340</v>
      </c>
      <c r="M14" s="143">
        <f>-M15*M12</f>
        <v>-2464.0818511916386</v>
      </c>
      <c r="N14" s="143">
        <f t="shared" ref="N14:X14" si="35">-N15*N12</f>
        <v>-2648.2349834560541</v>
      </c>
      <c r="O14" s="143">
        <f t="shared" si="35"/>
        <v>-2837.5347180393655</v>
      </c>
      <c r="P14" s="143">
        <f t="shared" si="35"/>
        <v>-3031.2395931977589</v>
      </c>
      <c r="Q14" s="143">
        <f t="shared" si="35"/>
        <v>-3228.5232125530583</v>
      </c>
      <c r="R14" s="143">
        <f t="shared" si="35"/>
        <v>-3428.4781449872144</v>
      </c>
      <c r="S14" s="143">
        <f t="shared" si="35"/>
        <v>-3630.1211779439018</v>
      </c>
      <c r="T14" s="143">
        <f t="shared" si="35"/>
        <v>-3832.3999187903837</v>
      </c>
      <c r="U14" s="143">
        <f t="shared" si="35"/>
        <v>-4034.2007129942999</v>
      </c>
      <c r="V14" s="143">
        <f t="shared" si="35"/>
        <v>-4234.3578211494532</v>
      </c>
      <c r="W14" s="143">
        <f t="shared" si="35"/>
        <v>-4431.6637699396942</v>
      </c>
      <c r="X14" s="143">
        <f t="shared" si="35"/>
        <v>-4454.103127476249</v>
      </c>
      <c r="Y14" s="105"/>
      <c r="Z14" s="105"/>
    </row>
    <row r="15" spans="2:26" s="113" customFormat="1" x14ac:dyDescent="0.15">
      <c r="B15" s="109" t="s">
        <v>51</v>
      </c>
      <c r="C15" s="109"/>
      <c r="D15" s="109"/>
      <c r="E15" s="115">
        <f>-E14/E12</f>
        <v>0.25192472198460225</v>
      </c>
      <c r="F15" s="115">
        <f t="shared" ref="F15:L15" si="36">-F14/F12</f>
        <v>0.28017066233238519</v>
      </c>
      <c r="G15" s="115">
        <f t="shared" si="36"/>
        <v>0.37743330930064889</v>
      </c>
      <c r="H15" s="115">
        <f t="shared" si="36"/>
        <v>0.36840084469187945</v>
      </c>
      <c r="I15" s="115">
        <f t="shared" si="36"/>
        <v>0.30470779220779221</v>
      </c>
      <c r="J15" s="115">
        <f t="shared" si="36"/>
        <v>0.26126126126126126</v>
      </c>
      <c r="K15" s="115">
        <f t="shared" si="36"/>
        <v>0.26150352575594599</v>
      </c>
      <c r="L15" s="115">
        <f t="shared" si="36"/>
        <v>0.26360256843528218</v>
      </c>
      <c r="M15" s="127">
        <v>0.25</v>
      </c>
      <c r="N15" s="127">
        <v>0.25</v>
      </c>
      <c r="O15" s="127">
        <v>0.25</v>
      </c>
      <c r="P15" s="127">
        <v>0.25</v>
      </c>
      <c r="Q15" s="127">
        <v>0.25</v>
      </c>
      <c r="R15" s="127">
        <v>0.25</v>
      </c>
      <c r="S15" s="127">
        <v>0.25</v>
      </c>
      <c r="T15" s="127">
        <v>0.25</v>
      </c>
      <c r="U15" s="127">
        <v>0.25</v>
      </c>
      <c r="V15" s="127">
        <v>0.25</v>
      </c>
      <c r="W15" s="127">
        <v>0.25</v>
      </c>
      <c r="X15" s="128">
        <f>Q15</f>
        <v>0.25</v>
      </c>
      <c r="Y15" s="105"/>
      <c r="Z15" s="105"/>
    </row>
    <row r="16" spans="2:26" s="108" customFormat="1" x14ac:dyDescent="0.15">
      <c r="B16" s="116" t="s">
        <v>67</v>
      </c>
      <c r="C16" s="117"/>
      <c r="D16" s="117"/>
      <c r="E16" s="137">
        <f>E12+E14</f>
        <v>3498</v>
      </c>
      <c r="F16" s="137">
        <f>F12+F14</f>
        <v>3543</v>
      </c>
      <c r="G16" s="137">
        <f>G12+G14</f>
        <v>3454</v>
      </c>
      <c r="H16" s="137">
        <f t="shared" ref="H16:Q16" si="37">H12+H14</f>
        <v>3290</v>
      </c>
      <c r="I16" s="137">
        <f t="shared" si="37"/>
        <v>4283</v>
      </c>
      <c r="J16" s="137">
        <f t="shared" si="37"/>
        <v>5494</v>
      </c>
      <c r="K16" s="137">
        <f t="shared" si="37"/>
        <v>6179</v>
      </c>
      <c r="L16" s="137">
        <f>L12+L14</f>
        <v>6537</v>
      </c>
      <c r="M16" s="137">
        <f t="shared" si="37"/>
        <v>7392.2455535749159</v>
      </c>
      <c r="N16" s="137">
        <f t="shared" si="37"/>
        <v>7944.7049503681628</v>
      </c>
      <c r="O16" s="137">
        <f>O12+O14</f>
        <v>8512.6041541180966</v>
      </c>
      <c r="P16" s="137">
        <f>P12+P14</f>
        <v>9093.7187795932768</v>
      </c>
      <c r="Q16" s="137">
        <f t="shared" si="37"/>
        <v>9685.569637659175</v>
      </c>
      <c r="R16" s="137">
        <f t="shared" ref="R16" si="38">R12+R14</f>
        <v>10285.434434961644</v>
      </c>
      <c r="S16" s="137">
        <f t="shared" ref="S16:W16" si="39">S12+S14</f>
        <v>10890.363533831705</v>
      </c>
      <c r="T16" s="137">
        <f t="shared" si="39"/>
        <v>11497.199756371152</v>
      </c>
      <c r="U16" s="137">
        <f t="shared" si="39"/>
        <v>12102.6021389829</v>
      </c>
      <c r="V16" s="137">
        <f t="shared" si="39"/>
        <v>12703.07346344836</v>
      </c>
      <c r="W16" s="137">
        <f t="shared" si="39"/>
        <v>13294.991309819083</v>
      </c>
      <c r="X16" s="137">
        <f>Q16</f>
        <v>9685.569637659175</v>
      </c>
      <c r="Y16" s="105"/>
      <c r="Z16" s="105"/>
    </row>
    <row r="17" spans="2:26" s="113" customFormat="1" x14ac:dyDescent="0.15">
      <c r="B17" s="105" t="s">
        <v>9</v>
      </c>
      <c r="C17" s="105"/>
      <c r="D17" s="105"/>
      <c r="E17" s="138">
        <f>E10</f>
        <v>-1219</v>
      </c>
      <c r="F17" s="138">
        <f t="shared" ref="F17:X17" si="40">F10</f>
        <v>-1109</v>
      </c>
      <c r="G17" s="138">
        <f t="shared" si="40"/>
        <v>-1958</v>
      </c>
      <c r="H17" s="138">
        <f t="shared" si="40"/>
        <v>-2028</v>
      </c>
      <c r="I17" s="138">
        <f t="shared" si="40"/>
        <v>-1781</v>
      </c>
      <c r="J17" s="138">
        <f t="shared" si="40"/>
        <v>-1921</v>
      </c>
      <c r="K17" s="138">
        <f t="shared" si="40"/>
        <v>-2052</v>
      </c>
      <c r="L17" s="138">
        <f t="shared" si="40"/>
        <v>-2127</v>
      </c>
      <c r="M17" s="138">
        <f t="shared" si="40"/>
        <v>-1929.786095233447</v>
      </c>
      <c r="N17" s="138">
        <f t="shared" si="40"/>
        <v>-1995.9433486757862</v>
      </c>
      <c r="O17" s="138">
        <f t="shared" si="40"/>
        <v>-2059.1053719112901</v>
      </c>
      <c r="P17" s="138">
        <f t="shared" si="40"/>
        <v>-2118.8290670957804</v>
      </c>
      <c r="Q17" s="138">
        <f t="shared" si="40"/>
        <v>-2174.6824153330026</v>
      </c>
      <c r="R17" s="138">
        <f t="shared" si="40"/>
        <v>-2226.2494484196332</v>
      </c>
      <c r="S17" s="138">
        <f t="shared" si="40"/>
        <v>-2273.1351971138711</v>
      </c>
      <c r="T17" s="138">
        <f t="shared" si="40"/>
        <v>-2314.9705371046075</v>
      </c>
      <c r="U17" s="138">
        <f t="shared" si="40"/>
        <v>-2351.4168526848175</v>
      </c>
      <c r="V17" s="138">
        <f t="shared" si="40"/>
        <v>-2382.1704385860667</v>
      </c>
      <c r="W17" s="138">
        <f t="shared" si="40"/>
        <v>-2406.9665625644452</v>
      </c>
      <c r="X17" s="138">
        <f t="shared" si="40"/>
        <v>-2317.2091324182261</v>
      </c>
      <c r="Y17" s="105"/>
      <c r="Z17" s="105"/>
    </row>
    <row r="18" spans="2:26" s="113" customFormat="1" x14ac:dyDescent="0.15">
      <c r="B18" s="118" t="s">
        <v>52</v>
      </c>
      <c r="C18" s="118"/>
      <c r="D18" s="118"/>
      <c r="E18" s="139">
        <v>261</v>
      </c>
      <c r="F18" s="139">
        <v>114</v>
      </c>
      <c r="G18" s="139">
        <v>461</v>
      </c>
      <c r="H18" s="139">
        <v>729</v>
      </c>
      <c r="I18" s="139">
        <v>88</v>
      </c>
      <c r="J18" s="139">
        <v>70</v>
      </c>
      <c r="K18" s="139">
        <v>70</v>
      </c>
      <c r="L18" s="139">
        <v>70</v>
      </c>
      <c r="M18" s="140">
        <f>L18</f>
        <v>70</v>
      </c>
      <c r="N18" s="140">
        <f t="shared" ref="N18:Q18" si="41">M18</f>
        <v>70</v>
      </c>
      <c r="O18" s="140">
        <f t="shared" si="41"/>
        <v>70</v>
      </c>
      <c r="P18" s="140">
        <f t="shared" si="41"/>
        <v>70</v>
      </c>
      <c r="Q18" s="140">
        <f t="shared" si="41"/>
        <v>70</v>
      </c>
      <c r="R18" s="140">
        <f t="shared" ref="R18" si="42">Q18</f>
        <v>70</v>
      </c>
      <c r="S18" s="140">
        <f t="shared" ref="S18" si="43">R18</f>
        <v>70</v>
      </c>
      <c r="T18" s="140">
        <f t="shared" ref="T18" si="44">S18</f>
        <v>70</v>
      </c>
      <c r="U18" s="140">
        <f t="shared" ref="U18" si="45">T18</f>
        <v>70</v>
      </c>
      <c r="V18" s="140">
        <f t="shared" ref="V18" si="46">U18</f>
        <v>70</v>
      </c>
      <c r="W18" s="140">
        <f t="shared" ref="W18" si="47">V18</f>
        <v>70</v>
      </c>
      <c r="X18" s="141">
        <f>W18</f>
        <v>70</v>
      </c>
      <c r="Y18" s="105"/>
      <c r="Z18" s="105"/>
    </row>
    <row r="19" spans="2:26" s="113" customFormat="1" x14ac:dyDescent="0.15">
      <c r="B19" s="105" t="s">
        <v>49</v>
      </c>
      <c r="C19" s="105"/>
      <c r="D19" s="105"/>
      <c r="E19" s="139">
        <v>-1264</v>
      </c>
      <c r="F19" s="139">
        <v>-1416</v>
      </c>
      <c r="G19" s="139">
        <v>-1231</v>
      </c>
      <c r="H19" s="139">
        <v>-972</v>
      </c>
      <c r="I19" s="139">
        <v>-1075</v>
      </c>
      <c r="J19" s="139">
        <v>-1331</v>
      </c>
      <c r="K19" s="139">
        <v>-1463</v>
      </c>
      <c r="L19" s="139">
        <v>-1767</v>
      </c>
      <c r="M19" s="142">
        <f>-M20*M6</f>
        <v>-1623.3945000000003</v>
      </c>
      <c r="N19" s="142">
        <f>-N20*N6</f>
        <v>-1700.5057387500005</v>
      </c>
      <c r="O19" s="142">
        <f>-O20*O6</f>
        <v>-1777.0284969937504</v>
      </c>
      <c r="P19" s="142">
        <f>-P20*P6</f>
        <v>-1852.5522081159847</v>
      </c>
      <c r="Q19" s="142">
        <f t="shared" ref="Q19:X19" si="48">-Q20*Q6</f>
        <v>-1926.6542964406244</v>
      </c>
      <c r="R19" s="142">
        <f t="shared" si="48"/>
        <v>-1998.9038325571478</v>
      </c>
      <c r="S19" s="142">
        <f t="shared" si="48"/>
        <v>-2068.8654666966481</v>
      </c>
      <c r="T19" s="142">
        <f t="shared" si="48"/>
        <v>-2136.1035943642892</v>
      </c>
      <c r="U19" s="142">
        <f t="shared" si="48"/>
        <v>-2200.1867021952175</v>
      </c>
      <c r="V19" s="142">
        <f t="shared" si="48"/>
        <v>-2260.6918365055863</v>
      </c>
      <c r="W19" s="142">
        <f t="shared" si="48"/>
        <v>-2317.2091324182261</v>
      </c>
      <c r="X19" s="142">
        <f t="shared" si="48"/>
        <v>-2317.2091324182261</v>
      </c>
      <c r="Y19" s="105"/>
      <c r="Z19" s="105"/>
    </row>
    <row r="20" spans="2:26" s="113" customFormat="1" x14ac:dyDescent="0.15">
      <c r="B20" s="109" t="s">
        <v>53</v>
      </c>
      <c r="C20" s="109"/>
      <c r="D20" s="109"/>
      <c r="E20" s="104">
        <f t="shared" ref="E20:L20" si="49">-E19/E6</f>
        <v>4.8570550261297266E-2</v>
      </c>
      <c r="F20" s="104">
        <f t="shared" si="49"/>
        <v>5.2565149602791593E-2</v>
      </c>
      <c r="G20" s="104">
        <f t="shared" si="49"/>
        <v>4.1206400214233115E-2</v>
      </c>
      <c r="H20" s="104">
        <f t="shared" si="49"/>
        <v>3.4724206916261789E-2</v>
      </c>
      <c r="I20" s="104">
        <f t="shared" si="49"/>
        <v>3.3294103072348862E-2</v>
      </c>
      <c r="J20" s="104">
        <f t="shared" si="49"/>
        <v>3.4995004469685016E-2</v>
      </c>
      <c r="K20" s="104">
        <f t="shared" si="49"/>
        <v>3.5004187103720538E-2</v>
      </c>
      <c r="L20" s="173">
        <f t="shared" si="49"/>
        <v>4.0000905510028523E-2</v>
      </c>
      <c r="M20" s="128">
        <f>3.5%</f>
        <v>3.5000000000000003E-2</v>
      </c>
      <c r="N20" s="128">
        <f t="shared" ref="N20:X20" si="50">3.5%</f>
        <v>3.5000000000000003E-2</v>
      </c>
      <c r="O20" s="128">
        <f t="shared" si="50"/>
        <v>3.5000000000000003E-2</v>
      </c>
      <c r="P20" s="128">
        <f t="shared" si="50"/>
        <v>3.5000000000000003E-2</v>
      </c>
      <c r="Q20" s="128">
        <f t="shared" si="50"/>
        <v>3.5000000000000003E-2</v>
      </c>
      <c r="R20" s="128">
        <f t="shared" si="50"/>
        <v>3.5000000000000003E-2</v>
      </c>
      <c r="S20" s="128">
        <f t="shared" si="50"/>
        <v>3.5000000000000003E-2</v>
      </c>
      <c r="T20" s="128">
        <f t="shared" si="50"/>
        <v>3.5000000000000003E-2</v>
      </c>
      <c r="U20" s="128">
        <f t="shared" si="50"/>
        <v>3.5000000000000003E-2</v>
      </c>
      <c r="V20" s="128">
        <f t="shared" si="50"/>
        <v>3.5000000000000003E-2</v>
      </c>
      <c r="W20" s="128">
        <f t="shared" si="50"/>
        <v>3.5000000000000003E-2</v>
      </c>
      <c r="X20" s="128">
        <f t="shared" si="50"/>
        <v>3.5000000000000003E-2</v>
      </c>
      <c r="Y20" s="105"/>
      <c r="Z20" s="105"/>
    </row>
    <row r="21" spans="2:26" s="113" customFormat="1" x14ac:dyDescent="0.15">
      <c r="B21" s="50" t="s">
        <v>68</v>
      </c>
      <c r="C21" s="51"/>
      <c r="D21" s="51"/>
      <c r="E21" s="135">
        <f>E19+E18+E14+E8</f>
        <v>3714</v>
      </c>
      <c r="F21" s="135">
        <f>F19+F18+F14+F8</f>
        <v>3350</v>
      </c>
      <c r="G21" s="135">
        <f>G19+G18+G14+G8</f>
        <v>4642</v>
      </c>
      <c r="H21" s="135">
        <f>H19+H18+H14+H8</f>
        <v>5075</v>
      </c>
      <c r="I21" s="135">
        <f>I19+I18+I14+I8</f>
        <v>5077</v>
      </c>
      <c r="J21" s="135">
        <f t="shared" ref="J21:X21" si="51">J19+J18+J14+J8</f>
        <v>6154</v>
      </c>
      <c r="K21" s="135">
        <f t="shared" si="51"/>
        <v>6838</v>
      </c>
      <c r="L21" s="135"/>
      <c r="M21" s="135">
        <f t="shared" si="51"/>
        <v>7768.6371488083623</v>
      </c>
      <c r="N21" s="135">
        <f t="shared" si="51"/>
        <v>8310.1425602939489</v>
      </c>
      <c r="O21" s="135">
        <f t="shared" si="51"/>
        <v>8864.681029035637</v>
      </c>
      <c r="P21" s="135">
        <f t="shared" si="51"/>
        <v>9429.9956385730711</v>
      </c>
      <c r="Q21" s="135">
        <f t="shared" si="51"/>
        <v>10003.597756551553</v>
      </c>
      <c r="R21" s="135">
        <f t="shared" si="51"/>
        <v>10582.780050824127</v>
      </c>
      <c r="S21" s="135">
        <f t="shared" si="51"/>
        <v>11164.633264248929</v>
      </c>
      <c r="T21" s="135">
        <f t="shared" si="51"/>
        <v>11746.06669911147</v>
      </c>
      <c r="U21" s="135">
        <f t="shared" si="51"/>
        <v>12323.832289472499</v>
      </c>
      <c r="V21" s="135">
        <f t="shared" si="51"/>
        <v>12894.552065528838</v>
      </c>
      <c r="W21" s="135">
        <f t="shared" si="51"/>
        <v>13454.748739965302</v>
      </c>
      <c r="X21" s="136">
        <f t="shared" si="51"/>
        <v>13432.309382428746</v>
      </c>
      <c r="Y21" s="105"/>
      <c r="Z21" s="105"/>
    </row>
    <row r="22" spans="2:26" s="106" customFormat="1" x14ac:dyDescent="0.15">
      <c r="B22" s="120" t="s">
        <v>69</v>
      </c>
      <c r="C22" s="119"/>
      <c r="D22" s="119"/>
      <c r="E22" s="119"/>
      <c r="F22" s="119"/>
      <c r="G22" s="119"/>
      <c r="H22" s="119"/>
      <c r="I22" s="119"/>
      <c r="J22" s="119"/>
      <c r="K22" s="130"/>
      <c r="L22" s="130"/>
      <c r="M22" s="131">
        <v>0.5</v>
      </c>
      <c r="N22" s="130">
        <f t="shared" ref="N22:Q22" si="52">M22+1</f>
        <v>1.5</v>
      </c>
      <c r="O22" s="130">
        <f t="shared" si="52"/>
        <v>2.5</v>
      </c>
      <c r="P22" s="130">
        <f t="shared" si="52"/>
        <v>3.5</v>
      </c>
      <c r="Q22" s="130">
        <f t="shared" si="52"/>
        <v>4.5</v>
      </c>
      <c r="R22" s="130">
        <f t="shared" ref="R22:W22" si="53">Q22+1</f>
        <v>5.5</v>
      </c>
      <c r="S22" s="130">
        <f t="shared" si="53"/>
        <v>6.5</v>
      </c>
      <c r="T22" s="130">
        <f t="shared" si="53"/>
        <v>7.5</v>
      </c>
      <c r="U22" s="130">
        <f t="shared" si="53"/>
        <v>8.5</v>
      </c>
      <c r="V22" s="130">
        <f t="shared" si="53"/>
        <v>9.5</v>
      </c>
      <c r="W22" s="130">
        <f t="shared" si="53"/>
        <v>10.5</v>
      </c>
      <c r="X22" s="132">
        <f>W22</f>
        <v>10.5</v>
      </c>
      <c r="Y22" s="105"/>
      <c r="Z22" s="105"/>
    </row>
    <row r="23" spans="2:26" s="112" customFormat="1" x14ac:dyDescent="0.15">
      <c r="B23" s="120" t="s">
        <v>70</v>
      </c>
      <c r="C23" s="119"/>
      <c r="D23" s="119"/>
      <c r="E23" s="129"/>
      <c r="F23" s="129"/>
      <c r="G23" s="119"/>
      <c r="H23" s="119"/>
      <c r="I23" s="119"/>
      <c r="J23" s="171">
        <f>1/(1+$L$38)^J22</f>
        <v>1</v>
      </c>
      <c r="K23" s="171">
        <f t="shared" ref="K23:X23" si="54">1/(1+$L$38)^K22</f>
        <v>1</v>
      </c>
      <c r="L23" s="171"/>
      <c r="M23" s="171">
        <f t="shared" si="54"/>
        <v>0.95563696513499319</v>
      </c>
      <c r="N23" s="171">
        <f t="shared" si="54"/>
        <v>0.87272782204108956</v>
      </c>
      <c r="O23" s="171">
        <f t="shared" si="54"/>
        <v>0.79701170962656598</v>
      </c>
      <c r="P23" s="171">
        <f t="shared" si="54"/>
        <v>0.72786457500143009</v>
      </c>
      <c r="Q23" s="171">
        <f t="shared" si="54"/>
        <v>0.66471650685062111</v>
      </c>
      <c r="R23" s="171">
        <f t="shared" si="54"/>
        <v>0.60704703821974526</v>
      </c>
      <c r="S23" s="171">
        <f t="shared" si="54"/>
        <v>0.55438085682168525</v>
      </c>
      <c r="T23" s="171">
        <f t="shared" si="54"/>
        <v>0.50628388750838837</v>
      </c>
      <c r="U23" s="171">
        <f t="shared" si="54"/>
        <v>0.46235971461953268</v>
      </c>
      <c r="V23" s="171">
        <f t="shared" si="54"/>
        <v>0.42224631472103447</v>
      </c>
      <c r="W23" s="171">
        <f t="shared" si="54"/>
        <v>0.38561307280459772</v>
      </c>
      <c r="X23" s="172">
        <f t="shared" si="54"/>
        <v>0.38561307280459772</v>
      </c>
      <c r="Y23" s="105"/>
      <c r="Z23" s="105"/>
    </row>
    <row r="24" spans="2:26" s="108" customFormat="1" x14ac:dyDescent="0.15">
      <c r="B24" s="121" t="s">
        <v>71</v>
      </c>
      <c r="C24" s="122"/>
      <c r="D24" s="122"/>
      <c r="E24" s="122"/>
      <c r="F24" s="122"/>
      <c r="G24" s="122"/>
      <c r="H24" s="122"/>
      <c r="I24" s="122"/>
      <c r="J24" s="133">
        <f>J21*J23</f>
        <v>6154</v>
      </c>
      <c r="K24" s="133">
        <f t="shared" ref="K24:X24" si="55">K21*K23</f>
        <v>6838</v>
      </c>
      <c r="L24" s="133"/>
      <c r="M24" s="133">
        <f t="shared" si="55"/>
        <v>7423.99682812219</v>
      </c>
      <c r="N24" s="133">
        <f t="shared" si="55"/>
        <v>7252.492617496302</v>
      </c>
      <c r="O24" s="133">
        <f t="shared" si="55"/>
        <v>7065.2545822458796</v>
      </c>
      <c r="P24" s="133">
        <f t="shared" si="55"/>
        <v>6863.7597677353278</v>
      </c>
      <c r="Q24" s="133">
        <f t="shared" si="55"/>
        <v>6649.5565566736586</v>
      </c>
      <c r="R24" s="133">
        <f t="shared" ref="R24" si="56">R21*R23</f>
        <v>6424.2452859837913</v>
      </c>
      <c r="S24" s="133">
        <f t="shared" ref="S24:W24" si="57">S21*S23</f>
        <v>6189.4589551342096</v>
      </c>
      <c r="T24" s="133">
        <f t="shared" si="57"/>
        <v>5946.8443113589783</v>
      </c>
      <c r="U24" s="133">
        <f t="shared" si="57"/>
        <v>5698.0435803794862</v>
      </c>
      <c r="V24" s="133">
        <f t="shared" si="57"/>
        <v>5444.6770896480548</v>
      </c>
      <c r="W24" s="133">
        <f t="shared" si="57"/>
        <v>5188.3270054318091</v>
      </c>
      <c r="X24" s="134">
        <f t="shared" si="55"/>
        <v>5179.6740958203773</v>
      </c>
      <c r="Y24" s="105"/>
      <c r="Z24" s="105"/>
    </row>
    <row r="27" spans="2:26" x14ac:dyDescent="0.15">
      <c r="B27" s="168" t="s">
        <v>85</v>
      </c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N27" s="168" t="s">
        <v>84</v>
      </c>
      <c r="O27" s="169"/>
      <c r="P27" s="169"/>
      <c r="Q27" s="169"/>
      <c r="S27" s="168" t="s">
        <v>88</v>
      </c>
      <c r="T27" s="169"/>
      <c r="U27" s="169"/>
      <c r="V27" s="169"/>
      <c r="W27" s="169"/>
      <c r="X27" s="169"/>
    </row>
    <row r="29" spans="2:26" ht="11.25" customHeight="1" x14ac:dyDescent="0.15">
      <c r="B29" s="154" t="s">
        <v>72</v>
      </c>
      <c r="C29" s="155"/>
      <c r="D29" s="155"/>
      <c r="E29" s="166"/>
      <c r="F29" s="166"/>
      <c r="G29" s="166"/>
      <c r="H29" s="166"/>
      <c r="I29" s="166"/>
      <c r="J29" s="166"/>
      <c r="K29" s="166"/>
      <c r="L29" s="167">
        <f>SUM(M24:W24)</f>
        <v>70146.656580209674</v>
      </c>
      <c r="N29" s="148" t="s">
        <v>79</v>
      </c>
      <c r="P29" s="123"/>
      <c r="Q29" s="149">
        <f>L35</f>
        <v>178839.68449474941</v>
      </c>
      <c r="U29" s="123"/>
      <c r="V29" s="149"/>
    </row>
    <row r="30" spans="2:26" x14ac:dyDescent="0.15">
      <c r="B30" s="147" t="s">
        <v>73</v>
      </c>
      <c r="C30" s="113"/>
      <c r="D30" s="113"/>
      <c r="L30" s="149">
        <f>X8</f>
        <v>20133.621642323222</v>
      </c>
      <c r="N30" s="105" t="s">
        <v>82</v>
      </c>
      <c r="Q30" s="153">
        <v>6459.8</v>
      </c>
      <c r="S30" s="170">
        <f>L35</f>
        <v>178839.68449474941</v>
      </c>
      <c r="T30" s="177">
        <v>13</v>
      </c>
      <c r="U30" s="177">
        <f>T30+0.5</f>
        <v>13.5</v>
      </c>
      <c r="V30" s="177">
        <f t="shared" ref="V30:X30" si="58">U30+0.5</f>
        <v>14</v>
      </c>
      <c r="W30" s="177">
        <f t="shared" si="58"/>
        <v>14.5</v>
      </c>
      <c r="X30" s="177">
        <f t="shared" si="58"/>
        <v>15</v>
      </c>
    </row>
    <row r="31" spans="2:26" x14ac:dyDescent="0.15">
      <c r="B31" s="147" t="s">
        <v>74</v>
      </c>
      <c r="C31" s="113"/>
      <c r="D31" s="113"/>
      <c r="L31" s="150">
        <v>14</v>
      </c>
      <c r="N31" s="105" t="s">
        <v>83</v>
      </c>
      <c r="Q31" s="153">
        <v>3.4</v>
      </c>
      <c r="S31" s="176">
        <v>8.5000000000000006E-2</v>
      </c>
      <c r="T31" s="179">
        <f t="dataTable" ref="T31:X35" dt2D="1" dtr="1" r1="L31" r2="L38"/>
        <v>184704.027844836</v>
      </c>
      <c r="U31" s="179">
        <v>188978.47208729031</v>
      </c>
      <c r="V31" s="179">
        <v>193252.91632974462</v>
      </c>
      <c r="W31" s="179">
        <v>197527.36057219893</v>
      </c>
      <c r="X31" s="179">
        <v>201801.80481465324</v>
      </c>
    </row>
    <row r="32" spans="2:26" x14ac:dyDescent="0.15">
      <c r="B32" s="147" t="s">
        <v>76</v>
      </c>
      <c r="C32" s="113"/>
      <c r="D32" s="113"/>
      <c r="L32" s="151">
        <f>L30*L31</f>
        <v>281870.70299252513</v>
      </c>
      <c r="N32" s="105" t="s">
        <v>86</v>
      </c>
      <c r="Q32" s="153">
        <v>-10754.9</v>
      </c>
      <c r="S32" s="176">
        <v>9.0000000000000011E-2</v>
      </c>
      <c r="T32" s="179">
        <v>177723.66152862736</v>
      </c>
      <c r="U32" s="178">
        <v>181796.65467131324</v>
      </c>
      <c r="V32" s="178">
        <v>185869.64781399909</v>
      </c>
      <c r="W32" s="178">
        <v>189942.64095668495</v>
      </c>
      <c r="X32" s="179">
        <v>194015.6340993708</v>
      </c>
    </row>
    <row r="33" spans="2:24" x14ac:dyDescent="0.15">
      <c r="B33" s="147" t="s">
        <v>75</v>
      </c>
      <c r="C33" s="113"/>
      <c r="D33" s="113"/>
      <c r="L33" s="152">
        <f>X23</f>
        <v>0.38561307280459772</v>
      </c>
      <c r="N33" s="158" t="s">
        <v>80</v>
      </c>
      <c r="O33" s="158"/>
      <c r="P33" s="158"/>
      <c r="Q33" s="159">
        <f>Q29+Q30+Q31+Q32</f>
        <v>174547.9844947494</v>
      </c>
      <c r="S33" s="176">
        <v>9.5000000000000015E-2</v>
      </c>
      <c r="T33" s="179">
        <v>171075.89678656799</v>
      </c>
      <c r="U33" s="178">
        <v>174957.7906406587</v>
      </c>
      <c r="V33" s="181">
        <v>178839.68449474941</v>
      </c>
      <c r="W33" s="178">
        <v>182721.57834884012</v>
      </c>
      <c r="X33" s="179">
        <v>186603.47220293083</v>
      </c>
    </row>
    <row r="34" spans="2:24" x14ac:dyDescent="0.15">
      <c r="B34" s="162" t="s">
        <v>77</v>
      </c>
      <c r="C34" s="163"/>
      <c r="D34" s="163"/>
      <c r="E34" s="164"/>
      <c r="F34" s="164"/>
      <c r="G34" s="164"/>
      <c r="H34" s="164"/>
      <c r="I34" s="164"/>
      <c r="J34" s="164"/>
      <c r="K34" s="164"/>
      <c r="L34" s="165">
        <f>L32*L33</f>
        <v>108693.02791453974</v>
      </c>
      <c r="N34" s="105" t="s">
        <v>81</v>
      </c>
      <c r="Q34" s="153">
        <v>534.72546</v>
      </c>
      <c r="S34" s="176">
        <v>0.10000000000000002</v>
      </c>
      <c r="T34" s="179">
        <v>164742.94716693545</v>
      </c>
      <c r="U34" s="178">
        <v>168443.51792854464</v>
      </c>
      <c r="V34" s="178">
        <v>172144.08869015379</v>
      </c>
      <c r="W34" s="178">
        <v>175844.65945176297</v>
      </c>
      <c r="X34" s="179">
        <v>179545.23021337212</v>
      </c>
    </row>
    <row r="35" spans="2:24" s="108" customFormat="1" x14ac:dyDescent="0.15">
      <c r="B35" s="156" t="s">
        <v>78</v>
      </c>
      <c r="C35" s="157"/>
      <c r="D35" s="157"/>
      <c r="E35" s="157"/>
      <c r="F35" s="157"/>
      <c r="G35" s="157"/>
      <c r="H35" s="157"/>
      <c r="I35" s="157"/>
      <c r="J35" s="157"/>
      <c r="K35" s="157"/>
      <c r="L35" s="161">
        <f>L29+L34</f>
        <v>178839.68449474941</v>
      </c>
      <c r="N35" s="156" t="s">
        <v>87</v>
      </c>
      <c r="O35" s="157"/>
      <c r="P35" s="157"/>
      <c r="Q35" s="160">
        <f>Q33/Q34</f>
        <v>326.42542304746325</v>
      </c>
      <c r="S35" s="176">
        <v>0.10500000000000002</v>
      </c>
      <c r="T35" s="179">
        <v>158708.06456810469</v>
      </c>
      <c r="U35" s="179">
        <v>162236.54723245869</v>
      </c>
      <c r="V35" s="179">
        <v>165765.02989681269</v>
      </c>
      <c r="W35" s="180">
        <v>169293.51256116666</v>
      </c>
      <c r="X35" s="180">
        <v>172821.99522552063</v>
      </c>
    </row>
    <row r="38" spans="2:24" x14ac:dyDescent="0.15">
      <c r="L38" s="175">
        <v>9.5000000000000001E-2</v>
      </c>
    </row>
  </sheetData>
  <pageMargins left="0.7" right="0.7" top="0.75" bottom="0.75" header="0.3" footer="0.3"/>
  <pageSetup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AE9A-9517-F64E-9277-087D7C98DAE5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55"/>
  <sheetViews>
    <sheetView showGridLines="0" zoomScaleNormal="100" zoomScaleSheetLayoutView="100" workbookViewId="0">
      <selection activeCell="B1" sqref="B1"/>
    </sheetView>
  </sheetViews>
  <sheetFormatPr baseColWidth="10" defaultColWidth="8.83203125" defaultRowHeight="11" outlineLevelRow="1" x14ac:dyDescent="0.15"/>
  <cols>
    <col min="1" max="1" width="1.6640625" style="15" customWidth="1"/>
    <col min="2" max="2" width="13.6640625" style="15" bestFit="1" customWidth="1"/>
    <col min="3" max="4" width="3.6640625" style="15" customWidth="1"/>
    <col min="5" max="17" width="7.6640625" style="15" customWidth="1"/>
    <col min="18" max="16384" width="8.83203125" style="15"/>
  </cols>
  <sheetData>
    <row r="1" spans="2:18" ht="26" x14ac:dyDescent="0.3">
      <c r="B1" s="13" t="s">
        <v>38</v>
      </c>
      <c r="C1" s="13"/>
      <c r="D1" s="13"/>
      <c r="E1" s="24"/>
      <c r="F1" s="24"/>
      <c r="G1" s="24"/>
      <c r="H1" s="24"/>
      <c r="I1" s="24"/>
      <c r="J1" s="24"/>
      <c r="K1" s="16"/>
      <c r="L1" s="16"/>
      <c r="M1" s="16"/>
      <c r="N1" s="16"/>
      <c r="O1" s="16"/>
      <c r="P1" s="16"/>
      <c r="Q1" s="16"/>
      <c r="R1" s="16"/>
    </row>
    <row r="2" spans="2:18" x14ac:dyDescent="0.15">
      <c r="B2" s="14" t="s">
        <v>40</v>
      </c>
      <c r="C2" s="14"/>
      <c r="D2" s="14"/>
      <c r="E2" s="14"/>
      <c r="F2" s="14"/>
      <c r="G2" s="14"/>
      <c r="H2" s="14"/>
      <c r="I2" s="14"/>
      <c r="J2" s="14"/>
    </row>
    <row r="3" spans="2:18" ht="12" thickBot="1" x14ac:dyDescent="0.2"/>
    <row r="4" spans="2:18" ht="13" thickTop="1" thickBot="1" x14ac:dyDescent="0.2">
      <c r="E4" s="25" t="s">
        <v>42</v>
      </c>
      <c r="F4" s="26"/>
      <c r="G4" s="26"/>
      <c r="H4" s="26"/>
      <c r="I4" s="26"/>
      <c r="J4" s="26"/>
      <c r="K4" s="27"/>
      <c r="L4" s="28" t="s">
        <v>43</v>
      </c>
      <c r="M4" s="29" t="s">
        <v>44</v>
      </c>
      <c r="N4" s="30"/>
      <c r="O4" s="30"/>
      <c r="P4" s="30"/>
      <c r="Q4" s="30"/>
    </row>
    <row r="5" spans="2:18" ht="12" thickTop="1" x14ac:dyDescent="0.15">
      <c r="B5" s="14" t="s">
        <v>39</v>
      </c>
      <c r="C5" s="14"/>
      <c r="D5" s="14"/>
      <c r="E5" s="39">
        <v>2017</v>
      </c>
      <c r="F5" s="39">
        <f>E5+1</f>
        <v>2018</v>
      </c>
      <c r="G5" s="39">
        <f t="shared" ref="G5:Q5" si="0">F5+1</f>
        <v>2019</v>
      </c>
      <c r="H5" s="39">
        <f t="shared" si="0"/>
        <v>2020</v>
      </c>
      <c r="I5" s="39">
        <f t="shared" si="0"/>
        <v>2021</v>
      </c>
      <c r="J5" s="39">
        <f t="shared" si="0"/>
        <v>2022</v>
      </c>
      <c r="K5" s="39">
        <f t="shared" si="0"/>
        <v>2023</v>
      </c>
      <c r="L5" s="40">
        <f t="shared" si="0"/>
        <v>2024</v>
      </c>
      <c r="M5" s="40">
        <f t="shared" si="0"/>
        <v>2025</v>
      </c>
      <c r="N5" s="40">
        <f t="shared" si="0"/>
        <v>2026</v>
      </c>
      <c r="O5" s="40">
        <f t="shared" si="0"/>
        <v>2027</v>
      </c>
      <c r="P5" s="40">
        <f t="shared" si="0"/>
        <v>2028</v>
      </c>
      <c r="Q5" s="40">
        <f t="shared" si="0"/>
        <v>2029</v>
      </c>
      <c r="R5" s="41" t="s">
        <v>6</v>
      </c>
    </row>
    <row r="7" spans="2:18" x14ac:dyDescent="0.15">
      <c r="B7" s="15" t="s">
        <v>41</v>
      </c>
      <c r="E7" s="23">
        <v>26024</v>
      </c>
      <c r="F7" s="23">
        <v>26938</v>
      </c>
      <c r="G7" s="23">
        <v>29874</v>
      </c>
      <c r="H7" s="23">
        <v>27992</v>
      </c>
      <c r="I7" s="23">
        <v>32288</v>
      </c>
      <c r="J7" s="23">
        <v>38034</v>
      </c>
      <c r="K7" s="23">
        <v>41795</v>
      </c>
      <c r="L7" s="23">
        <v>44174</v>
      </c>
      <c r="M7" s="17">
        <f>L7*(1+M8)</f>
        <v>46382.700000000004</v>
      </c>
      <c r="N7" s="17">
        <f t="shared" ref="N7:Q7" si="1">M7*(1+N8)</f>
        <v>48469.921500000004</v>
      </c>
      <c r="O7" s="17">
        <f t="shared" si="1"/>
        <v>50408.718360000006</v>
      </c>
      <c r="P7" s="17">
        <f t="shared" si="1"/>
        <v>52173.023502600001</v>
      </c>
      <c r="Q7" s="17">
        <f t="shared" si="1"/>
        <v>53738.214207678</v>
      </c>
      <c r="R7" s="56">
        <f>Q7</f>
        <v>53738.214207678</v>
      </c>
    </row>
    <row r="8" spans="2:18" s="32" customFormat="1" x14ac:dyDescent="0.15">
      <c r="B8" s="31" t="s">
        <v>45</v>
      </c>
      <c r="C8" s="31"/>
      <c r="D8" s="31"/>
      <c r="E8" s="42" t="s">
        <v>50</v>
      </c>
      <c r="F8" s="34">
        <f>F7/E7-1</f>
        <v>3.5121426375653186E-2</v>
      </c>
      <c r="G8" s="34">
        <f t="shared" ref="G8:L8" si="2">G7/F7-1</f>
        <v>0.10899101640804809</v>
      </c>
      <c r="H8" s="34">
        <f t="shared" si="2"/>
        <v>-6.29979246167236E-2</v>
      </c>
      <c r="I8" s="34">
        <f t="shared" si="2"/>
        <v>0.15347242069162625</v>
      </c>
      <c r="J8" s="34">
        <f t="shared" si="2"/>
        <v>0.17796085232903858</v>
      </c>
      <c r="K8" s="34">
        <f t="shared" si="2"/>
        <v>9.888520797181477E-2</v>
      </c>
      <c r="L8" s="34">
        <f t="shared" si="2"/>
        <v>5.6920684292379509E-2</v>
      </c>
      <c r="M8" s="37">
        <v>0.05</v>
      </c>
      <c r="N8" s="37">
        <v>4.4999999999999998E-2</v>
      </c>
      <c r="O8" s="37">
        <v>0.04</v>
      </c>
      <c r="P8" s="37">
        <v>3.5000000000000003E-2</v>
      </c>
      <c r="Q8" s="37">
        <v>0.03</v>
      </c>
      <c r="R8" s="34">
        <f>R7/Q7-1</f>
        <v>0</v>
      </c>
    </row>
    <row r="9" spans="2:18" x14ac:dyDescent="0.15">
      <c r="B9" s="15" t="s">
        <v>46</v>
      </c>
      <c r="E9" s="23">
        <v>5895</v>
      </c>
      <c r="F9" s="23">
        <v>6031</v>
      </c>
      <c r="G9" s="23">
        <v>7506</v>
      </c>
      <c r="H9" s="23">
        <v>7237</v>
      </c>
      <c r="I9" s="23">
        <v>7941</v>
      </c>
      <c r="J9" s="23">
        <v>9358</v>
      </c>
      <c r="K9" s="23">
        <v>10419</v>
      </c>
      <c r="L9" s="23">
        <v>11004</v>
      </c>
      <c r="M9" s="17">
        <f>M10*M7</f>
        <v>11786.113500000001</v>
      </c>
      <c r="N9" s="17">
        <f t="shared" ref="N9:R9" si="3">N10*N7</f>
        <v>12558.838215000002</v>
      </c>
      <c r="O9" s="17">
        <f t="shared" si="3"/>
        <v>13313.235335400002</v>
      </c>
      <c r="P9" s="17">
        <f t="shared" si="3"/>
        <v>14040.063689652001</v>
      </c>
      <c r="Q9" s="17">
        <f t="shared" si="3"/>
        <v>14729.95667137995</v>
      </c>
      <c r="R9" s="17">
        <f t="shared" si="3"/>
        <v>14729.95667137995</v>
      </c>
    </row>
    <row r="10" spans="2:18" s="32" customFormat="1" x14ac:dyDescent="0.15">
      <c r="B10" s="31" t="s">
        <v>47</v>
      </c>
      <c r="C10" s="31"/>
      <c r="D10" s="31"/>
      <c r="E10" s="33">
        <f>E9/E7</f>
        <v>0.22652167230249001</v>
      </c>
      <c r="F10" s="33">
        <f t="shared" ref="F10:L10" si="4">F9/F7</f>
        <v>0.22388447546217238</v>
      </c>
      <c r="G10" s="33">
        <f t="shared" si="4"/>
        <v>0.25125527214300059</v>
      </c>
      <c r="H10" s="33">
        <f t="shared" si="4"/>
        <v>0.25853815375821665</v>
      </c>
      <c r="I10" s="33">
        <f t="shared" si="4"/>
        <v>0.24594276511397423</v>
      </c>
      <c r="J10" s="33">
        <f t="shared" si="4"/>
        <v>0.24604301414523846</v>
      </c>
      <c r="K10" s="33">
        <f t="shared" si="4"/>
        <v>0.24928819236750807</v>
      </c>
      <c r="L10" s="33">
        <f t="shared" si="4"/>
        <v>0.24910580884683298</v>
      </c>
      <c r="M10" s="37">
        <f>L10+0.5%</f>
        <v>0.25410580884683298</v>
      </c>
      <c r="N10" s="37">
        <f t="shared" ref="N10:Q10" si="5">M10+0.5%</f>
        <v>0.25910580884683299</v>
      </c>
      <c r="O10" s="37">
        <f t="shared" si="5"/>
        <v>0.26410580884683299</v>
      </c>
      <c r="P10" s="37">
        <f t="shared" si="5"/>
        <v>0.26910580884683299</v>
      </c>
      <c r="Q10" s="37">
        <f t="shared" si="5"/>
        <v>0.274105808846833</v>
      </c>
      <c r="R10" s="36">
        <f>Q10</f>
        <v>0.274105808846833</v>
      </c>
    </row>
    <row r="11" spans="2:18" x14ac:dyDescent="0.15">
      <c r="B11" s="15" t="s">
        <v>9</v>
      </c>
      <c r="E11" s="38">
        <v>-1219</v>
      </c>
      <c r="F11" s="38">
        <v>-1109</v>
      </c>
      <c r="G11" s="38">
        <v>-1958</v>
      </c>
      <c r="H11" s="38">
        <v>-2028</v>
      </c>
      <c r="I11" s="38">
        <v>-1781</v>
      </c>
      <c r="J11" s="38">
        <v>-1921</v>
      </c>
      <c r="K11" s="38">
        <v>-2052</v>
      </c>
      <c r="L11" s="38">
        <v>-2127</v>
      </c>
      <c r="M11" s="17">
        <f t="shared" ref="M11:R11" si="6">M12*M18</f>
        <v>-1866.9036750000002</v>
      </c>
      <c r="N11" s="17">
        <f t="shared" si="6"/>
        <v>-1866.0919777500005</v>
      </c>
      <c r="O11" s="17">
        <f t="shared" si="6"/>
        <v>-1852.5203997300005</v>
      </c>
      <c r="P11" s="17">
        <f t="shared" si="6"/>
        <v>-1826.0558225910002</v>
      </c>
      <c r="Q11" s="17">
        <f t="shared" si="6"/>
        <v>-1880.8374972687302</v>
      </c>
      <c r="R11" s="17">
        <f t="shared" si="6"/>
        <v>-1880.8374972687302</v>
      </c>
    </row>
    <row r="12" spans="2:18" s="32" customFormat="1" x14ac:dyDescent="0.15">
      <c r="B12" s="31" t="s">
        <v>48</v>
      </c>
      <c r="C12" s="31"/>
      <c r="D12" s="31"/>
      <c r="E12" s="35">
        <f t="shared" ref="E12:L12" si="7">E11/E18</f>
        <v>0.96439873417721522</v>
      </c>
      <c r="F12" s="35">
        <f t="shared" si="7"/>
        <v>0.78319209039548021</v>
      </c>
      <c r="G12" s="35">
        <f t="shared" si="7"/>
        <v>1.5905767668562145</v>
      </c>
      <c r="H12" s="35">
        <f t="shared" si="7"/>
        <v>2.0864197530864197</v>
      </c>
      <c r="I12" s="35">
        <f t="shared" si="7"/>
        <v>1.6567441860465115</v>
      </c>
      <c r="J12" s="35">
        <f t="shared" si="7"/>
        <v>1.443275732531931</v>
      </c>
      <c r="K12" s="35">
        <f t="shared" si="7"/>
        <v>1.4025974025974026</v>
      </c>
      <c r="L12" s="35">
        <f t="shared" si="7"/>
        <v>1.2037351443123938</v>
      </c>
      <c r="M12" s="43">
        <v>1.1499999999999999</v>
      </c>
      <c r="N12" s="43">
        <v>1.1000000000000001</v>
      </c>
      <c r="O12" s="43">
        <v>1.05</v>
      </c>
      <c r="P12" s="43">
        <v>1</v>
      </c>
      <c r="Q12" s="43">
        <v>1</v>
      </c>
      <c r="R12" s="36">
        <f>Q12</f>
        <v>1</v>
      </c>
    </row>
    <row r="13" spans="2:18" s="32" customFormat="1" x14ac:dyDescent="0.15">
      <c r="B13" s="15" t="s">
        <v>7</v>
      </c>
      <c r="C13" s="15"/>
      <c r="D13" s="15"/>
      <c r="E13" s="44">
        <f>E11+E9</f>
        <v>4676</v>
      </c>
      <c r="F13" s="44">
        <f t="shared" ref="F13:R13" si="8">F11+F9</f>
        <v>4922</v>
      </c>
      <c r="G13" s="44">
        <f t="shared" si="8"/>
        <v>5548</v>
      </c>
      <c r="H13" s="44">
        <f t="shared" si="8"/>
        <v>5209</v>
      </c>
      <c r="I13" s="44">
        <f t="shared" si="8"/>
        <v>6160</v>
      </c>
      <c r="J13" s="44">
        <f t="shared" si="8"/>
        <v>7437</v>
      </c>
      <c r="K13" s="44">
        <f t="shared" si="8"/>
        <v>8367</v>
      </c>
      <c r="L13" s="44">
        <f t="shared" si="8"/>
        <v>8877</v>
      </c>
      <c r="M13" s="44">
        <f t="shared" si="8"/>
        <v>9919.2098250000017</v>
      </c>
      <c r="N13" s="44">
        <f t="shared" si="8"/>
        <v>10692.746237250001</v>
      </c>
      <c r="O13" s="44">
        <f t="shared" si="8"/>
        <v>11460.714935670003</v>
      </c>
      <c r="P13" s="44">
        <f t="shared" si="8"/>
        <v>12214.007867061</v>
      </c>
      <c r="Q13" s="44">
        <f t="shared" si="8"/>
        <v>12849.11917411122</v>
      </c>
      <c r="R13" s="44">
        <f t="shared" si="8"/>
        <v>12849.11917411122</v>
      </c>
    </row>
    <row r="14" spans="2:18" s="32" customFormat="1" x14ac:dyDescent="0.15">
      <c r="B14" s="31" t="s">
        <v>47</v>
      </c>
      <c r="C14" s="31"/>
      <c r="D14" s="31"/>
      <c r="E14" s="33">
        <f>E13/E7</f>
        <v>0.17968029511220412</v>
      </c>
      <c r="F14" s="33">
        <f t="shared" ref="F14:R14" si="9">F13/F7</f>
        <v>0.1827158660628109</v>
      </c>
      <c r="G14" s="33">
        <f t="shared" si="9"/>
        <v>0.18571332931646248</v>
      </c>
      <c r="H14" s="33">
        <f t="shared" si="9"/>
        <v>0.18608888253786796</v>
      </c>
      <c r="I14" s="33">
        <f t="shared" si="9"/>
        <v>0.19078295341922696</v>
      </c>
      <c r="J14" s="33">
        <f t="shared" si="9"/>
        <v>0.19553557343429562</v>
      </c>
      <c r="K14" s="33">
        <f t="shared" si="9"/>
        <v>0.20019141045579614</v>
      </c>
      <c r="L14" s="33">
        <f t="shared" si="9"/>
        <v>0.20095531308009237</v>
      </c>
      <c r="M14" s="33">
        <f t="shared" si="9"/>
        <v>0.213855808846833</v>
      </c>
      <c r="N14" s="33">
        <f t="shared" si="9"/>
        <v>0.22060580884683298</v>
      </c>
      <c r="O14" s="33">
        <f t="shared" si="9"/>
        <v>0.22735580884683301</v>
      </c>
      <c r="P14" s="33">
        <f t="shared" si="9"/>
        <v>0.23410580884683296</v>
      </c>
      <c r="Q14" s="33">
        <f t="shared" si="9"/>
        <v>0.23910580884683297</v>
      </c>
      <c r="R14" s="33">
        <f t="shared" si="9"/>
        <v>0.23910580884683297</v>
      </c>
    </row>
    <row r="15" spans="2:18" x14ac:dyDescent="0.15">
      <c r="B15" s="15" t="s">
        <v>8</v>
      </c>
      <c r="E15" s="38">
        <v>-1178</v>
      </c>
      <c r="F15" s="38">
        <v>-1379</v>
      </c>
      <c r="G15" s="38">
        <v>-2094</v>
      </c>
      <c r="H15" s="38">
        <v>-1919</v>
      </c>
      <c r="I15" s="38">
        <v>-1877</v>
      </c>
      <c r="J15" s="38">
        <v>-1943</v>
      </c>
      <c r="K15" s="38">
        <v>-2188</v>
      </c>
      <c r="L15" s="38">
        <v>-2340</v>
      </c>
      <c r="M15" s="44">
        <f>-M16*M13</f>
        <v>-2479.8024562500004</v>
      </c>
      <c r="N15" s="44">
        <f t="shared" ref="N15:R15" si="10">-N16*N13</f>
        <v>-2673.1865593125003</v>
      </c>
      <c r="O15" s="44">
        <f t="shared" si="10"/>
        <v>-2865.1787339175007</v>
      </c>
      <c r="P15" s="44">
        <f t="shared" si="10"/>
        <v>-3053.50196676525</v>
      </c>
      <c r="Q15" s="44">
        <f t="shared" si="10"/>
        <v>-3212.2797935278049</v>
      </c>
      <c r="R15" s="44">
        <f t="shared" si="10"/>
        <v>-3212.2797935278049</v>
      </c>
    </row>
    <row r="16" spans="2:18" s="14" customFormat="1" x14ac:dyDescent="0.15">
      <c r="B16" s="31" t="s">
        <v>51</v>
      </c>
      <c r="C16" s="31"/>
      <c r="D16" s="31"/>
      <c r="E16" s="45">
        <f>-E15/E13</f>
        <v>0.25192472198460225</v>
      </c>
      <c r="F16" s="45">
        <f t="shared" ref="F16:L16" si="11">-F15/F13</f>
        <v>0.28017066233238519</v>
      </c>
      <c r="G16" s="45">
        <f t="shared" si="11"/>
        <v>0.37743330930064889</v>
      </c>
      <c r="H16" s="45">
        <f t="shared" si="11"/>
        <v>0.36840084469187945</v>
      </c>
      <c r="I16" s="45">
        <f t="shared" si="11"/>
        <v>0.30470779220779221</v>
      </c>
      <c r="J16" s="45">
        <f t="shared" si="11"/>
        <v>0.26126126126126126</v>
      </c>
      <c r="K16" s="45">
        <f t="shared" si="11"/>
        <v>0.26150352575594599</v>
      </c>
      <c r="L16" s="45">
        <f t="shared" si="11"/>
        <v>0.26360256843528218</v>
      </c>
      <c r="M16" s="43">
        <v>0.25</v>
      </c>
      <c r="N16" s="43">
        <v>0.25</v>
      </c>
      <c r="O16" s="43">
        <v>0.25</v>
      </c>
      <c r="P16" s="43">
        <v>0.25</v>
      </c>
      <c r="Q16" s="43">
        <v>0.25</v>
      </c>
      <c r="R16" s="36">
        <f>Q16</f>
        <v>0.25</v>
      </c>
    </row>
    <row r="17" spans="2:18" x14ac:dyDescent="0.15">
      <c r="B17" s="18" t="s">
        <v>52</v>
      </c>
      <c r="C17" s="18"/>
      <c r="D17" s="18"/>
      <c r="E17" s="38">
        <v>261</v>
      </c>
      <c r="F17" s="38">
        <v>114</v>
      </c>
      <c r="G17" s="38">
        <v>461</v>
      </c>
      <c r="H17" s="38">
        <v>729</v>
      </c>
      <c r="I17" s="38">
        <v>88</v>
      </c>
      <c r="J17" s="38">
        <v>70</v>
      </c>
      <c r="K17" s="38">
        <v>70</v>
      </c>
      <c r="L17" s="38">
        <v>70</v>
      </c>
      <c r="M17" s="46">
        <f>L17</f>
        <v>70</v>
      </c>
      <c r="N17" s="46">
        <f t="shared" ref="N17:Q17" si="12">M17</f>
        <v>70</v>
      </c>
      <c r="O17" s="46">
        <f t="shared" si="12"/>
        <v>70</v>
      </c>
      <c r="P17" s="46">
        <f t="shared" si="12"/>
        <v>70</v>
      </c>
      <c r="Q17" s="46">
        <f t="shared" si="12"/>
        <v>70</v>
      </c>
      <c r="R17" s="59">
        <f>Q17</f>
        <v>70</v>
      </c>
    </row>
    <row r="18" spans="2:18" x14ac:dyDescent="0.15">
      <c r="B18" s="15" t="s">
        <v>49</v>
      </c>
      <c r="E18" s="38">
        <v>-1264</v>
      </c>
      <c r="F18" s="38">
        <v>-1416</v>
      </c>
      <c r="G18" s="38">
        <v>-1231</v>
      </c>
      <c r="H18" s="38">
        <v>-972</v>
      </c>
      <c r="I18" s="38">
        <v>-1075</v>
      </c>
      <c r="J18" s="38">
        <v>-1331</v>
      </c>
      <c r="K18" s="38">
        <v>-1463</v>
      </c>
      <c r="L18" s="38">
        <v>-1767</v>
      </c>
      <c r="M18" s="17">
        <f t="shared" ref="M18:R18" si="13">-M19*M7</f>
        <v>-1623.3945000000003</v>
      </c>
      <c r="N18" s="17">
        <f t="shared" si="13"/>
        <v>-1696.4472525000003</v>
      </c>
      <c r="O18" s="17">
        <f t="shared" si="13"/>
        <v>-1764.3051426000004</v>
      </c>
      <c r="P18" s="17">
        <f t="shared" si="13"/>
        <v>-1826.0558225910002</v>
      </c>
      <c r="Q18" s="17">
        <f t="shared" si="13"/>
        <v>-1880.8374972687302</v>
      </c>
      <c r="R18" s="17">
        <f t="shared" si="13"/>
        <v>-1880.8374972687302</v>
      </c>
    </row>
    <row r="19" spans="2:18" s="32" customFormat="1" x14ac:dyDescent="0.15">
      <c r="B19" s="31" t="s">
        <v>53</v>
      </c>
      <c r="C19" s="31"/>
      <c r="D19" s="31"/>
      <c r="E19" s="33">
        <f t="shared" ref="E19:L19" si="14">-E18/E7</f>
        <v>4.8570550261297266E-2</v>
      </c>
      <c r="F19" s="33">
        <f t="shared" si="14"/>
        <v>5.2565149602791593E-2</v>
      </c>
      <c r="G19" s="33">
        <f t="shared" si="14"/>
        <v>4.1206400214233115E-2</v>
      </c>
      <c r="H19" s="33">
        <f t="shared" si="14"/>
        <v>3.4724206916261789E-2</v>
      </c>
      <c r="I19" s="33">
        <f t="shared" si="14"/>
        <v>3.3294103072348862E-2</v>
      </c>
      <c r="J19" s="33">
        <f t="shared" si="14"/>
        <v>3.4995004469685016E-2</v>
      </c>
      <c r="K19" s="33">
        <f t="shared" si="14"/>
        <v>3.5004187103720538E-2</v>
      </c>
      <c r="L19" s="33">
        <f t="shared" si="14"/>
        <v>4.0000905510028523E-2</v>
      </c>
      <c r="M19" s="36">
        <f>3.5%</f>
        <v>3.5000000000000003E-2</v>
      </c>
      <c r="N19" s="36">
        <f t="shared" ref="N19:Q19" si="15">3.5%</f>
        <v>3.5000000000000003E-2</v>
      </c>
      <c r="O19" s="36">
        <f t="shared" si="15"/>
        <v>3.5000000000000003E-2</v>
      </c>
      <c r="P19" s="36">
        <f t="shared" si="15"/>
        <v>3.5000000000000003E-2</v>
      </c>
      <c r="Q19" s="36">
        <f t="shared" si="15"/>
        <v>3.5000000000000003E-2</v>
      </c>
      <c r="R19" s="36">
        <f t="shared" ref="R19" si="16">Q19</f>
        <v>3.5000000000000003E-2</v>
      </c>
    </row>
    <row r="20" spans="2:18" s="49" customFormat="1" x14ac:dyDescent="0.15">
      <c r="B20" s="50" t="s">
        <v>54</v>
      </c>
      <c r="C20" s="51"/>
      <c r="D20" s="51"/>
      <c r="E20" s="51"/>
      <c r="F20" s="51"/>
      <c r="G20" s="51"/>
      <c r="H20" s="51"/>
      <c r="I20" s="51"/>
      <c r="J20" s="51"/>
      <c r="K20" s="52"/>
      <c r="L20" s="52">
        <f>L18+L17+L15+L9</f>
        <v>6967</v>
      </c>
      <c r="M20" s="52">
        <f t="shared" ref="M20:R20" si="17">M18+M17+M15+M9</f>
        <v>7752.9165437500005</v>
      </c>
      <c r="N20" s="52">
        <f t="shared" si="17"/>
        <v>8259.2044031875012</v>
      </c>
      <c r="O20" s="52">
        <f t="shared" si="17"/>
        <v>8753.7514588825015</v>
      </c>
      <c r="P20" s="52">
        <f t="shared" si="17"/>
        <v>9230.5059002957496</v>
      </c>
      <c r="Q20" s="52">
        <f t="shared" si="17"/>
        <v>9706.8393805834148</v>
      </c>
      <c r="R20" s="53">
        <f t="shared" si="17"/>
        <v>9706.8393805834148</v>
      </c>
    </row>
    <row r="21" spans="2:18" x14ac:dyDescent="0.15">
      <c r="B21" s="54" t="s">
        <v>55</v>
      </c>
      <c r="C21" s="68"/>
      <c r="D21" s="68"/>
      <c r="E21" s="47"/>
      <c r="F21" s="47"/>
      <c r="G21" s="47"/>
      <c r="H21" s="47"/>
      <c r="I21" s="47"/>
      <c r="J21" s="47"/>
      <c r="K21" s="48"/>
      <c r="L21" s="48"/>
      <c r="M21" s="55">
        <f>M20/L20-1</f>
        <v>0.11280558974450994</v>
      </c>
      <c r="N21" s="55">
        <f t="shared" ref="N21:Q21" si="18">N20/M20-1</f>
        <v>6.5302890412981984E-2</v>
      </c>
      <c r="O21" s="55">
        <f t="shared" si="18"/>
        <v>5.9878292333355843E-2</v>
      </c>
      <c r="P21" s="55">
        <f t="shared" si="18"/>
        <v>5.4462871564565862E-2</v>
      </c>
      <c r="Q21" s="55">
        <f t="shared" si="18"/>
        <v>5.1604265836870722E-2</v>
      </c>
      <c r="R21" s="58"/>
    </row>
    <row r="23" spans="2:18" outlineLevel="1" x14ac:dyDescent="0.15"/>
    <row r="24" spans="2:18" outlineLevel="1" x14ac:dyDescent="0.15">
      <c r="E24" s="60"/>
      <c r="F24" s="60"/>
      <c r="G24" s="60"/>
      <c r="H24" s="60"/>
      <c r="I24" s="60"/>
      <c r="J24" s="60"/>
      <c r="K24" s="60"/>
      <c r="L24" s="40">
        <v>2024</v>
      </c>
      <c r="M24" s="40">
        <f t="shared" ref="M24:Q24" si="19">L24+1</f>
        <v>2025</v>
      </c>
      <c r="N24" s="40">
        <f t="shared" si="19"/>
        <v>2026</v>
      </c>
      <c r="O24" s="40">
        <f t="shared" si="19"/>
        <v>2027</v>
      </c>
      <c r="P24" s="40">
        <f t="shared" si="19"/>
        <v>2028</v>
      </c>
      <c r="Q24" s="40">
        <f t="shared" si="19"/>
        <v>2029</v>
      </c>
      <c r="R24" s="41" t="s">
        <v>6</v>
      </c>
    </row>
    <row r="25" spans="2:18" outlineLevel="1" x14ac:dyDescent="0.15">
      <c r="E25" s="60"/>
      <c r="F25" s="60"/>
      <c r="G25" s="60"/>
      <c r="H25" s="60"/>
      <c r="I25" s="60"/>
      <c r="J25" s="60"/>
      <c r="K25" s="60"/>
      <c r="L25" s="61"/>
      <c r="M25" s="61"/>
      <c r="N25" s="61"/>
      <c r="O25" s="61"/>
      <c r="P25" s="61"/>
      <c r="Q25" s="61"/>
      <c r="R25" s="62"/>
    </row>
    <row r="26" spans="2:18" outlineLevel="1" x14ac:dyDescent="0.15">
      <c r="B26" s="15" t="s">
        <v>56</v>
      </c>
      <c r="E26" s="64"/>
      <c r="F26" s="64"/>
      <c r="G26" s="64"/>
      <c r="H26" s="64"/>
      <c r="I26" s="64"/>
      <c r="J26" s="64"/>
      <c r="K26" s="64"/>
      <c r="L26" s="64">
        <v>0</v>
      </c>
      <c r="M26" s="63">
        <v>0.5</v>
      </c>
      <c r="N26" s="15">
        <f>M26+1</f>
        <v>1.5</v>
      </c>
      <c r="O26" s="15">
        <f t="shared" ref="O26:Q26" si="20">N26+1</f>
        <v>2.5</v>
      </c>
      <c r="P26" s="15">
        <f t="shared" si="20"/>
        <v>3.5</v>
      </c>
      <c r="Q26" s="15">
        <f t="shared" si="20"/>
        <v>4.5</v>
      </c>
      <c r="R26" s="65">
        <f>Q26</f>
        <v>4.5</v>
      </c>
    </row>
    <row r="27" spans="2:18" outlineLevel="1" x14ac:dyDescent="0.15">
      <c r="B27" s="15" t="s">
        <v>57</v>
      </c>
      <c r="L27" s="66">
        <v>0</v>
      </c>
      <c r="M27" s="66">
        <v>1</v>
      </c>
      <c r="N27" s="66">
        <v>1</v>
      </c>
      <c r="O27" s="66">
        <v>1</v>
      </c>
      <c r="P27" s="66">
        <v>1</v>
      </c>
      <c r="Q27" s="66">
        <v>1</v>
      </c>
      <c r="R27" s="57">
        <f>Q27</f>
        <v>1</v>
      </c>
    </row>
    <row r="28" spans="2:18" outlineLevel="1" x14ac:dyDescent="0.15"/>
    <row r="29" spans="2:18" outlineLevel="1" x14ac:dyDescent="0.15">
      <c r="B29" s="71" t="s">
        <v>11</v>
      </c>
      <c r="C29" s="67"/>
      <c r="D29" s="67"/>
      <c r="R29" s="49" t="s">
        <v>58</v>
      </c>
    </row>
    <row r="30" spans="2:18" outlineLevel="1" x14ac:dyDescent="0.15">
      <c r="B30" s="69">
        <f>B31-1%</f>
        <v>8.5000000000000006E-2</v>
      </c>
      <c r="L30" s="72">
        <f>L$20*L$27/(1+$B30)^L$26</f>
        <v>0</v>
      </c>
      <c r="M30" s="73">
        <f t="shared" ref="M30:Q32" si="21">M$20*M$27/(1+$B30)^M$26</f>
        <v>7443.0380630289746</v>
      </c>
      <c r="N30" s="73">
        <f t="shared" si="21"/>
        <v>7307.9170156669215</v>
      </c>
      <c r="O30" s="73">
        <f t="shared" si="21"/>
        <v>7138.7120802570789</v>
      </c>
      <c r="P30" s="73">
        <f t="shared" si="21"/>
        <v>6937.7943220465759</v>
      </c>
      <c r="Q30" s="88">
        <f t="shared" si="21"/>
        <v>6724.2526309336399</v>
      </c>
      <c r="R30" s="74">
        <f>SUM(L30:Q30)</f>
        <v>35551.714111933194</v>
      </c>
    </row>
    <row r="31" spans="2:18" outlineLevel="1" x14ac:dyDescent="0.15">
      <c r="B31" s="70">
        <v>9.5000000000000001E-2</v>
      </c>
      <c r="L31" s="75">
        <f t="shared" ref="L31:L32" si="22">L$20*L$27/(1+$B31)^L$26</f>
        <v>0</v>
      </c>
      <c r="M31" s="76">
        <f t="shared" si="21"/>
        <v>7408.9736368141312</v>
      </c>
      <c r="N31" s="76">
        <f t="shared" si="21"/>
        <v>7208.0374705860049</v>
      </c>
      <c r="O31" s="76">
        <f t="shared" si="21"/>
        <v>6976.8424158899888</v>
      </c>
      <c r="P31" s="76">
        <f t="shared" si="21"/>
        <v>6718.5582541669582</v>
      </c>
      <c r="Q31" s="89">
        <f t="shared" si="21"/>
        <v>6452.2963656214542</v>
      </c>
      <c r="R31" s="77">
        <f t="shared" ref="R31:R32" si="23">SUM(L31:Q31)</f>
        <v>34764.70814307854</v>
      </c>
    </row>
    <row r="32" spans="2:18" outlineLevel="1" x14ac:dyDescent="0.15">
      <c r="B32" s="69">
        <f>B31+1%</f>
        <v>0.105</v>
      </c>
      <c r="L32" s="78">
        <f t="shared" si="22"/>
        <v>0</v>
      </c>
      <c r="M32" s="79">
        <f t="shared" si="21"/>
        <v>7375.3726761795679</v>
      </c>
      <c r="N32" s="79">
        <f t="shared" si="21"/>
        <v>7110.412515662465</v>
      </c>
      <c r="O32" s="79">
        <f t="shared" si="21"/>
        <v>6820.0650451457495</v>
      </c>
      <c r="P32" s="79">
        <f t="shared" si="21"/>
        <v>6508.149657702721</v>
      </c>
      <c r="Q32" s="90">
        <f t="shared" si="21"/>
        <v>6193.663296601766</v>
      </c>
      <c r="R32" s="80">
        <f t="shared" si="23"/>
        <v>34007.663191292268</v>
      </c>
    </row>
    <row r="34" spans="2:18" x14ac:dyDescent="0.15">
      <c r="M34" s="67" t="s">
        <v>59</v>
      </c>
      <c r="Q34" s="67" t="s">
        <v>61</v>
      </c>
    </row>
    <row r="35" spans="2:18" x14ac:dyDescent="0.15">
      <c r="M35" s="67" t="s">
        <v>60</v>
      </c>
      <c r="Q35" s="67" t="s">
        <v>60</v>
      </c>
    </row>
    <row r="36" spans="2:18" x14ac:dyDescent="0.15">
      <c r="B36" s="71" t="s">
        <v>11</v>
      </c>
      <c r="L36" s="81">
        <f>M36-0.5%</f>
        <v>2.4999999999999998E-2</v>
      </c>
      <c r="M36" s="84">
        <v>0.03</v>
      </c>
      <c r="N36" s="81">
        <f>M36+0.5%</f>
        <v>3.4999999999999996E-2</v>
      </c>
      <c r="P36" s="81">
        <f>Q36-0.5%</f>
        <v>2.4999999999999998E-2</v>
      </c>
      <c r="Q36" s="91">
        <f>M36</f>
        <v>0.03</v>
      </c>
      <c r="R36" s="81">
        <f>Q36+0.5%</f>
        <v>3.4999999999999996E-2</v>
      </c>
    </row>
    <row r="37" spans="2:18" x14ac:dyDescent="0.15">
      <c r="B37" s="69">
        <f>B38-1%</f>
        <v>8.5000000000000006E-2</v>
      </c>
      <c r="L37" s="82">
        <f t="shared" ref="L37:N39" si="24">$R$20*(1+L$36)/($B37-L$36)/(1+$B37)^$R$26</f>
        <v>114872.64911178299</v>
      </c>
      <c r="M37" s="82">
        <f t="shared" si="24"/>
        <v>125926.91290657542</v>
      </c>
      <c r="N37" s="82">
        <f t="shared" si="24"/>
        <v>139192.0294603263</v>
      </c>
      <c r="P37" s="82">
        <f t="shared" ref="P37:R39" si="25">L37+$R30</f>
        <v>150424.36322371618</v>
      </c>
      <c r="Q37" s="82">
        <f t="shared" si="25"/>
        <v>161478.62701850862</v>
      </c>
      <c r="R37" s="82">
        <f t="shared" si="25"/>
        <v>174743.7435722595</v>
      </c>
    </row>
    <row r="38" spans="2:18" x14ac:dyDescent="0.15">
      <c r="B38" s="87">
        <f>B31</f>
        <v>9.5000000000000001E-2</v>
      </c>
      <c r="L38" s="82">
        <f t="shared" si="24"/>
        <v>94480.053925171276</v>
      </c>
      <c r="M38" s="83">
        <f t="shared" si="24"/>
        <v>102244.08087061689</v>
      </c>
      <c r="N38" s="82">
        <f t="shared" si="24"/>
        <v>111302.11230697007</v>
      </c>
      <c r="P38" s="82">
        <f t="shared" si="25"/>
        <v>129244.76206824981</v>
      </c>
      <c r="Q38" s="83">
        <f t="shared" si="25"/>
        <v>137008.78901369544</v>
      </c>
      <c r="R38" s="82">
        <f t="shared" si="25"/>
        <v>146066.8204500486</v>
      </c>
    </row>
    <row r="39" spans="2:18" x14ac:dyDescent="0.15">
      <c r="B39" s="69">
        <f>B38+1%</f>
        <v>0.105</v>
      </c>
      <c r="L39" s="82">
        <f t="shared" si="24"/>
        <v>79356.310987710123</v>
      </c>
      <c r="M39" s="82">
        <f t="shared" si="24"/>
        <v>85059.64260666426</v>
      </c>
      <c r="N39" s="82">
        <f t="shared" si="24"/>
        <v>91577.735885468952</v>
      </c>
      <c r="P39" s="82">
        <f t="shared" si="25"/>
        <v>113363.9741790024</v>
      </c>
      <c r="Q39" s="82">
        <f t="shared" si="25"/>
        <v>119067.30579795653</v>
      </c>
      <c r="R39" s="82">
        <f t="shared" si="25"/>
        <v>125585.39907676121</v>
      </c>
    </row>
    <row r="41" spans="2:18" x14ac:dyDescent="0.15">
      <c r="M41" s="67" t="s">
        <v>62</v>
      </c>
      <c r="Q41" s="67" t="s">
        <v>63</v>
      </c>
    </row>
    <row r="42" spans="2:18" x14ac:dyDescent="0.15">
      <c r="M42" s="67" t="s">
        <v>60</v>
      </c>
      <c r="Q42" s="67" t="s">
        <v>60</v>
      </c>
    </row>
    <row r="43" spans="2:18" x14ac:dyDescent="0.15">
      <c r="B43" s="71" t="s">
        <v>11</v>
      </c>
      <c r="L43" s="81">
        <f>M43-0.5%</f>
        <v>2.4999999999999998E-2</v>
      </c>
      <c r="M43" s="91">
        <f>M36</f>
        <v>0.03</v>
      </c>
      <c r="N43" s="81">
        <f>M43+0.5%</f>
        <v>3.4999999999999996E-2</v>
      </c>
      <c r="P43" s="81">
        <f>Q43-0.5%</f>
        <v>2.4999999999999998E-2</v>
      </c>
      <c r="Q43" s="91">
        <f>M43</f>
        <v>0.03</v>
      </c>
      <c r="R43" s="81">
        <f>Q43+0.5%</f>
        <v>3.4999999999999996E-2</v>
      </c>
    </row>
    <row r="44" spans="2:18" x14ac:dyDescent="0.15">
      <c r="B44" s="69">
        <f>B45-1%</f>
        <v>8.5000000000000006E-2</v>
      </c>
      <c r="L44" s="85">
        <f>L37/$R$9</f>
        <v>7.7985734564296818</v>
      </c>
      <c r="M44" s="85">
        <f t="shared" ref="M44:N44" si="26">M37/$R$9</f>
        <v>8.5490348489109422</v>
      </c>
      <c r="N44" s="85">
        <f t="shared" si="26"/>
        <v>9.4495885198884526</v>
      </c>
      <c r="P44" s="85">
        <f>P37/$M$9</f>
        <v>12.762846991395099</v>
      </c>
      <c r="Q44" s="85">
        <f t="shared" ref="Q44:R44" si="27">Q37/$M$9</f>
        <v>13.700752756072525</v>
      </c>
      <c r="R44" s="85">
        <f t="shared" si="27"/>
        <v>14.826239673685434</v>
      </c>
    </row>
    <row r="45" spans="2:18" x14ac:dyDescent="0.15">
      <c r="B45" s="87">
        <f>B38</f>
        <v>9.5000000000000001E-2</v>
      </c>
      <c r="L45" s="85">
        <f t="shared" ref="L45:N45" si="28">L38/$R$9</f>
        <v>6.4141433700714394</v>
      </c>
      <c r="M45" s="86">
        <f t="shared" si="28"/>
        <v>6.9412343261861293</v>
      </c>
      <c r="N45" s="85">
        <f t="shared" si="28"/>
        <v>7.5561737749865987</v>
      </c>
      <c r="P45" s="85">
        <f t="shared" ref="P45:R45" si="29">P38/$M$9</f>
        <v>10.965850792820703</v>
      </c>
      <c r="Q45" s="86">
        <f t="shared" si="29"/>
        <v>11.624594402021957</v>
      </c>
      <c r="R45" s="85">
        <f t="shared" si="29"/>
        <v>12.393128612756749</v>
      </c>
    </row>
    <row r="46" spans="2:18" x14ac:dyDescent="0.15">
      <c r="B46" s="69">
        <f>B45+1%</f>
        <v>0.105</v>
      </c>
      <c r="L46" s="85">
        <f t="shared" ref="L46:N46" si="30">L39/$R$9</f>
        <v>5.3874096684817854</v>
      </c>
      <c r="M46" s="85">
        <f t="shared" si="30"/>
        <v>5.774602363354786</v>
      </c>
      <c r="N46" s="85">
        <f t="shared" si="30"/>
        <v>6.217108300352499</v>
      </c>
      <c r="P46" s="85">
        <f t="shared" ref="P46:R46" si="31">P39/$M$9</f>
        <v>9.6184356428437905</v>
      </c>
      <c r="Q46" s="85">
        <f t="shared" si="31"/>
        <v>10.102338298197834</v>
      </c>
      <c r="R46" s="85">
        <f t="shared" si="31"/>
        <v>10.655369904316737</v>
      </c>
    </row>
    <row r="47" spans="2:18" x14ac:dyDescent="0.15">
      <c r="B47" s="69"/>
      <c r="L47" s="82"/>
      <c r="M47" s="82"/>
      <c r="N47" s="82"/>
      <c r="P47" s="82"/>
      <c r="Q47" s="82"/>
      <c r="R47" s="82"/>
    </row>
    <row r="48" spans="2:18" x14ac:dyDescent="0.15">
      <c r="B48" s="15" t="s">
        <v>10</v>
      </c>
      <c r="K48" s="92">
        <f>M36</f>
        <v>0.03</v>
      </c>
    </row>
    <row r="49" spans="2:11" x14ac:dyDescent="0.15">
      <c r="B49" s="15" t="s">
        <v>11</v>
      </c>
      <c r="K49" s="92">
        <f>B31</f>
        <v>9.5000000000000001E-2</v>
      </c>
    </row>
    <row r="51" spans="2:11" x14ac:dyDescent="0.15">
      <c r="B51" s="15" t="s">
        <v>12</v>
      </c>
      <c r="K51" s="19">
        <f>Q38</f>
        <v>137008.78901369544</v>
      </c>
    </row>
    <row r="52" spans="2:11" x14ac:dyDescent="0.15">
      <c r="B52" s="15" t="s">
        <v>13</v>
      </c>
      <c r="K52" s="38">
        <f>-(7290-2730)</f>
        <v>-4560</v>
      </c>
    </row>
    <row r="53" spans="2:11" x14ac:dyDescent="0.15">
      <c r="B53" s="15" t="s">
        <v>14</v>
      </c>
      <c r="K53" s="19">
        <f>K51+K52</f>
        <v>132448.78901369544</v>
      </c>
    </row>
    <row r="54" spans="2:11" x14ac:dyDescent="0.15">
      <c r="B54" s="15" t="s">
        <v>15</v>
      </c>
      <c r="K54" s="93">
        <v>534.54999999999995</v>
      </c>
    </row>
    <row r="55" spans="2:11" x14ac:dyDescent="0.15">
      <c r="B55" s="20" t="s">
        <v>16</v>
      </c>
      <c r="C55" s="22"/>
      <c r="D55" s="22"/>
      <c r="E55" s="22"/>
      <c r="F55" s="22"/>
      <c r="G55" s="22"/>
      <c r="H55" s="22"/>
      <c r="I55" s="22"/>
      <c r="J55" s="22"/>
      <c r="K55" s="21">
        <f>K53/K54</f>
        <v>247.77623985351315</v>
      </c>
    </row>
  </sheetData>
  <pageMargins left="0.7" right="0.7" top="0.75" bottom="0.75" header="0.3" footer="0.3"/>
  <pageSetup paperSize="9"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7"/>
  <sheetViews>
    <sheetView showGridLines="0" zoomScale="114" zoomScaleNormal="100" workbookViewId="0">
      <selection activeCell="B1" sqref="B1"/>
    </sheetView>
  </sheetViews>
  <sheetFormatPr baseColWidth="10" defaultColWidth="8.83203125" defaultRowHeight="13" x14ac:dyDescent="0.15"/>
  <cols>
    <col min="1" max="1" width="1.6640625" customWidth="1"/>
    <col min="5" max="5" width="16" bestFit="1" customWidth="1"/>
  </cols>
  <sheetData>
    <row r="2" spans="2:6" x14ac:dyDescent="0.15">
      <c r="E2" s="101" t="s">
        <v>64</v>
      </c>
    </row>
    <row r="3" spans="2:6" x14ac:dyDescent="0.15">
      <c r="B3" s="95" t="s">
        <v>18</v>
      </c>
      <c r="C3" s="8"/>
      <c r="D3" s="8"/>
      <c r="E3" s="94">
        <v>13.88</v>
      </c>
      <c r="F3" s="102"/>
    </row>
    <row r="4" spans="2:6" x14ac:dyDescent="0.15">
      <c r="B4" s="95" t="s">
        <v>19</v>
      </c>
      <c r="C4" s="8"/>
      <c r="D4" s="8"/>
      <c r="E4" s="94">
        <v>19.18</v>
      </c>
      <c r="F4" s="102"/>
    </row>
    <row r="5" spans="2:6" x14ac:dyDescent="0.15">
      <c r="B5" s="95" t="s">
        <v>21</v>
      </c>
      <c r="C5" s="8"/>
      <c r="D5" s="8"/>
      <c r="E5" s="94">
        <v>14.82</v>
      </c>
      <c r="F5" s="102"/>
    </row>
    <row r="6" spans="2:6" x14ac:dyDescent="0.15">
      <c r="B6" s="95" t="s">
        <v>22</v>
      </c>
      <c r="C6" s="8"/>
      <c r="D6" s="8"/>
      <c r="E6" s="94">
        <v>21.77</v>
      </c>
      <c r="F6" s="102"/>
    </row>
    <row r="7" spans="2:6" x14ac:dyDescent="0.15">
      <c r="B7" s="95" t="s">
        <v>24</v>
      </c>
      <c r="C7" s="8"/>
      <c r="D7" s="8"/>
      <c r="E7" s="94">
        <v>16.02</v>
      </c>
      <c r="F7" s="102"/>
    </row>
    <row r="8" spans="2:6" x14ac:dyDescent="0.15">
      <c r="B8" s="95" t="s">
        <v>25</v>
      </c>
      <c r="C8" s="8"/>
      <c r="D8" s="8"/>
      <c r="E8" s="94">
        <v>10.99</v>
      </c>
      <c r="F8" s="102"/>
    </row>
    <row r="9" spans="2:6" x14ac:dyDescent="0.15">
      <c r="B9" s="95" t="s">
        <v>26</v>
      </c>
      <c r="C9" s="8"/>
      <c r="D9" s="8"/>
      <c r="E9" s="94">
        <v>15.06</v>
      </c>
      <c r="F9" s="102"/>
    </row>
    <row r="10" spans="2:6" x14ac:dyDescent="0.15">
      <c r="B10" s="96" t="s">
        <v>27</v>
      </c>
      <c r="C10" s="97"/>
      <c r="D10" s="97"/>
      <c r="E10" s="98">
        <f>AVERAGE(E3:E9)</f>
        <v>15.959999999999999</v>
      </c>
      <c r="F10" s="102"/>
    </row>
    <row r="12" spans="2:6" x14ac:dyDescent="0.15">
      <c r="B12" s="9" t="s">
        <v>28</v>
      </c>
      <c r="C12" s="6"/>
      <c r="D12" s="6"/>
      <c r="E12" s="99">
        <f>E10*0.9</f>
        <v>14.363999999999999</v>
      </c>
    </row>
    <row r="13" spans="2:6" x14ac:dyDescent="0.15">
      <c r="B13" s="10" t="s">
        <v>29</v>
      </c>
      <c r="C13" s="7"/>
      <c r="D13" s="7"/>
      <c r="E13" s="100">
        <f>E10*1.1</f>
        <v>17.556000000000001</v>
      </c>
    </row>
    <row r="15" spans="2:6" x14ac:dyDescent="0.15">
      <c r="B15" t="s">
        <v>65</v>
      </c>
      <c r="E15" s="103">
        <f>DCF!L9</f>
        <v>11004</v>
      </c>
    </row>
    <row r="16" spans="2:6" x14ac:dyDescent="0.15">
      <c r="B16" s="9" t="s">
        <v>30</v>
      </c>
      <c r="C16" s="6"/>
      <c r="D16" s="6"/>
      <c r="E16" s="11">
        <f>E15*E12</f>
        <v>158061.45599999998</v>
      </c>
    </row>
    <row r="17" spans="2:5" x14ac:dyDescent="0.15">
      <c r="B17" s="10" t="s">
        <v>31</v>
      </c>
      <c r="C17" s="7"/>
      <c r="D17" s="7"/>
      <c r="E17" s="12">
        <f>E15*E13</f>
        <v>193186.22400000002</v>
      </c>
    </row>
    <row r="19" spans="2:5" x14ac:dyDescent="0.15">
      <c r="B19" t="s">
        <v>32</v>
      </c>
      <c r="E19" s="8">
        <f>DCF!K52</f>
        <v>-4560</v>
      </c>
    </row>
    <row r="21" spans="2:5" x14ac:dyDescent="0.15">
      <c r="B21" s="9" t="s">
        <v>33</v>
      </c>
      <c r="C21" s="6"/>
      <c r="D21" s="6"/>
      <c r="E21" s="11">
        <f>E19+E16</f>
        <v>153501.45599999998</v>
      </c>
    </row>
    <row r="22" spans="2:5" x14ac:dyDescent="0.15">
      <c r="B22" s="10" t="s">
        <v>34</v>
      </c>
      <c r="C22" s="7"/>
      <c r="D22" s="7"/>
      <c r="E22" s="12">
        <f>E19+E17</f>
        <v>188626.22400000002</v>
      </c>
    </row>
    <row r="24" spans="2:5" x14ac:dyDescent="0.15">
      <c r="B24" t="s">
        <v>35</v>
      </c>
      <c r="E24" s="8">
        <f>DCF!K54</f>
        <v>534.54999999999995</v>
      </c>
    </row>
    <row r="26" spans="2:5" x14ac:dyDescent="0.15">
      <c r="B26" s="9" t="s">
        <v>36</v>
      </c>
      <c r="C26" s="6"/>
      <c r="D26" s="6"/>
      <c r="E26" s="11">
        <f>E21/E24</f>
        <v>287.16014591712656</v>
      </c>
    </row>
    <row r="27" spans="2:5" x14ac:dyDescent="0.15">
      <c r="B27" s="10" t="s">
        <v>37</v>
      </c>
      <c r="C27" s="7"/>
      <c r="D27" s="7"/>
      <c r="E27" s="12">
        <f>E22/E24</f>
        <v>352.86918716677587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5D28-06BE-A74A-9575-BF919E0F8BA4}">
  <dimension ref="A2:L19"/>
  <sheetViews>
    <sheetView zoomScaleNormal="100" workbookViewId="0">
      <selection activeCell="B1" sqref="B1"/>
    </sheetView>
  </sheetViews>
  <sheetFormatPr baseColWidth="10" defaultColWidth="11.5" defaultRowHeight="13" x14ac:dyDescent="0.15"/>
  <sheetData>
    <row r="2" spans="1:4" x14ac:dyDescent="0.15">
      <c r="D2" s="101" t="s">
        <v>64</v>
      </c>
    </row>
    <row r="3" spans="1:4" x14ac:dyDescent="0.15">
      <c r="A3" s="95" t="s">
        <v>17</v>
      </c>
      <c r="B3" s="8"/>
      <c r="C3" s="8"/>
      <c r="D3" s="94">
        <v>11.26</v>
      </c>
    </row>
    <row r="4" spans="1:4" x14ac:dyDescent="0.15">
      <c r="A4" s="95" t="s">
        <v>18</v>
      </c>
      <c r="B4" s="8"/>
      <c r="C4" s="8"/>
      <c r="D4" s="94">
        <v>13.88</v>
      </c>
    </row>
    <row r="5" spans="1:4" x14ac:dyDescent="0.15">
      <c r="A5" s="95" t="s">
        <v>19</v>
      </c>
      <c r="B5" s="8"/>
      <c r="C5" s="8"/>
      <c r="D5" s="94">
        <v>19.18</v>
      </c>
    </row>
    <row r="6" spans="1:4" x14ac:dyDescent="0.15">
      <c r="A6" s="95" t="s">
        <v>20</v>
      </c>
      <c r="B6" s="8"/>
      <c r="C6" s="8"/>
      <c r="D6" s="94">
        <v>18.84</v>
      </c>
    </row>
    <row r="7" spans="1:4" x14ac:dyDescent="0.15">
      <c r="A7" s="95" t="s">
        <v>21</v>
      </c>
      <c r="B7" s="8"/>
      <c r="C7" s="8"/>
      <c r="D7" s="94">
        <v>14.82</v>
      </c>
    </row>
    <row r="8" spans="1:4" x14ac:dyDescent="0.15">
      <c r="A8" s="95" t="s">
        <v>22</v>
      </c>
      <c r="B8" s="8"/>
      <c r="C8" s="8"/>
      <c r="D8" s="94">
        <v>21.77</v>
      </c>
    </row>
    <row r="9" spans="1:4" x14ac:dyDescent="0.15">
      <c r="A9" s="95" t="s">
        <v>23</v>
      </c>
      <c r="B9" s="8"/>
      <c r="C9" s="8"/>
      <c r="D9" s="94">
        <v>15.21</v>
      </c>
    </row>
    <row r="10" spans="1:4" x14ac:dyDescent="0.15">
      <c r="A10" s="95" t="s">
        <v>24</v>
      </c>
      <c r="B10" s="8"/>
      <c r="C10" s="8"/>
      <c r="D10" s="94">
        <v>16.02</v>
      </c>
    </row>
    <row r="11" spans="1:4" x14ac:dyDescent="0.15">
      <c r="A11" s="95" t="s">
        <v>25</v>
      </c>
      <c r="B11" s="8"/>
      <c r="C11" s="8"/>
      <c r="D11" s="94">
        <v>10.99</v>
      </c>
    </row>
    <row r="12" spans="1:4" x14ac:dyDescent="0.15">
      <c r="A12" s="95" t="s">
        <v>26</v>
      </c>
      <c r="B12" s="8"/>
      <c r="C12" s="8"/>
      <c r="D12" s="94">
        <v>15.06</v>
      </c>
    </row>
    <row r="13" spans="1:4" x14ac:dyDescent="0.15">
      <c r="A13" s="96" t="s">
        <v>27</v>
      </c>
      <c r="B13" s="97"/>
      <c r="C13" s="97"/>
      <c r="D13" s="98">
        <f>AVERAGE(D3:D12)</f>
        <v>15.702999999999999</v>
      </c>
    </row>
    <row r="19" spans="3:12" x14ac:dyDescent="0.15">
      <c r="C19">
        <v>6154</v>
      </c>
      <c r="D19">
        <v>6838</v>
      </c>
      <c r="E19">
        <v>6967</v>
      </c>
      <c r="F19">
        <v>7752.9165437500005</v>
      </c>
      <c r="G19">
        <v>8259.2044031875012</v>
      </c>
      <c r="H19">
        <v>8753.7514588825015</v>
      </c>
      <c r="I19">
        <v>9230.5059002957496</v>
      </c>
      <c r="J19">
        <v>9706.8393805834148</v>
      </c>
      <c r="K19">
        <v>9706.8393805834148</v>
      </c>
      <c r="L19">
        <f>SUM(C19:K19)</f>
        <v>73369.057067282585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2</vt:i4>
      </vt:variant>
    </vt:vector>
  </HeadingPairs>
  <TitlesOfParts>
    <vt:vector size="8" baseType="lpstr">
      <vt:lpstr>Football</vt:lpstr>
      <vt:lpstr>Feuil1</vt:lpstr>
      <vt:lpstr>Feuil3</vt:lpstr>
      <vt:lpstr>DCF</vt:lpstr>
      <vt:lpstr>Comps</vt:lpstr>
      <vt:lpstr>Feuil2</vt:lpstr>
      <vt:lpstr>DCF!Zone_d_impression</vt:lpstr>
      <vt:lpstr>Feuil1!Zone_d_impression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 Street Prep</dc:creator>
  <cp:keywords/>
  <dc:description/>
  <cp:lastModifiedBy>Microsoft Office User</cp:lastModifiedBy>
  <cp:revision/>
  <dcterms:created xsi:type="dcterms:W3CDTF">2017-11-10T21:02:47Z</dcterms:created>
  <dcterms:modified xsi:type="dcterms:W3CDTF">2024-09-18T20:38:40Z</dcterms:modified>
  <cp:category/>
  <cp:contentStatus/>
</cp:coreProperties>
</file>