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8_{595AF185-E5B6-AD4A-9284-1E672B5B9738}" xr6:coauthVersionLast="47" xr6:coauthVersionMax="47" xr10:uidLastSave="{00000000-0000-0000-0000-000000000000}"/>
  <bookViews>
    <workbookView xWindow="2300" yWindow="720" windowWidth="25540" windowHeight="15100" activeTab="2" xr2:uid="{00000000-000D-0000-FFFF-FFFF00000000}"/>
  </bookViews>
  <sheets>
    <sheet name="Football" sheetId="1" r:id="rId1"/>
    <sheet name="DCF" sheetId="2" r:id="rId2"/>
    <sheet name="Feuil1" sheetId="4" r:id="rId3"/>
    <sheet name="Comps" sheetId="3" r:id="rId4"/>
    <sheet name="Feuil2" sheetId="5" r:id="rId5"/>
  </sheets>
  <definedNames>
    <definedName name="_fcf1">#REF!</definedName>
    <definedName name="_fcf2">#REF!</definedName>
    <definedName name="_fcf3">#REF!</definedName>
    <definedName name="_fcf4">#REF!</definedName>
    <definedName name="_fcf5">#REF!</definedName>
    <definedName name="AcqTaxRate1">#REF!</definedName>
    <definedName name="AdvisoryFees1">#REF!</definedName>
    <definedName name="affiliates">#REF!</definedName>
    <definedName name="amort_revolver">#REF!</definedName>
    <definedName name="amort_senior">#REF!</definedName>
    <definedName name="amort_sub">#REF!</definedName>
    <definedName name="amort_year_1">#REF!</definedName>
    <definedName name="ARselect">#REF!</definedName>
    <definedName name="beat_unlev">#REF!</definedName>
    <definedName name="beta_levered">#REF!</definedName>
    <definedName name="beta_observed">#REF!</definedName>
    <definedName name="beta_observed_unlevered">#REF!</definedName>
    <definedName name="beta_unlev_comps">#REF!</definedName>
    <definedName name="Capexdepmethod">#REF!</definedName>
    <definedName name="Capexlife">#REF!</definedName>
    <definedName name="capgainstax">#REF!</definedName>
    <definedName name="carryback">#REF!</definedName>
    <definedName name="caseinput">#REF!</definedName>
    <definedName name="circref">#REF!</definedName>
    <definedName name="cost_debt">#REF!</definedName>
    <definedName name="cost_equity">#REF!</definedName>
    <definedName name="costdebtfirm">#REF!</definedName>
    <definedName name="costequity">#REF!</definedName>
    <definedName name="Date">#REF!</definedName>
    <definedName name="DCFPeriods">#REF!</definedName>
    <definedName name="DealPP1">#REF!</definedName>
    <definedName name="Debt">#REF!</definedName>
    <definedName name="debt_revolver">#REF!</definedName>
    <definedName name="debt_senior">#REF!</definedName>
    <definedName name="debt_sub">#REF!</definedName>
    <definedName name="debt_weight">#REF!</definedName>
    <definedName name="DebtRefinanced1">#REF!</definedName>
    <definedName name="Depmethod">#REF!</definedName>
    <definedName name="DisplayChoice">#REF!</definedName>
    <definedName name="dividends">#REF!</definedName>
    <definedName name="Exit">#REF!</definedName>
    <definedName name="exitequity">#REF!</definedName>
    <definedName name="fees_revolver">#REF!</definedName>
    <definedName name="fees_senior">#REF!</definedName>
    <definedName name="fees_sub">#REF!</definedName>
    <definedName name="gainloss">#REF!</definedName>
    <definedName name="GWAmort">#REF!</definedName>
    <definedName name="GWDeduct">#REF!</definedName>
    <definedName name="GWDeductible1">#REF!</definedName>
    <definedName name="incremental_borrow_cost">#REF!</definedName>
    <definedName name="interest_revolver">#REF!</definedName>
    <definedName name="interest_senior">#REF!</definedName>
    <definedName name="interest_sub">#REF!</definedName>
    <definedName name="LastQ">#REF!</definedName>
    <definedName name="LBO">#REF!</definedName>
    <definedName name="lbocircref">#REF!</definedName>
    <definedName name="lbotax">#REF!</definedName>
    <definedName name="leverage">#REF!</definedName>
    <definedName name="LFY">#REF!</definedName>
    <definedName name="ltm">#REF!</definedName>
    <definedName name="Market_Equity">#REF!</definedName>
    <definedName name="Midyear">#REF!</definedName>
    <definedName name="minority">#REF!</definedName>
    <definedName name="Net_Debt">#REF!</definedName>
    <definedName name="NOLreport">#REF!</definedName>
    <definedName name="otherincome">#REF!</definedName>
    <definedName name="Period">#REF!</definedName>
    <definedName name="Plus1AcqTaxRate1">#REF!</definedName>
    <definedName name="Plus2AcqTaxRate1">#REF!</definedName>
    <definedName name="PPElife">#REF!</definedName>
    <definedName name="QDate">#REF!</definedName>
    <definedName name="range">#REF!</definedName>
    <definedName name="relevered_beta">#REF!</definedName>
    <definedName name="risk_free_rate">#REF!</definedName>
    <definedName name="risk_premium">#REF!</definedName>
    <definedName name="rrr">#REF!</definedName>
    <definedName name="salvage">#REF!</definedName>
    <definedName name="stub">#REF!</definedName>
    <definedName name="Stub_year_fraction">#REF!</definedName>
    <definedName name="StubYr">#REF!</definedName>
    <definedName name="syd">#REF!</definedName>
    <definedName name="TargetOldGoodwillAmort1">#REF!</definedName>
    <definedName name="taxrate">#REF!</definedName>
    <definedName name="totalcap">#REF!</definedName>
    <definedName name="TransactionDate">#REF!</definedName>
    <definedName name="transtype">#REF!</definedName>
    <definedName name="TransWt1">#REF!</definedName>
    <definedName name="TVSelect">#REF!</definedName>
    <definedName name="Useful_Life_of_Depreciable_PP_E">"PPElife"</definedName>
    <definedName name="wacc">#REF!</definedName>
    <definedName name="wacc1">#REF!</definedName>
    <definedName name="wacc2">#REF!</definedName>
    <definedName name="wacc3">#REF!</definedName>
    <definedName name="wacc4">#REF!</definedName>
    <definedName name="Year">#REF!</definedName>
    <definedName name="_xlnm.Print_Area" localSheetId="1">DCF!$A$4:$W$57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2" l="1"/>
  <c r="K29" i="4"/>
  <c r="E35" i="4"/>
  <c r="L19" i="5"/>
  <c r="Q10" i="4"/>
  <c r="E34" i="4"/>
  <c r="E33" i="4"/>
  <c r="E32" i="4"/>
  <c r="R23" i="4"/>
  <c r="R20" i="4" l="1"/>
  <c r="R15" i="4"/>
  <c r="R11" i="4"/>
  <c r="P20" i="4"/>
  <c r="K9" i="4"/>
  <c r="K11" i="4"/>
  <c r="K12" i="4"/>
  <c r="K13" i="4" s="1"/>
  <c r="K20" i="4"/>
  <c r="K21" i="4"/>
  <c r="J22" i="4"/>
  <c r="H21" i="4"/>
  <c r="G21" i="4"/>
  <c r="F21" i="4"/>
  <c r="E21" i="4"/>
  <c r="D21" i="4"/>
  <c r="J21" i="4"/>
  <c r="E7" i="4"/>
  <c r="K16" i="4" l="1"/>
  <c r="K22" i="4"/>
  <c r="K23" i="4" s="1"/>
  <c r="K24" i="4" s="1"/>
  <c r="J23" i="4"/>
  <c r="J24" i="4" s="1"/>
  <c r="K15" i="4"/>
  <c r="D13" i="5"/>
  <c r="L21" i="4"/>
  <c r="Q20" i="4"/>
  <c r="O20" i="4"/>
  <c r="N20" i="4"/>
  <c r="M20" i="4"/>
  <c r="L20" i="4"/>
  <c r="J20" i="4"/>
  <c r="H20" i="4"/>
  <c r="G20" i="4"/>
  <c r="F20" i="4"/>
  <c r="E20" i="4"/>
  <c r="D20" i="4"/>
  <c r="M18" i="4"/>
  <c r="N18" i="4" s="1"/>
  <c r="O18" i="4" s="1"/>
  <c r="P18" i="4" s="1"/>
  <c r="L12" i="4"/>
  <c r="J12" i="4"/>
  <c r="H12" i="4"/>
  <c r="G12" i="4"/>
  <c r="F12" i="4"/>
  <c r="E12" i="4"/>
  <c r="D12" i="4"/>
  <c r="L11" i="4"/>
  <c r="J11" i="4"/>
  <c r="H11" i="4"/>
  <c r="G11" i="4"/>
  <c r="F11" i="4"/>
  <c r="E11" i="4"/>
  <c r="D11" i="4"/>
  <c r="L9" i="4"/>
  <c r="M9" i="4" s="1"/>
  <c r="J9" i="4"/>
  <c r="H9" i="4"/>
  <c r="G9" i="4"/>
  <c r="F9" i="4"/>
  <c r="E9" i="4"/>
  <c r="D9" i="4"/>
  <c r="L7" i="4"/>
  <c r="K7" i="4"/>
  <c r="J7" i="4"/>
  <c r="H7" i="4"/>
  <c r="G7" i="4"/>
  <c r="F7" i="4"/>
  <c r="E4" i="4"/>
  <c r="F4" i="4" s="1"/>
  <c r="G4" i="4" s="1"/>
  <c r="H4" i="4" s="1"/>
  <c r="J4" i="4" s="1"/>
  <c r="K4" i="4" s="1"/>
  <c r="L4" i="4" s="1"/>
  <c r="M4" i="4" s="1"/>
  <c r="N4" i="4" s="1"/>
  <c r="O4" i="4" s="1"/>
  <c r="P4" i="4" s="1"/>
  <c r="Q4" i="4" s="1"/>
  <c r="E15" i="3"/>
  <c r="K52" i="2"/>
  <c r="E19" i="3"/>
  <c r="K49" i="2"/>
  <c r="K48" i="2"/>
  <c r="M43" i="2"/>
  <c r="Q43" i="2" s="1"/>
  <c r="Q36" i="2"/>
  <c r="P36" i="2" s="1"/>
  <c r="N19" i="2"/>
  <c r="O19" i="2"/>
  <c r="P19" i="2"/>
  <c r="Q19" i="2"/>
  <c r="M19" i="2"/>
  <c r="B38" i="2"/>
  <c r="B39" i="2" s="1"/>
  <c r="N36" i="2"/>
  <c r="L36" i="2"/>
  <c r="M24" i="2"/>
  <c r="N24" i="2" s="1"/>
  <c r="O24" i="2" s="1"/>
  <c r="P24" i="2" s="1"/>
  <c r="Q24" i="2" s="1"/>
  <c r="B32" i="2"/>
  <c r="B30" i="2"/>
  <c r="R27" i="2"/>
  <c r="N26" i="2"/>
  <c r="O26" i="2" s="1"/>
  <c r="P26" i="2" s="1"/>
  <c r="Q26" i="2" s="1"/>
  <c r="R26" i="2" s="1"/>
  <c r="M17" i="2"/>
  <c r="R16" i="2"/>
  <c r="R12" i="2"/>
  <c r="L20" i="2"/>
  <c r="N17" i="2"/>
  <c r="O17" i="2" s="1"/>
  <c r="P17" i="2" s="1"/>
  <c r="Q17" i="2" s="1"/>
  <c r="R17" i="2" s="1"/>
  <c r="F13" i="2"/>
  <c r="F14" i="2" s="1"/>
  <c r="G13" i="2"/>
  <c r="G14" i="2" s="1"/>
  <c r="H13" i="2"/>
  <c r="H14" i="2" s="1"/>
  <c r="I13" i="2"/>
  <c r="I14" i="2" s="1"/>
  <c r="J13" i="2"/>
  <c r="J14" i="2" s="1"/>
  <c r="K13" i="2"/>
  <c r="K14" i="2" s="1"/>
  <c r="L13" i="2"/>
  <c r="L14" i="2" s="1"/>
  <c r="E13" i="2"/>
  <c r="E14" i="2" s="1"/>
  <c r="F12" i="2"/>
  <c r="G12" i="2"/>
  <c r="H12" i="2"/>
  <c r="I12" i="2"/>
  <c r="J12" i="2"/>
  <c r="K12" i="2"/>
  <c r="L12" i="2"/>
  <c r="E12" i="2"/>
  <c r="F19" i="2"/>
  <c r="G19" i="2"/>
  <c r="H19" i="2"/>
  <c r="I19" i="2"/>
  <c r="J19" i="2"/>
  <c r="K19" i="2"/>
  <c r="L19" i="2"/>
  <c r="E19" i="2"/>
  <c r="F10" i="2"/>
  <c r="G10" i="2"/>
  <c r="H10" i="2"/>
  <c r="I10" i="2"/>
  <c r="J10" i="2"/>
  <c r="K10" i="2"/>
  <c r="L10" i="2"/>
  <c r="M10" i="2" s="1"/>
  <c r="N10" i="2" s="1"/>
  <c r="O10" i="2" s="1"/>
  <c r="P10" i="2" s="1"/>
  <c r="Q10" i="2" s="1"/>
  <c r="E10" i="2"/>
  <c r="G8" i="2"/>
  <c r="H8" i="2"/>
  <c r="I8" i="2"/>
  <c r="J8" i="2"/>
  <c r="K8" i="2"/>
  <c r="L8" i="2"/>
  <c r="M7" i="2" s="1"/>
  <c r="F8" i="2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E24" i="3"/>
  <c r="E10" i="3"/>
  <c r="E13" i="3" s="1"/>
  <c r="L22" i="4" l="1"/>
  <c r="M22" i="4" s="1"/>
  <c r="E15" i="4"/>
  <c r="E16" i="4"/>
  <c r="F15" i="4"/>
  <c r="F16" i="4"/>
  <c r="G15" i="4"/>
  <c r="G16" i="4"/>
  <c r="L15" i="4"/>
  <c r="L16" i="4"/>
  <c r="J15" i="4"/>
  <c r="J16" i="4"/>
  <c r="D15" i="4"/>
  <c r="D16" i="4"/>
  <c r="H15" i="4"/>
  <c r="H16" i="4"/>
  <c r="G13" i="4"/>
  <c r="L13" i="4"/>
  <c r="E17" i="3"/>
  <c r="E22" i="3" s="1"/>
  <c r="E27" i="3" s="1"/>
  <c r="D10" i="1" s="1"/>
  <c r="N9" i="4"/>
  <c r="D13" i="4"/>
  <c r="H13" i="4"/>
  <c r="E13" i="4"/>
  <c r="J13" i="4"/>
  <c r="F13" i="4"/>
  <c r="R36" i="2"/>
  <c r="L43" i="2"/>
  <c r="B45" i="2"/>
  <c r="B37" i="2"/>
  <c r="P43" i="2"/>
  <c r="R43" i="2"/>
  <c r="N43" i="2"/>
  <c r="L30" i="2"/>
  <c r="L31" i="2"/>
  <c r="L32" i="2"/>
  <c r="L16" i="2"/>
  <c r="K16" i="2"/>
  <c r="E16" i="2"/>
  <c r="I16" i="2"/>
  <c r="G16" i="2"/>
  <c r="H16" i="2"/>
  <c r="J16" i="2"/>
  <c r="F16" i="2"/>
  <c r="M18" i="2"/>
  <c r="M9" i="2"/>
  <c r="E12" i="3"/>
  <c r="E16" i="3" s="1"/>
  <c r="E21" i="3" s="1"/>
  <c r="E26" i="3" s="1"/>
  <c r="B10" i="1" s="1"/>
  <c r="E9" i="1"/>
  <c r="C9" i="1"/>
  <c r="E8" i="1"/>
  <c r="C8" i="1"/>
  <c r="L23" i="4" l="1"/>
  <c r="L24" i="4" s="1"/>
  <c r="N22" i="4"/>
  <c r="M23" i="4"/>
  <c r="O9" i="4"/>
  <c r="P9" i="4" s="1"/>
  <c r="B46" i="2"/>
  <c r="B44" i="2"/>
  <c r="M11" i="2"/>
  <c r="M13" i="2" s="1"/>
  <c r="N7" i="2"/>
  <c r="C10" i="1"/>
  <c r="E10" i="1"/>
  <c r="E12" i="1" s="1"/>
  <c r="O22" i="4" l="1"/>
  <c r="N23" i="4"/>
  <c r="M14" i="2"/>
  <c r="M15" i="2"/>
  <c r="M20" i="2" s="1"/>
  <c r="N9" i="2"/>
  <c r="N18" i="2"/>
  <c r="O7" i="2"/>
  <c r="O23" i="4" l="1"/>
  <c r="P22" i="4"/>
  <c r="M21" i="2"/>
  <c r="M31" i="2"/>
  <c r="M32" i="2"/>
  <c r="M30" i="2"/>
  <c r="R19" i="2"/>
  <c r="N11" i="2"/>
  <c r="N13" i="2" s="1"/>
  <c r="N14" i="2" s="1"/>
  <c r="O9" i="2"/>
  <c r="O18" i="2"/>
  <c r="P7" i="2"/>
  <c r="P18" i="2" s="1"/>
  <c r="Q22" i="4" l="1"/>
  <c r="Q23" i="4" s="1"/>
  <c r="P23" i="4"/>
  <c r="R10" i="2"/>
  <c r="N15" i="2"/>
  <c r="N20" i="2" s="1"/>
  <c r="P11" i="2"/>
  <c r="O11" i="2"/>
  <c r="O13" i="2" s="1"/>
  <c r="Q7" i="2"/>
  <c r="P9" i="2"/>
  <c r="N21" i="2" l="1"/>
  <c r="N30" i="2"/>
  <c r="N32" i="2"/>
  <c r="N31" i="2"/>
  <c r="R7" i="2"/>
  <c r="R18" i="2" s="1"/>
  <c r="R11" i="2" s="1"/>
  <c r="P13" i="2"/>
  <c r="P14" i="2" s="1"/>
  <c r="O14" i="2"/>
  <c r="O15" i="2"/>
  <c r="O20" i="2" s="1"/>
  <c r="Q18" i="2"/>
  <c r="Q9" i="2"/>
  <c r="R9" i="2" l="1"/>
  <c r="R13" i="2" s="1"/>
  <c r="R14" i="2" s="1"/>
  <c r="R8" i="2"/>
  <c r="O21" i="2"/>
  <c r="O32" i="2"/>
  <c r="O31" i="2"/>
  <c r="O30" i="2"/>
  <c r="P15" i="2"/>
  <c r="P20" i="2" s="1"/>
  <c r="Q11" i="2"/>
  <c r="Q13" i="2" s="1"/>
  <c r="R15" i="2" l="1"/>
  <c r="R20" i="2" s="1"/>
  <c r="L37" i="2" s="1"/>
  <c r="L44" i="2" s="1"/>
  <c r="P21" i="2"/>
  <c r="P30" i="2"/>
  <c r="P31" i="2"/>
  <c r="P32" i="2"/>
  <c r="Q14" i="2"/>
  <c r="Q15" i="2"/>
  <c r="Q20" i="2" s="1"/>
  <c r="M37" i="2" l="1"/>
  <c r="M44" i="2" s="1"/>
  <c r="N38" i="2"/>
  <c r="N45" i="2" s="1"/>
  <c r="N37" i="2"/>
  <c r="N44" i="2" s="1"/>
  <c r="L38" i="2"/>
  <c r="L45" i="2" s="1"/>
  <c r="N39" i="2"/>
  <c r="N46" i="2" s="1"/>
  <c r="M39" i="2"/>
  <c r="M46" i="2" s="1"/>
  <c r="L39" i="2"/>
  <c r="L46" i="2" s="1"/>
  <c r="M38" i="2"/>
  <c r="Q38" i="2" s="1"/>
  <c r="Q31" i="2"/>
  <c r="R31" i="2" s="1"/>
  <c r="Q32" i="2"/>
  <c r="R32" i="2" s="1"/>
  <c r="Q30" i="2"/>
  <c r="R30" i="2" s="1"/>
  <c r="Q21" i="2"/>
  <c r="M45" i="2" l="1"/>
  <c r="Q45" i="2"/>
  <c r="Q37" i="2"/>
  <c r="Q44" i="2" s="1"/>
  <c r="R39" i="2"/>
  <c r="R46" i="2" s="1"/>
  <c r="P38" i="2"/>
  <c r="P45" i="2" s="1"/>
  <c r="R37" i="2"/>
  <c r="R44" i="2" s="1"/>
  <c r="R38" i="2"/>
  <c r="R45" i="2" s="1"/>
  <c r="P37" i="2"/>
  <c r="P44" i="2" s="1"/>
  <c r="P39" i="2"/>
  <c r="P46" i="2" s="1"/>
  <c r="Q39" i="2"/>
  <c r="Q46" i="2" s="1"/>
  <c r="K53" i="2" l="1"/>
  <c r="K55" i="2" s="1"/>
  <c r="Q9" i="4" l="1"/>
  <c r="R9" i="4" s="1"/>
  <c r="Q18" i="4"/>
  <c r="R18" i="4" s="1"/>
  <c r="P21" i="4"/>
  <c r="P24" i="4"/>
  <c r="R8" i="4"/>
  <c r="R19" i="4"/>
  <c r="R21" i="4"/>
  <c r="R24" i="4"/>
  <c r="O16" i="4"/>
  <c r="O10" i="4"/>
  <c r="O12" i="4"/>
  <c r="O13" i="4"/>
  <c r="P7" i="4"/>
  <c r="P8" i="4"/>
  <c r="N21" i="4"/>
  <c r="N24" i="4"/>
  <c r="N14" i="4"/>
  <c r="N13" i="4"/>
  <c r="N19" i="4"/>
  <c r="N10" i="4"/>
  <c r="N12" i="4"/>
  <c r="N16" i="4"/>
  <c r="Q19" i="4"/>
  <c r="Q21" i="4"/>
  <c r="Q24" i="4"/>
  <c r="R14" i="4"/>
  <c r="R17" i="4"/>
  <c r="R10" i="4"/>
  <c r="R12" i="4"/>
  <c r="R13" i="4"/>
  <c r="R6" i="4"/>
  <c r="R7" i="4"/>
  <c r="Q13" i="4"/>
  <c r="O7" i="4"/>
  <c r="O8" i="4"/>
  <c r="M8" i="4"/>
  <c r="O24" i="4"/>
  <c r="O19" i="4"/>
  <c r="O21" i="4"/>
  <c r="M13" i="4"/>
  <c r="M16" i="4"/>
  <c r="M10" i="4"/>
  <c r="M12" i="4"/>
  <c r="M14" i="4"/>
  <c r="N8" i="4"/>
  <c r="N7" i="4"/>
  <c r="P13" i="4"/>
  <c r="P19" i="4"/>
  <c r="P10" i="4"/>
  <c r="P12" i="4"/>
  <c r="P16" i="4"/>
  <c r="Q7" i="4"/>
  <c r="M19" i="4"/>
  <c r="M21" i="4"/>
  <c r="M24" i="4"/>
  <c r="M7" i="4"/>
  <c r="M6" i="4"/>
  <c r="N6" i="4"/>
  <c r="O6" i="4"/>
  <c r="P6" i="4"/>
  <c r="Q6" i="4"/>
  <c r="Q8" i="4"/>
  <c r="Q12" i="4"/>
  <c r="Q16" i="4"/>
  <c r="R16" i="4"/>
</calcChain>
</file>

<file path=xl/sharedStrings.xml><?xml version="1.0" encoding="utf-8"?>
<sst xmlns="http://schemas.openxmlformats.org/spreadsheetml/2006/main" count="123" uniqueCount="90">
  <si>
    <t>Football Field Valuation Template</t>
  </si>
  <si>
    <t>Current price</t>
  </si>
  <si>
    <t>Low</t>
  </si>
  <si>
    <t>Difference</t>
  </si>
  <si>
    <t>High</t>
  </si>
  <si>
    <t>midpoint</t>
  </si>
  <si>
    <t>52 week trading high/low</t>
  </si>
  <si>
    <t>DCF - 7-9% WACC / 2% Growth in Perpetuity</t>
  </si>
  <si>
    <t>Trading Comparables
11.6x - 14.2x EV/EBITDA</t>
  </si>
  <si>
    <t>SOTP Valuation</t>
  </si>
  <si>
    <t>TV</t>
  </si>
  <si>
    <t>EBIT</t>
  </si>
  <si>
    <t>Tax</t>
  </si>
  <si>
    <t>D&amp;A</t>
  </si>
  <si>
    <t>g</t>
  </si>
  <si>
    <t>WACC</t>
  </si>
  <si>
    <t>EV</t>
  </si>
  <si>
    <t>(-) Bridge</t>
  </si>
  <si>
    <t>EqV</t>
  </si>
  <si>
    <t>Shares outstanding</t>
  </si>
  <si>
    <t>Share price</t>
  </si>
  <si>
    <t>LVMH Moet Hennessy Louis</t>
  </si>
  <si>
    <t>Unilever</t>
  </si>
  <si>
    <t xml:space="preserve">Procter &amp; Gamble </t>
  </si>
  <si>
    <t>Interparfums</t>
  </si>
  <si>
    <t>Kenvue</t>
  </si>
  <si>
    <t>Shiseido</t>
  </si>
  <si>
    <t>Kao</t>
  </si>
  <si>
    <t xml:space="preserve">Estee Lauder A </t>
  </si>
  <si>
    <t xml:space="preserve">Coty A </t>
  </si>
  <si>
    <t>Beiersdorf</t>
  </si>
  <si>
    <t>Average</t>
  </si>
  <si>
    <t>Average -10%</t>
  </si>
  <si>
    <t>Average+10%</t>
  </si>
  <si>
    <t>EV LVMH Minimum</t>
  </si>
  <si>
    <t>EV LVMH Maximum</t>
  </si>
  <si>
    <t>Bridge</t>
  </si>
  <si>
    <t>Equity Value LVMH Minimum</t>
  </si>
  <si>
    <t>Equity Value LVMH Maximum</t>
  </si>
  <si>
    <t>NoSH</t>
  </si>
  <si>
    <t>Share price minimum</t>
  </si>
  <si>
    <t>Share price maximum</t>
  </si>
  <si>
    <t>Discounted Cash Flows</t>
  </si>
  <si>
    <t>31-12-N, €m</t>
  </si>
  <si>
    <t>in €m, unless stated otherwise</t>
  </si>
  <si>
    <t>Revenues</t>
  </si>
  <si>
    <t>Historical</t>
  </si>
  <si>
    <t>Broker</t>
  </si>
  <si>
    <t>Forecast</t>
  </si>
  <si>
    <t>%Growth</t>
  </si>
  <si>
    <t>EBITDA</t>
  </si>
  <si>
    <t>%Margin</t>
  </si>
  <si>
    <t>%Capex</t>
  </si>
  <si>
    <t>Capex</t>
  </si>
  <si>
    <t>n.a.</t>
  </si>
  <si>
    <t>%Tax Rate</t>
  </si>
  <si>
    <t>Change in WC</t>
  </si>
  <si>
    <t>%Revenue</t>
  </si>
  <si>
    <t>Free Cash Flow to Firm</t>
  </si>
  <si>
    <t>Growth</t>
  </si>
  <si>
    <t>Discount Years</t>
  </si>
  <si>
    <t>% of Cash Flow of the Year</t>
  </si>
  <si>
    <t>DCFs</t>
  </si>
  <si>
    <t>Terminal Value NPV</t>
  </si>
  <si>
    <t>PGR of</t>
  </si>
  <si>
    <t>Enterprise Value NPV</t>
  </si>
  <si>
    <t>Terminal Value / TV EBITDA</t>
  </si>
  <si>
    <t>EV/25E EBITDA</t>
  </si>
  <si>
    <t>EV/LTM EBITDA</t>
  </si>
  <si>
    <t>EBITDA L'Oreal</t>
  </si>
  <si>
    <t>Tax expenses</t>
  </si>
  <si>
    <t>NOPAT</t>
  </si>
  <si>
    <t>Unlevered Free Cash Flow (FCFF)</t>
  </si>
  <si>
    <t>Discount period</t>
  </si>
  <si>
    <t>Discount factor</t>
  </si>
  <si>
    <t>Present Value of FCFF</t>
  </si>
  <si>
    <t>Cumulative Present Value of FCF</t>
  </si>
  <si>
    <t>Terminal Year EBITDA</t>
  </si>
  <si>
    <t>Exit Multiple</t>
  </si>
  <si>
    <t>Disount factor</t>
  </si>
  <si>
    <t xml:space="preserve">   Terminal value </t>
  </si>
  <si>
    <t>Present value of Terminal Value</t>
  </si>
  <si>
    <t>Entreprise Value</t>
  </si>
  <si>
    <t>Entreprise value</t>
  </si>
  <si>
    <t>Implied Equity Value</t>
  </si>
  <si>
    <t>Number of Shares</t>
  </si>
  <si>
    <t>Total Net Debt</t>
  </si>
  <si>
    <t>Minoity Interest</t>
  </si>
  <si>
    <t>Financial Inv. &amp; others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</si>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</sst>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\€#,##0.00_);\(\€#,##0.00\);@_)"/>
    <numFmt numFmtId="167" formatCode="_(* #,##0_);_(* \(#,##0\);_(* &quot;-&quot;??_);_(@_)"/>
    <numFmt numFmtId="168" formatCode="0&quot;A&quot;"/>
    <numFmt numFmtId="169" formatCode="0&quot;E&quot;"/>
    <numFmt numFmtId="170" formatCode="0.0%"/>
    <numFmt numFmtId="171" formatCode="0.0%;\(0.0\)%"/>
    <numFmt numFmtId="172" formatCode="0,000;\(0,000\)"/>
    <numFmt numFmtId="173" formatCode="0.0\x"/>
    <numFmt numFmtId="177" formatCode="_(* #,##0.0_);_(* \(#,##0.0\);_(* &quot;-&quot;??_);_(@_)"/>
    <numFmt numFmtId="178" formatCode="_ * #,##0.0_)\ _$_ ;_ * \(#,##0.0\)\ _$_ ;_ * &quot;-&quot;?_)\ _$_ ;_ @_ "/>
    <numFmt numFmtId="180" formatCode="_ * #,##0_)\ _$_ ;_ * \(#,##0\)\ _$_ ;_ * &quot;-&quot;?_)\ _$_ ;_ @_ "/>
  </numFmts>
  <fonts count="40" x14ac:knownFonts="1">
    <font>
      <sz val="10"/>
      <name val="Arial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8"/>
      <name val="Arial"/>
      <family val="2"/>
    </font>
    <font>
      <sz val="20"/>
      <name val="Garamond"/>
      <family val="1"/>
    </font>
    <font>
      <i/>
      <sz val="8"/>
      <name val="Arial"/>
      <family val="2"/>
    </font>
    <font>
      <sz val="8"/>
      <name val="Arial"/>
      <family val="2"/>
    </font>
    <font>
      <sz val="8"/>
      <color rgb="FF0000FF"/>
      <name val="Arial"/>
      <family val="2"/>
    </font>
    <font>
      <sz val="8"/>
      <name val="Garamond"/>
      <family val="1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i/>
      <sz val="8"/>
      <color rgb="FFFF0000"/>
      <name val="Arial"/>
      <family val="2"/>
    </font>
    <font>
      <i/>
      <sz val="8"/>
      <color rgb="FF0000FF"/>
      <name val="Arial"/>
      <family val="2"/>
    </font>
    <font>
      <b/>
      <sz val="8"/>
      <name val="Arial"/>
      <family val="2"/>
    </font>
    <font>
      <sz val="8"/>
      <color rgb="FF5A8B39"/>
      <name val="Arial"/>
      <family val="2"/>
    </font>
    <font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10"/>
      <name val="Arial"/>
      <family val="2"/>
    </font>
    <font>
      <sz val="8"/>
      <color rgb="FF002060"/>
      <name val="Arial"/>
      <family val="2"/>
    </font>
    <font>
      <sz val="10"/>
      <color rgb="FF002060"/>
      <name val="Arial"/>
      <family val="2"/>
    </font>
    <font>
      <b/>
      <sz val="8"/>
      <color rgb="FF002060"/>
      <name val="Arial"/>
      <family val="2"/>
    </font>
    <font>
      <b/>
      <sz val="10"/>
      <color rgb="FF002060"/>
      <name val="Arial"/>
      <family val="2"/>
    </font>
    <font>
      <i/>
      <sz val="8"/>
      <color rgb="FF002060"/>
      <name val="Arial"/>
      <family val="2"/>
    </font>
    <font>
      <b/>
      <i/>
      <sz val="8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8"/>
      <color theme="8" tint="0.39997558519241921"/>
      <name val="Arial"/>
      <family val="2"/>
    </font>
    <font>
      <sz val="8"/>
      <color theme="8" tint="0.39997558519241921"/>
      <name val="Arial"/>
      <family val="2"/>
    </font>
    <font>
      <sz val="8"/>
      <color theme="3"/>
      <name val="Arial"/>
      <family val="2"/>
    </font>
    <font>
      <b/>
      <sz val="8"/>
      <color theme="4" tint="0.39997558519241921"/>
      <name val="Arial"/>
      <family val="2"/>
    </font>
    <font>
      <sz val="8"/>
      <color theme="4" tint="0.39997558519241921"/>
      <name val="Arial"/>
      <family val="2"/>
    </font>
    <font>
      <i/>
      <sz val="9"/>
      <color theme="1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8B3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7">
    <xf numFmtId="0" fontId="0" fillId="0" borderId="0" xfId="0"/>
    <xf numFmtId="4" fontId="0" fillId="0" borderId="0" xfId="0" applyNumberFormat="1"/>
    <xf numFmtId="4" fontId="2" fillId="0" borderId="0" xfId="1" applyNumberFormat="1" applyFont="1"/>
    <xf numFmtId="4" fontId="3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4" xfId="0" applyBorder="1"/>
    <xf numFmtId="0" fontId="4" fillId="0" borderId="4" xfId="0" applyFont="1" applyBorder="1"/>
    <xf numFmtId="166" fontId="2" fillId="0" borderId="0" xfId="0" applyNumberFormat="1" applyFont="1"/>
    <xf numFmtId="0" fontId="0" fillId="0" borderId="5" xfId="0" applyBorder="1"/>
    <xf numFmtId="0" fontId="0" fillId="0" borderId="6" xfId="0" applyBorder="1"/>
    <xf numFmtId="0" fontId="6" fillId="0" borderId="0" xfId="0" applyFont="1"/>
    <xf numFmtId="0" fontId="0" fillId="0" borderId="7" xfId="0" applyBorder="1"/>
    <xf numFmtId="0" fontId="0" fillId="0" borderId="9" xfId="0" applyBorder="1"/>
    <xf numFmtId="1" fontId="0" fillId="0" borderId="8" xfId="0" applyNumberFormat="1" applyBorder="1"/>
    <xf numFmtId="1" fontId="0" fillId="0" borderId="10" xfId="0" applyNumberFormat="1" applyBorder="1"/>
    <xf numFmtId="0" fontId="3" fillId="0" borderId="0" xfId="0" applyFont="1" applyAlignment="1">
      <alignment wrapText="1"/>
    </xf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9" fillId="0" borderId="6" xfId="0" applyFont="1" applyBorder="1"/>
    <xf numFmtId="167" fontId="9" fillId="0" borderId="0" xfId="2" applyNumberFormat="1" applyFont="1"/>
    <xf numFmtId="0" fontId="9" fillId="0" borderId="0" xfId="0" quotePrefix="1" applyFont="1"/>
    <xf numFmtId="167" fontId="9" fillId="0" borderId="0" xfId="0" applyNumberFormat="1" applyFont="1"/>
    <xf numFmtId="0" fontId="9" fillId="0" borderId="1" xfId="0" applyFont="1" applyBorder="1"/>
    <xf numFmtId="167" fontId="9" fillId="0" borderId="3" xfId="0" applyNumberFormat="1" applyFont="1" applyBorder="1"/>
    <xf numFmtId="0" fontId="9" fillId="0" borderId="0" xfId="0" applyFont="1" applyBorder="1"/>
    <xf numFmtId="0" fontId="9" fillId="0" borderId="2" xfId="0" applyFont="1" applyBorder="1"/>
    <xf numFmtId="3" fontId="10" fillId="0" borderId="0" xfId="0" applyNumberFormat="1" applyFont="1"/>
    <xf numFmtId="0" fontId="11" fillId="0" borderId="6" xfId="0" applyFont="1" applyBorder="1"/>
    <xf numFmtId="0" fontId="13" fillId="2" borderId="1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12" fillId="2" borderId="13" xfId="0" applyFont="1" applyFill="1" applyBorder="1" applyAlignment="1">
      <alignment horizontal="centerContinuous"/>
    </xf>
    <xf numFmtId="0" fontId="13" fillId="3" borderId="11" xfId="0" applyFont="1" applyFill="1" applyBorder="1" applyAlignment="1">
      <alignment horizontal="centerContinuous"/>
    </xf>
    <xf numFmtId="0" fontId="13" fillId="4" borderId="11" xfId="0" applyFont="1" applyFill="1" applyBorder="1" applyAlignment="1">
      <alignment horizontal="centerContinuous"/>
    </xf>
    <xf numFmtId="0" fontId="12" fillId="4" borderId="12" xfId="0" applyFont="1" applyFill="1" applyBorder="1" applyAlignment="1">
      <alignment horizontal="centerContinuous"/>
    </xf>
    <xf numFmtId="0" fontId="15" fillId="0" borderId="0" xfId="0" applyFont="1" applyAlignment="1">
      <alignment horizontal="left" indent="1"/>
    </xf>
    <xf numFmtId="0" fontId="15" fillId="0" borderId="0" xfId="0" applyFont="1"/>
    <xf numFmtId="170" fontId="15" fillId="0" borderId="0" xfId="3" applyNumberFormat="1" applyFont="1"/>
    <xf numFmtId="171" fontId="15" fillId="0" borderId="0" xfId="3" applyNumberFormat="1" applyFont="1"/>
    <xf numFmtId="9" fontId="15" fillId="0" borderId="0" xfId="3" applyFont="1"/>
    <xf numFmtId="170" fontId="16" fillId="0" borderId="0" xfId="3" applyNumberFormat="1" applyFont="1"/>
    <xf numFmtId="170" fontId="17" fillId="0" borderId="0" xfId="3" applyNumberFormat="1" applyFont="1"/>
    <xf numFmtId="167" fontId="10" fillId="0" borderId="0" xfId="2" applyNumberFormat="1" applyFont="1"/>
    <xf numFmtId="168" fontId="18" fillId="0" borderId="6" xfId="0" applyNumberFormat="1" applyFont="1" applyBorder="1"/>
    <xf numFmtId="169" fontId="18" fillId="0" borderId="6" xfId="0" applyNumberFormat="1" applyFont="1" applyBorder="1"/>
    <xf numFmtId="169" fontId="18" fillId="0" borderId="6" xfId="0" applyNumberFormat="1" applyFont="1" applyBorder="1" applyAlignment="1">
      <alignment horizontal="center"/>
    </xf>
    <xf numFmtId="3" fontId="15" fillId="0" borderId="0" xfId="0" applyNumberFormat="1" applyFont="1" applyAlignment="1">
      <alignment horizontal="right"/>
    </xf>
    <xf numFmtId="9" fontId="17" fillId="0" borderId="0" xfId="3" applyFont="1"/>
    <xf numFmtId="167" fontId="14" fillId="0" borderId="0" xfId="3" applyNumberFormat="1" applyFont="1"/>
    <xf numFmtId="9" fontId="8" fillId="0" borderId="0" xfId="0" applyNumberFormat="1" applyFont="1"/>
    <xf numFmtId="167" fontId="19" fillId="0" borderId="0" xfId="3" applyNumberFormat="1" applyFont="1"/>
    <xf numFmtId="0" fontId="9" fillId="5" borderId="6" xfId="0" applyFont="1" applyFill="1" applyBorder="1"/>
    <xf numFmtId="167" fontId="9" fillId="5" borderId="6" xfId="0" applyNumberFormat="1" applyFont="1" applyFill="1" applyBorder="1"/>
    <xf numFmtId="0" fontId="18" fillId="0" borderId="0" xfId="0" applyFont="1"/>
    <xf numFmtId="0" fontId="18" fillId="5" borderId="7" xfId="0" applyFont="1" applyFill="1" applyBorder="1"/>
    <xf numFmtId="0" fontId="18" fillId="5" borderId="5" xfId="0" applyFont="1" applyFill="1" applyBorder="1"/>
    <xf numFmtId="167" fontId="18" fillId="5" borderId="5" xfId="0" applyNumberFormat="1" applyFont="1" applyFill="1" applyBorder="1"/>
    <xf numFmtId="167" fontId="18" fillId="5" borderId="8" xfId="0" applyNumberFormat="1" applyFont="1" applyFill="1" applyBorder="1"/>
    <xf numFmtId="0" fontId="8" fillId="5" borderId="9" xfId="0" applyFont="1" applyFill="1" applyBorder="1"/>
    <xf numFmtId="170" fontId="8" fillId="5" borderId="6" xfId="3" applyNumberFormat="1" applyFont="1" applyFill="1" applyBorder="1"/>
    <xf numFmtId="167" fontId="20" fillId="0" borderId="0" xfId="0" applyNumberFormat="1" applyFont="1"/>
    <xf numFmtId="9" fontId="20" fillId="0" borderId="0" xfId="3" applyFont="1"/>
    <xf numFmtId="9" fontId="17" fillId="0" borderId="0" xfId="3" applyNumberFormat="1" applyFont="1"/>
    <xf numFmtId="171" fontId="8" fillId="5" borderId="10" xfId="3" applyNumberFormat="1" applyFont="1" applyFill="1" applyBorder="1"/>
    <xf numFmtId="167" fontId="10" fillId="0" borderId="0" xfId="2" applyNumberFormat="1" applyFont="1" applyAlignment="1">
      <alignment horizontal="right"/>
    </xf>
    <xf numFmtId="168" fontId="18" fillId="0" borderId="0" xfId="0" applyNumberFormat="1" applyFont="1" applyBorder="1"/>
    <xf numFmtId="169" fontId="18" fillId="0" borderId="0" xfId="0" applyNumberFormat="1" applyFont="1" applyBorder="1"/>
    <xf numFmtId="169" fontId="18" fillId="0" borderId="0" xfId="0" applyNumberFormat="1" applyFont="1" applyBorder="1" applyAlignment="1">
      <alignment horizontal="center"/>
    </xf>
    <xf numFmtId="0" fontId="10" fillId="0" borderId="0" xfId="0" applyFont="1"/>
    <xf numFmtId="164" fontId="10" fillId="0" borderId="0" xfId="2" applyFont="1"/>
    <xf numFmtId="0" fontId="20" fillId="0" borderId="0" xfId="0" applyFont="1"/>
    <xf numFmtId="9" fontId="10" fillId="0" borderId="0" xfId="0" applyNumberFormat="1" applyFont="1"/>
    <xf numFmtId="0" fontId="18" fillId="0" borderId="0" xfId="0" applyFont="1" applyAlignment="1">
      <alignment horizontal="center"/>
    </xf>
    <xf numFmtId="0" fontId="8" fillId="5" borderId="6" xfId="0" applyFont="1" applyFill="1" applyBorder="1"/>
    <xf numFmtId="10" fontId="9" fillId="0" borderId="0" xfId="0" applyNumberFormat="1" applyFont="1" applyAlignment="1">
      <alignment horizontal="center"/>
    </xf>
    <xf numFmtId="10" fontId="10" fillId="5" borderId="14" xfId="0" applyNumberFormat="1" applyFont="1" applyFill="1" applyBorder="1" applyAlignment="1">
      <alignment horizontal="center"/>
    </xf>
    <xf numFmtId="0" fontId="18" fillId="0" borderId="6" xfId="0" applyFont="1" applyBorder="1" applyAlignment="1">
      <alignment horizontal="center"/>
    </xf>
    <xf numFmtId="167" fontId="9" fillId="0" borderId="7" xfId="2" applyNumberFormat="1" applyFont="1" applyBorder="1"/>
    <xf numFmtId="167" fontId="9" fillId="0" borderId="5" xfId="2" applyNumberFormat="1" applyFont="1" applyBorder="1"/>
    <xf numFmtId="167" fontId="18" fillId="0" borderId="8" xfId="2" applyNumberFormat="1" applyFont="1" applyBorder="1"/>
    <xf numFmtId="167" fontId="9" fillId="0" borderId="15" xfId="2" applyNumberFormat="1" applyFont="1" applyBorder="1"/>
    <xf numFmtId="167" fontId="9" fillId="0" borderId="0" xfId="2" applyNumberFormat="1" applyFont="1" applyBorder="1"/>
    <xf numFmtId="167" fontId="18" fillId="0" borderId="16" xfId="2" applyNumberFormat="1" applyFont="1" applyBorder="1"/>
    <xf numFmtId="167" fontId="9" fillId="0" borderId="9" xfId="2" applyNumberFormat="1" applyFont="1" applyBorder="1"/>
    <xf numFmtId="167" fontId="9" fillId="0" borderId="6" xfId="2" applyNumberFormat="1" applyFont="1" applyBorder="1"/>
    <xf numFmtId="167" fontId="18" fillId="0" borderId="10" xfId="2" applyNumberFormat="1" applyFont="1" applyBorder="1"/>
    <xf numFmtId="170" fontId="9" fillId="0" borderId="14" xfId="0" applyNumberFormat="1" applyFont="1" applyBorder="1" applyAlignment="1">
      <alignment horizontal="center"/>
    </xf>
    <xf numFmtId="172" fontId="9" fillId="0" borderId="0" xfId="0" applyNumberFormat="1" applyFont="1" applyAlignment="1">
      <alignment horizontal="center"/>
    </xf>
    <xf numFmtId="172" fontId="9" fillId="5" borderId="14" xfId="0" applyNumberFormat="1" applyFont="1" applyFill="1" applyBorder="1" applyAlignment="1">
      <alignment horizontal="center"/>
    </xf>
    <xf numFmtId="170" fontId="21" fillId="5" borderId="14" xfId="0" applyNumberFormat="1" applyFont="1" applyFill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73" fontId="9" fillId="5" borderId="14" xfId="0" applyNumberFormat="1" applyFont="1" applyFill="1" applyBorder="1" applyAlignment="1">
      <alignment horizontal="center"/>
    </xf>
    <xf numFmtId="10" fontId="9" fillId="5" borderId="14" xfId="0" applyNumberFormat="1" applyFont="1" applyFill="1" applyBorder="1" applyAlignment="1">
      <alignment horizontal="center"/>
    </xf>
    <xf numFmtId="167" fontId="9" fillId="0" borderId="8" xfId="2" applyNumberFormat="1" applyFont="1" applyBorder="1"/>
    <xf numFmtId="167" fontId="9" fillId="0" borderId="16" xfId="2" applyNumberFormat="1" applyFont="1" applyBorder="1"/>
    <xf numFmtId="167" fontId="9" fillId="0" borderId="10" xfId="2" applyNumberFormat="1" applyFont="1" applyBorder="1"/>
    <xf numFmtId="170" fontId="18" fillId="5" borderId="14" xfId="0" applyNumberFormat="1" applyFont="1" applyFill="1" applyBorder="1" applyAlignment="1">
      <alignment horizontal="center"/>
    </xf>
    <xf numFmtId="170" fontId="10" fillId="0" borderId="0" xfId="0" applyNumberFormat="1" applyFont="1"/>
    <xf numFmtId="167" fontId="10" fillId="0" borderId="0" xfId="0" applyNumberFormat="1" applyFont="1"/>
    <xf numFmtId="173" fontId="2" fillId="0" borderId="0" xfId="0" applyNumberFormat="1" applyFont="1"/>
    <xf numFmtId="0" fontId="1" fillId="0" borderId="0" xfId="0" applyFont="1"/>
    <xf numFmtId="0" fontId="0" fillId="5" borderId="1" xfId="0" applyFill="1" applyBorder="1"/>
    <xf numFmtId="0" fontId="0" fillId="5" borderId="2" xfId="0" applyFill="1" applyBorder="1"/>
    <xf numFmtId="173" fontId="0" fillId="5" borderId="3" xfId="0" applyNumberFormat="1" applyFill="1" applyBorder="1"/>
    <xf numFmtId="173" fontId="0" fillId="0" borderId="8" xfId="0" applyNumberFormat="1" applyBorder="1"/>
    <xf numFmtId="173" fontId="0" fillId="0" borderId="10" xfId="0" applyNumberFormat="1" applyBorder="1"/>
    <xf numFmtId="0" fontId="22" fillId="0" borderId="0" xfId="0" applyFont="1"/>
    <xf numFmtId="173" fontId="0" fillId="0" borderId="0" xfId="0" applyNumberFormat="1"/>
    <xf numFmtId="3" fontId="0" fillId="0" borderId="0" xfId="0" applyNumberFormat="1"/>
    <xf numFmtId="0" fontId="23" fillId="0" borderId="0" xfId="0" applyFont="1"/>
    <xf numFmtId="167" fontId="23" fillId="0" borderId="0" xfId="2" applyNumberFormat="1" applyFont="1"/>
    <xf numFmtId="0" fontId="24" fillId="0" borderId="0" xfId="0" applyFont="1"/>
    <xf numFmtId="0" fontId="26" fillId="0" borderId="0" xfId="0" applyFont="1"/>
    <xf numFmtId="0" fontId="27" fillId="0" borderId="0" xfId="0" applyFont="1" applyAlignment="1">
      <alignment horizontal="left" indent="1"/>
    </xf>
    <xf numFmtId="170" fontId="27" fillId="0" borderId="0" xfId="3" applyNumberFormat="1" applyFont="1"/>
    <xf numFmtId="0" fontId="27" fillId="0" borderId="0" xfId="0" applyFont="1"/>
    <xf numFmtId="167" fontId="23" fillId="0" borderId="0" xfId="3" applyNumberFormat="1" applyFont="1"/>
    <xf numFmtId="0" fontId="23" fillId="0" borderId="0" xfId="0" quotePrefix="1" applyFont="1"/>
    <xf numFmtId="0" fontId="25" fillId="0" borderId="17" xfId="0" applyFont="1" applyBorder="1"/>
    <xf numFmtId="3" fontId="25" fillId="0" borderId="17" xfId="0" applyNumberFormat="1" applyFont="1" applyBorder="1"/>
    <xf numFmtId="167" fontId="25" fillId="0" borderId="17" xfId="2" applyNumberFormat="1" applyFont="1" applyBorder="1"/>
    <xf numFmtId="167" fontId="25" fillId="0" borderId="17" xfId="0" applyNumberFormat="1" applyFont="1" applyBorder="1"/>
    <xf numFmtId="0" fontId="26" fillId="0" borderId="17" xfId="0" applyFont="1" applyBorder="1"/>
    <xf numFmtId="0" fontId="27" fillId="0" borderId="18" xfId="0" applyFont="1" applyBorder="1" applyAlignment="1">
      <alignment horizontal="left" indent="1"/>
    </xf>
    <xf numFmtId="3" fontId="27" fillId="0" borderId="18" xfId="0" applyNumberFormat="1" applyFont="1" applyBorder="1" applyAlignment="1">
      <alignment horizontal="right"/>
    </xf>
    <xf numFmtId="171" fontId="27" fillId="0" borderId="18" xfId="3" applyNumberFormat="1" applyFont="1" applyBorder="1"/>
    <xf numFmtId="0" fontId="27" fillId="0" borderId="18" xfId="0" applyFont="1" applyBorder="1"/>
    <xf numFmtId="0" fontId="24" fillId="0" borderId="18" xfId="0" applyFont="1" applyBorder="1"/>
    <xf numFmtId="0" fontId="25" fillId="0" borderId="19" xfId="0" applyFont="1" applyBorder="1"/>
    <xf numFmtId="3" fontId="25" fillId="0" borderId="19" xfId="0" applyNumberFormat="1" applyFont="1" applyBorder="1"/>
    <xf numFmtId="167" fontId="25" fillId="0" borderId="19" xfId="2" applyNumberFormat="1" applyFont="1" applyBorder="1"/>
    <xf numFmtId="0" fontId="26" fillId="0" borderId="19" xfId="0" applyFont="1" applyBorder="1"/>
    <xf numFmtId="0" fontId="27" fillId="0" borderId="0" xfId="0" applyFont="1" applyBorder="1" applyAlignment="1">
      <alignment horizontal="left" indent="1"/>
    </xf>
    <xf numFmtId="170" fontId="27" fillId="0" borderId="0" xfId="3" applyNumberFormat="1" applyFont="1" applyBorder="1"/>
    <xf numFmtId="0" fontId="27" fillId="0" borderId="0" xfId="0" applyFont="1" applyBorder="1"/>
    <xf numFmtId="0" fontId="24" fillId="0" borderId="0" xfId="0" applyFont="1" applyBorder="1"/>
    <xf numFmtId="0" fontId="27" fillId="0" borderId="17" xfId="0" applyFont="1" applyBorder="1" applyAlignment="1">
      <alignment horizontal="left" indent="1"/>
    </xf>
    <xf numFmtId="9" fontId="27" fillId="0" borderId="17" xfId="3" applyFont="1" applyBorder="1"/>
    <xf numFmtId="9" fontId="27" fillId="0" borderId="17" xfId="3" applyNumberFormat="1" applyFont="1" applyBorder="1"/>
    <xf numFmtId="170" fontId="27" fillId="0" borderId="17" xfId="3" applyNumberFormat="1" applyFont="1" applyBorder="1"/>
    <xf numFmtId="0" fontId="27" fillId="0" borderId="17" xfId="0" applyFont="1" applyBorder="1"/>
    <xf numFmtId="0" fontId="24" fillId="0" borderId="17" xfId="0" applyFont="1" applyBorder="1"/>
    <xf numFmtId="0" fontId="25" fillId="0" borderId="17" xfId="0" applyFont="1" applyBorder="1" applyAlignment="1">
      <alignment vertical="top"/>
    </xf>
    <xf numFmtId="9" fontId="27" fillId="0" borderId="17" xfId="0" applyNumberFormat="1" applyFont="1" applyBorder="1"/>
    <xf numFmtId="0" fontId="25" fillId="0" borderId="20" xfId="0" applyFont="1" applyBorder="1"/>
    <xf numFmtId="167" fontId="25" fillId="0" borderId="20" xfId="3" applyNumberFormat="1" applyFont="1" applyBorder="1"/>
    <xf numFmtId="0" fontId="28" fillId="0" borderId="20" xfId="0" applyFont="1" applyBorder="1"/>
    <xf numFmtId="0" fontId="26" fillId="0" borderId="20" xfId="0" applyFont="1" applyBorder="1"/>
    <xf numFmtId="0" fontId="25" fillId="0" borderId="17" xfId="0" applyFont="1" applyBorder="1" applyAlignment="1">
      <alignment horizontal="left" indent="1"/>
    </xf>
    <xf numFmtId="0" fontId="29" fillId="0" borderId="0" xfId="0" applyFont="1"/>
    <xf numFmtId="0" fontId="30" fillId="0" borderId="0" xfId="0" applyFont="1"/>
    <xf numFmtId="0" fontId="29" fillId="5" borderId="15" xfId="0" applyFont="1" applyFill="1" applyBorder="1"/>
    <xf numFmtId="0" fontId="29" fillId="5" borderId="0" xfId="0" applyFont="1" applyFill="1" applyBorder="1"/>
    <xf numFmtId="167" fontId="29" fillId="5" borderId="0" xfId="0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31" fillId="2" borderId="11" xfId="0" applyFont="1" applyFill="1" applyBorder="1" applyAlignment="1">
      <alignment horizontal="centerContinuous"/>
    </xf>
    <xf numFmtId="0" fontId="32" fillId="2" borderId="12" xfId="0" applyFont="1" applyFill="1" applyBorder="1" applyAlignment="1">
      <alignment horizontal="centerContinuous"/>
    </xf>
    <xf numFmtId="0" fontId="33" fillId="2" borderId="12" xfId="0" applyFont="1" applyFill="1" applyBorder="1" applyAlignment="1">
      <alignment horizontal="centerContinuous"/>
    </xf>
    <xf numFmtId="0" fontId="34" fillId="2" borderId="11" xfId="0" applyFont="1" applyFill="1" applyBorder="1" applyAlignment="1">
      <alignment horizontal="centerContinuous"/>
    </xf>
    <xf numFmtId="0" fontId="35" fillId="2" borderId="12" xfId="0" applyFont="1" applyFill="1" applyBorder="1" applyAlignment="1">
      <alignment horizontal="centerContinuous"/>
    </xf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Border="1"/>
    <xf numFmtId="0" fontId="36" fillId="5" borderId="15" xfId="0" applyFont="1" applyFill="1" applyBorder="1"/>
    <xf numFmtId="177" fontId="9" fillId="5" borderId="0" xfId="0" applyNumberFormat="1" applyFont="1" applyFill="1" applyBorder="1"/>
    <xf numFmtId="170" fontId="29" fillId="5" borderId="0" xfId="3" applyNumberFormat="1" applyFont="1" applyFill="1" applyBorder="1"/>
    <xf numFmtId="177" fontId="9" fillId="5" borderId="16" xfId="0" applyNumberFormat="1" applyFont="1" applyFill="1" applyBorder="1"/>
    <xf numFmtId="170" fontId="29" fillId="5" borderId="16" xfId="3" applyNumberFormat="1" applyFont="1" applyFill="1" applyBorder="1"/>
    <xf numFmtId="167" fontId="29" fillId="5" borderId="25" xfId="0" applyNumberFormat="1" applyFont="1" applyFill="1" applyBorder="1"/>
    <xf numFmtId="0" fontId="29" fillId="5" borderId="21" xfId="0" applyFont="1" applyFill="1" applyBorder="1" applyAlignment="1"/>
    <xf numFmtId="0" fontId="29" fillId="5" borderId="17" xfId="0" applyFont="1" applyFill="1" applyBorder="1" applyAlignment="1"/>
    <xf numFmtId="0" fontId="29" fillId="0" borderId="17" xfId="0" applyFont="1" applyBorder="1" applyAlignment="1"/>
    <xf numFmtId="180" fontId="29" fillId="5" borderId="17" xfId="0" applyNumberFormat="1" applyFont="1" applyFill="1" applyBorder="1" applyAlignment="1">
      <alignment horizontal="left" indent="1"/>
    </xf>
    <xf numFmtId="180" fontId="29" fillId="5" borderId="23" xfId="0" applyNumberFormat="1" applyFont="1" applyFill="1" applyBorder="1" applyAlignment="1">
      <alignment horizontal="left" indent="1"/>
    </xf>
    <xf numFmtId="178" fontId="29" fillId="5" borderId="17" xfId="0" applyNumberFormat="1" applyFont="1" applyFill="1" applyBorder="1" applyAlignment="1">
      <alignment horizontal="left" indent="1"/>
    </xf>
    <xf numFmtId="169" fontId="18" fillId="0" borderId="10" xfId="0" applyNumberFormat="1" applyFont="1" applyBorder="1" applyAlignment="1">
      <alignment horizontal="center"/>
    </xf>
    <xf numFmtId="0" fontId="9" fillId="0" borderId="16" xfId="0" applyFont="1" applyBorder="1"/>
    <xf numFmtId="167" fontId="25" fillId="0" borderId="23" xfId="0" applyNumberFormat="1" applyFont="1" applyBorder="1"/>
    <xf numFmtId="171" fontId="27" fillId="0" borderId="26" xfId="3" applyNumberFormat="1" applyFont="1" applyBorder="1"/>
    <xf numFmtId="167" fontId="25" fillId="0" borderId="22" xfId="2" applyNumberFormat="1" applyFont="1" applyBorder="1"/>
    <xf numFmtId="170" fontId="27" fillId="0" borderId="16" xfId="3" applyNumberFormat="1" applyFont="1" applyBorder="1"/>
    <xf numFmtId="167" fontId="23" fillId="0" borderId="16" xfId="2" applyNumberFormat="1" applyFont="1" applyBorder="1"/>
    <xf numFmtId="170" fontId="27" fillId="0" borderId="23" xfId="3" applyNumberFormat="1" applyFont="1" applyBorder="1"/>
    <xf numFmtId="167" fontId="25" fillId="0" borderId="24" xfId="3" applyNumberFormat="1" applyFont="1" applyBorder="1"/>
    <xf numFmtId="167" fontId="23" fillId="0" borderId="16" xfId="3" applyNumberFormat="1" applyFont="1" applyBorder="1"/>
    <xf numFmtId="167" fontId="23" fillId="0" borderId="16" xfId="2" applyNumberFormat="1" applyFont="1" applyBorder="1" applyAlignment="1">
      <alignment horizontal="right"/>
    </xf>
    <xf numFmtId="0" fontId="0" fillId="0" borderId="0" xfId="0" applyFill="1"/>
    <xf numFmtId="0" fontId="1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0" xfId="0" applyAlignment="1">
      <alignment horizontal="center"/>
    </xf>
    <xf numFmtId="0" fontId="0" fillId="0" borderId="27" xfId="0" applyBorder="1"/>
    <xf numFmtId="0" fontId="37" fillId="0" borderId="17" xfId="0" applyFont="1" applyBorder="1"/>
    <xf numFmtId="0" fontId="38" fillId="0" borderId="17" xfId="0" applyFont="1" applyBorder="1"/>
    <xf numFmtId="0" fontId="38" fillId="0" borderId="0" xfId="0" applyFont="1"/>
    <xf numFmtId="0" fontId="38" fillId="0" borderId="27" xfId="0" applyFont="1" applyBorder="1"/>
    <xf numFmtId="0" fontId="24" fillId="0" borderId="27" xfId="0" applyFont="1" applyBorder="1"/>
    <xf numFmtId="170" fontId="0" fillId="0" borderId="1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80" fontId="0" fillId="0" borderId="17" xfId="0" applyNumberFormat="1" applyBorder="1"/>
    <xf numFmtId="180" fontId="0" fillId="0" borderId="17" xfId="0" applyNumberFormat="1" applyBorder="1" applyAlignment="1">
      <alignment horizontal="center"/>
    </xf>
    <xf numFmtId="180" fontId="26" fillId="0" borderId="17" xfId="0" applyNumberFormat="1" applyFont="1" applyBorder="1" applyAlignment="1">
      <alignment horizontal="center"/>
    </xf>
    <xf numFmtId="173" fontId="1" fillId="0" borderId="0" xfId="0" applyNumberFormat="1" applyFont="1" applyAlignment="1">
      <alignment horizontal="center"/>
    </xf>
    <xf numFmtId="0" fontId="39" fillId="0" borderId="17" xfId="0" applyFont="1" applyBorder="1"/>
    <xf numFmtId="167" fontId="0" fillId="0" borderId="17" xfId="0" applyNumberFormat="1" applyBorder="1"/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0000FF"/>
      <color rgb="FF5A8B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88562596599686E-2"/>
          <c:y val="0.1926829268292683"/>
          <c:w val="0.90417310664605877"/>
          <c:h val="0.69024390243902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Football!$B$7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\€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Football!$B$8:$B$11</c:f>
              <c:numCache>
                <c:formatCode>#,##0.00</c:formatCode>
                <c:ptCount val="4"/>
                <c:pt idx="0">
                  <c:v>608.1</c:v>
                </c:pt>
                <c:pt idx="1">
                  <c:v>717.90698593924208</c:v>
                </c:pt>
                <c:pt idx="2">
                  <c:v>287.16014591712656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8-4B8D-B03A-30C2D60854FF}"/>
            </c:ext>
          </c:extLst>
        </c:ser>
        <c:ser>
          <c:idx val="2"/>
          <c:order val="1"/>
          <c:tx>
            <c:strRef>
              <c:f>Football!$C$7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Football!$C$8:$C$11</c:f>
              <c:numCache>
                <c:formatCode>#,##0.00</c:formatCode>
                <c:ptCount val="4"/>
                <c:pt idx="0">
                  <c:v>263.89999999999998</c:v>
                </c:pt>
                <c:pt idx="1">
                  <c:v>247.50021412999718</c:v>
                </c:pt>
                <c:pt idx="2">
                  <c:v>65.709041249649317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8-4B8D-B03A-30C2D60854FF}"/>
            </c:ext>
          </c:extLst>
        </c:ser>
        <c:ser>
          <c:idx val="1"/>
          <c:order val="2"/>
          <c:tx>
            <c:strRef>
              <c:f>Football!$D$7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\€#,##0.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Football!$A$8:$A$11</c:f>
              <c:strCache>
                <c:ptCount val="4"/>
                <c:pt idx="0">
                  <c:v>52 week trading high/low</c:v>
                </c:pt>
                <c:pt idx="1">
                  <c:v>DCF - 7-9% WACC / 2% Growth in Perpetuity</c:v>
                </c:pt>
                <c:pt idx="2">
                  <c:v>Trading Comparables
11.6x - 14.2x EV/EBITDA</c:v>
                </c:pt>
                <c:pt idx="3">
                  <c:v>SOTP Valuation</c:v>
                </c:pt>
              </c:strCache>
            </c:strRef>
          </c:cat>
          <c:val>
            <c:numRef>
              <c:f>Football!$D$8:$D$11</c:f>
              <c:numCache>
                <c:formatCode>#,##0.00</c:formatCode>
                <c:ptCount val="4"/>
                <c:pt idx="0">
                  <c:v>872</c:v>
                </c:pt>
                <c:pt idx="1">
                  <c:v>965.40720006923925</c:v>
                </c:pt>
                <c:pt idx="2">
                  <c:v>352.86918716677587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8-4B8D-B03A-30C2D60854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3270488"/>
        <c:axId val="1"/>
      </c:barChart>
      <c:catAx>
        <c:axId val="63327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5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633270488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Comps!$E$3:$E$9</c:f>
              <c:numCache>
                <c:formatCode>0.0\x</c:formatCode>
                <c:ptCount val="7"/>
                <c:pt idx="0">
                  <c:v>13.88</c:v>
                </c:pt>
                <c:pt idx="1">
                  <c:v>19.18</c:v>
                </c:pt>
                <c:pt idx="2">
                  <c:v>14.82</c:v>
                </c:pt>
                <c:pt idx="3">
                  <c:v>21.77</c:v>
                </c:pt>
                <c:pt idx="4">
                  <c:v>16.02</c:v>
                </c:pt>
                <c:pt idx="5">
                  <c:v>10.99</c:v>
                </c:pt>
                <c:pt idx="6">
                  <c:v>15.06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4-465A-937F-E7573821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4282719"/>
        <c:axId val="1254274079"/>
      </c:barChart>
      <c:catAx>
        <c:axId val="12542827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4274079"/>
        <c:crosses val="autoZero"/>
        <c:auto val="1"/>
        <c:lblAlgn val="ctr"/>
        <c:lblOffset val="100"/>
        <c:noMultiLvlLbl val="0"/>
      </c:catAx>
      <c:valAx>
        <c:axId val="1254274079"/>
        <c:scaling>
          <c:orientation val="minMax"/>
        </c:scaling>
        <c:delete val="1"/>
        <c:axPos val="l"/>
        <c:numFmt formatCode="0.0\x" sourceLinked="1"/>
        <c:majorTickMark val="none"/>
        <c:minorTickMark val="none"/>
        <c:tickLblPos val="nextTo"/>
        <c:crossAx val="12542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13</xdr:row>
      <xdr:rowOff>19050</xdr:rowOff>
    </xdr:from>
    <xdr:to>
      <xdr:col>11</xdr:col>
      <xdr:colOff>228600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76021-39C8-4D40-82A8-4A4697E0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30</xdr:row>
      <xdr:rowOff>123825</xdr:rowOff>
    </xdr:from>
    <xdr:to>
      <xdr:col>11</xdr:col>
      <xdr:colOff>142875</xdr:colOff>
      <xdr:row>30</xdr:row>
      <xdr:rowOff>123825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D71013E9-E47B-4B2B-AAE5-C95317EE14EA}"/>
            </a:ext>
          </a:extLst>
        </xdr:cNvPr>
        <xdr:cNvSpPr>
          <a:spLocks noChangeShapeType="1"/>
        </xdr:cNvSpPr>
      </xdr:nvSpPr>
      <xdr:spPr bwMode="auto">
        <a:xfrm>
          <a:off x="5524500" y="4895850"/>
          <a:ext cx="5000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5</xdr:col>
      <xdr:colOff>447675</xdr:colOff>
      <xdr:row>31</xdr:row>
      <xdr:rowOff>0</xdr:rowOff>
    </xdr:from>
    <xdr:ext cx="1725601" cy="170560"/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3A2B71B8-6B10-404E-9AE0-A7EB78BED5D6}"/>
            </a:ext>
          </a:extLst>
        </xdr:cNvPr>
        <xdr:cNvSpPr txBox="1">
          <a:spLocks noChangeArrowheads="1"/>
        </xdr:cNvSpPr>
      </xdr:nvSpPr>
      <xdr:spPr bwMode="auto">
        <a:xfrm>
          <a:off x="7172325" y="4933950"/>
          <a:ext cx="1725601" cy="170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Current share price = €608.10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6</xdr:col>
      <xdr:colOff>38100</xdr:colOff>
      <xdr:row>27</xdr:row>
      <xdr:rowOff>0</xdr:rowOff>
    </xdr:to>
    <xdr:sp macro="" textlink="">
      <xdr:nvSpPr>
        <xdr:cNvPr id="8" name="object 45">
          <a:extLst>
            <a:ext uri="{FF2B5EF4-FFF2-40B4-BE49-F238E27FC236}">
              <a16:creationId xmlns:a16="http://schemas.microsoft.com/office/drawing/2014/main" id="{08A39895-C124-F84E-9B21-F5C480C9E2B7}"/>
            </a:ext>
          </a:extLst>
        </xdr:cNvPr>
        <xdr:cNvSpPr txBox="1"/>
      </xdr:nvSpPr>
      <xdr:spPr>
        <a:xfrm>
          <a:off x="0" y="4406900"/>
          <a:ext cx="4991100" cy="165100"/>
        </a:xfrm>
        <a:prstGeom prst="rect">
          <a:avLst/>
        </a:prstGeom>
        <a:solidFill>
          <a:srgbClr val="020034"/>
        </a:solidFill>
      </xdr:spPr>
      <xdr:txBody>
        <a:bodyPr vert="horz" wrap="square" lIns="0" tIns="19050" rIns="0" b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spcBef>
              <a:spcPts val="150"/>
            </a:spcBef>
          </a:pP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Enterprise</a:t>
          </a:r>
          <a:r>
            <a:rPr sz="1000" b="1" spc="5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Value</a:t>
          </a:r>
          <a:r>
            <a:rPr sz="1000" b="1" spc="5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(Terminal</a:t>
          </a:r>
          <a:r>
            <a:rPr sz="1000" b="1" spc="20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Value</a:t>
          </a:r>
          <a:r>
            <a:rPr sz="1000" b="1" spc="215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>
              <a:solidFill>
                <a:srgbClr val="FFFFFF"/>
              </a:solidFill>
              <a:latin typeface="Arial"/>
              <a:cs typeface="Arial"/>
            </a:rPr>
            <a:t>with</a:t>
          </a:r>
          <a:r>
            <a:rPr sz="1000" b="1" spc="5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Exit</a:t>
          </a:r>
          <a:r>
            <a:rPr sz="1000" b="1" spc="20">
              <a:solidFill>
                <a:srgbClr val="FFFFFF"/>
              </a:solidFill>
              <a:latin typeface="Arial"/>
              <a:cs typeface="Arial"/>
            </a:rPr>
            <a:t> </a:t>
          </a:r>
          <a:r>
            <a:rPr sz="1000" b="1" spc="-5">
              <a:solidFill>
                <a:srgbClr val="FFFFFF"/>
              </a:solidFill>
              <a:latin typeface="Arial"/>
              <a:cs typeface="Arial"/>
            </a:rPr>
            <a:t>Multiples)</a:t>
          </a:r>
          <a:endParaRPr sz="1000"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10</xdr:col>
      <xdr:colOff>800100</xdr:colOff>
      <xdr:row>27</xdr:row>
      <xdr:rowOff>18540</xdr:rowOff>
    </xdr:to>
    <xdr:sp macro="" textlink="">
      <xdr:nvSpPr>
        <xdr:cNvPr id="9" name="object 46">
          <a:extLst>
            <a:ext uri="{FF2B5EF4-FFF2-40B4-BE49-F238E27FC236}">
              <a16:creationId xmlns:a16="http://schemas.microsoft.com/office/drawing/2014/main" id="{071B0BA6-1A93-8E45-A03D-B7ABE8F5168D}"/>
            </a:ext>
          </a:extLst>
        </xdr:cNvPr>
        <xdr:cNvSpPr txBox="1"/>
      </xdr:nvSpPr>
      <xdr:spPr>
        <a:xfrm>
          <a:off x="5778500" y="4406900"/>
          <a:ext cx="2667000" cy="183640"/>
        </a:xfrm>
        <a:prstGeom prst="rect">
          <a:avLst/>
        </a:prstGeom>
        <a:solidFill>
          <a:srgbClr val="020034"/>
        </a:solidFill>
      </xdr:spPr>
      <xdr:txBody>
        <a:bodyPr vert="horz" wrap="square" lIns="0" tIns="19050" rIns="0" b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39395">
            <a:lnSpc>
              <a:spcPct val="100000"/>
            </a:lnSpc>
            <a:spcBef>
              <a:spcPts val="150"/>
            </a:spcBef>
          </a:pPr>
          <a:r>
            <a:rPr sz="1050" b="1" spc="-5">
              <a:solidFill>
                <a:srgbClr val="FFFFFF"/>
              </a:solidFill>
              <a:latin typeface="Calibri"/>
              <a:cs typeface="Calibri"/>
            </a:rPr>
            <a:t>Implied Equity</a:t>
          </a:r>
          <a:r>
            <a:rPr sz="1050" b="1" spc="5">
              <a:solidFill>
                <a:srgbClr val="FFFFFF"/>
              </a:solidFill>
              <a:latin typeface="Calibri"/>
              <a:cs typeface="Calibri"/>
            </a:rPr>
            <a:t> </a:t>
          </a:r>
          <a:r>
            <a:rPr sz="1050" b="1" spc="-5">
              <a:solidFill>
                <a:srgbClr val="FFFFFF"/>
              </a:solidFill>
              <a:latin typeface="Calibri"/>
              <a:cs typeface="Calibri"/>
            </a:rPr>
            <a:t>Value and</a:t>
          </a:r>
          <a:r>
            <a:rPr sz="1050" b="1">
              <a:solidFill>
                <a:srgbClr val="FFFFFF"/>
              </a:solidFill>
              <a:latin typeface="Calibri"/>
              <a:cs typeface="Calibri"/>
            </a:rPr>
            <a:t> </a:t>
          </a:r>
          <a:r>
            <a:rPr sz="1050" b="1" spc="-5">
              <a:solidFill>
                <a:srgbClr val="FFFFFF"/>
              </a:solidFill>
              <a:latin typeface="Calibri"/>
              <a:cs typeface="Calibri"/>
            </a:rPr>
            <a:t>Share Price</a:t>
          </a:r>
          <a:endParaRPr sz="1050">
            <a:latin typeface="Calibri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181794</xdr:colOff>
      <xdr:row>1</xdr:row>
      <xdr:rowOff>151507</xdr:rowOff>
    </xdr:from>
    <xdr:to>
      <xdr:col>16</xdr:col>
      <xdr:colOff>391809</xdr:colOff>
      <xdr:row>16</xdr:row>
      <xdr:rowOff>81063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98D83-A24E-9F2A-E977-5C0F7D1E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showGridLines="0" topLeftCell="A2" workbookViewId="0">
      <selection activeCell="B6" sqref="B6"/>
    </sheetView>
  </sheetViews>
  <sheetFormatPr baseColWidth="10" defaultColWidth="8.83203125" defaultRowHeight="13" x14ac:dyDescent="0.15"/>
  <cols>
    <col min="1" max="1" width="59" bestFit="1" customWidth="1"/>
    <col min="2" max="2" width="14.5" customWidth="1"/>
    <col min="256" max="256" width="22" customWidth="1"/>
    <col min="257" max="257" width="29.33203125" bestFit="1" customWidth="1"/>
    <col min="512" max="512" width="22" customWidth="1"/>
    <col min="513" max="513" width="29.33203125" bestFit="1" customWidth="1"/>
    <col min="768" max="768" width="22" customWidth="1"/>
    <col min="769" max="769" width="29.33203125" bestFit="1" customWidth="1"/>
    <col min="1024" max="1024" width="22" customWidth="1"/>
    <col min="1025" max="1025" width="29.33203125" bestFit="1" customWidth="1"/>
    <col min="1280" max="1280" width="22" customWidth="1"/>
    <col min="1281" max="1281" width="29.33203125" bestFit="1" customWidth="1"/>
    <col min="1536" max="1536" width="22" customWidth="1"/>
    <col min="1537" max="1537" width="29.33203125" bestFit="1" customWidth="1"/>
    <col min="1792" max="1792" width="22" customWidth="1"/>
    <col min="1793" max="1793" width="29.33203125" bestFit="1" customWidth="1"/>
    <col min="2048" max="2048" width="22" customWidth="1"/>
    <col min="2049" max="2049" width="29.33203125" bestFit="1" customWidth="1"/>
    <col min="2304" max="2304" width="22" customWidth="1"/>
    <col min="2305" max="2305" width="29.33203125" bestFit="1" customWidth="1"/>
    <col min="2560" max="2560" width="22" customWidth="1"/>
    <col min="2561" max="2561" width="29.33203125" bestFit="1" customWidth="1"/>
    <col min="2816" max="2816" width="22" customWidth="1"/>
    <col min="2817" max="2817" width="29.33203125" bestFit="1" customWidth="1"/>
    <col min="3072" max="3072" width="22" customWidth="1"/>
    <col min="3073" max="3073" width="29.33203125" bestFit="1" customWidth="1"/>
    <col min="3328" max="3328" width="22" customWidth="1"/>
    <col min="3329" max="3329" width="29.33203125" bestFit="1" customWidth="1"/>
    <col min="3584" max="3584" width="22" customWidth="1"/>
    <col min="3585" max="3585" width="29.33203125" bestFit="1" customWidth="1"/>
    <col min="3840" max="3840" width="22" customWidth="1"/>
    <col min="3841" max="3841" width="29.33203125" bestFit="1" customWidth="1"/>
    <col min="4096" max="4096" width="22" customWidth="1"/>
    <col min="4097" max="4097" width="29.33203125" bestFit="1" customWidth="1"/>
    <col min="4352" max="4352" width="22" customWidth="1"/>
    <col min="4353" max="4353" width="29.33203125" bestFit="1" customWidth="1"/>
    <col min="4608" max="4608" width="22" customWidth="1"/>
    <col min="4609" max="4609" width="29.33203125" bestFit="1" customWidth="1"/>
    <col min="4864" max="4864" width="22" customWidth="1"/>
    <col min="4865" max="4865" width="29.33203125" bestFit="1" customWidth="1"/>
    <col min="5120" max="5120" width="22" customWidth="1"/>
    <col min="5121" max="5121" width="29.33203125" bestFit="1" customWidth="1"/>
    <col min="5376" max="5376" width="22" customWidth="1"/>
    <col min="5377" max="5377" width="29.33203125" bestFit="1" customWidth="1"/>
    <col min="5632" max="5632" width="22" customWidth="1"/>
    <col min="5633" max="5633" width="29.33203125" bestFit="1" customWidth="1"/>
    <col min="5888" max="5888" width="22" customWidth="1"/>
    <col min="5889" max="5889" width="29.33203125" bestFit="1" customWidth="1"/>
    <col min="6144" max="6144" width="22" customWidth="1"/>
    <col min="6145" max="6145" width="29.33203125" bestFit="1" customWidth="1"/>
    <col min="6400" max="6400" width="22" customWidth="1"/>
    <col min="6401" max="6401" width="29.33203125" bestFit="1" customWidth="1"/>
    <col min="6656" max="6656" width="22" customWidth="1"/>
    <col min="6657" max="6657" width="29.33203125" bestFit="1" customWidth="1"/>
    <col min="6912" max="6912" width="22" customWidth="1"/>
    <col min="6913" max="6913" width="29.33203125" bestFit="1" customWidth="1"/>
    <col min="7168" max="7168" width="22" customWidth="1"/>
    <col min="7169" max="7169" width="29.33203125" bestFit="1" customWidth="1"/>
    <col min="7424" max="7424" width="22" customWidth="1"/>
    <col min="7425" max="7425" width="29.33203125" bestFit="1" customWidth="1"/>
    <col min="7680" max="7680" width="22" customWidth="1"/>
    <col min="7681" max="7681" width="29.33203125" bestFit="1" customWidth="1"/>
    <col min="7936" max="7936" width="22" customWidth="1"/>
    <col min="7937" max="7937" width="29.33203125" bestFit="1" customWidth="1"/>
    <col min="8192" max="8192" width="22" customWidth="1"/>
    <col min="8193" max="8193" width="29.33203125" bestFit="1" customWidth="1"/>
    <col min="8448" max="8448" width="22" customWidth="1"/>
    <col min="8449" max="8449" width="29.33203125" bestFit="1" customWidth="1"/>
    <col min="8704" max="8704" width="22" customWidth="1"/>
    <col min="8705" max="8705" width="29.33203125" bestFit="1" customWidth="1"/>
    <col min="8960" max="8960" width="22" customWidth="1"/>
    <col min="8961" max="8961" width="29.33203125" bestFit="1" customWidth="1"/>
    <col min="9216" max="9216" width="22" customWidth="1"/>
    <col min="9217" max="9217" width="29.33203125" bestFit="1" customWidth="1"/>
    <col min="9472" max="9472" width="22" customWidth="1"/>
    <col min="9473" max="9473" width="29.33203125" bestFit="1" customWidth="1"/>
    <col min="9728" max="9728" width="22" customWidth="1"/>
    <col min="9729" max="9729" width="29.33203125" bestFit="1" customWidth="1"/>
    <col min="9984" max="9984" width="22" customWidth="1"/>
    <col min="9985" max="9985" width="29.33203125" bestFit="1" customWidth="1"/>
    <col min="10240" max="10240" width="22" customWidth="1"/>
    <col min="10241" max="10241" width="29.33203125" bestFit="1" customWidth="1"/>
    <col min="10496" max="10496" width="22" customWidth="1"/>
    <col min="10497" max="10497" width="29.33203125" bestFit="1" customWidth="1"/>
    <col min="10752" max="10752" width="22" customWidth="1"/>
    <col min="10753" max="10753" width="29.33203125" bestFit="1" customWidth="1"/>
    <col min="11008" max="11008" width="22" customWidth="1"/>
    <col min="11009" max="11009" width="29.33203125" bestFit="1" customWidth="1"/>
    <col min="11264" max="11264" width="22" customWidth="1"/>
    <col min="11265" max="11265" width="29.33203125" bestFit="1" customWidth="1"/>
    <col min="11520" max="11520" width="22" customWidth="1"/>
    <col min="11521" max="11521" width="29.33203125" bestFit="1" customWidth="1"/>
    <col min="11776" max="11776" width="22" customWidth="1"/>
    <col min="11777" max="11777" width="29.33203125" bestFit="1" customWidth="1"/>
    <col min="12032" max="12032" width="22" customWidth="1"/>
    <col min="12033" max="12033" width="29.33203125" bestFit="1" customWidth="1"/>
    <col min="12288" max="12288" width="22" customWidth="1"/>
    <col min="12289" max="12289" width="29.33203125" bestFit="1" customWidth="1"/>
    <col min="12544" max="12544" width="22" customWidth="1"/>
    <col min="12545" max="12545" width="29.33203125" bestFit="1" customWidth="1"/>
    <col min="12800" max="12800" width="22" customWidth="1"/>
    <col min="12801" max="12801" width="29.33203125" bestFit="1" customWidth="1"/>
    <col min="13056" max="13056" width="22" customWidth="1"/>
    <col min="13057" max="13057" width="29.33203125" bestFit="1" customWidth="1"/>
    <col min="13312" max="13312" width="22" customWidth="1"/>
    <col min="13313" max="13313" width="29.33203125" bestFit="1" customWidth="1"/>
    <col min="13568" max="13568" width="22" customWidth="1"/>
    <col min="13569" max="13569" width="29.33203125" bestFit="1" customWidth="1"/>
    <col min="13824" max="13824" width="22" customWidth="1"/>
    <col min="13825" max="13825" width="29.33203125" bestFit="1" customWidth="1"/>
    <col min="14080" max="14080" width="22" customWidth="1"/>
    <col min="14081" max="14081" width="29.33203125" bestFit="1" customWidth="1"/>
    <col min="14336" max="14336" width="22" customWidth="1"/>
    <col min="14337" max="14337" width="29.33203125" bestFit="1" customWidth="1"/>
    <col min="14592" max="14592" width="22" customWidth="1"/>
    <col min="14593" max="14593" width="29.33203125" bestFit="1" customWidth="1"/>
    <col min="14848" max="14848" width="22" customWidth="1"/>
    <col min="14849" max="14849" width="29.33203125" bestFit="1" customWidth="1"/>
    <col min="15104" max="15104" width="22" customWidth="1"/>
    <col min="15105" max="15105" width="29.33203125" bestFit="1" customWidth="1"/>
    <col min="15360" max="15360" width="22" customWidth="1"/>
    <col min="15361" max="15361" width="29.33203125" bestFit="1" customWidth="1"/>
    <col min="15616" max="15616" width="22" customWidth="1"/>
    <col min="15617" max="15617" width="29.33203125" bestFit="1" customWidth="1"/>
    <col min="15872" max="15872" width="22" customWidth="1"/>
    <col min="15873" max="15873" width="29.33203125" bestFit="1" customWidth="1"/>
    <col min="16128" max="16128" width="22" customWidth="1"/>
    <col min="16129" max="16129" width="29.33203125" bestFit="1" customWidth="1"/>
  </cols>
  <sheetData>
    <row r="1" spans="1:13" ht="19" thickBot="1" x14ac:dyDescent="0.25">
      <c r="A1" s="8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6" spans="1:13" x14ac:dyDescent="0.15">
      <c r="A6" t="s">
        <v>1</v>
      </c>
      <c r="B6" s="9">
        <v>608.1</v>
      </c>
    </row>
    <row r="7" spans="1:13" ht="12.75" customHeight="1" x14ac:dyDescent="0.15">
      <c r="B7" s="6" t="s">
        <v>2</v>
      </c>
      <c r="C7" s="6" t="s">
        <v>3</v>
      </c>
      <c r="D7" s="6" t="s">
        <v>4</v>
      </c>
      <c r="E7" s="6" t="s">
        <v>5</v>
      </c>
    </row>
    <row r="8" spans="1:13" x14ac:dyDescent="0.15">
      <c r="A8" s="5" t="s">
        <v>6</v>
      </c>
      <c r="B8" s="2">
        <v>608.1</v>
      </c>
      <c r="C8" s="3">
        <f>D8-B8</f>
        <v>263.89999999999998</v>
      </c>
      <c r="D8" s="2">
        <v>872</v>
      </c>
      <c r="E8" s="3">
        <f>AVERAGE(D8,B8)</f>
        <v>740.05</v>
      </c>
    </row>
    <row r="9" spans="1:13" x14ac:dyDescent="0.15">
      <c r="A9" s="5" t="s">
        <v>7</v>
      </c>
      <c r="B9" s="2">
        <v>717.90698593924208</v>
      </c>
      <c r="C9" s="3">
        <f>D9-B9</f>
        <v>247.50021412999718</v>
      </c>
      <c r="D9" s="2">
        <v>965.40720006923925</v>
      </c>
      <c r="E9" s="3">
        <f>AVERAGE(D9,B9)</f>
        <v>841.65709300424066</v>
      </c>
    </row>
    <row r="10" spans="1:13" ht="28" x14ac:dyDescent="0.15">
      <c r="A10" s="17" t="s">
        <v>8</v>
      </c>
      <c r="B10" s="4">
        <f>Comps!E26</f>
        <v>287.16014591712656</v>
      </c>
      <c r="C10" s="3">
        <f>D10-B10</f>
        <v>65.709041249649317</v>
      </c>
      <c r="D10" s="4">
        <f>Comps!E27</f>
        <v>352.86918716677587</v>
      </c>
      <c r="E10" s="3">
        <f>AVERAGE(D10,B10)</f>
        <v>320.01466654195121</v>
      </c>
    </row>
    <row r="11" spans="1:13" x14ac:dyDescent="0.15">
      <c r="A11" t="s">
        <v>9</v>
      </c>
      <c r="B11" s="4"/>
      <c r="C11" s="3"/>
      <c r="D11" s="4"/>
      <c r="E11" s="3"/>
    </row>
    <row r="12" spans="1:13" x14ac:dyDescent="0.15">
      <c r="E12" s="1">
        <f>AVERAGE(E8:E10)</f>
        <v>633.90725318206387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55"/>
  <sheetViews>
    <sheetView showGridLines="0" zoomScaleNormal="100" zoomScaleSheetLayoutView="100" workbookViewId="0">
      <selection activeCell="Q18" sqref="Q18:R18"/>
    </sheetView>
  </sheetViews>
  <sheetFormatPr baseColWidth="10" defaultColWidth="8.83203125" defaultRowHeight="11" outlineLevelRow="1" x14ac:dyDescent="0.15"/>
  <cols>
    <col min="1" max="1" width="1.6640625" style="20" customWidth="1"/>
    <col min="2" max="2" width="13.6640625" style="20" bestFit="1" customWidth="1"/>
    <col min="3" max="4" width="3.6640625" style="20" customWidth="1"/>
    <col min="5" max="17" width="7.6640625" style="20" customWidth="1"/>
    <col min="18" max="16384" width="8.83203125" style="20"/>
  </cols>
  <sheetData>
    <row r="1" spans="2:18" ht="26" x14ac:dyDescent="0.3">
      <c r="B1" s="18" t="s">
        <v>42</v>
      </c>
      <c r="C1" s="18"/>
      <c r="D1" s="18"/>
      <c r="E1" s="30"/>
      <c r="F1" s="30"/>
      <c r="G1" s="30"/>
      <c r="H1" s="30"/>
      <c r="I1" s="30"/>
      <c r="J1" s="30"/>
      <c r="K1" s="21"/>
      <c r="L1" s="21"/>
      <c r="M1" s="21"/>
      <c r="N1" s="21"/>
      <c r="O1" s="21"/>
      <c r="P1" s="21"/>
      <c r="Q1" s="21"/>
      <c r="R1" s="21"/>
    </row>
    <row r="2" spans="2:18" x14ac:dyDescent="0.15">
      <c r="B2" s="19" t="s">
        <v>44</v>
      </c>
      <c r="C2" s="19"/>
      <c r="D2" s="19"/>
      <c r="E2" s="19"/>
      <c r="F2" s="19"/>
      <c r="G2" s="19"/>
      <c r="H2" s="19"/>
      <c r="I2" s="19"/>
      <c r="J2" s="19"/>
    </row>
    <row r="3" spans="2:18" ht="12" thickBot="1" x14ac:dyDescent="0.2"/>
    <row r="4" spans="2:18" ht="13" thickTop="1" thickBot="1" x14ac:dyDescent="0.2">
      <c r="E4" s="31" t="s">
        <v>46</v>
      </c>
      <c r="F4" s="32"/>
      <c r="G4" s="32"/>
      <c r="H4" s="32"/>
      <c r="I4" s="32"/>
      <c r="J4" s="32"/>
      <c r="K4" s="33"/>
      <c r="L4" s="34" t="s">
        <v>47</v>
      </c>
      <c r="M4" s="35" t="s">
        <v>48</v>
      </c>
      <c r="N4" s="36"/>
      <c r="O4" s="36"/>
      <c r="P4" s="36"/>
      <c r="Q4" s="36"/>
    </row>
    <row r="5" spans="2:18" ht="12" thickTop="1" x14ac:dyDescent="0.15">
      <c r="B5" s="19" t="s">
        <v>43</v>
      </c>
      <c r="C5" s="19"/>
      <c r="D5" s="19"/>
      <c r="E5" s="45">
        <v>2017</v>
      </c>
      <c r="F5" s="45">
        <f>E5+1</f>
        <v>2018</v>
      </c>
      <c r="G5" s="45">
        <f t="shared" ref="G5:Q5" si="0">F5+1</f>
        <v>2019</v>
      </c>
      <c r="H5" s="45">
        <f t="shared" si="0"/>
        <v>2020</v>
      </c>
      <c r="I5" s="45">
        <f t="shared" si="0"/>
        <v>2021</v>
      </c>
      <c r="J5" s="45">
        <f t="shared" si="0"/>
        <v>2022</v>
      </c>
      <c r="K5" s="45">
        <f t="shared" si="0"/>
        <v>2023</v>
      </c>
      <c r="L5" s="46">
        <f t="shared" si="0"/>
        <v>2024</v>
      </c>
      <c r="M5" s="46">
        <f t="shared" si="0"/>
        <v>2025</v>
      </c>
      <c r="N5" s="46">
        <f t="shared" si="0"/>
        <v>2026</v>
      </c>
      <c r="O5" s="46">
        <f t="shared" si="0"/>
        <v>2027</v>
      </c>
      <c r="P5" s="46">
        <f t="shared" si="0"/>
        <v>2028</v>
      </c>
      <c r="Q5" s="46">
        <f t="shared" si="0"/>
        <v>2029</v>
      </c>
      <c r="R5" s="47" t="s">
        <v>10</v>
      </c>
    </row>
    <row r="6" spans="2:18" x14ac:dyDescent="0.15">
      <c r="K6" s="27"/>
      <c r="L6" s="27"/>
      <c r="M6" s="27"/>
      <c r="N6" s="27"/>
      <c r="O6" s="27"/>
      <c r="P6" s="27"/>
      <c r="Q6" s="27"/>
      <c r="R6" s="27"/>
    </row>
    <row r="7" spans="2:18" x14ac:dyDescent="0.15">
      <c r="B7" s="20" t="s">
        <v>45</v>
      </c>
      <c r="E7" s="29">
        <v>26024</v>
      </c>
      <c r="F7" s="29">
        <v>26938</v>
      </c>
      <c r="G7" s="29">
        <v>29874</v>
      </c>
      <c r="H7" s="29">
        <v>27992</v>
      </c>
      <c r="I7" s="29">
        <v>32288</v>
      </c>
      <c r="J7" s="29">
        <v>38034</v>
      </c>
      <c r="K7" s="29">
        <v>41795</v>
      </c>
      <c r="L7" s="29">
        <v>44174</v>
      </c>
      <c r="M7" s="22">
        <f>L7*(1+M8)</f>
        <v>46382.700000000004</v>
      </c>
      <c r="N7" s="22">
        <f t="shared" ref="N7:Q7" si="1">M7*(1+N8)</f>
        <v>48469.921500000004</v>
      </c>
      <c r="O7" s="22">
        <f t="shared" si="1"/>
        <v>50408.718360000006</v>
      </c>
      <c r="P7" s="22">
        <f t="shared" si="1"/>
        <v>52173.023502600001</v>
      </c>
      <c r="Q7" s="22">
        <f t="shared" si="1"/>
        <v>53738.214207678</v>
      </c>
      <c r="R7" s="62">
        <f>Q7</f>
        <v>53738.214207678</v>
      </c>
    </row>
    <row r="8" spans="2:18" s="38" customFormat="1" x14ac:dyDescent="0.15">
      <c r="B8" s="37" t="s">
        <v>49</v>
      </c>
      <c r="C8" s="37"/>
      <c r="D8" s="37"/>
      <c r="E8" s="48" t="s">
        <v>54</v>
      </c>
      <c r="F8" s="40">
        <f>F7/E7-1</f>
        <v>3.5121426375653186E-2</v>
      </c>
      <c r="G8" s="40">
        <f t="shared" ref="G8:L8" si="2">G7/F7-1</f>
        <v>0.10899101640804809</v>
      </c>
      <c r="H8" s="40">
        <f t="shared" si="2"/>
        <v>-6.29979246167236E-2</v>
      </c>
      <c r="I8" s="40">
        <f t="shared" si="2"/>
        <v>0.15347242069162625</v>
      </c>
      <c r="J8" s="40">
        <f t="shared" si="2"/>
        <v>0.17796085232903858</v>
      </c>
      <c r="K8" s="40">
        <f t="shared" si="2"/>
        <v>9.888520797181477E-2</v>
      </c>
      <c r="L8" s="40">
        <f t="shared" si="2"/>
        <v>5.6920684292379509E-2</v>
      </c>
      <c r="M8" s="43">
        <v>0.05</v>
      </c>
      <c r="N8" s="43">
        <v>4.4999999999999998E-2</v>
      </c>
      <c r="O8" s="43">
        <v>0.04</v>
      </c>
      <c r="P8" s="43">
        <v>3.5000000000000003E-2</v>
      </c>
      <c r="Q8" s="43">
        <v>0.03</v>
      </c>
      <c r="R8" s="40">
        <f>R7/Q7-1</f>
        <v>0</v>
      </c>
    </row>
    <row r="9" spans="2:18" x14ac:dyDescent="0.15">
      <c r="B9" s="20" t="s">
        <v>50</v>
      </c>
      <c r="E9" s="29">
        <v>5895</v>
      </c>
      <c r="F9" s="29">
        <v>6031</v>
      </c>
      <c r="G9" s="29">
        <v>7506</v>
      </c>
      <c r="H9" s="29">
        <v>7237</v>
      </c>
      <c r="I9" s="29">
        <v>7941</v>
      </c>
      <c r="J9" s="29">
        <v>9358</v>
      </c>
      <c r="K9" s="29">
        <v>10419</v>
      </c>
      <c r="L9" s="29">
        <v>11004</v>
      </c>
      <c r="M9" s="22">
        <f>M10*M7</f>
        <v>11786.113500000001</v>
      </c>
      <c r="N9" s="22">
        <f t="shared" ref="N9:R9" si="3">N10*N7</f>
        <v>12558.838215000002</v>
      </c>
      <c r="O9" s="22">
        <f t="shared" si="3"/>
        <v>13313.235335400002</v>
      </c>
      <c r="P9" s="22">
        <f t="shared" si="3"/>
        <v>14040.063689652001</v>
      </c>
      <c r="Q9" s="22">
        <f t="shared" si="3"/>
        <v>14729.95667137995</v>
      </c>
      <c r="R9" s="22">
        <f t="shared" si="3"/>
        <v>14729.95667137995</v>
      </c>
    </row>
    <row r="10" spans="2:18" s="38" customFormat="1" x14ac:dyDescent="0.15">
      <c r="B10" s="37" t="s">
        <v>51</v>
      </c>
      <c r="C10" s="37"/>
      <c r="D10" s="37"/>
      <c r="E10" s="39">
        <f>E9/E7</f>
        <v>0.22652167230249001</v>
      </c>
      <c r="F10" s="39">
        <f t="shared" ref="F10:L10" si="4">F9/F7</f>
        <v>0.22388447546217238</v>
      </c>
      <c r="G10" s="39">
        <f t="shared" si="4"/>
        <v>0.25125527214300059</v>
      </c>
      <c r="H10" s="39">
        <f t="shared" si="4"/>
        <v>0.25853815375821665</v>
      </c>
      <c r="I10" s="39">
        <f t="shared" si="4"/>
        <v>0.24594276511397423</v>
      </c>
      <c r="J10" s="39">
        <f t="shared" si="4"/>
        <v>0.24604301414523846</v>
      </c>
      <c r="K10" s="39">
        <f t="shared" si="4"/>
        <v>0.24928819236750807</v>
      </c>
      <c r="L10" s="39">
        <f t="shared" si="4"/>
        <v>0.24910580884683298</v>
      </c>
      <c r="M10" s="43">
        <f>L10+0.5%</f>
        <v>0.25410580884683298</v>
      </c>
      <c r="N10" s="43">
        <f t="shared" ref="N10:Q10" si="5">M10+0.5%</f>
        <v>0.25910580884683299</v>
      </c>
      <c r="O10" s="43">
        <f t="shared" si="5"/>
        <v>0.26410580884683299</v>
      </c>
      <c r="P10" s="43">
        <f t="shared" si="5"/>
        <v>0.26910580884683299</v>
      </c>
      <c r="Q10" s="43">
        <f t="shared" si="5"/>
        <v>0.274105808846833</v>
      </c>
      <c r="R10" s="42">
        <f>Q10</f>
        <v>0.274105808846833</v>
      </c>
    </row>
    <row r="11" spans="2:18" x14ac:dyDescent="0.15">
      <c r="B11" s="20" t="s">
        <v>13</v>
      </c>
      <c r="E11" s="44">
        <v>-1219</v>
      </c>
      <c r="F11" s="44">
        <v>-1109</v>
      </c>
      <c r="G11" s="44">
        <v>-1958</v>
      </c>
      <c r="H11" s="44">
        <v>-2028</v>
      </c>
      <c r="I11" s="44">
        <v>-1781</v>
      </c>
      <c r="J11" s="44">
        <v>-1921</v>
      </c>
      <c r="K11" s="44">
        <v>-2052</v>
      </c>
      <c r="L11" s="44">
        <v>-2127</v>
      </c>
      <c r="M11" s="22">
        <f t="shared" ref="M11:R11" si="6">M12*M18</f>
        <v>-1866.9036750000002</v>
      </c>
      <c r="N11" s="22">
        <f t="shared" si="6"/>
        <v>-1866.0919777500005</v>
      </c>
      <c r="O11" s="22">
        <f t="shared" si="6"/>
        <v>-1852.5203997300005</v>
      </c>
      <c r="P11" s="22">
        <f t="shared" si="6"/>
        <v>-1826.0558225910002</v>
      </c>
      <c r="Q11" s="22">
        <f t="shared" si="6"/>
        <v>-1880.8374972687302</v>
      </c>
      <c r="R11" s="22">
        <f t="shared" si="6"/>
        <v>-1880.8374972687302</v>
      </c>
    </row>
    <row r="12" spans="2:18" s="38" customFormat="1" x14ac:dyDescent="0.15">
      <c r="B12" s="37" t="s">
        <v>52</v>
      </c>
      <c r="C12" s="37"/>
      <c r="D12" s="37"/>
      <c r="E12" s="41">
        <f t="shared" ref="E12:L12" si="7">E11/E18</f>
        <v>0.96439873417721522</v>
      </c>
      <c r="F12" s="41">
        <f t="shared" si="7"/>
        <v>0.78319209039548021</v>
      </c>
      <c r="G12" s="41">
        <f t="shared" si="7"/>
        <v>1.5905767668562145</v>
      </c>
      <c r="H12" s="41">
        <f t="shared" si="7"/>
        <v>2.0864197530864197</v>
      </c>
      <c r="I12" s="41">
        <f t="shared" si="7"/>
        <v>1.6567441860465115</v>
      </c>
      <c r="J12" s="41">
        <f t="shared" si="7"/>
        <v>1.443275732531931</v>
      </c>
      <c r="K12" s="41">
        <f t="shared" si="7"/>
        <v>1.4025974025974026</v>
      </c>
      <c r="L12" s="41">
        <f t="shared" si="7"/>
        <v>1.2037351443123938</v>
      </c>
      <c r="M12" s="64">
        <v>1.1499999999999999</v>
      </c>
      <c r="N12" s="64">
        <v>1.1000000000000001</v>
      </c>
      <c r="O12" s="64">
        <v>1.05</v>
      </c>
      <c r="P12" s="64">
        <v>1</v>
      </c>
      <c r="Q12" s="64">
        <v>1</v>
      </c>
      <c r="R12" s="42">
        <f>Q12</f>
        <v>1</v>
      </c>
    </row>
    <row r="13" spans="2:18" s="38" customFormat="1" x14ac:dyDescent="0.15">
      <c r="B13" s="20" t="s">
        <v>11</v>
      </c>
      <c r="C13" s="20"/>
      <c r="D13" s="20"/>
      <c r="E13" s="50">
        <f>E11+E9</f>
        <v>4676</v>
      </c>
      <c r="F13" s="50">
        <f t="shared" ref="F13:R13" si="8">F11+F9</f>
        <v>4922</v>
      </c>
      <c r="G13" s="50">
        <f t="shared" si="8"/>
        <v>5548</v>
      </c>
      <c r="H13" s="50">
        <f t="shared" si="8"/>
        <v>5209</v>
      </c>
      <c r="I13" s="50">
        <f t="shared" si="8"/>
        <v>6160</v>
      </c>
      <c r="J13" s="50">
        <f t="shared" si="8"/>
        <v>7437</v>
      </c>
      <c r="K13" s="50">
        <f t="shared" si="8"/>
        <v>8367</v>
      </c>
      <c r="L13" s="50">
        <f t="shared" si="8"/>
        <v>8877</v>
      </c>
      <c r="M13" s="50">
        <f t="shared" si="8"/>
        <v>9919.2098250000017</v>
      </c>
      <c r="N13" s="50">
        <f t="shared" si="8"/>
        <v>10692.746237250001</v>
      </c>
      <c r="O13" s="50">
        <f t="shared" si="8"/>
        <v>11460.714935670003</v>
      </c>
      <c r="P13" s="50">
        <f t="shared" si="8"/>
        <v>12214.007867061</v>
      </c>
      <c r="Q13" s="50">
        <f t="shared" si="8"/>
        <v>12849.11917411122</v>
      </c>
      <c r="R13" s="50">
        <f t="shared" si="8"/>
        <v>12849.11917411122</v>
      </c>
    </row>
    <row r="14" spans="2:18" s="38" customFormat="1" x14ac:dyDescent="0.15">
      <c r="B14" s="37" t="s">
        <v>51</v>
      </c>
      <c r="C14" s="37"/>
      <c r="D14" s="37"/>
      <c r="E14" s="39">
        <f>E13/E7</f>
        <v>0.17968029511220412</v>
      </c>
      <c r="F14" s="39">
        <f t="shared" ref="F14:R14" si="9">F13/F7</f>
        <v>0.1827158660628109</v>
      </c>
      <c r="G14" s="39">
        <f t="shared" si="9"/>
        <v>0.18571332931646248</v>
      </c>
      <c r="H14" s="39">
        <f t="shared" si="9"/>
        <v>0.18608888253786796</v>
      </c>
      <c r="I14" s="39">
        <f t="shared" si="9"/>
        <v>0.19078295341922696</v>
      </c>
      <c r="J14" s="39">
        <f t="shared" si="9"/>
        <v>0.19553557343429562</v>
      </c>
      <c r="K14" s="39">
        <f t="shared" si="9"/>
        <v>0.20019141045579614</v>
      </c>
      <c r="L14" s="39">
        <f t="shared" si="9"/>
        <v>0.20095531308009237</v>
      </c>
      <c r="M14" s="39">
        <f t="shared" si="9"/>
        <v>0.213855808846833</v>
      </c>
      <c r="N14" s="39">
        <f t="shared" si="9"/>
        <v>0.22060580884683298</v>
      </c>
      <c r="O14" s="39">
        <f t="shared" si="9"/>
        <v>0.22735580884683301</v>
      </c>
      <c r="P14" s="39">
        <f t="shared" si="9"/>
        <v>0.23410580884683296</v>
      </c>
      <c r="Q14" s="39">
        <f t="shared" si="9"/>
        <v>0.23910580884683297</v>
      </c>
      <c r="R14" s="39">
        <f t="shared" si="9"/>
        <v>0.23910580884683297</v>
      </c>
    </row>
    <row r="15" spans="2:18" x14ac:dyDescent="0.15">
      <c r="B15" s="20" t="s">
        <v>12</v>
      </c>
      <c r="E15" s="44">
        <v>-1178</v>
      </c>
      <c r="F15" s="44">
        <v>-1379</v>
      </c>
      <c r="G15" s="44">
        <v>-2094</v>
      </c>
      <c r="H15" s="44">
        <v>-1919</v>
      </c>
      <c r="I15" s="44">
        <v>-1877</v>
      </c>
      <c r="J15" s="44">
        <v>-1943</v>
      </c>
      <c r="K15" s="44">
        <v>-2188</v>
      </c>
      <c r="L15" s="44">
        <v>-2340</v>
      </c>
      <c r="M15" s="50">
        <f>-M16*M13</f>
        <v>-2479.8024562500004</v>
      </c>
      <c r="N15" s="50">
        <f t="shared" ref="N15:R15" si="10">-N16*N13</f>
        <v>-2673.1865593125003</v>
      </c>
      <c r="O15" s="50">
        <f t="shared" si="10"/>
        <v>-2865.1787339175007</v>
      </c>
      <c r="P15" s="50">
        <f t="shared" si="10"/>
        <v>-3053.50196676525</v>
      </c>
      <c r="Q15" s="50">
        <f t="shared" si="10"/>
        <v>-3212.2797935278049</v>
      </c>
      <c r="R15" s="50">
        <f t="shared" si="10"/>
        <v>-3212.2797935278049</v>
      </c>
    </row>
    <row r="16" spans="2:18" s="19" customFormat="1" x14ac:dyDescent="0.15">
      <c r="B16" s="37" t="s">
        <v>55</v>
      </c>
      <c r="C16" s="37"/>
      <c r="D16" s="37"/>
      <c r="E16" s="51">
        <f>-E15/E13</f>
        <v>0.25192472198460225</v>
      </c>
      <c r="F16" s="51">
        <f t="shared" ref="F16:L16" si="11">-F15/F13</f>
        <v>0.28017066233238519</v>
      </c>
      <c r="G16" s="51">
        <f t="shared" si="11"/>
        <v>0.37743330930064889</v>
      </c>
      <c r="H16" s="51">
        <f t="shared" si="11"/>
        <v>0.36840084469187945</v>
      </c>
      <c r="I16" s="51">
        <f t="shared" si="11"/>
        <v>0.30470779220779221</v>
      </c>
      <c r="J16" s="51">
        <f t="shared" si="11"/>
        <v>0.26126126126126126</v>
      </c>
      <c r="K16" s="51">
        <f t="shared" si="11"/>
        <v>0.26150352575594599</v>
      </c>
      <c r="L16" s="51">
        <f t="shared" si="11"/>
        <v>0.26360256843528218</v>
      </c>
      <c r="M16" s="49">
        <v>0.25</v>
      </c>
      <c r="N16" s="49">
        <v>0.25</v>
      </c>
      <c r="O16" s="49">
        <v>0.25</v>
      </c>
      <c r="P16" s="49">
        <v>0.25</v>
      </c>
      <c r="Q16" s="49">
        <v>0.25</v>
      </c>
      <c r="R16" s="42">
        <f>Q16</f>
        <v>0.25</v>
      </c>
    </row>
    <row r="17" spans="2:18" x14ac:dyDescent="0.15">
      <c r="B17" s="23" t="s">
        <v>56</v>
      </c>
      <c r="C17" s="23"/>
      <c r="D17" s="23"/>
      <c r="E17" s="44">
        <v>261</v>
      </c>
      <c r="F17" s="44">
        <v>114</v>
      </c>
      <c r="G17" s="44">
        <v>461</v>
      </c>
      <c r="H17" s="44">
        <v>729</v>
      </c>
      <c r="I17" s="44">
        <v>88</v>
      </c>
      <c r="J17" s="44">
        <v>70</v>
      </c>
      <c r="K17" s="44">
        <v>70</v>
      </c>
      <c r="L17" s="44">
        <v>70</v>
      </c>
      <c r="M17" s="52">
        <f>L17</f>
        <v>70</v>
      </c>
      <c r="N17" s="52">
        <f t="shared" ref="N17:Q17" si="12">M17</f>
        <v>70</v>
      </c>
      <c r="O17" s="52">
        <f t="shared" si="12"/>
        <v>70</v>
      </c>
      <c r="P17" s="52">
        <f t="shared" si="12"/>
        <v>70</v>
      </c>
      <c r="Q17" s="52">
        <f t="shared" si="12"/>
        <v>70</v>
      </c>
      <c r="R17" s="66">
        <f>Q17</f>
        <v>70</v>
      </c>
    </row>
    <row r="18" spans="2:18" x14ac:dyDescent="0.15">
      <c r="B18" s="20" t="s">
        <v>53</v>
      </c>
      <c r="E18" s="44">
        <v>-1264</v>
      </c>
      <c r="F18" s="44">
        <v>-1416</v>
      </c>
      <c r="G18" s="44">
        <v>-1231</v>
      </c>
      <c r="H18" s="44">
        <v>-972</v>
      </c>
      <c r="I18" s="44">
        <v>-1075</v>
      </c>
      <c r="J18" s="44">
        <v>-1331</v>
      </c>
      <c r="K18" s="44">
        <v>-1463</v>
      </c>
      <c r="L18" s="44">
        <v>-1767</v>
      </c>
      <c r="M18" s="22">
        <f t="shared" ref="M18:R18" si="13">-M19*M7</f>
        <v>-1623.3945000000003</v>
      </c>
      <c r="N18" s="22">
        <f t="shared" si="13"/>
        <v>-1696.4472525000003</v>
      </c>
      <c r="O18" s="22">
        <f t="shared" si="13"/>
        <v>-1764.3051426000004</v>
      </c>
      <c r="P18" s="22">
        <f t="shared" si="13"/>
        <v>-1826.0558225910002</v>
      </c>
      <c r="Q18" s="22">
        <f t="shared" si="13"/>
        <v>-1880.8374972687302</v>
      </c>
      <c r="R18" s="22">
        <f t="shared" si="13"/>
        <v>-1880.8374972687302</v>
      </c>
    </row>
    <row r="19" spans="2:18" s="38" customFormat="1" x14ac:dyDescent="0.15">
      <c r="B19" s="37" t="s">
        <v>57</v>
      </c>
      <c r="C19" s="37"/>
      <c r="D19" s="37"/>
      <c r="E19" s="39">
        <f t="shared" ref="E19:L19" si="14">-E18/E7</f>
        <v>4.8570550261297266E-2</v>
      </c>
      <c r="F19" s="39">
        <f t="shared" si="14"/>
        <v>5.2565149602791593E-2</v>
      </c>
      <c r="G19" s="39">
        <f t="shared" si="14"/>
        <v>4.1206400214233115E-2</v>
      </c>
      <c r="H19" s="39">
        <f t="shared" si="14"/>
        <v>3.4724206916261789E-2</v>
      </c>
      <c r="I19" s="39">
        <f t="shared" si="14"/>
        <v>3.3294103072348862E-2</v>
      </c>
      <c r="J19" s="39">
        <f t="shared" si="14"/>
        <v>3.4995004469685016E-2</v>
      </c>
      <c r="K19" s="39">
        <f t="shared" si="14"/>
        <v>3.5004187103720538E-2</v>
      </c>
      <c r="L19" s="39">
        <f t="shared" si="14"/>
        <v>4.0000905510028523E-2</v>
      </c>
      <c r="M19" s="42">
        <f>3.5%</f>
        <v>3.5000000000000003E-2</v>
      </c>
      <c r="N19" s="42">
        <f t="shared" ref="N19:Q19" si="15">3.5%</f>
        <v>3.5000000000000003E-2</v>
      </c>
      <c r="O19" s="42">
        <f t="shared" si="15"/>
        <v>3.5000000000000003E-2</v>
      </c>
      <c r="P19" s="42">
        <f t="shared" si="15"/>
        <v>3.5000000000000003E-2</v>
      </c>
      <c r="Q19" s="42">
        <f t="shared" si="15"/>
        <v>3.5000000000000003E-2</v>
      </c>
      <c r="R19" s="42">
        <f t="shared" ref="R19" si="16">Q19</f>
        <v>3.5000000000000003E-2</v>
      </c>
    </row>
    <row r="20" spans="2:18" s="55" customFormat="1" x14ac:dyDescent="0.15">
      <c r="B20" s="56" t="s">
        <v>58</v>
      </c>
      <c r="C20" s="57"/>
      <c r="D20" s="57"/>
      <c r="E20" s="57"/>
      <c r="F20" s="57"/>
      <c r="G20" s="57"/>
      <c r="H20" s="57"/>
      <c r="I20" s="57"/>
      <c r="J20" s="57"/>
      <c r="K20" s="58"/>
      <c r="L20" s="58">
        <f>L18+L17+L15+L9</f>
        <v>6967</v>
      </c>
      <c r="M20" s="58">
        <f t="shared" ref="M20:R20" si="17">M18+M17+M15+M9</f>
        <v>7752.9165437500005</v>
      </c>
      <c r="N20" s="58">
        <f t="shared" si="17"/>
        <v>8259.2044031875012</v>
      </c>
      <c r="O20" s="58">
        <f t="shared" si="17"/>
        <v>8753.7514588825015</v>
      </c>
      <c r="P20" s="58">
        <f t="shared" si="17"/>
        <v>9230.5059002957496</v>
      </c>
      <c r="Q20" s="58">
        <f t="shared" si="17"/>
        <v>9706.8393805834148</v>
      </c>
      <c r="R20" s="59">
        <f t="shared" si="17"/>
        <v>9706.8393805834148</v>
      </c>
    </row>
    <row r="21" spans="2:18" x14ac:dyDescent="0.15">
      <c r="B21" s="60" t="s">
        <v>59</v>
      </c>
      <c r="C21" s="75"/>
      <c r="D21" s="75"/>
      <c r="E21" s="53"/>
      <c r="F21" s="53"/>
      <c r="G21" s="53"/>
      <c r="H21" s="53"/>
      <c r="I21" s="53"/>
      <c r="J21" s="53"/>
      <c r="K21" s="54"/>
      <c r="L21" s="54"/>
      <c r="M21" s="61">
        <f>M20/L20-1</f>
        <v>0.11280558974450994</v>
      </c>
      <c r="N21" s="61">
        <f t="shared" ref="N21:Q21" si="18">N20/M20-1</f>
        <v>6.5302890412981984E-2</v>
      </c>
      <c r="O21" s="61">
        <f t="shared" si="18"/>
        <v>5.9878292333355843E-2</v>
      </c>
      <c r="P21" s="61">
        <f t="shared" si="18"/>
        <v>5.4462871564565862E-2</v>
      </c>
      <c r="Q21" s="61">
        <f t="shared" si="18"/>
        <v>5.1604265836870722E-2</v>
      </c>
      <c r="R21" s="65"/>
    </row>
    <row r="23" spans="2:18" outlineLevel="1" x14ac:dyDescent="0.15"/>
    <row r="24" spans="2:18" outlineLevel="1" x14ac:dyDescent="0.15">
      <c r="E24" s="67"/>
      <c r="F24" s="67"/>
      <c r="G24" s="67"/>
      <c r="H24" s="67"/>
      <c r="I24" s="67"/>
      <c r="J24" s="67"/>
      <c r="K24" s="67"/>
      <c r="L24" s="46">
        <v>2024</v>
      </c>
      <c r="M24" s="46">
        <f t="shared" ref="M24:Q24" si="19">L24+1</f>
        <v>2025</v>
      </c>
      <c r="N24" s="46">
        <f t="shared" si="19"/>
        <v>2026</v>
      </c>
      <c r="O24" s="46">
        <f t="shared" si="19"/>
        <v>2027</v>
      </c>
      <c r="P24" s="46">
        <f t="shared" si="19"/>
        <v>2028</v>
      </c>
      <c r="Q24" s="46">
        <f t="shared" si="19"/>
        <v>2029</v>
      </c>
      <c r="R24" s="47" t="s">
        <v>10</v>
      </c>
    </row>
    <row r="25" spans="2:18" outlineLevel="1" x14ac:dyDescent="0.15">
      <c r="E25" s="67"/>
      <c r="F25" s="67"/>
      <c r="G25" s="67"/>
      <c r="H25" s="67"/>
      <c r="I25" s="67"/>
      <c r="J25" s="67"/>
      <c r="K25" s="67"/>
      <c r="L25" s="68"/>
      <c r="M25" s="68"/>
      <c r="N25" s="68"/>
      <c r="O25" s="68"/>
      <c r="P25" s="68"/>
      <c r="Q25" s="68"/>
      <c r="R25" s="69"/>
    </row>
    <row r="26" spans="2:18" outlineLevel="1" x14ac:dyDescent="0.15">
      <c r="B26" s="20" t="s">
        <v>60</v>
      </c>
      <c r="E26" s="71"/>
      <c r="F26" s="71"/>
      <c r="G26" s="71"/>
      <c r="H26" s="71"/>
      <c r="I26" s="71"/>
      <c r="J26" s="71"/>
      <c r="K26" s="71"/>
      <c r="L26" s="71">
        <v>0</v>
      </c>
      <c r="M26" s="70">
        <v>0.5</v>
      </c>
      <c r="N26" s="20">
        <f>M26+1</f>
        <v>1.5</v>
      </c>
      <c r="O26" s="20">
        <f t="shared" ref="O26:Q26" si="20">N26+1</f>
        <v>2.5</v>
      </c>
      <c r="P26" s="20">
        <f t="shared" si="20"/>
        <v>3.5</v>
      </c>
      <c r="Q26" s="20">
        <f t="shared" si="20"/>
        <v>4.5</v>
      </c>
      <c r="R26" s="72">
        <f>Q26</f>
        <v>4.5</v>
      </c>
    </row>
    <row r="27" spans="2:18" outlineLevel="1" x14ac:dyDescent="0.15">
      <c r="B27" s="20" t="s">
        <v>61</v>
      </c>
      <c r="L27" s="73">
        <v>0</v>
      </c>
      <c r="M27" s="73">
        <v>1</v>
      </c>
      <c r="N27" s="73">
        <v>1</v>
      </c>
      <c r="O27" s="73">
        <v>1</v>
      </c>
      <c r="P27" s="73">
        <v>1</v>
      </c>
      <c r="Q27" s="73">
        <v>1</v>
      </c>
      <c r="R27" s="63">
        <f>Q27</f>
        <v>1</v>
      </c>
    </row>
    <row r="28" spans="2:18" outlineLevel="1" x14ac:dyDescent="0.15"/>
    <row r="29" spans="2:18" outlineLevel="1" x14ac:dyDescent="0.15">
      <c r="B29" s="78" t="s">
        <v>15</v>
      </c>
      <c r="C29" s="74"/>
      <c r="D29" s="74"/>
      <c r="R29" s="55" t="s">
        <v>62</v>
      </c>
    </row>
    <row r="30" spans="2:18" outlineLevel="1" x14ac:dyDescent="0.15">
      <c r="B30" s="76">
        <f>B31-1%</f>
        <v>8.5000000000000006E-2</v>
      </c>
      <c r="L30" s="79">
        <f>L$20*L$27/(1+$B30)^L$26</f>
        <v>0</v>
      </c>
      <c r="M30" s="80">
        <f t="shared" ref="M30:Q32" si="21">M$20*M$27/(1+$B30)^M$26</f>
        <v>7443.0380630289746</v>
      </c>
      <c r="N30" s="80">
        <f t="shared" si="21"/>
        <v>7307.9170156669215</v>
      </c>
      <c r="O30" s="80">
        <f t="shared" si="21"/>
        <v>7138.7120802570789</v>
      </c>
      <c r="P30" s="80">
        <f t="shared" si="21"/>
        <v>6937.7943220465759</v>
      </c>
      <c r="Q30" s="95">
        <f t="shared" si="21"/>
        <v>6724.2526309336399</v>
      </c>
      <c r="R30" s="81">
        <f>SUM(L30:Q30)</f>
        <v>35551.714111933194</v>
      </c>
    </row>
    <row r="31" spans="2:18" outlineLevel="1" x14ac:dyDescent="0.15">
      <c r="B31" s="77">
        <v>9.5000000000000001E-2</v>
      </c>
      <c r="L31" s="82">
        <f t="shared" ref="L31:L32" si="22">L$20*L$27/(1+$B31)^L$26</f>
        <v>0</v>
      </c>
      <c r="M31" s="83">
        <f t="shared" si="21"/>
        <v>7408.9736368141312</v>
      </c>
      <c r="N31" s="83">
        <f t="shared" si="21"/>
        <v>7208.0374705860049</v>
      </c>
      <c r="O31" s="83">
        <f t="shared" si="21"/>
        <v>6976.8424158899888</v>
      </c>
      <c r="P31" s="83">
        <f t="shared" si="21"/>
        <v>6718.5582541669582</v>
      </c>
      <c r="Q31" s="96">
        <f t="shared" si="21"/>
        <v>6452.2963656214542</v>
      </c>
      <c r="R31" s="84">
        <f t="shared" ref="R31:R32" si="23">SUM(L31:Q31)</f>
        <v>34764.70814307854</v>
      </c>
    </row>
    <row r="32" spans="2:18" outlineLevel="1" x14ac:dyDescent="0.15">
      <c r="B32" s="76">
        <f>B31+1%</f>
        <v>0.105</v>
      </c>
      <c r="L32" s="85">
        <f t="shared" si="22"/>
        <v>0</v>
      </c>
      <c r="M32" s="86">
        <f t="shared" si="21"/>
        <v>7375.3726761795679</v>
      </c>
      <c r="N32" s="86">
        <f t="shared" si="21"/>
        <v>7110.412515662465</v>
      </c>
      <c r="O32" s="86">
        <f t="shared" si="21"/>
        <v>6820.0650451457495</v>
      </c>
      <c r="P32" s="86">
        <f t="shared" si="21"/>
        <v>6508.149657702721</v>
      </c>
      <c r="Q32" s="97">
        <f t="shared" si="21"/>
        <v>6193.663296601766</v>
      </c>
      <c r="R32" s="87">
        <f t="shared" si="23"/>
        <v>34007.663191292268</v>
      </c>
    </row>
    <row r="34" spans="2:18" x14ac:dyDescent="0.15">
      <c r="M34" s="74" t="s">
        <v>63</v>
      </c>
      <c r="Q34" s="74" t="s">
        <v>65</v>
      </c>
    </row>
    <row r="35" spans="2:18" x14ac:dyDescent="0.15">
      <c r="M35" s="74" t="s">
        <v>64</v>
      </c>
      <c r="Q35" s="74" t="s">
        <v>64</v>
      </c>
    </row>
    <row r="36" spans="2:18" x14ac:dyDescent="0.15">
      <c r="B36" s="78" t="s">
        <v>15</v>
      </c>
      <c r="L36" s="88">
        <f>M36-0.5%</f>
        <v>2.4999999999999998E-2</v>
      </c>
      <c r="M36" s="91">
        <v>0.03</v>
      </c>
      <c r="N36" s="88">
        <f>M36+0.5%</f>
        <v>3.4999999999999996E-2</v>
      </c>
      <c r="P36" s="88">
        <f>Q36-0.5%</f>
        <v>2.4999999999999998E-2</v>
      </c>
      <c r="Q36" s="98">
        <f>M36</f>
        <v>0.03</v>
      </c>
      <c r="R36" s="88">
        <f>Q36+0.5%</f>
        <v>3.4999999999999996E-2</v>
      </c>
    </row>
    <row r="37" spans="2:18" x14ac:dyDescent="0.15">
      <c r="B37" s="76">
        <f>B38-1%</f>
        <v>8.5000000000000006E-2</v>
      </c>
      <c r="L37" s="89">
        <f t="shared" ref="L37:N39" si="24">$R$20*(1+L$36)/($B37-L$36)/(1+$B37)^$R$26</f>
        <v>114872.64911178299</v>
      </c>
      <c r="M37" s="89">
        <f t="shared" si="24"/>
        <v>125926.91290657542</v>
      </c>
      <c r="N37" s="89">
        <f t="shared" si="24"/>
        <v>139192.0294603263</v>
      </c>
      <c r="P37" s="89">
        <f t="shared" ref="P37:R39" si="25">L37+$R30</f>
        <v>150424.36322371618</v>
      </c>
      <c r="Q37" s="89">
        <f t="shared" si="25"/>
        <v>161478.62701850862</v>
      </c>
      <c r="R37" s="89">
        <f t="shared" si="25"/>
        <v>174743.7435722595</v>
      </c>
    </row>
    <row r="38" spans="2:18" x14ac:dyDescent="0.15">
      <c r="B38" s="94">
        <f>B31</f>
        <v>9.5000000000000001E-2</v>
      </c>
      <c r="L38" s="89">
        <f t="shared" si="24"/>
        <v>94480.053925171276</v>
      </c>
      <c r="M38" s="90">
        <f t="shared" si="24"/>
        <v>102244.08087061689</v>
      </c>
      <c r="N38" s="89">
        <f t="shared" si="24"/>
        <v>111302.11230697007</v>
      </c>
      <c r="P38" s="89">
        <f t="shared" si="25"/>
        <v>129244.76206824981</v>
      </c>
      <c r="Q38" s="90">
        <f t="shared" si="25"/>
        <v>137008.78901369544</v>
      </c>
      <c r="R38" s="89">
        <f t="shared" si="25"/>
        <v>146066.8204500486</v>
      </c>
    </row>
    <row r="39" spans="2:18" x14ac:dyDescent="0.15">
      <c r="B39" s="76">
        <f>B38+1%</f>
        <v>0.105</v>
      </c>
      <c r="L39" s="89">
        <f t="shared" si="24"/>
        <v>79356.310987710123</v>
      </c>
      <c r="M39" s="89">
        <f t="shared" si="24"/>
        <v>85059.64260666426</v>
      </c>
      <c r="N39" s="89">
        <f t="shared" si="24"/>
        <v>91577.735885468952</v>
      </c>
      <c r="P39" s="89">
        <f t="shared" si="25"/>
        <v>113363.9741790024</v>
      </c>
      <c r="Q39" s="89">
        <f t="shared" si="25"/>
        <v>119067.30579795653</v>
      </c>
      <c r="R39" s="89">
        <f t="shared" si="25"/>
        <v>125585.39907676121</v>
      </c>
    </row>
    <row r="41" spans="2:18" x14ac:dyDescent="0.15">
      <c r="M41" s="74" t="s">
        <v>66</v>
      </c>
      <c r="Q41" s="74" t="s">
        <v>67</v>
      </c>
    </row>
    <row r="42" spans="2:18" x14ac:dyDescent="0.15">
      <c r="M42" s="74" t="s">
        <v>64</v>
      </c>
      <c r="Q42" s="74" t="s">
        <v>64</v>
      </c>
    </row>
    <row r="43" spans="2:18" x14ac:dyDescent="0.15">
      <c r="B43" s="78" t="s">
        <v>15</v>
      </c>
      <c r="L43" s="88">
        <f>M43-0.5%</f>
        <v>2.4999999999999998E-2</v>
      </c>
      <c r="M43" s="98">
        <f>M36</f>
        <v>0.03</v>
      </c>
      <c r="N43" s="88">
        <f>M43+0.5%</f>
        <v>3.4999999999999996E-2</v>
      </c>
      <c r="P43" s="88">
        <f>Q43-0.5%</f>
        <v>2.4999999999999998E-2</v>
      </c>
      <c r="Q43" s="98">
        <f>M43</f>
        <v>0.03</v>
      </c>
      <c r="R43" s="88">
        <f>Q43+0.5%</f>
        <v>3.4999999999999996E-2</v>
      </c>
    </row>
    <row r="44" spans="2:18" x14ac:dyDescent="0.15">
      <c r="B44" s="76">
        <f>B45-1%</f>
        <v>8.5000000000000006E-2</v>
      </c>
      <c r="L44" s="92">
        <f>L37/$R$9</f>
        <v>7.7985734564296818</v>
      </c>
      <c r="M44" s="92">
        <f t="shared" ref="M44:N44" si="26">M37/$R$9</f>
        <v>8.5490348489109422</v>
      </c>
      <c r="N44" s="92">
        <f t="shared" si="26"/>
        <v>9.4495885198884526</v>
      </c>
      <c r="P44" s="92">
        <f>P37/$M$9</f>
        <v>12.762846991395099</v>
      </c>
      <c r="Q44" s="92">
        <f t="shared" ref="Q44:R44" si="27">Q37/$M$9</f>
        <v>13.700752756072525</v>
      </c>
      <c r="R44" s="92">
        <f t="shared" si="27"/>
        <v>14.826239673685434</v>
      </c>
    </row>
    <row r="45" spans="2:18" x14ac:dyDescent="0.15">
      <c r="B45" s="94">
        <f>B38</f>
        <v>9.5000000000000001E-2</v>
      </c>
      <c r="L45" s="92">
        <f t="shared" ref="L45:N45" si="28">L38/$R$9</f>
        <v>6.4141433700714394</v>
      </c>
      <c r="M45" s="93">
        <f t="shared" si="28"/>
        <v>6.9412343261861293</v>
      </c>
      <c r="N45" s="92">
        <f t="shared" si="28"/>
        <v>7.5561737749865987</v>
      </c>
      <c r="P45" s="92">
        <f t="shared" ref="P45:R45" si="29">P38/$M$9</f>
        <v>10.965850792820703</v>
      </c>
      <c r="Q45" s="93">
        <f t="shared" si="29"/>
        <v>11.624594402021957</v>
      </c>
      <c r="R45" s="92">
        <f t="shared" si="29"/>
        <v>12.393128612756749</v>
      </c>
    </row>
    <row r="46" spans="2:18" x14ac:dyDescent="0.15">
      <c r="B46" s="76">
        <f>B45+1%</f>
        <v>0.105</v>
      </c>
      <c r="L46" s="92">
        <f t="shared" ref="L46:N46" si="30">L39/$R$9</f>
        <v>5.3874096684817854</v>
      </c>
      <c r="M46" s="92">
        <f t="shared" si="30"/>
        <v>5.774602363354786</v>
      </c>
      <c r="N46" s="92">
        <f t="shared" si="30"/>
        <v>6.217108300352499</v>
      </c>
      <c r="P46" s="92">
        <f t="shared" ref="P46:R46" si="31">P39/$M$9</f>
        <v>9.6184356428437905</v>
      </c>
      <c r="Q46" s="92">
        <f t="shared" si="31"/>
        <v>10.102338298197834</v>
      </c>
      <c r="R46" s="92">
        <f t="shared" si="31"/>
        <v>10.655369904316737</v>
      </c>
    </row>
    <row r="47" spans="2:18" x14ac:dyDescent="0.15">
      <c r="B47" s="76"/>
      <c r="L47" s="89"/>
      <c r="M47" s="89"/>
      <c r="N47" s="89"/>
      <c r="P47" s="89"/>
      <c r="Q47" s="89"/>
      <c r="R47" s="89"/>
    </row>
    <row r="48" spans="2:18" x14ac:dyDescent="0.15">
      <c r="B48" s="20" t="s">
        <v>14</v>
      </c>
      <c r="K48" s="99">
        <f>M36</f>
        <v>0.03</v>
      </c>
    </row>
    <row r="49" spans="2:11" x14ac:dyDescent="0.15">
      <c r="B49" s="20" t="s">
        <v>15</v>
      </c>
      <c r="K49" s="99">
        <f>B31</f>
        <v>9.5000000000000001E-2</v>
      </c>
    </row>
    <row r="51" spans="2:11" x14ac:dyDescent="0.15">
      <c r="B51" s="20" t="s">
        <v>16</v>
      </c>
      <c r="K51" s="24">
        <f>Q38</f>
        <v>137008.78901369544</v>
      </c>
    </row>
    <row r="52" spans="2:11" x14ac:dyDescent="0.15">
      <c r="B52" s="20" t="s">
        <v>17</v>
      </c>
      <c r="K52" s="44">
        <f>-(7290-2730)</f>
        <v>-4560</v>
      </c>
    </row>
    <row r="53" spans="2:11" x14ac:dyDescent="0.15">
      <c r="B53" s="20" t="s">
        <v>18</v>
      </c>
      <c r="K53" s="24">
        <f>K51+K52</f>
        <v>132448.78901369544</v>
      </c>
    </row>
    <row r="54" spans="2:11" x14ac:dyDescent="0.15">
      <c r="B54" s="20" t="s">
        <v>19</v>
      </c>
      <c r="K54" s="100">
        <v>534.54999999999995</v>
      </c>
    </row>
    <row r="55" spans="2:11" x14ac:dyDescent="0.15">
      <c r="B55" s="25" t="s">
        <v>20</v>
      </c>
      <c r="C55" s="28"/>
      <c r="D55" s="28"/>
      <c r="E55" s="28"/>
      <c r="F55" s="28"/>
      <c r="G55" s="28"/>
      <c r="H55" s="28"/>
      <c r="I55" s="28"/>
      <c r="J55" s="28"/>
      <c r="K55" s="26">
        <f>K53/K54</f>
        <v>247.77623985351315</v>
      </c>
    </row>
  </sheetData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0994-CC68-0040-8265-D5C72B298112}">
  <dimension ref="A1:S35"/>
  <sheetViews>
    <sheetView showGridLines="0" tabSelected="1" zoomScale="150" zoomScaleNormal="101" workbookViewId="0">
      <selection activeCell="E35" sqref="E35"/>
    </sheetView>
  </sheetViews>
  <sheetFormatPr baseColWidth="10" defaultRowHeight="13" x14ac:dyDescent="0.15"/>
  <cols>
    <col min="5" max="5" width="10.83203125" customWidth="1"/>
    <col min="8" max="8" width="10.83203125" customWidth="1"/>
    <col min="9" max="9" width="2.83203125" customWidth="1"/>
  </cols>
  <sheetData>
    <row r="1" spans="1:19" x14ac:dyDescent="0.1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4" thickBo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5" thickTop="1" thickBot="1" x14ac:dyDescent="0.2">
      <c r="A3" s="20"/>
      <c r="B3" s="20"/>
      <c r="C3" s="20"/>
      <c r="D3" s="160"/>
      <c r="E3" s="161"/>
      <c r="F3" s="161"/>
      <c r="G3" s="161"/>
      <c r="H3" s="161"/>
      <c r="I3" s="156"/>
      <c r="J3" s="157"/>
      <c r="K3" s="158"/>
      <c r="L3" s="158"/>
      <c r="M3" s="158"/>
      <c r="N3" s="158"/>
      <c r="O3" s="158"/>
      <c r="P3" s="158"/>
      <c r="Q3" s="159"/>
      <c r="R3" s="20"/>
      <c r="S3" s="20"/>
    </row>
    <row r="4" spans="1:19" ht="14" thickTop="1" x14ac:dyDescent="0.15">
      <c r="A4" s="19" t="s">
        <v>43</v>
      </c>
      <c r="B4" s="19"/>
      <c r="C4" s="19"/>
      <c r="D4" s="45">
        <v>2017</v>
      </c>
      <c r="E4" s="45">
        <f>D4+1</f>
        <v>2018</v>
      </c>
      <c r="F4" s="45">
        <f t="shared" ref="F4:Q4" si="0">E4+1</f>
        <v>2019</v>
      </c>
      <c r="G4" s="45">
        <f t="shared" si="0"/>
        <v>2020</v>
      </c>
      <c r="H4" s="45">
        <f t="shared" si="0"/>
        <v>2021</v>
      </c>
      <c r="I4" s="45"/>
      <c r="J4" s="45">
        <f>H4+1</f>
        <v>2022</v>
      </c>
      <c r="K4" s="45">
        <f t="shared" si="0"/>
        <v>2023</v>
      </c>
      <c r="L4" s="46">
        <f t="shared" si="0"/>
        <v>2024</v>
      </c>
      <c r="M4" s="46">
        <f t="shared" si="0"/>
        <v>2025</v>
      </c>
      <c r="N4" s="46">
        <f t="shared" si="0"/>
        <v>2026</v>
      </c>
      <c r="O4" s="46">
        <f t="shared" si="0"/>
        <v>2027</v>
      </c>
      <c r="P4" s="46">
        <f t="shared" si="0"/>
        <v>2028</v>
      </c>
      <c r="Q4" s="46">
        <f t="shared" si="0"/>
        <v>2029</v>
      </c>
      <c r="R4" s="177" t="s">
        <v>10</v>
      </c>
      <c r="S4" s="20"/>
    </row>
    <row r="5" spans="1:19" x14ac:dyDescent="0.1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178"/>
      <c r="S5" s="20"/>
    </row>
    <row r="6" spans="1:19" s="124" customFormat="1" ht="14" thickBot="1" x14ac:dyDescent="0.2">
      <c r="A6" s="120" t="s">
        <v>45</v>
      </c>
      <c r="B6" s="120"/>
      <c r="C6" s="120"/>
      <c r="D6" s="121">
        <v>26024</v>
      </c>
      <c r="E6" s="121">
        <v>26938</v>
      </c>
      <c r="F6" s="121">
        <v>29874</v>
      </c>
      <c r="G6" s="121">
        <v>27992</v>
      </c>
      <c r="H6" s="121">
        <v>32288</v>
      </c>
      <c r="I6" s="121"/>
      <c r="J6" s="121">
        <v>38034</v>
      </c>
      <c r="K6" s="121">
        <v>41795</v>
      </c>
      <c r="L6" s="121">
        <v>44174</v>
      </c>
      <c r="M6" s="122">
        <f ca="1">L6*(1+M7)</f>
        <v>46382.700000000004</v>
      </c>
      <c r="N6" s="122">
        <f t="shared" ref="N6:P6" ca="1" si="1">M6*(1+N7)</f>
        <v>48469.921500000004</v>
      </c>
      <c r="O6" s="122">
        <f t="shared" ca="1" si="1"/>
        <v>50408.718360000006</v>
      </c>
      <c r="P6" s="122">
        <f t="shared" ca="1" si="1"/>
        <v>52173.023502600001</v>
      </c>
      <c r="Q6" s="122">
        <f t="shared" ref="Q6" ca="1" si="2">P6*(1+Q7)</f>
        <v>52173.023502600001</v>
      </c>
      <c r="R6" s="179">
        <f ca="1">Q6</f>
        <v>53738.214207678</v>
      </c>
      <c r="S6" s="120"/>
    </row>
    <row r="7" spans="1:19" s="129" customFormat="1" x14ac:dyDescent="0.15">
      <c r="A7" s="125" t="s">
        <v>49</v>
      </c>
      <c r="B7" s="125"/>
      <c r="C7" s="125"/>
      <c r="D7" s="126" t="s">
        <v>54</v>
      </c>
      <c r="E7" s="127">
        <f>E6/D6-1</f>
        <v>3.5121426375653186E-2</v>
      </c>
      <c r="F7" s="127">
        <f t="shared" ref="F7:L7" si="3">F6/E6-1</f>
        <v>0.10899101640804809</v>
      </c>
      <c r="G7" s="127">
        <f t="shared" si="3"/>
        <v>-6.29979246167236E-2</v>
      </c>
      <c r="H7" s="127">
        <f t="shared" si="3"/>
        <v>0.15347242069162625</v>
      </c>
      <c r="I7" s="127"/>
      <c r="J7" s="127">
        <f>J6/H6-1</f>
        <v>0.17796085232903858</v>
      </c>
      <c r="K7" s="127">
        <f t="shared" si="3"/>
        <v>9.888520797181477E-2</v>
      </c>
      <c r="L7" s="127">
        <f t="shared" si="3"/>
        <v>5.6920684292379509E-2</v>
      </c>
      <c r="M7" s="127">
        <f t="shared" ref="M7" ca="1" si="4">M6/L6-1</f>
        <v>5.6920684292379509E-2</v>
      </c>
      <c r="N7" s="127">
        <f t="shared" ref="N7" ca="1" si="5">N6/M6-1</f>
        <v>5.6920684292379509E-2</v>
      </c>
      <c r="O7" s="127">
        <f t="shared" ref="O7" ca="1" si="6">O6/N6-1</f>
        <v>5.6920684292379509E-2</v>
      </c>
      <c r="P7" s="127">
        <f t="shared" ref="P7" ca="1" si="7">P6/O6-1</f>
        <v>5.6920684292379509E-2</v>
      </c>
      <c r="Q7" s="127">
        <f t="shared" ref="Q7" ca="1" si="8">Q6/P6-1</f>
        <v>5.6920684292379509E-2</v>
      </c>
      <c r="R7" s="180">
        <f ca="1">R6/Q6-1</f>
        <v>0</v>
      </c>
      <c r="S7" s="128"/>
    </row>
    <row r="8" spans="1:19" s="133" customFormat="1" ht="14" thickBot="1" x14ac:dyDescent="0.2">
      <c r="A8" s="130" t="s">
        <v>50</v>
      </c>
      <c r="B8" s="130"/>
      <c r="C8" s="130"/>
      <c r="D8" s="131">
        <v>5895</v>
      </c>
      <c r="E8" s="131">
        <v>6031</v>
      </c>
      <c r="F8" s="131">
        <v>7506</v>
      </c>
      <c r="G8" s="131">
        <v>7237</v>
      </c>
      <c r="H8" s="131">
        <v>7941</v>
      </c>
      <c r="I8" s="131"/>
      <c r="J8" s="131">
        <v>9358</v>
      </c>
      <c r="K8" s="131">
        <v>10419</v>
      </c>
      <c r="L8" s="131">
        <v>11004</v>
      </c>
      <c r="M8" s="132">
        <f ca="1">M9*M6</f>
        <v>11786.113500000001</v>
      </c>
      <c r="N8" s="132">
        <f t="shared" ref="N8:R8" ca="1" si="9">N9*N6</f>
        <v>12558.838215000002</v>
      </c>
      <c r="O8" s="132">
        <f t="shared" ca="1" si="9"/>
        <v>13313.235335400002</v>
      </c>
      <c r="P8" s="132">
        <f t="shared" ca="1" si="9"/>
        <v>14040.063689652001</v>
      </c>
      <c r="Q8" s="132">
        <f t="shared" ca="1" si="9"/>
        <v>14040.063689652001</v>
      </c>
      <c r="R8" s="181">
        <f t="shared" ca="1" si="9"/>
        <v>14729.95667137995</v>
      </c>
      <c r="S8" s="130"/>
    </row>
    <row r="9" spans="1:19" s="137" customFormat="1" x14ac:dyDescent="0.15">
      <c r="A9" s="134" t="s">
        <v>51</v>
      </c>
      <c r="B9" s="134"/>
      <c r="C9" s="134"/>
      <c r="D9" s="135">
        <f>D8/D6</f>
        <v>0.22652167230249001</v>
      </c>
      <c r="E9" s="135">
        <f t="shared" ref="E9:L9" si="10">E8/E6</f>
        <v>0.22388447546217238</v>
      </c>
      <c r="F9" s="135">
        <f t="shared" si="10"/>
        <v>0.25125527214300059</v>
      </c>
      <c r="G9" s="135">
        <f t="shared" si="10"/>
        <v>0.25853815375821665</v>
      </c>
      <c r="H9" s="135">
        <f t="shared" si="10"/>
        <v>0.24594276511397423</v>
      </c>
      <c r="I9" s="135"/>
      <c r="J9" s="135">
        <f t="shared" si="10"/>
        <v>0.24604301414523846</v>
      </c>
      <c r="K9" s="135">
        <f t="shared" si="10"/>
        <v>0.24928819236750807</v>
      </c>
      <c r="L9" s="135">
        <f t="shared" si="10"/>
        <v>0.24910580884683298</v>
      </c>
      <c r="M9" s="135">
        <f>L9+0.5%</f>
        <v>0.25410580884683298</v>
      </c>
      <c r="N9" s="135">
        <f t="shared" ref="N9:Q9" si="11">M9+0.5%</f>
        <v>0.25910580884683299</v>
      </c>
      <c r="O9" s="135">
        <f t="shared" si="11"/>
        <v>0.26410580884683299</v>
      </c>
      <c r="P9" s="135">
        <f t="shared" si="11"/>
        <v>0.26910580884683299</v>
      </c>
      <c r="Q9" s="135">
        <f t="shared" si="11"/>
        <v>0.274105808846833</v>
      </c>
      <c r="R9" s="182">
        <f>Q9</f>
        <v>0.274105808846833</v>
      </c>
      <c r="S9" s="136"/>
    </row>
    <row r="10" spans="1:19" s="113" customFormat="1" x14ac:dyDescent="0.15">
      <c r="A10" s="111" t="s">
        <v>13</v>
      </c>
      <c r="B10" s="111"/>
      <c r="C10" s="111"/>
      <c r="D10" s="112">
        <v>-1219</v>
      </c>
      <c r="E10" s="112">
        <v>-1109</v>
      </c>
      <c r="F10" s="112">
        <v>-1958</v>
      </c>
      <c r="G10" s="112">
        <v>-2028</v>
      </c>
      <c r="H10" s="112">
        <v>-1781</v>
      </c>
      <c r="I10" s="112"/>
      <c r="J10" s="112">
        <v>-1921</v>
      </c>
      <c r="K10" s="112">
        <v>-2052</v>
      </c>
      <c r="L10" s="112">
        <v>-2127</v>
      </c>
      <c r="M10" s="112">
        <f t="shared" ref="M10:R10" ca="1" si="12">M11*M19</f>
        <v>-1866.9036750000002</v>
      </c>
      <c r="N10" s="112">
        <f t="shared" ca="1" si="12"/>
        <v>-1866.0919777500005</v>
      </c>
      <c r="O10" s="112">
        <f t="shared" ca="1" si="12"/>
        <v>-1852.5203997300005</v>
      </c>
      <c r="P10" s="112">
        <f t="shared" ca="1" si="12"/>
        <v>-1826.0558225910002</v>
      </c>
      <c r="Q10" s="112">
        <f t="shared" ref="Q10" si="13">Q11*Q17</f>
        <v>-1880.8374972687302</v>
      </c>
      <c r="R10" s="183">
        <f t="shared" ref="R10" ca="1" si="14">R11*R17</f>
        <v>-1880.8374972687302</v>
      </c>
      <c r="S10" s="111"/>
    </row>
    <row r="11" spans="1:19" s="143" customFormat="1" ht="14" thickBot="1" x14ac:dyDescent="0.2">
      <c r="A11" s="138" t="s">
        <v>52</v>
      </c>
      <c r="B11" s="138"/>
      <c r="C11" s="138"/>
      <c r="D11" s="139">
        <f t="shared" ref="D11:L11" si="15">D10/D19</f>
        <v>0.96439873417721522</v>
      </c>
      <c r="E11" s="139">
        <f t="shared" si="15"/>
        <v>0.78319209039548021</v>
      </c>
      <c r="F11" s="139">
        <f t="shared" si="15"/>
        <v>1.5905767668562145</v>
      </c>
      <c r="G11" s="139">
        <f t="shared" si="15"/>
        <v>2.0864197530864197</v>
      </c>
      <c r="H11" s="139">
        <f t="shared" si="15"/>
        <v>1.6567441860465115</v>
      </c>
      <c r="I11" s="139"/>
      <c r="J11" s="139">
        <f t="shared" si="15"/>
        <v>1.443275732531931</v>
      </c>
      <c r="K11" s="139">
        <f t="shared" si="15"/>
        <v>1.4025974025974026</v>
      </c>
      <c r="L11" s="139">
        <f t="shared" si="15"/>
        <v>1.2037351443123938</v>
      </c>
      <c r="M11" s="140">
        <v>1.1499999999999999</v>
      </c>
      <c r="N11" s="140">
        <v>1.1000000000000001</v>
      </c>
      <c r="O11" s="140">
        <v>1.05</v>
      </c>
      <c r="P11" s="140">
        <v>1</v>
      </c>
      <c r="Q11" s="140">
        <v>1</v>
      </c>
      <c r="R11" s="184">
        <f>Q11</f>
        <v>1</v>
      </c>
      <c r="S11" s="142"/>
    </row>
    <row r="12" spans="1:19" s="149" customFormat="1" ht="14" thickBot="1" x14ac:dyDescent="0.2">
      <c r="A12" s="146" t="s">
        <v>11</v>
      </c>
      <c r="B12" s="146"/>
      <c r="C12" s="146"/>
      <c r="D12" s="147">
        <f>D10+D8</f>
        <v>4676</v>
      </c>
      <c r="E12" s="147">
        <f t="shared" ref="E12:R12" si="16">E10+E8</f>
        <v>4922</v>
      </c>
      <c r="F12" s="147">
        <f t="shared" si="16"/>
        <v>5548</v>
      </c>
      <c r="G12" s="147">
        <f t="shared" si="16"/>
        <v>5209</v>
      </c>
      <c r="H12" s="147">
        <f t="shared" si="16"/>
        <v>6160</v>
      </c>
      <c r="I12" s="147"/>
      <c r="J12" s="147">
        <f t="shared" si="16"/>
        <v>7437</v>
      </c>
      <c r="K12" s="147">
        <f t="shared" si="16"/>
        <v>8367</v>
      </c>
      <c r="L12" s="147">
        <f t="shared" si="16"/>
        <v>8877</v>
      </c>
      <c r="M12" s="147">
        <f t="shared" ca="1" si="16"/>
        <v>9919.2098250000017</v>
      </c>
      <c r="N12" s="147">
        <f t="shared" ca="1" si="16"/>
        <v>10692.746237250001</v>
      </c>
      <c r="O12" s="147">
        <f t="shared" ca="1" si="16"/>
        <v>11460.714935670003</v>
      </c>
      <c r="P12" s="147">
        <f t="shared" ca="1" si="16"/>
        <v>12214.007867061</v>
      </c>
      <c r="Q12" s="147">
        <f t="shared" ca="1" si="16"/>
        <v>12849.11917411122</v>
      </c>
      <c r="R12" s="185">
        <f t="shared" ca="1" si="16"/>
        <v>12849.11917411122</v>
      </c>
      <c r="S12" s="148"/>
    </row>
    <row r="13" spans="1:19" s="113" customFormat="1" x14ac:dyDescent="0.15">
      <c r="A13" s="115" t="s">
        <v>51</v>
      </c>
      <c r="B13" s="115"/>
      <c r="C13" s="115"/>
      <c r="D13" s="116">
        <f>D12/D6</f>
        <v>0.17968029511220412</v>
      </c>
      <c r="E13" s="116">
        <f t="shared" ref="E13:R13" si="17">E12/E6</f>
        <v>0.1827158660628109</v>
      </c>
      <c r="F13" s="116">
        <f t="shared" si="17"/>
        <v>0.18571332931646248</v>
      </c>
      <c r="G13" s="116">
        <f t="shared" si="17"/>
        <v>0.18608888253786796</v>
      </c>
      <c r="H13" s="116">
        <f t="shared" si="17"/>
        <v>0.19078295341922696</v>
      </c>
      <c r="I13" s="116"/>
      <c r="J13" s="116">
        <f t="shared" si="17"/>
        <v>0.19553557343429562</v>
      </c>
      <c r="K13" s="116">
        <f t="shared" si="17"/>
        <v>0.20019141045579614</v>
      </c>
      <c r="L13" s="116">
        <f t="shared" si="17"/>
        <v>0.20095531308009237</v>
      </c>
      <c r="M13" s="116">
        <f t="shared" ca="1" si="17"/>
        <v>0.213855808846833</v>
      </c>
      <c r="N13" s="116">
        <f t="shared" ca="1" si="17"/>
        <v>0.22060580884683298</v>
      </c>
      <c r="O13" s="116">
        <f t="shared" ca="1" si="17"/>
        <v>0.22735580884683301</v>
      </c>
      <c r="P13" s="116">
        <f t="shared" ca="1" si="17"/>
        <v>0.23410580884683296</v>
      </c>
      <c r="Q13" s="116">
        <f ca="1">Q12/Q6</f>
        <v>0</v>
      </c>
      <c r="R13" s="182">
        <f t="shared" ca="1" si="17"/>
        <v>0.23910580884683297</v>
      </c>
      <c r="S13" s="117"/>
    </row>
    <row r="14" spans="1:19" s="113" customFormat="1" x14ac:dyDescent="0.15">
      <c r="A14" s="111" t="s">
        <v>70</v>
      </c>
      <c r="B14" s="111"/>
      <c r="C14" s="111"/>
      <c r="D14" s="112">
        <v>-1178</v>
      </c>
      <c r="E14" s="112">
        <v>-1379</v>
      </c>
      <c r="F14" s="112">
        <v>-2094</v>
      </c>
      <c r="G14" s="112">
        <v>-1919</v>
      </c>
      <c r="H14" s="112">
        <v>-1877</v>
      </c>
      <c r="I14" s="112"/>
      <c r="J14" s="112">
        <v>-1943</v>
      </c>
      <c r="K14" s="112">
        <v>-2188</v>
      </c>
      <c r="L14" s="112">
        <v>-2340</v>
      </c>
      <c r="M14" s="118">
        <f ca="1">-M15*M12</f>
        <v>-2479.8024562500004</v>
      </c>
      <c r="N14" s="118">
        <f t="shared" ref="N14:R14" ca="1" si="18">-N15*N12</f>
        <v>-2673.1865593125003</v>
      </c>
      <c r="O14" s="118">
        <v>-2865.1787339175007</v>
      </c>
      <c r="P14" s="118">
        <v>-3053.50196676525</v>
      </c>
      <c r="Q14" s="118">
        <v>-3212.2797935278049</v>
      </c>
      <c r="R14" s="186">
        <f t="shared" ca="1" si="18"/>
        <v>-3212.2797935278049</v>
      </c>
      <c r="S14" s="111"/>
    </row>
    <row r="15" spans="1:19" s="143" customFormat="1" ht="14" thickBot="1" x14ac:dyDescent="0.2">
      <c r="A15" s="138" t="s">
        <v>55</v>
      </c>
      <c r="B15" s="138"/>
      <c r="C15" s="138"/>
      <c r="D15" s="145">
        <f>-D14/D12</f>
        <v>0.25192472198460225</v>
      </c>
      <c r="E15" s="145">
        <f t="shared" ref="E15:L15" si="19">-E14/E12</f>
        <v>0.28017066233238519</v>
      </c>
      <c r="F15" s="145">
        <f t="shared" si="19"/>
        <v>0.37743330930064889</v>
      </c>
      <c r="G15" s="145">
        <f t="shared" si="19"/>
        <v>0.36840084469187945</v>
      </c>
      <c r="H15" s="145">
        <f t="shared" si="19"/>
        <v>0.30470779220779221</v>
      </c>
      <c r="I15" s="145"/>
      <c r="J15" s="145">
        <f t="shared" si="19"/>
        <v>0.26126126126126126</v>
      </c>
      <c r="K15" s="145">
        <f t="shared" si="19"/>
        <v>0.26150352575594599</v>
      </c>
      <c r="L15" s="145">
        <f t="shared" si="19"/>
        <v>0.26360256843528218</v>
      </c>
      <c r="M15" s="139">
        <v>0.25</v>
      </c>
      <c r="N15" s="139">
        <v>0.25</v>
      </c>
      <c r="O15" s="139">
        <v>0.25</v>
      </c>
      <c r="P15" s="139">
        <v>0.25</v>
      </c>
      <c r="Q15" s="139">
        <v>0.25</v>
      </c>
      <c r="R15" s="184">
        <f>Q15</f>
        <v>0.25</v>
      </c>
      <c r="S15" s="142"/>
    </row>
    <row r="16" spans="1:19" s="124" customFormat="1" ht="14" thickBot="1" x14ac:dyDescent="0.2">
      <c r="A16" s="144" t="s">
        <v>71</v>
      </c>
      <c r="B16" s="150"/>
      <c r="C16" s="150"/>
      <c r="D16" s="123">
        <f>D12+D14</f>
        <v>3498</v>
      </c>
      <c r="E16" s="123">
        <f>E12+E14</f>
        <v>3543</v>
      </c>
      <c r="F16" s="123">
        <f>F12+F14</f>
        <v>3454</v>
      </c>
      <c r="G16" s="123">
        <f t="shared" ref="G16:R16" si="20">G12+G14</f>
        <v>3290</v>
      </c>
      <c r="H16" s="123">
        <f t="shared" si="20"/>
        <v>4283</v>
      </c>
      <c r="I16" s="123"/>
      <c r="J16" s="123">
        <f t="shared" si="20"/>
        <v>5494</v>
      </c>
      <c r="K16" s="123">
        <f t="shared" si="20"/>
        <v>6179</v>
      </c>
      <c r="L16" s="123">
        <f>L12+L14</f>
        <v>6537</v>
      </c>
      <c r="M16" s="123">
        <f t="shared" ca="1" si="20"/>
        <v>7439.4073687500013</v>
      </c>
      <c r="N16" s="123">
        <f t="shared" ca="1" si="20"/>
        <v>8019.559677937501</v>
      </c>
      <c r="O16" s="123">
        <f ca="1">O12+O14</f>
        <v>0</v>
      </c>
      <c r="P16" s="123">
        <f ca="1">P12+P14</f>
        <v>0</v>
      </c>
      <c r="Q16" s="123">
        <f t="shared" ca="1" si="20"/>
        <v>0</v>
      </c>
      <c r="R16" s="179">
        <f ca="1">Q16</f>
        <v>0</v>
      </c>
      <c r="S16" s="120"/>
    </row>
    <row r="17" spans="1:19" s="113" customFormat="1" x14ac:dyDescent="0.15">
      <c r="A17" s="111" t="s">
        <v>13</v>
      </c>
      <c r="B17" s="111"/>
      <c r="C17" s="111"/>
      <c r="D17" s="112">
        <v>-1219</v>
      </c>
      <c r="E17" s="112">
        <v>-1109</v>
      </c>
      <c r="F17" s="112">
        <v>-1958</v>
      </c>
      <c r="G17" s="112">
        <v>-2028</v>
      </c>
      <c r="H17" s="112">
        <v>-1781</v>
      </c>
      <c r="I17" s="112"/>
      <c r="J17" s="112">
        <v>-1921</v>
      </c>
      <c r="K17" s="112">
        <v>-2052</v>
      </c>
      <c r="L17" s="112">
        <v>-2127</v>
      </c>
      <c r="M17" s="112">
        <v>-1866.9036750000002</v>
      </c>
      <c r="N17" s="112">
        <v>-1866.0919777500005</v>
      </c>
      <c r="O17" s="112">
        <v>-1852.5203997300005</v>
      </c>
      <c r="P17" s="112">
        <v>-1826.0558225910002</v>
      </c>
      <c r="Q17" s="112">
        <v>-1880.8374972687302</v>
      </c>
      <c r="R17" s="183">
        <f t="shared" ref="R17" ca="1" si="21">-R18*R6</f>
        <v>-1880.8374972687302</v>
      </c>
      <c r="S17" s="111"/>
    </row>
    <row r="18" spans="1:19" s="113" customFormat="1" x14ac:dyDescent="0.15">
      <c r="A18" s="119" t="s">
        <v>56</v>
      </c>
      <c r="B18" s="119"/>
      <c r="C18" s="119"/>
      <c r="D18" s="112">
        <v>261</v>
      </c>
      <c r="E18" s="112">
        <v>114</v>
      </c>
      <c r="F18" s="112">
        <v>461</v>
      </c>
      <c r="G18" s="112">
        <v>729</v>
      </c>
      <c r="H18" s="112">
        <v>88</v>
      </c>
      <c r="I18" s="112"/>
      <c r="J18" s="112">
        <v>70</v>
      </c>
      <c r="K18" s="112">
        <v>70</v>
      </c>
      <c r="L18" s="112">
        <v>70</v>
      </c>
      <c r="M18" s="118">
        <f>L18</f>
        <v>70</v>
      </c>
      <c r="N18" s="118">
        <f t="shared" ref="N18:R18" si="22">M18</f>
        <v>70</v>
      </c>
      <c r="O18" s="118">
        <f t="shared" si="22"/>
        <v>70</v>
      </c>
      <c r="P18" s="118">
        <f t="shared" si="22"/>
        <v>70</v>
      </c>
      <c r="Q18" s="118">
        <f t="shared" si="22"/>
        <v>70</v>
      </c>
      <c r="R18" s="187">
        <f t="shared" si="22"/>
        <v>70</v>
      </c>
      <c r="S18" s="111"/>
    </row>
    <row r="19" spans="1:19" s="113" customFormat="1" x14ac:dyDescent="0.15">
      <c r="A19" s="111" t="s">
        <v>53</v>
      </c>
      <c r="B19" s="111"/>
      <c r="C19" s="111"/>
      <c r="D19" s="112">
        <v>-1264</v>
      </c>
      <c r="E19" s="112">
        <v>-1416</v>
      </c>
      <c r="F19" s="112">
        <v>-1231</v>
      </c>
      <c r="G19" s="112">
        <v>-972</v>
      </c>
      <c r="H19" s="112">
        <v>-1075</v>
      </c>
      <c r="I19" s="112"/>
      <c r="J19" s="112">
        <v>-1331</v>
      </c>
      <c r="K19" s="112">
        <v>-1463</v>
      </c>
      <c r="L19" s="112">
        <v>-1767</v>
      </c>
      <c r="M19" s="112">
        <f ca="1">-M20*M6</f>
        <v>-1623.3945000000003</v>
      </c>
      <c r="N19" s="112">
        <f ca="1">-N20*N6</f>
        <v>-1696.4472525000003</v>
      </c>
      <c r="O19" s="112">
        <f ca="1">-O20*O6</f>
        <v>-1764.3051426000004</v>
      </c>
      <c r="P19" s="112">
        <f ca="1">-P20*P6</f>
        <v>-1826.0558225910002</v>
      </c>
      <c r="Q19" s="112">
        <f t="shared" ref="Q19:R19" ca="1" si="23">-Q20*Q8</f>
        <v>-1880.8374972687302</v>
      </c>
      <c r="R19" s="112">
        <f t="shared" ca="1" si="23"/>
        <v>-1880.8374972687302</v>
      </c>
      <c r="S19" s="111"/>
    </row>
    <row r="20" spans="1:19" s="143" customFormat="1" ht="14" thickBot="1" x14ac:dyDescent="0.2">
      <c r="A20" s="138" t="s">
        <v>57</v>
      </c>
      <c r="B20" s="138"/>
      <c r="C20" s="138"/>
      <c r="D20" s="141">
        <f>-D19/D6</f>
        <v>4.8570550261297266E-2</v>
      </c>
      <c r="E20" s="141">
        <f>-E19/E6</f>
        <v>5.2565149602791593E-2</v>
      </c>
      <c r="F20" s="141">
        <f>-F19/F6</f>
        <v>4.1206400214233115E-2</v>
      </c>
      <c r="G20" s="141">
        <f>-G19/G6</f>
        <v>3.4724206916261789E-2</v>
      </c>
      <c r="H20" s="141">
        <f>-H19/H6</f>
        <v>3.3294103072348862E-2</v>
      </c>
      <c r="I20" s="141"/>
      <c r="J20" s="141">
        <f>-J19/J6</f>
        <v>3.4995004469685016E-2</v>
      </c>
      <c r="K20" s="141">
        <f>-K19/K6</f>
        <v>3.5004187103720538E-2</v>
      </c>
      <c r="L20" s="141">
        <f>-L19/L6</f>
        <v>4.0000905510028523E-2</v>
      </c>
      <c r="M20" s="141">
        <f>3.5%</f>
        <v>3.5000000000000003E-2</v>
      </c>
      <c r="N20" s="141">
        <f t="shared" ref="N20:R20" si="24">3.5%</f>
        <v>3.5000000000000003E-2</v>
      </c>
      <c r="O20" s="141">
        <f t="shared" si="24"/>
        <v>3.5000000000000003E-2</v>
      </c>
      <c r="P20" s="141">
        <f t="shared" si="24"/>
        <v>3.5000000000000003E-2</v>
      </c>
      <c r="Q20" s="141">
        <f t="shared" si="24"/>
        <v>3.5000000000000003E-2</v>
      </c>
      <c r="R20" s="184">
        <f t="shared" si="24"/>
        <v>3.5000000000000003E-2</v>
      </c>
      <c r="S20" s="142"/>
    </row>
    <row r="21" spans="1:19" s="152" customFormat="1" ht="12" x14ac:dyDescent="0.15">
      <c r="A21" s="153" t="s">
        <v>72</v>
      </c>
      <c r="B21" s="154"/>
      <c r="C21" s="154"/>
      <c r="D21" s="155">
        <f>D19+D18+D14+D8</f>
        <v>3714</v>
      </c>
      <c r="E21" s="155">
        <f>E19+E18+E14+E8</f>
        <v>3350</v>
      </c>
      <c r="F21" s="154">
        <f>F19+F18+F14+F8</f>
        <v>4642</v>
      </c>
      <c r="G21" s="154">
        <f>G19+G18+G14+G8</f>
        <v>5075</v>
      </c>
      <c r="H21" s="154">
        <f>H19+H18+H14+H8</f>
        <v>5077</v>
      </c>
      <c r="I21" s="154"/>
      <c r="J21" s="155">
        <f>J19+J18+J14+J8</f>
        <v>6154</v>
      </c>
      <c r="K21" s="155">
        <f>K19+K18+K14+K8</f>
        <v>6838</v>
      </c>
      <c r="L21" s="155">
        <f>L19+L18+L14+L8</f>
        <v>6967</v>
      </c>
      <c r="M21" s="155">
        <f ca="1">M19+M18+M14+M8</f>
        <v>7752.9165437500005</v>
      </c>
      <c r="N21" s="155">
        <f ca="1">N19+N18+N14+N8</f>
        <v>8259.2044031875012</v>
      </c>
      <c r="O21" s="155">
        <f ca="1">O19+O18+O14+O8</f>
        <v>8753.7514588825015</v>
      </c>
      <c r="P21" s="155">
        <f ca="1">P19+P18+P14+P8</f>
        <v>9230.5059002957496</v>
      </c>
      <c r="Q21" s="155">
        <f t="shared" ref="Q21:R21" ca="1" si="25">Q19+Q18+Q16+Q10</f>
        <v>9706.8393805834148</v>
      </c>
      <c r="R21" s="170">
        <f t="shared" ca="1" si="25"/>
        <v>9706.8393805834148</v>
      </c>
      <c r="S21" s="151"/>
    </row>
    <row r="22" spans="1:19" s="164" customFormat="1" x14ac:dyDescent="0.15">
      <c r="A22" s="162" t="s">
        <v>73</v>
      </c>
      <c r="B22" s="162"/>
      <c r="C22" s="162"/>
      <c r="D22" s="163"/>
      <c r="E22" s="163"/>
      <c r="F22" s="163"/>
      <c r="G22" s="163"/>
      <c r="H22" s="163"/>
      <c r="I22" s="163"/>
      <c r="J22" s="163">
        <f>0.5</f>
        <v>0.5</v>
      </c>
      <c r="K22" s="166">
        <f>J22+1</f>
        <v>1.5</v>
      </c>
      <c r="L22" s="166">
        <f>K22+1</f>
        <v>2.5</v>
      </c>
      <c r="M22" s="166">
        <f>L22+1</f>
        <v>3.5</v>
      </c>
      <c r="N22" s="166">
        <f>M22+1</f>
        <v>4.5</v>
      </c>
      <c r="O22" s="166">
        <f>N22+1</f>
        <v>5.5</v>
      </c>
      <c r="P22" s="166">
        <f>O22+1</f>
        <v>6.5</v>
      </c>
      <c r="Q22" s="166">
        <f>P22+1</f>
        <v>7.5</v>
      </c>
      <c r="R22" s="168">
        <v>7.5</v>
      </c>
      <c r="S22" s="27"/>
    </row>
    <row r="23" spans="1:19" s="152" customFormat="1" ht="12" x14ac:dyDescent="0.15">
      <c r="A23" s="165" t="s">
        <v>74</v>
      </c>
      <c r="B23" s="154"/>
      <c r="C23" s="154"/>
      <c r="D23" s="155"/>
      <c r="E23" s="155"/>
      <c r="F23" s="154"/>
      <c r="G23" s="154"/>
      <c r="H23" s="154"/>
      <c r="I23" s="154"/>
      <c r="J23" s="167">
        <f>1/(1+9.5%)^J22</f>
        <v>0.95563696513499319</v>
      </c>
      <c r="K23" s="167">
        <f>1/(1+9.5%)^K22</f>
        <v>0.87272782204108956</v>
      </c>
      <c r="L23" s="167">
        <f t="shared" ref="L23:R23" si="26">1/(1+9.5%)^L22</f>
        <v>0.79701170962656598</v>
      </c>
      <c r="M23" s="167">
        <f t="shared" si="26"/>
        <v>0.72786457500143009</v>
      </c>
      <c r="N23" s="167">
        <f t="shared" si="26"/>
        <v>0.66471650685062111</v>
      </c>
      <c r="O23" s="167">
        <f t="shared" si="26"/>
        <v>0.60704703821974526</v>
      </c>
      <c r="P23" s="167">
        <f t="shared" si="26"/>
        <v>0.55438085682168525</v>
      </c>
      <c r="Q23" s="167">
        <f t="shared" si="26"/>
        <v>0.50628388750838837</v>
      </c>
      <c r="R23" s="169">
        <f t="shared" si="26"/>
        <v>0.50628388750838837</v>
      </c>
      <c r="S23" s="151"/>
    </row>
    <row r="24" spans="1:19" s="173" customFormat="1" thickBot="1" x14ac:dyDescent="0.2">
      <c r="A24" s="171" t="s">
        <v>75</v>
      </c>
      <c r="B24" s="172"/>
      <c r="C24" s="172"/>
      <c r="D24" s="172"/>
      <c r="E24" s="172"/>
      <c r="F24" s="172"/>
      <c r="G24" s="172"/>
      <c r="H24" s="172"/>
      <c r="I24" s="172"/>
      <c r="J24" s="176">
        <f>J21*J23</f>
        <v>5880.9898834407477</v>
      </c>
      <c r="K24" s="174">
        <f t="shared" ref="K24:R24" si="27">K21*K23</f>
        <v>5967.7128471169708</v>
      </c>
      <c r="L24" s="174">
        <f t="shared" si="27"/>
        <v>5552.780580968285</v>
      </c>
      <c r="M24" s="174">
        <f t="shared" ca="1" si="27"/>
        <v>5880.9898834407477</v>
      </c>
      <c r="N24" s="174">
        <f t="shared" ca="1" si="27"/>
        <v>5880.9898834407477</v>
      </c>
      <c r="O24" s="174">
        <f t="shared" ca="1" si="27"/>
        <v>5880.9898834407477</v>
      </c>
      <c r="P24" s="174">
        <f t="shared" ca="1" si="27"/>
        <v>5880.9898834407477</v>
      </c>
      <c r="Q24" s="174">
        <f t="shared" ca="1" si="27"/>
        <v>5880.9898834407477</v>
      </c>
      <c r="R24" s="175">
        <f t="shared" ca="1" si="27"/>
        <v>5880.9898834407477</v>
      </c>
    </row>
    <row r="28" spans="1:19" s="188" customFormat="1" ht="14" thickBot="1" x14ac:dyDescent="0.2">
      <c r="A28" s="191"/>
      <c r="B28" s="191"/>
      <c r="C28" s="191"/>
      <c r="D28" s="191"/>
      <c r="E28" s="191"/>
      <c r="F28" s="191"/>
    </row>
    <row r="29" spans="1:19" ht="15" thickBot="1" x14ac:dyDescent="0.2">
      <c r="A29" s="195" t="s">
        <v>76</v>
      </c>
      <c r="B29" s="143"/>
      <c r="C29" s="143"/>
      <c r="D29" s="190"/>
      <c r="E29" s="202">
        <v>73369.057067282585</v>
      </c>
      <c r="F29" s="190"/>
      <c r="H29" s="205" t="s">
        <v>83</v>
      </c>
      <c r="I29" s="190"/>
      <c r="J29" s="206"/>
      <c r="K29" s="201">
        <f>E35</f>
        <v>177774.92034926242</v>
      </c>
    </row>
    <row r="30" spans="1:19" ht="14" x14ac:dyDescent="0.15">
      <c r="A30" s="196" t="s">
        <v>77</v>
      </c>
      <c r="B30" s="196"/>
      <c r="C30" s="113"/>
      <c r="E30" s="192">
        <v>14730</v>
      </c>
      <c r="H30" s="102" t="s">
        <v>86</v>
      </c>
    </row>
    <row r="31" spans="1:19" ht="14" x14ac:dyDescent="0.15">
      <c r="A31" s="196" t="s">
        <v>78</v>
      </c>
      <c r="B31" s="196"/>
      <c r="C31" s="113"/>
      <c r="E31" s="204">
        <v>14</v>
      </c>
      <c r="H31" s="102" t="s">
        <v>87</v>
      </c>
    </row>
    <row r="32" spans="1:19" ht="14" x14ac:dyDescent="0.15">
      <c r="A32" s="196" t="s">
        <v>80</v>
      </c>
      <c r="B32" s="196"/>
      <c r="C32" s="113"/>
      <c r="E32" s="192">
        <f>E30*E31</f>
        <v>206220</v>
      </c>
      <c r="H32" s="102" t="s">
        <v>88</v>
      </c>
    </row>
    <row r="33" spans="1:11" ht="15" thickBot="1" x14ac:dyDescent="0.2">
      <c r="A33" s="195" t="s">
        <v>79</v>
      </c>
      <c r="B33" s="195"/>
      <c r="C33" s="143"/>
      <c r="D33" s="190"/>
      <c r="E33" s="199">
        <f>R23</f>
        <v>0.50628388750838837</v>
      </c>
      <c r="F33" s="190"/>
      <c r="H33" s="189" t="s">
        <v>84</v>
      </c>
      <c r="I33" s="190"/>
      <c r="J33" s="190"/>
      <c r="K33" s="190"/>
    </row>
    <row r="34" spans="1:11" ht="14" x14ac:dyDescent="0.15">
      <c r="A34" s="197" t="s">
        <v>81</v>
      </c>
      <c r="B34" s="198"/>
      <c r="C34" s="198"/>
      <c r="D34" s="193"/>
      <c r="E34" s="200">
        <f>E32*E33</f>
        <v>104405.86328197985</v>
      </c>
      <c r="F34" s="193"/>
      <c r="H34" s="102" t="s">
        <v>85</v>
      </c>
    </row>
    <row r="35" spans="1:11" s="114" customFormat="1" ht="15" thickBot="1" x14ac:dyDescent="0.2">
      <c r="A35" s="194" t="s">
        <v>82</v>
      </c>
      <c r="B35" s="124"/>
      <c r="C35" s="124"/>
      <c r="D35" s="124"/>
      <c r="E35" s="203">
        <f>E29+E34</f>
        <v>177774.92034926242</v>
      </c>
      <c r="F35" s="124"/>
      <c r="H35" s="114" t="s">
        <v>89</v>
      </c>
    </row>
  </sheetData>
  <pageMargins left="0.7" right="0.7" top="0.75" bottom="0.75" header="0.3" footer="0.3"/>
  <ignoredErrors>
    <ignoredError sqref="E3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27"/>
  <sheetViews>
    <sheetView showGridLines="0" zoomScale="94" workbookViewId="0">
      <selection activeCell="E16" sqref="E16"/>
    </sheetView>
  </sheetViews>
  <sheetFormatPr baseColWidth="10" defaultColWidth="8.83203125" defaultRowHeight="13" x14ac:dyDescent="0.15"/>
  <cols>
    <col min="1" max="1" width="1.6640625" customWidth="1"/>
    <col min="5" max="5" width="16" bestFit="1" customWidth="1"/>
  </cols>
  <sheetData>
    <row r="2" spans="2:6" x14ac:dyDescent="0.15">
      <c r="E2" s="108" t="s">
        <v>68</v>
      </c>
    </row>
    <row r="3" spans="2:6" x14ac:dyDescent="0.15">
      <c r="B3" s="102" t="s">
        <v>22</v>
      </c>
      <c r="C3" s="12"/>
      <c r="D3" s="12"/>
      <c r="E3" s="101">
        <v>13.88</v>
      </c>
      <c r="F3" s="109"/>
    </row>
    <row r="4" spans="2:6" x14ac:dyDescent="0.15">
      <c r="B4" s="102" t="s">
        <v>23</v>
      </c>
      <c r="C4" s="12"/>
      <c r="D4" s="12"/>
      <c r="E4" s="101">
        <v>19.18</v>
      </c>
      <c r="F4" s="109"/>
    </row>
    <row r="5" spans="2:6" x14ac:dyDescent="0.15">
      <c r="B5" s="102" t="s">
        <v>25</v>
      </c>
      <c r="C5" s="12"/>
      <c r="D5" s="12"/>
      <c r="E5" s="101">
        <v>14.82</v>
      </c>
      <c r="F5" s="109"/>
    </row>
    <row r="6" spans="2:6" x14ac:dyDescent="0.15">
      <c r="B6" s="102" t="s">
        <v>26</v>
      </c>
      <c r="C6" s="12"/>
      <c r="D6" s="12"/>
      <c r="E6" s="101">
        <v>21.77</v>
      </c>
      <c r="F6" s="109"/>
    </row>
    <row r="7" spans="2:6" x14ac:dyDescent="0.15">
      <c r="B7" s="102" t="s">
        <v>28</v>
      </c>
      <c r="C7" s="12"/>
      <c r="D7" s="12"/>
      <c r="E7" s="101">
        <v>16.02</v>
      </c>
      <c r="F7" s="109"/>
    </row>
    <row r="8" spans="2:6" x14ac:dyDescent="0.15">
      <c r="B8" s="102" t="s">
        <v>29</v>
      </c>
      <c r="C8" s="12"/>
      <c r="D8" s="12"/>
      <c r="E8" s="101">
        <v>10.99</v>
      </c>
      <c r="F8" s="109"/>
    </row>
    <row r="9" spans="2:6" x14ac:dyDescent="0.15">
      <c r="B9" s="102" t="s">
        <v>30</v>
      </c>
      <c r="C9" s="12"/>
      <c r="D9" s="12"/>
      <c r="E9" s="101">
        <v>15.06</v>
      </c>
      <c r="F9" s="109"/>
    </row>
    <row r="10" spans="2:6" x14ac:dyDescent="0.15">
      <c r="B10" s="103" t="s">
        <v>31</v>
      </c>
      <c r="C10" s="104"/>
      <c r="D10" s="104"/>
      <c r="E10" s="105">
        <f>AVERAGE(E3:E9)</f>
        <v>15.959999999999999</v>
      </c>
      <c r="F10" s="109"/>
    </row>
    <row r="12" spans="2:6" x14ac:dyDescent="0.15">
      <c r="B12" s="13" t="s">
        <v>32</v>
      </c>
      <c r="C12" s="10"/>
      <c r="D12" s="10"/>
      <c r="E12" s="106">
        <f>E10*0.9</f>
        <v>14.363999999999999</v>
      </c>
    </row>
    <row r="13" spans="2:6" x14ac:dyDescent="0.15">
      <c r="B13" s="14" t="s">
        <v>33</v>
      </c>
      <c r="C13" s="11"/>
      <c r="D13" s="11"/>
      <c r="E13" s="107">
        <f>E10*1.1</f>
        <v>17.556000000000001</v>
      </c>
    </row>
    <row r="15" spans="2:6" x14ac:dyDescent="0.15">
      <c r="B15" t="s">
        <v>69</v>
      </c>
      <c r="E15" s="110">
        <f>DCF!L9</f>
        <v>11004</v>
      </c>
    </row>
    <row r="16" spans="2:6" x14ac:dyDescent="0.15">
      <c r="B16" s="13" t="s">
        <v>34</v>
      </c>
      <c r="C16" s="10"/>
      <c r="D16" s="10"/>
      <c r="E16" s="15">
        <f>E15*E12</f>
        <v>158061.45599999998</v>
      </c>
    </row>
    <row r="17" spans="2:5" x14ac:dyDescent="0.15">
      <c r="B17" s="14" t="s">
        <v>35</v>
      </c>
      <c r="C17" s="11"/>
      <c r="D17" s="11"/>
      <c r="E17" s="16">
        <f>E15*E13</f>
        <v>193186.22400000002</v>
      </c>
    </row>
    <row r="19" spans="2:5" x14ac:dyDescent="0.15">
      <c r="B19" t="s">
        <v>36</v>
      </c>
      <c r="E19" s="12">
        <f>DCF!K52</f>
        <v>-4560</v>
      </c>
    </row>
    <row r="21" spans="2:5" x14ac:dyDescent="0.15">
      <c r="B21" s="13" t="s">
        <v>37</v>
      </c>
      <c r="C21" s="10"/>
      <c r="D21" s="10"/>
      <c r="E21" s="15">
        <f>E19+E16</f>
        <v>153501.45599999998</v>
      </c>
    </row>
    <row r="22" spans="2:5" x14ac:dyDescent="0.15">
      <c r="B22" s="14" t="s">
        <v>38</v>
      </c>
      <c r="C22" s="11"/>
      <c r="D22" s="11"/>
      <c r="E22" s="16">
        <f>E19+E17</f>
        <v>188626.22400000002</v>
      </c>
    </row>
    <row r="24" spans="2:5" x14ac:dyDescent="0.15">
      <c r="B24" t="s">
        <v>39</v>
      </c>
      <c r="E24" s="12">
        <f>DCF!K54</f>
        <v>534.54999999999995</v>
      </c>
    </row>
    <row r="26" spans="2:5" x14ac:dyDescent="0.15">
      <c r="B26" s="13" t="s">
        <v>40</v>
      </c>
      <c r="C26" s="10"/>
      <c r="D26" s="10"/>
      <c r="E26" s="15">
        <f>E21/E24</f>
        <v>287.16014591712656</v>
      </c>
    </row>
    <row r="27" spans="2:5" x14ac:dyDescent="0.15">
      <c r="B27" s="14" t="s">
        <v>41</v>
      </c>
      <c r="C27" s="11"/>
      <c r="D27" s="11"/>
      <c r="E27" s="16">
        <f>E22/E24</f>
        <v>352.86918716677587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5D28-06BE-A74A-9575-BF919E0F8BA4}">
  <dimension ref="A2:L19"/>
  <sheetViews>
    <sheetView workbookViewId="0">
      <selection activeCell="L19" sqref="L19"/>
    </sheetView>
  </sheetViews>
  <sheetFormatPr baseColWidth="10" defaultRowHeight="13" x14ac:dyDescent="0.15"/>
  <sheetData>
    <row r="2" spans="1:4" x14ac:dyDescent="0.15">
      <c r="D2" s="108" t="s">
        <v>68</v>
      </c>
    </row>
    <row r="3" spans="1:4" x14ac:dyDescent="0.15">
      <c r="A3" s="102" t="s">
        <v>21</v>
      </c>
      <c r="B3" s="12"/>
      <c r="C3" s="12"/>
      <c r="D3" s="101">
        <v>11.26</v>
      </c>
    </row>
    <row r="4" spans="1:4" x14ac:dyDescent="0.15">
      <c r="A4" s="102" t="s">
        <v>22</v>
      </c>
      <c r="B4" s="12"/>
      <c r="C4" s="12"/>
      <c r="D4" s="101">
        <v>13.88</v>
      </c>
    </row>
    <row r="5" spans="1:4" x14ac:dyDescent="0.15">
      <c r="A5" s="102" t="s">
        <v>23</v>
      </c>
      <c r="B5" s="12"/>
      <c r="C5" s="12"/>
      <c r="D5" s="101">
        <v>19.18</v>
      </c>
    </row>
    <row r="6" spans="1:4" x14ac:dyDescent="0.15">
      <c r="A6" s="102" t="s">
        <v>24</v>
      </c>
      <c r="B6" s="12"/>
      <c r="C6" s="12"/>
      <c r="D6" s="101">
        <v>18.84</v>
      </c>
    </row>
    <row r="7" spans="1:4" x14ac:dyDescent="0.15">
      <c r="A7" s="102" t="s">
        <v>25</v>
      </c>
      <c r="B7" s="12"/>
      <c r="C7" s="12"/>
      <c r="D7" s="101">
        <v>14.82</v>
      </c>
    </row>
    <row r="8" spans="1:4" x14ac:dyDescent="0.15">
      <c r="A8" s="102" t="s">
        <v>26</v>
      </c>
      <c r="B8" s="12"/>
      <c r="C8" s="12"/>
      <c r="D8" s="101">
        <v>21.77</v>
      </c>
    </row>
    <row r="9" spans="1:4" x14ac:dyDescent="0.15">
      <c r="A9" s="102" t="s">
        <v>27</v>
      </c>
      <c r="B9" s="12"/>
      <c r="C9" s="12"/>
      <c r="D9" s="101">
        <v>15.21</v>
      </c>
    </row>
    <row r="10" spans="1:4" x14ac:dyDescent="0.15">
      <c r="A10" s="102" t="s">
        <v>28</v>
      </c>
      <c r="B10" s="12"/>
      <c r="C10" s="12"/>
      <c r="D10" s="101">
        <v>16.02</v>
      </c>
    </row>
    <row r="11" spans="1:4" x14ac:dyDescent="0.15">
      <c r="A11" s="102" t="s">
        <v>29</v>
      </c>
      <c r="B11" s="12"/>
      <c r="C11" s="12"/>
      <c r="D11" s="101">
        <v>10.99</v>
      </c>
    </row>
    <row r="12" spans="1:4" x14ac:dyDescent="0.15">
      <c r="A12" s="102" t="s">
        <v>30</v>
      </c>
      <c r="B12" s="12"/>
      <c r="C12" s="12"/>
      <c r="D12" s="101">
        <v>15.06</v>
      </c>
    </row>
    <row r="13" spans="1:4" x14ac:dyDescent="0.15">
      <c r="A13" s="103" t="s">
        <v>31</v>
      </c>
      <c r="B13" s="104"/>
      <c r="C13" s="104"/>
      <c r="D13" s="105">
        <f>AVERAGE(D3:D12)</f>
        <v>15.702999999999999</v>
      </c>
    </row>
    <row r="19" spans="3:12" x14ac:dyDescent="0.15">
      <c r="C19">
        <v>6154</v>
      </c>
      <c r="D19">
        <v>6838</v>
      </c>
      <c r="E19">
        <v>6967</v>
      </c>
      <c r="F19">
        <v>7752.9165437500005</v>
      </c>
      <c r="G19">
        <v>8259.2044031875012</v>
      </c>
      <c r="H19">
        <v>8753.7514588825015</v>
      </c>
      <c r="I19">
        <v>9230.5059002957496</v>
      </c>
      <c r="J19">
        <v>9706.8393805834148</v>
      </c>
      <c r="K19">
        <v>9706.8393805834148</v>
      </c>
      <c r="L19">
        <f>SUM(C19:K19)</f>
        <v>73369.057067282585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Football</vt:lpstr>
      <vt:lpstr>DCF</vt:lpstr>
      <vt:lpstr>Feuil1</vt:lpstr>
      <vt:lpstr>Comps</vt:lpstr>
      <vt:lpstr>Feuil2</vt:lpstr>
      <vt:lpstr>DCF!Zone_d_impression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Wall Street Prep</dc:creator>
  <cp:keywords/>
  <dc:description/>
  <cp:lastModifiedBy>Microsoft Office User</cp:lastModifiedBy>
  <cp:revision/>
  <dcterms:created xsi:type="dcterms:W3CDTF">2017-11-10T21:02:47Z</dcterms:created>
  <dcterms:modified xsi:type="dcterms:W3CDTF">2024-09-18T02:37:04Z</dcterms:modified>
  <cp:category/>
  <cp:contentStatus/>
</cp:coreProperties>
</file>