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ichael Brookes\Desktop\Working Files\Chapter 04\"/>
    </mc:Choice>
  </mc:AlternateContent>
  <bookViews>
    <workbookView xWindow="0" yWindow="750" windowWidth="34125" windowHeight="19635"/>
  </bookViews>
  <sheets>
    <sheet name="Opportunities" sheetId="4" r:id="rId1"/>
    <sheet name="Summary" sheetId="5" r:id="rId2"/>
    <sheet name="Funnel" sheetId="1" r:id="rId3"/>
    <sheet name="scratch" sheetId="3" state="hidden" r:id="rId4"/>
  </sheets>
  <definedNames>
    <definedName name="NativeTimeline_Timeline1">#N/A</definedName>
    <definedName name="_xlnm.Print_Titles" localSheetId="0">Opportunities!$5:$5</definedName>
    <definedName name="_xlnm.Print_Titles" localSheetId="1">Summary!$9:$10</definedName>
  </definedNames>
  <calcPr calcId="152511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A2" i="5"/>
  <c r="A3" i="5"/>
  <c r="A4" i="5"/>
  <c r="J28" i="4"/>
  <c r="K7" i="4"/>
  <c r="L7" i="4"/>
  <c r="K8" i="4"/>
  <c r="L8" i="4"/>
  <c r="K10" i="4"/>
  <c r="L10" i="4"/>
  <c r="K13" i="4"/>
  <c r="L13" i="4"/>
  <c r="K15" i="4"/>
  <c r="L15" i="4"/>
  <c r="K17" i="4"/>
  <c r="L17" i="4"/>
  <c r="K19" i="4"/>
  <c r="L19" i="4"/>
  <c r="K20" i="4"/>
  <c r="L20" i="4"/>
  <c r="K21" i="4"/>
  <c r="L21" i="4"/>
  <c r="K22" i="4"/>
  <c r="L22" i="4"/>
  <c r="K24" i="4"/>
  <c r="L24" i="4"/>
  <c r="K27" i="4"/>
  <c r="L27" i="4"/>
  <c r="K6" i="4"/>
  <c r="L6" i="4"/>
  <c r="K18" i="4"/>
  <c r="L18" i="4"/>
  <c r="K14" i="4"/>
  <c r="L14" i="4"/>
  <c r="K16" i="4"/>
  <c r="L16" i="4"/>
  <c r="K23" i="4"/>
  <c r="L23" i="4"/>
  <c r="K26" i="4"/>
  <c r="L26" i="4"/>
  <c r="K25" i="4"/>
  <c r="L25" i="4"/>
  <c r="K9" i="4"/>
  <c r="L9" i="4"/>
  <c r="K11" i="4"/>
  <c r="L11" i="4"/>
  <c r="K12" i="4"/>
  <c r="L12" i="4"/>
  <c r="L28" i="4" l="1"/>
  <c r="Y13" i="3"/>
  <c r="Y14" i="3"/>
  <c r="Y15" i="3" s="1"/>
  <c r="Y16" i="3" s="1"/>
  <c r="F16" i="3"/>
  <c r="E16" i="3" s="1"/>
  <c r="F15" i="3"/>
  <c r="E15" i="3" s="1"/>
  <c r="F14" i="3"/>
  <c r="E14" i="3" s="1"/>
  <c r="E13" i="3"/>
  <c r="V13" i="3"/>
  <c r="Q15" i="3"/>
  <c r="Q14" i="3"/>
  <c r="Q13" i="3"/>
  <c r="L16" i="3"/>
  <c r="G16" i="3"/>
  <c r="J16" i="3"/>
  <c r="L15" i="3"/>
  <c r="L14" i="3"/>
  <c r="L13" i="3"/>
  <c r="G15" i="3"/>
  <c r="G14" i="3"/>
  <c r="G13" i="3"/>
  <c r="P15" i="3" l="1"/>
  <c r="O15" i="3" s="1"/>
  <c r="K15" i="3" l="1"/>
  <c r="J15" i="3" s="1"/>
  <c r="U13" i="3"/>
  <c r="T13" i="3" s="1"/>
  <c r="P14" i="3"/>
  <c r="O14" i="3" s="1"/>
  <c r="P13" i="3"/>
  <c r="O13" i="3" s="1"/>
  <c r="K14" i="3"/>
  <c r="K13" i="3"/>
  <c r="J14" i="3" l="1"/>
  <c r="J13" i="3"/>
  <c r="AA12" i="3"/>
  <c r="AD9" i="3" l="1"/>
  <c r="K16" i="3"/>
  <c r="K17" i="3" s="1"/>
  <c r="AE12" i="3" l="1"/>
  <c r="AG12" i="3" s="1"/>
  <c r="AD13" i="3"/>
  <c r="AD12" i="3"/>
  <c r="AE13" i="3"/>
  <c r="AE14" i="3"/>
  <c r="AD15" i="3"/>
  <c r="AE15" i="3"/>
  <c r="AD14" i="3"/>
  <c r="AE11" i="3"/>
  <c r="AD16" i="3"/>
  <c r="AE16" i="3"/>
  <c r="AJ16" i="3" s="1"/>
  <c r="AJ15" i="3" l="1"/>
  <c r="AI15" i="3"/>
  <c r="AH14" i="3"/>
  <c r="AI14" i="3"/>
  <c r="AG13" i="3"/>
  <c r="AH13" i="3"/>
  <c r="C7" i="3" l="1"/>
  <c r="M11" i="3" l="1"/>
  <c r="M15" i="3" s="1"/>
  <c r="W11" i="3"/>
  <c r="W13" i="3" s="1"/>
  <c r="R11" i="3"/>
  <c r="R14" i="3" s="1"/>
  <c r="H11" i="3"/>
  <c r="H15" i="3" s="1"/>
  <c r="M17" i="3"/>
  <c r="AD11" i="3"/>
  <c r="R15" i="3" l="1"/>
  <c r="M13" i="3"/>
  <c r="R13" i="3"/>
  <c r="M16" i="3"/>
  <c r="M14" i="3"/>
  <c r="H16" i="3"/>
  <c r="H14" i="3"/>
  <c r="H13" i="3"/>
</calcChain>
</file>

<file path=xl/sharedStrings.xml><?xml version="1.0" encoding="utf-8"?>
<sst xmlns="http://schemas.openxmlformats.org/spreadsheetml/2006/main" count="258" uniqueCount="126">
  <si>
    <t>Identified</t>
  </si>
  <si>
    <t>Contacted</t>
  </si>
  <si>
    <t>Discussion</t>
  </si>
  <si>
    <t>Won</t>
  </si>
  <si>
    <t>y</t>
  </si>
  <si>
    <t>*** This sheet to remain hidden ***</t>
  </si>
  <si>
    <t>Stage</t>
  </si>
  <si>
    <t>STAGE</t>
  </si>
  <si>
    <t>PROSPECTS</t>
  </si>
  <si>
    <t>LOST</t>
  </si>
  <si>
    <t>UNQUALIFIED</t>
  </si>
  <si>
    <t>Sales Funnel</t>
  </si>
  <si>
    <t>IDENTIFIED</t>
  </si>
  <si>
    <t>CONTACTED</t>
  </si>
  <si>
    <t>DISCUSSION</t>
  </si>
  <si>
    <t>WON</t>
  </si>
  <si>
    <t>Percentages Series &amp; Labels</t>
  </si>
  <si>
    <t>Average Y:</t>
  </si>
  <si>
    <t>x</t>
  </si>
  <si>
    <t>Rim</t>
  </si>
  <si>
    <t>Won Dot</t>
  </si>
  <si>
    <t>Stage Totals &amp; Labels</t>
  </si>
  <si>
    <t>Offsets</t>
  </si>
  <si>
    <t>Label</t>
  </si>
  <si>
    <t>Lost Totals &amp; Labels</t>
  </si>
  <si>
    <t>Unqualified Total &amp; Label</t>
  </si>
  <si>
    <t>Value</t>
  </si>
  <si>
    <t>Edges</t>
  </si>
  <si>
    <t>Total</t>
  </si>
  <si>
    <t>April</t>
  </si>
  <si>
    <t>Web Inquiry</t>
  </si>
  <si>
    <t>Robert Walters</t>
  </si>
  <si>
    <t>School of Fine Art</t>
  </si>
  <si>
    <t>March</t>
  </si>
  <si>
    <t>Customer Reference</t>
  </si>
  <si>
    <t>H. Brian Valentine</t>
  </si>
  <si>
    <t>Proseware, Inc.</t>
  </si>
  <si>
    <t>February</t>
  </si>
  <si>
    <t>Sunil Uppal</t>
  </si>
  <si>
    <t>Northwind Traders</t>
  </si>
  <si>
    <t>November</t>
  </si>
  <si>
    <t>E-Mail</t>
  </si>
  <si>
    <t>Andy Teal</t>
  </si>
  <si>
    <t>Margie's Travel</t>
  </si>
  <si>
    <t>December</t>
  </si>
  <si>
    <t>Partner</t>
  </si>
  <si>
    <t>Sharon Salavaria</t>
  </si>
  <si>
    <t>Lucerne Publishing</t>
  </si>
  <si>
    <t>October</t>
  </si>
  <si>
    <t>Kim Ralls</t>
  </si>
  <si>
    <t>Litware, Inc.</t>
  </si>
  <si>
    <t>June</t>
  </si>
  <si>
    <t>Carol Philips</t>
  </si>
  <si>
    <t>Humongous Insurance</t>
  </si>
  <si>
    <t>May</t>
  </si>
  <si>
    <t>Contract</t>
  </si>
  <si>
    <t>Robert O'Hara</t>
  </si>
  <si>
    <t>Graphic Design Institute</t>
  </si>
  <si>
    <t>Paula Nartker</t>
  </si>
  <si>
    <t>Fourth Coffee</t>
  </si>
  <si>
    <t>January</t>
  </si>
  <si>
    <t>Diane Margheim</t>
  </si>
  <si>
    <t>Fabrikam, Inc.</t>
  </si>
  <si>
    <t>Rebecca Laszlo</t>
  </si>
  <si>
    <t>Sandeep Kaliyath</t>
  </si>
  <si>
    <t>Contoso Pharmaceuticals</t>
  </si>
  <si>
    <t>David Jaffe</t>
  </si>
  <si>
    <t>Contoso, Ltd.</t>
  </si>
  <si>
    <t>September</t>
  </si>
  <si>
    <t>Shu Ito</t>
  </si>
  <si>
    <t>August</t>
  </si>
  <si>
    <t>Adina Hagege</t>
  </si>
  <si>
    <t>July</t>
  </si>
  <si>
    <t>Janice Galvin</t>
  </si>
  <si>
    <t>Coho Vineyard</t>
  </si>
  <si>
    <t>Kathie Flood</t>
  </si>
  <si>
    <t>City Power &amp; Light</t>
  </si>
  <si>
    <t>Susan W. Eaton</t>
  </si>
  <si>
    <t>Blue Yonder Airlines</t>
  </si>
  <si>
    <t>Barbara S. Decker</t>
  </si>
  <si>
    <t>Baldwin Museum of Science</t>
  </si>
  <si>
    <t>US - North Central</t>
  </si>
  <si>
    <t>Gabriele Cannata</t>
  </si>
  <si>
    <t>Alpine Ski House</t>
  </si>
  <si>
    <t>Angela Barbariol</t>
  </si>
  <si>
    <t>Adventure Works</t>
  </si>
  <si>
    <t>Kim Abercrombie</t>
  </si>
  <si>
    <t>A. Datum Corporation</t>
  </si>
  <si>
    <t>Probability Forecast</t>
  </si>
  <si>
    <t>Timeline</t>
  </si>
  <si>
    <t>Probability of Sale</t>
  </si>
  <si>
    <t>Year</t>
  </si>
  <si>
    <t>Forecast Close</t>
  </si>
  <si>
    <t>Sales Phase</t>
  </si>
  <si>
    <t>Forecast Amount</t>
  </si>
  <si>
    <t>Lead Source</t>
  </si>
  <si>
    <t>Sales Region</t>
  </si>
  <si>
    <t>Customer Contact</t>
  </si>
  <si>
    <t>Opportunity Name</t>
  </si>
  <si>
    <t>Confidential: For internal use only</t>
  </si>
  <si>
    <t>Training Sales Pipeline</t>
  </si>
  <si>
    <t>Yugotit Training</t>
  </si>
  <si>
    <t>Grand Total</t>
  </si>
  <si>
    <t>Forecast</t>
  </si>
  <si>
    <t>Probability</t>
  </si>
  <si>
    <t>Northeast</t>
  </si>
  <si>
    <t>Southwest</t>
  </si>
  <si>
    <t>West</t>
  </si>
  <si>
    <t>Canada</t>
  </si>
  <si>
    <t>East</t>
  </si>
  <si>
    <t>Central</t>
  </si>
  <si>
    <t>Northwest</t>
  </si>
  <si>
    <t>Trade Show</t>
  </si>
  <si>
    <t>Web site</t>
  </si>
  <si>
    <t>Interest</t>
  </si>
  <si>
    <t>Excel</t>
  </si>
  <si>
    <t>All</t>
  </si>
  <si>
    <t>SharePoint</t>
  </si>
  <si>
    <t>PowerPoint</t>
  </si>
  <si>
    <t>Word</t>
  </si>
  <si>
    <t>Outlook</t>
  </si>
  <si>
    <t>Access</t>
  </si>
  <si>
    <t>Proposal</t>
  </si>
  <si>
    <t>Lost</t>
  </si>
  <si>
    <t>Won - Contract</t>
  </si>
  <si>
    <t>Corporate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</si>
</sst>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;;&quot;--&quot;"/>
    <numFmt numFmtId="166" formatCode="&quot;$&quot;#,##0;;&quot;Lost&quot;"/>
  </numFmts>
  <fonts count="22" x14ac:knownFonts="1">
    <font>
      <sz val="10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39"/>
      <color theme="7" tint="-0.499984740745262"/>
      <name val="Calibri"/>
      <family val="2"/>
      <scheme val="minor"/>
    </font>
    <font>
      <sz val="37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b/>
      <sz val="12"/>
      <color theme="1" tint="0.24994659260841701"/>
      <name val="Calibri Light"/>
      <family val="2"/>
      <scheme val="major"/>
    </font>
    <font>
      <b/>
      <i/>
      <sz val="12"/>
      <color rgb="FFFF0000"/>
      <name val="Calibri Light"/>
      <family val="2"/>
      <scheme val="major"/>
    </font>
    <font>
      <b/>
      <sz val="14"/>
      <color theme="1" tint="0.24994659260841701"/>
      <name val="Calibri Light"/>
      <family val="2"/>
      <scheme val="major"/>
    </font>
    <font>
      <b/>
      <sz val="28"/>
      <color theme="1" tint="0.34998626667073579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 tint="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5"/>
      </patternFill>
    </fill>
    <fill>
      <patternFill patternType="lightUp">
        <fgColor theme="6"/>
      </patternFill>
    </fill>
    <fill>
      <patternFill patternType="lightUp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 tint="-0.1499679555650502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0" tint="-0.14996795556505021"/>
      </right>
      <top style="thin">
        <color theme="3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double">
        <color theme="0" tint="-0.14996795556505021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2" fillId="0" borderId="0" applyNumberFormat="0" applyFont="0" applyFill="0" applyBorder="0" applyProtection="0">
      <alignment horizontal="center"/>
    </xf>
    <xf numFmtId="0" fontId="6" fillId="0" borderId="0" applyNumberFormat="0" applyFill="0" applyBorder="0" applyProtection="0"/>
    <xf numFmtId="0" fontId="7" fillId="0" borderId="0" applyNumberFormat="0" applyFill="0" applyBorder="0" applyProtection="0">
      <alignment vertical="top"/>
    </xf>
    <xf numFmtId="0" fontId="5" fillId="3" borderId="1"/>
    <xf numFmtId="0" fontId="4" fillId="4" borderId="0" applyNumberFormat="0" applyFon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10" fillId="0" borderId="0">
      <alignment vertical="center"/>
    </xf>
    <xf numFmtId="0" fontId="11" fillId="0" borderId="14" applyNumberFormat="0" applyFill="0" applyProtection="0">
      <alignment vertical="center"/>
    </xf>
    <xf numFmtId="0" fontId="13" fillId="0" borderId="0" applyNumberFormat="0" applyFill="0" applyProtection="0"/>
    <xf numFmtId="0" fontId="14" fillId="0" borderId="0" applyNumberFormat="0" applyFill="0" applyBorder="0" applyProtection="0">
      <alignment vertical="top"/>
    </xf>
  </cellStyleXfs>
  <cellXfs count="6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6" borderId="0" xfId="1" applyFont="1" applyFill="1" applyBorder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6" fillId="0" borderId="0" xfId="2"/>
    <xf numFmtId="0" fontId="7" fillId="0" borderId="0" xfId="3">
      <alignment vertical="top"/>
    </xf>
    <xf numFmtId="0" fontId="0" fillId="0" borderId="10" xfId="0" applyBorder="1"/>
    <xf numFmtId="0" fontId="0" fillId="13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8" fillId="3" borderId="1" xfId="4" applyFont="1" applyAlignment="1">
      <alignment horizontal="left" vertical="center" indent="1"/>
    </xf>
    <xf numFmtId="0" fontId="8" fillId="3" borderId="1" xfId="1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left" vertical="center" indent="1"/>
    </xf>
    <xf numFmtId="0" fontId="9" fillId="4" borderId="5" xfId="5" applyFont="1" applyBorder="1" applyAlignment="1">
      <alignment horizontal="left" vertical="center" indent="1"/>
    </xf>
    <xf numFmtId="0" fontId="9" fillId="9" borderId="6" xfId="1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left" vertical="center" indent="1"/>
    </xf>
    <xf numFmtId="0" fontId="9" fillId="10" borderId="6" xfId="1" applyFont="1" applyFill="1" applyBorder="1" applyAlignment="1">
      <alignment horizontal="center" vertical="center"/>
    </xf>
    <xf numFmtId="0" fontId="9" fillId="4" borderId="7" xfId="5" applyFont="1" applyBorder="1" applyAlignment="1">
      <alignment horizontal="left" vertical="center" indent="1"/>
    </xf>
    <xf numFmtId="0" fontId="9" fillId="11" borderId="8" xfId="1" applyFont="1" applyFill="1" applyBorder="1" applyAlignment="1">
      <alignment horizontal="center" vertical="center"/>
    </xf>
    <xf numFmtId="0" fontId="9" fillId="11" borderId="9" xfId="1" applyFont="1" applyFill="1" applyBorder="1" applyAlignment="1">
      <alignment horizontal="center" vertical="center"/>
    </xf>
    <xf numFmtId="0" fontId="10" fillId="0" borderId="0" xfId="13" applyFont="1">
      <alignment vertical="center"/>
    </xf>
    <xf numFmtId="0" fontId="10" fillId="0" borderId="0" xfId="13" applyNumberFormat="1" applyFont="1" applyAlignment="1"/>
    <xf numFmtId="0" fontId="10" fillId="0" borderId="0" xfId="13" applyNumberFormat="1" applyFont="1" applyAlignment="1">
      <alignment horizontal="center"/>
    </xf>
    <xf numFmtId="0" fontId="11" fillId="0" borderId="14" xfId="14" applyAlignment="1">
      <alignment vertical="center"/>
    </xf>
    <xf numFmtId="0" fontId="13" fillId="0" borderId="0" xfId="15" applyAlignment="1">
      <alignment vertical="center"/>
    </xf>
    <xf numFmtId="0" fontId="14" fillId="0" borderId="0" xfId="16">
      <alignment vertical="top"/>
    </xf>
    <xf numFmtId="6" fontId="16" fillId="0" borderId="0" xfId="13" applyNumberFormat="1" applyFont="1" applyFill="1" applyBorder="1" applyAlignment="1">
      <alignment vertical="center"/>
    </xf>
    <xf numFmtId="0" fontId="10" fillId="0" borderId="0" xfId="13">
      <alignment vertical="center"/>
    </xf>
    <xf numFmtId="0" fontId="12" fillId="0" borderId="14" xfId="14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/>
    </xf>
    <xf numFmtId="9" fontId="16" fillId="0" borderId="0" xfId="13" applyNumberFormat="1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 applyProtection="1">
      <alignment horizontal="center" vertical="center"/>
    </xf>
    <xf numFmtId="0" fontId="14" fillId="0" borderId="0" xfId="16" applyAlignment="1">
      <alignment horizontal="center" vertical="top"/>
    </xf>
    <xf numFmtId="0" fontId="13" fillId="0" borderId="0" xfId="15" applyAlignment="1">
      <alignment horizontal="center" vertical="center"/>
    </xf>
    <xf numFmtId="0" fontId="11" fillId="0" borderId="14" xfId="14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13" applyFont="1" applyAlignment="1">
      <alignment horizontal="center" vertical="center"/>
    </xf>
    <xf numFmtId="0" fontId="16" fillId="0" borderId="0" xfId="13" applyNumberFormat="1" applyFont="1" applyFill="1" applyBorder="1" applyAlignment="1">
      <alignment horizontal="center" vertical="center"/>
    </xf>
    <xf numFmtId="44" fontId="15" fillId="0" borderId="0" xfId="0" applyNumberFormat="1" applyFont="1" applyFill="1" applyBorder="1" applyAlignment="1">
      <alignment horizontal="center" vertical="center"/>
    </xf>
    <xf numFmtId="6" fontId="16" fillId="0" borderId="0" xfId="13" applyNumberFormat="1" applyFont="1" applyFill="1" applyBorder="1" applyAlignment="1">
      <alignment horizontal="center" vertical="center"/>
    </xf>
    <xf numFmtId="6" fontId="10" fillId="0" borderId="0" xfId="0" applyNumberFormat="1" applyFont="1" applyFill="1" applyBorder="1" applyAlignment="1" applyProtection="1">
      <alignment horizontal="center" vertical="center"/>
    </xf>
    <xf numFmtId="164" fontId="19" fillId="0" borderId="0" xfId="0" applyNumberFormat="1" applyFont="1" applyFill="1" applyBorder="1" applyAlignment="1" applyProtection="1">
      <alignment vertical="center"/>
    </xf>
    <xf numFmtId="0" fontId="20" fillId="14" borderId="15" xfId="13" applyFont="1" applyFill="1" applyBorder="1" applyAlignment="1">
      <alignment horizontal="center" wrapText="1"/>
    </xf>
    <xf numFmtId="0" fontId="10" fillId="0" borderId="0" xfId="13" applyFont="1" applyAlignment="1">
      <alignment horizontal="center"/>
    </xf>
    <xf numFmtId="0" fontId="21" fillId="0" borderId="0" xfId="0" pivotButton="1" applyFont="1"/>
    <xf numFmtId="0" fontId="21" fillId="0" borderId="0" xfId="0" applyFont="1"/>
    <xf numFmtId="0" fontId="21" fillId="0" borderId="0" xfId="0" pivotButton="1" applyFont="1" applyAlignment="1">
      <alignment horizontal="center" wrapText="1"/>
    </xf>
    <xf numFmtId="165" fontId="21" fillId="0" borderId="0" xfId="0" applyNumberFormat="1" applyFont="1"/>
    <xf numFmtId="10" fontId="1" fillId="0" borderId="0" xfId="0" applyNumberFormat="1" applyFont="1"/>
    <xf numFmtId="0" fontId="18" fillId="5" borderId="3" xfId="1" applyFont="1" applyFill="1" applyBorder="1" applyAlignment="1">
      <alignment horizontal="center" vertical="center"/>
    </xf>
    <xf numFmtId="0" fontId="18" fillId="5" borderId="4" xfId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0" fillId="5" borderId="13" xfId="13" applyNumberFormat="1" applyFont="1" applyFill="1" applyBorder="1" applyAlignment="1">
      <alignment horizontal="center" vertical="center"/>
    </xf>
    <xf numFmtId="166" fontId="20" fillId="5" borderId="13" xfId="13" applyNumberFormat="1" applyFont="1" applyFill="1" applyBorder="1" applyAlignment="1">
      <alignment horizontal="center" vertical="center"/>
    </xf>
    <xf numFmtId="14" fontId="20" fillId="5" borderId="12" xfId="13" applyNumberFormat="1" applyFont="1" applyFill="1" applyBorder="1" applyAlignment="1">
      <alignment horizontal="center" vertical="center"/>
    </xf>
    <xf numFmtId="166" fontId="20" fillId="5" borderId="12" xfId="13" applyNumberFormat="1" applyFont="1" applyFill="1" applyBorder="1" applyAlignment="1">
      <alignment horizontal="center" vertical="center"/>
    </xf>
    <xf numFmtId="14" fontId="20" fillId="5" borderId="11" xfId="13" applyNumberFormat="1" applyFont="1" applyFill="1" applyBorder="1" applyAlignment="1">
      <alignment horizontal="center" vertical="center"/>
    </xf>
    <xf numFmtId="166" fontId="20" fillId="5" borderId="11" xfId="13" applyNumberFormat="1" applyFont="1" applyFill="1" applyBorder="1" applyAlignment="1">
      <alignment horizontal="center" vertical="center"/>
    </xf>
    <xf numFmtId="0" fontId="14" fillId="0" borderId="0" xfId="16" applyAlignment="1">
      <alignment horizontal="left" vertical="top"/>
    </xf>
    <xf numFmtId="0" fontId="13" fillId="0" borderId="0" xfId="15" applyAlignment="1">
      <alignment horizontal="left" vertical="center"/>
    </xf>
    <xf numFmtId="0" fontId="12" fillId="0" borderId="14" xfId="14" applyFont="1" applyAlignment="1">
      <alignment horizontal="left" vertical="center"/>
    </xf>
  </cellXfs>
  <cellStyles count="17">
    <cellStyle name="Center" xfId="1"/>
    <cellStyle name="Heading 1" xfId="2" builtinId="16" customBuiltin="1"/>
    <cellStyle name="Heading 1 2" xfId="16"/>
    <cellStyle name="Heading 2" xfId="3" builtinId="17" customBuiltin="1"/>
    <cellStyle name="Heading 2 2" xfId="15"/>
    <cellStyle name="Heading 3 2" xfId="14"/>
    <cellStyle name="Input Contacted" xfId="7"/>
    <cellStyle name="Input Discussion" xfId="8"/>
    <cellStyle name="Input Header" xfId="4"/>
    <cellStyle name="Input Identified" xfId="6"/>
    <cellStyle name="Input Won" xfId="9"/>
    <cellStyle name="No Input Contacted" xfId="10"/>
    <cellStyle name="No Input Discussion" xfId="12"/>
    <cellStyle name="No Input Won" xfId="11"/>
    <cellStyle name="Normal" xfId="0" builtinId="0" customBuiltin="1"/>
    <cellStyle name="Normal 2" xfId="13"/>
    <cellStyle name="Zebra" xfId="5"/>
  </cellStyles>
  <dxfs count="92"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165" formatCode="&quot;$&quot;#,##0.;;&quot;--&quot;"/>
    </dxf>
    <dxf>
      <font>
        <color theme="1"/>
      </font>
    </dxf>
    <dxf>
      <alignment horizontal="center" readingOrder="0"/>
    </dxf>
    <dxf>
      <alignment wrapText="1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&quot;$&quot;#,##0;;&quot;Lost&quot;"/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indent="0" justifyLastLine="0" shrinkToFit="0" readingOrder="0"/>
    </dxf>
  </dxfs>
  <tableStyles count="0" defaultTableStyle="TableStyleMedium2" defaultPivotStyle="PivotStyleDark1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4638833505692965"/>
        </c:manualLayout>
      </c:layout>
      <c:areaChart>
        <c:grouping val="standard"/>
        <c:varyColors val="0"/>
        <c:ser>
          <c:idx val="5"/>
          <c:order val="0"/>
          <c:spPr>
            <a:solidFill>
              <a:schemeClr val="accent4"/>
            </a:solidFill>
            <a:ln>
              <a:noFill/>
            </a:ln>
          </c:spPr>
          <c:val>
            <c:numRef>
              <c:f>scratch!$AJ$11:$AJ$16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</c:v>
                </c:pt>
                <c:pt idx="5">
                  <c:v>97</c:v>
                </c:pt>
              </c:numCache>
            </c:numRef>
          </c:val>
        </c:ser>
        <c:ser>
          <c:idx val="4"/>
          <c:order val="1"/>
          <c:spPr>
            <a:solidFill>
              <a:schemeClr val="accent3"/>
            </a:solidFill>
            <a:ln>
              <a:noFill/>
            </a:ln>
          </c:spPr>
          <c:val>
            <c:numRef>
              <c:f>scratch!$AI$11:$AI$16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118</c:v>
                </c:pt>
                <c:pt idx="4">
                  <c:v>102</c:v>
                </c:pt>
              </c:numCache>
            </c:numRef>
          </c:val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</c:spPr>
          <c:val>
            <c:numRef>
              <c:f>scratch!$AH$11:$AH$16</c:f>
              <c:numCache>
                <c:formatCode>General</c:formatCode>
                <c:ptCount val="6"/>
                <c:pt idx="1">
                  <c:v>0</c:v>
                </c:pt>
                <c:pt idx="2">
                  <c:v>124</c:v>
                </c:pt>
                <c:pt idx="3">
                  <c:v>118</c:v>
                </c:pt>
              </c:numCache>
            </c:numRef>
          </c:val>
        </c:ser>
        <c:ser>
          <c:idx val="2"/>
          <c:order val="3"/>
          <c:spPr>
            <a:solidFill>
              <a:schemeClr val="accent1"/>
            </a:solidFill>
            <a:ln w="19050" cap="rnd">
              <a:noFill/>
              <a:round/>
            </a:ln>
            <a:effectLst/>
          </c:spPr>
          <c:val>
            <c:numRef>
              <c:f>scratch!$AG$11:$AG$17</c:f>
              <c:numCache>
                <c:formatCode>General</c:formatCode>
                <c:ptCount val="7"/>
                <c:pt idx="1">
                  <c:v>124</c:v>
                </c:pt>
                <c:pt idx="2">
                  <c:v>124</c:v>
                </c:pt>
              </c:numCache>
            </c:numRef>
          </c:val>
        </c:ser>
        <c:ser>
          <c:idx val="0"/>
          <c:order val="4"/>
          <c:spPr>
            <a:solidFill>
              <a:schemeClr val="bg1"/>
            </a:solidFill>
            <a:ln w="0" cap="rnd">
              <a:solidFill>
                <a:schemeClr val="bg1"/>
              </a:solidFill>
              <a:round/>
            </a:ln>
            <a:effectLst/>
          </c:spPr>
          <c:val>
            <c:numRef>
              <c:f>scratch!$AD$11:$AD$16</c:f>
              <c:numCache>
                <c:formatCode>General</c:formatCode>
                <c:ptCount val="6"/>
                <c:pt idx="0">
                  <c:v>50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80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87744"/>
        <c:axId val="-2133187200"/>
      </c:areaChart>
      <c:scatterChart>
        <c:scatterStyle val="lineMarker"/>
        <c:varyColors val="0"/>
        <c:ser>
          <c:idx val="1"/>
          <c:order val="5"/>
          <c:spPr>
            <a:ln w="28575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scratch!$Y$11:$Y$16</c:f>
              <c:numCache>
                <c:formatCode>General</c:formatCode>
                <c:ptCount val="6"/>
                <c:pt idx="0">
                  <c:v>1.8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scratch!$AD$11:$AD$16</c:f>
              <c:numCache>
                <c:formatCode>General</c:formatCode>
                <c:ptCount val="6"/>
                <c:pt idx="0">
                  <c:v>50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80</c:v>
                </c:pt>
                <c:pt idx="5">
                  <c:v>85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scratch!$Y$11:$Y$16</c:f>
              <c:numCache>
                <c:formatCode>General</c:formatCode>
                <c:ptCount val="6"/>
                <c:pt idx="0">
                  <c:v>1.8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scratch!$AE$11:$AE$16</c:f>
              <c:numCache>
                <c:formatCode>General</c:formatCode>
                <c:ptCount val="6"/>
                <c:pt idx="0">
                  <c:v>132</c:v>
                </c:pt>
                <c:pt idx="1">
                  <c:v>124</c:v>
                </c:pt>
                <c:pt idx="2">
                  <c:v>124</c:v>
                </c:pt>
                <c:pt idx="3">
                  <c:v>118</c:v>
                </c:pt>
                <c:pt idx="4">
                  <c:v>102</c:v>
                </c:pt>
                <c:pt idx="5">
                  <c:v>97</c:v>
                </c:pt>
              </c:numCache>
            </c:numRef>
          </c:yVal>
          <c:smooth val="0"/>
        </c:ser>
        <c:ser>
          <c:idx val="8"/>
          <c:order val="7"/>
          <c:tx>
            <c:v>Lost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6CBC9D9-DB75-4EB2-9A60-6727E82D8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94B162-28EF-4821-821F-55E4BDBDB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893C6F-DD0E-4F0A-83C3-F78F9A4A5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scratch!$Q$13:$Q$15</c:f>
              <c:numCache>
                <c:formatCode>General</c:formatCode>
                <c:ptCount val="3"/>
                <c:pt idx="0">
                  <c:v>2.4500000000000002</c:v>
                </c:pt>
                <c:pt idx="1">
                  <c:v>3.45</c:v>
                </c:pt>
                <c:pt idx="2">
                  <c:v>4.45</c:v>
                </c:pt>
              </c:numCache>
            </c:numRef>
          </c:xVal>
          <c:yVal>
            <c:numRef>
              <c:f>scratch!$R$13:$R$15</c:f>
              <c:numCache>
                <c:formatCode>General</c:formatCode>
                <c:ptCount val="3"/>
                <c:pt idx="0">
                  <c:v>73.527999999999992</c:v>
                </c:pt>
                <c:pt idx="1">
                  <c:v>73.527999999999992</c:v>
                </c:pt>
                <c:pt idx="2">
                  <c:v>73.527999999999992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scratch!$O$13:$O$15</c15:f>
                <c15:dlblRangeCache>
                  <c:ptCount val="3"/>
                  <c:pt idx="0">
                    <c:v>LOST 3</c:v>
                  </c:pt>
                  <c:pt idx="1">
                    <c:v>LOST 11</c:v>
                  </c:pt>
                  <c:pt idx="2">
                    <c:v>LOST 4</c:v>
                  </c:pt>
                </c15:dlblRangeCache>
              </c15:datalabelsRange>
            </c:ext>
          </c:extLst>
        </c:ser>
        <c:ser>
          <c:idx val="9"/>
          <c:order val="8"/>
          <c:tx>
            <c:v>Uqualified</c:v>
          </c:tx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A8EF230-E864-4AAE-B164-D3DB57A83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scratch!$V$13</c:f>
              <c:numCache>
                <c:formatCode>General</c:formatCode>
                <c:ptCount val="1"/>
                <c:pt idx="0">
                  <c:v>2.4500000000000002</c:v>
                </c:pt>
              </c:numCache>
            </c:numRef>
          </c:xVal>
          <c:yVal>
            <c:numRef>
              <c:f>scratch!$W$13</c:f>
              <c:numCache>
                <c:formatCode>General</c:formatCode>
                <c:ptCount val="1"/>
                <c:pt idx="0">
                  <c:v>67.613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scratch!$T$13</c15:f>
                <c15:dlblRangeCache>
                  <c:ptCount val="1"/>
                  <c:pt idx="0">
                    <c:v>UNQUALIFIED 1</c:v>
                  </c:pt>
                </c15:dlblRangeCache>
              </c15:datalabelsRange>
            </c:ext>
          </c:extLst>
        </c:ser>
        <c:ser>
          <c:idx val="10"/>
          <c:order val="9"/>
          <c:tx>
            <c:v>Won Dot</c:v>
          </c:tx>
          <c:marker>
            <c:symbol val="circle"/>
            <c:size val="62"/>
            <c:spPr>
              <a:solidFill>
                <a:schemeClr val="accent4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A57186-B44F-4E3B-B1D2-B4F4B2E73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scratch!$L$17</c:f>
              <c:numCache>
                <c:formatCode>General</c:formatCode>
                <c:ptCount val="1"/>
                <c:pt idx="0">
                  <c:v>6.44</c:v>
                </c:pt>
              </c:numCache>
            </c:numRef>
          </c:xVal>
          <c:yVal>
            <c:numRef>
              <c:f>scratch!$M$17</c:f>
              <c:numCache>
                <c:formatCode>General</c:formatCode>
                <c:ptCount val="1"/>
                <c:pt idx="0">
                  <c:v>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scratch!$K$17</c15:f>
                <c15:dlblRangeCache>
                  <c:ptCount val="1"/>
                  <c:pt idx="0">
                    <c:v>12</c:v>
                  </c:pt>
                </c15:dlblRangeCache>
              </c15:datalabelsRange>
            </c:ext>
          </c:extLst>
        </c:ser>
        <c:ser>
          <c:idx val="11"/>
          <c:order val="10"/>
          <c:tx>
            <c:v>Percentages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B244276-315D-43E6-A254-2E82928A4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197E0C-55B1-449C-88CE-238EEF059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991649-5D4A-4E7F-8607-417709ABC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AD16B1-18D5-4AAC-860B-3634C97F5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scratch!$G$13:$G$16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3.45</c:v>
                </c:pt>
                <c:pt idx="2">
                  <c:v>4.45</c:v>
                </c:pt>
                <c:pt idx="3">
                  <c:v>5.3500000000000005</c:v>
                </c:pt>
              </c:numCache>
            </c:numRef>
          </c:xVal>
          <c:yVal>
            <c:numRef>
              <c:f>scratch!$H$13:$H$16</c:f>
              <c:numCache>
                <c:formatCode>General</c:formatCode>
                <c:ptCount val="4"/>
                <c:pt idx="0">
                  <c:v>94.503500000000003</c:v>
                </c:pt>
                <c:pt idx="1">
                  <c:v>94.503500000000003</c:v>
                </c:pt>
                <c:pt idx="2">
                  <c:v>94.503500000000003</c:v>
                </c:pt>
                <c:pt idx="3">
                  <c:v>94.503500000000003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scratch!$E$13:$E$16</c15:f>
                <c15:dlblRangeCache>
                  <c:ptCount val="4"/>
                  <c:pt idx="0">
                    <c:v>100%</c:v>
                  </c:pt>
                  <c:pt idx="1">
                    <c:v>82%</c:v>
                  </c:pt>
                  <c:pt idx="2">
                    <c:v>33%</c:v>
                  </c:pt>
                  <c:pt idx="3">
                    <c:v>18%</c:v>
                  </c:pt>
                </c15:dlblRangeCache>
              </c15:datalabelsRange>
            </c:ext>
          </c:extLst>
        </c:ser>
        <c:ser>
          <c:idx val="7"/>
          <c:order val="11"/>
          <c:tx>
            <c:v>Stage Totals 2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A071795-62A8-4958-B6B7-36A89D081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A4CB9B-7F8B-4B3F-B948-08629FF0B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2408E0-4EC2-41C4-96C2-69116A8FC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REGISTERED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scratch!$L$13:$L$16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3.45</c:v>
                </c:pt>
                <c:pt idx="2">
                  <c:v>4.45</c:v>
                </c:pt>
                <c:pt idx="3">
                  <c:v>5.3500000000000005</c:v>
                </c:pt>
              </c:numCache>
            </c:numRef>
          </c:xVal>
          <c:yVal>
            <c:numRef>
              <c:f>scratch!$M$13:$M$16</c:f>
              <c:numCache>
                <c:formatCode>General</c:formatCode>
                <c:ptCount val="4"/>
                <c:pt idx="0">
                  <c:v>87.496499999999997</c:v>
                </c:pt>
                <c:pt idx="1">
                  <c:v>87.496499999999997</c:v>
                </c:pt>
                <c:pt idx="2">
                  <c:v>87.496499999999997</c:v>
                </c:pt>
                <c:pt idx="3">
                  <c:v>87.496499999999997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scratch!$J$13:$J$16</c15:f>
                <c15:dlblRangeCache>
                  <c:ptCount val="4"/>
                  <c:pt idx="0">
                    <c:v>IDENTIFIED 66</c:v>
                  </c:pt>
                  <c:pt idx="1">
                    <c:v>CONTACTED 54</c:v>
                  </c:pt>
                  <c:pt idx="2">
                    <c:v>DISCUSSION 22</c:v>
                  </c:pt>
                  <c:pt idx="3">
                    <c:v>WON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87744"/>
        <c:axId val="-2133187200"/>
      </c:scatterChart>
      <c:catAx>
        <c:axId val="-21331877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3187200"/>
        <c:crosses val="autoZero"/>
        <c:auto val="1"/>
        <c:lblAlgn val="ctr"/>
        <c:lblOffset val="100"/>
        <c:noMultiLvlLbl val="1"/>
      </c:catAx>
      <c:valAx>
        <c:axId val="-21331872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31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</xdr:row>
      <xdr:rowOff>220980</xdr:rowOff>
    </xdr:from>
    <xdr:ext cx="5471160" cy="1318260"/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Timeline 3" descr="Filter the PivotTable by dragging the timeline." title="Months time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lin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42060"/>
              <a:ext cx="547116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oneCellAnchor>
  <xdr:oneCellAnchor>
    <xdr:from>
      <xdr:col>6</xdr:col>
      <xdr:colOff>394336</xdr:colOff>
      <xdr:row>4</xdr:row>
      <xdr:rowOff>205740</xdr:rowOff>
    </xdr:from>
    <xdr:ext cx="1924050" cy="1333500"/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Timeline 4" descr="Filter the PivotTable by dragging the timeline." title="Years time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lin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4536" y="1226820"/>
              <a:ext cx="19240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oneCellAnchor>
  <xdr:oneCellAnchor>
    <xdr:from>
      <xdr:col>9</xdr:col>
      <xdr:colOff>232410</xdr:colOff>
      <xdr:row>4</xdr:row>
      <xdr:rowOff>182880</xdr:rowOff>
    </xdr:from>
    <xdr:ext cx="3038476" cy="1363980"/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Timeline 5" descr="Filter the PivotTable by dragging the timeline." title="Quarters time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lin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8610" y="1203960"/>
              <a:ext cx="3038476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0</xdr:row>
      <xdr:rowOff>0</xdr:rowOff>
    </xdr:from>
    <xdr:to>
      <xdr:col>16</xdr:col>
      <xdr:colOff>314324</xdr:colOff>
      <xdr:row>18</xdr:row>
      <xdr:rowOff>78104</xdr:rowOff>
    </xdr:to>
    <xdr:graphicFrame macro="">
      <xdr:nvGraphicFramePr>
        <xdr:cNvPr id="3" name="Sales Funnel" descr="Graphically shows the number of sales leads as they progress through the stages of the campaign.&#10;&#10;" title="Sales Funnel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12</xdr:row>
      <xdr:rowOff>38101</xdr:rowOff>
    </xdr:from>
    <xdr:to>
      <xdr:col>5</xdr:col>
      <xdr:colOff>19050</xdr:colOff>
      <xdr:row>14</xdr:row>
      <xdr:rowOff>19051</xdr:rowOff>
    </xdr:to>
    <xdr:grpSp>
      <xdr:nvGrpSpPr>
        <xdr:cNvPr id="6" name="Tip" descr="Enter your figures in the cells above to update the sales funnel chart." title="Tip"/>
        <xdr:cNvGrpSpPr/>
      </xdr:nvGrpSpPr>
      <xdr:grpSpPr>
        <a:xfrm>
          <a:off x="335281" y="3642361"/>
          <a:ext cx="3707129" cy="453390"/>
          <a:chOff x="323851" y="3762376"/>
          <a:chExt cx="3609974" cy="457200"/>
        </a:xfrm>
      </xdr:grpSpPr>
      <xdr:sp macro="" textlink="">
        <xdr:nvSpPr>
          <xdr:cNvPr id="2" name="Rectangle 1" title="Part of the Tip"/>
          <xdr:cNvSpPr/>
        </xdr:nvSpPr>
        <xdr:spPr>
          <a:xfrm>
            <a:off x="323851" y="3810000"/>
            <a:ext cx="3600450" cy="352425"/>
          </a:xfrm>
          <a:prstGeom prst="rect">
            <a:avLst/>
          </a:prstGeom>
          <a:noFill/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 title="Part of the Tip"/>
          <xdr:cNvSpPr/>
        </xdr:nvSpPr>
        <xdr:spPr>
          <a:xfrm>
            <a:off x="476250" y="3762376"/>
            <a:ext cx="3314700" cy="457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 title="Part of the tip"/>
          <xdr:cNvSpPr/>
        </xdr:nvSpPr>
        <xdr:spPr>
          <a:xfrm>
            <a:off x="361950" y="3819525"/>
            <a:ext cx="35718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chemeClr val="accent4">
                    <a:lumMod val="50000"/>
                  </a:schemeClr>
                </a:solidFill>
              </a:rPr>
              <a:t>Get this</a:t>
            </a:r>
            <a:r>
              <a:rPr lang="en-US" sz="1000" b="1" baseline="0">
                <a:solidFill>
                  <a:schemeClr val="accent4">
                    <a:lumMod val="50000"/>
                  </a:schemeClr>
                </a:solidFill>
              </a:rPr>
              <a:t> template! File &gt; New &gt; search for "Sales Funnel"</a:t>
            </a:r>
            <a:endParaRPr lang="en-US" sz="900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 A. Olsen" refreshedDate="41714.299882060186" createdVersion="5" refreshedVersion="5" minRefreshableVersion="3" recordCount="22">
  <cacheSource type="worksheet">
    <worksheetSource ref="A5:K27" sheet="Opportunities"/>
  </cacheSource>
  <cacheFields count="12">
    <cacheField name="Opportunity Name" numFmtId="6">
      <sharedItems count="19">
        <s v="Adventure Works"/>
        <s v="Alpine Ski House"/>
        <s v="Fabrikam, Inc."/>
        <s v="Northwind Traders"/>
        <s v="School of Fine Art"/>
        <s v="Contoso, Ltd."/>
        <s v="Contoso Pharmaceuticals"/>
        <s v="Coho Vineyard"/>
        <s v="Lucerne Publishing"/>
        <s v="Graphic Design Institute"/>
        <s v="Humongous Insurance"/>
        <s v="Margie's Travel"/>
        <s v="Baldwin Museum of Science"/>
        <s v="Litware, Inc."/>
        <s v="A. Datum Corporation"/>
        <s v="Proseware, Inc."/>
        <s v="Blue Yonder Airlines"/>
        <s v="City Power &amp; Light"/>
        <s v="Fourth Coffee"/>
      </sharedItems>
    </cacheField>
    <cacheField name="Customer Contact" numFmtId="6">
      <sharedItems/>
    </cacheField>
    <cacheField name="Sales Region" numFmtId="6">
      <sharedItems/>
    </cacheField>
    <cacheField name="Lead Source" numFmtId="6">
      <sharedItems/>
    </cacheField>
    <cacheField name="Interest" numFmtId="6">
      <sharedItems/>
    </cacheField>
    <cacheField name="Forecast Amount" numFmtId="6">
      <sharedItems containsSemiMixedTypes="0" containsString="0" containsNumber="1" containsInteger="1" minValue="14000" maxValue="19990"/>
    </cacheField>
    <cacheField name="Sales Phase" numFmtId="9">
      <sharedItems/>
    </cacheField>
    <cacheField name="Forecast Close" numFmtId="0">
      <sharedItems count="12">
        <s v="February"/>
        <s v="March"/>
        <s v="January"/>
        <s v="April"/>
        <s v="October"/>
        <s v="November"/>
        <s v="July"/>
        <s v="December"/>
        <s v="May"/>
        <s v="June"/>
        <s v="August"/>
        <s v="September"/>
      </sharedItems>
    </cacheField>
    <cacheField name="Year" numFmtId="0">
      <sharedItems containsSemiMixedTypes="0" containsString="0" containsNumber="1" containsInteger="1" minValue="2014" maxValue="2014" count="1">
        <n v="2014"/>
      </sharedItems>
    </cacheField>
    <cacheField name="Probability of Sale" numFmtId="9">
      <sharedItems containsSemiMixedTypes="0" containsString="0" containsNumber="1" minValue="0" maxValue="1" count="10">
        <n v="1"/>
        <n v="0.7"/>
        <n v="0.9"/>
        <n v="0.3"/>
        <n v="0.2"/>
        <n v="0.8"/>
        <n v="0.6"/>
        <n v="0"/>
        <n v="0.1"/>
        <n v="0.4"/>
      </sharedItems>
    </cacheField>
    <cacheField name="Timeline" numFmtId="14">
      <sharedItems containsSemiMixedTypes="0" containsNonDate="0" containsDate="1" containsString="0" minDate="2014-01-01T00:00:00" maxDate="2014-12-02T00:00:00" count="12">
        <d v="2014-02-01T00:00:00"/>
        <d v="2014-03-01T00:00:00"/>
        <d v="2014-01-01T00:00:00"/>
        <d v="2014-04-01T00:00:00"/>
        <d v="2014-10-01T00:00:00"/>
        <d v="2014-11-01T00:00:00"/>
        <d v="2014-07-01T00:00:00"/>
        <d v="2014-12-01T00:00:00"/>
        <d v="2014-05-01T00:00:00"/>
        <d v="2014-06-01T00:00:00"/>
        <d v="2014-08-01T00:00:00"/>
        <d v="2014-09-01T00:00:00"/>
      </sharedItems>
    </cacheField>
    <cacheField name="Forecast " numFmtId="0" formula="'Forecast Amount'*'Probability of Sale'" databaseField="0"/>
  </cacheFields>
  <extLst>
    <ext xmlns:x14="http://schemas.microsoft.com/office/spreadsheetml/2009/9/main" uri="{725AE2AE-9491-48be-B2B4-4EB974FC3084}">
      <x14:pivotCacheDefinition pivotCacheId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Angela Barbariol"/>
    <s v="Southwest"/>
    <s v="E-Mail"/>
    <s v="Excel"/>
    <n v="14520"/>
    <s v="Won - Contract"/>
    <x v="0"/>
    <x v="0"/>
    <x v="0"/>
    <x v="0"/>
  </r>
  <r>
    <x v="1"/>
    <s v="Gabriele Cannata"/>
    <s v="US - North Central"/>
    <s v="Partner"/>
    <s v="All"/>
    <n v="16250"/>
    <s v="Won - Contract"/>
    <x v="1"/>
    <x v="0"/>
    <x v="0"/>
    <x v="1"/>
  </r>
  <r>
    <x v="2"/>
    <s v="Diane Margheim"/>
    <s v="East"/>
    <s v="Trade Show"/>
    <s v="Excel"/>
    <n v="16600"/>
    <s v="Won - Contract"/>
    <x v="2"/>
    <x v="0"/>
    <x v="0"/>
    <x v="2"/>
  </r>
  <r>
    <x v="3"/>
    <s v="Sunil Uppal"/>
    <s v="West"/>
    <s v="Trade Show"/>
    <s v="Excel"/>
    <n v="16200"/>
    <s v="Won - Contract"/>
    <x v="0"/>
    <x v="0"/>
    <x v="0"/>
    <x v="0"/>
  </r>
  <r>
    <x v="4"/>
    <s v="Robert Walters"/>
    <s v="Central"/>
    <s v="Web site"/>
    <s v="Outlook"/>
    <n v="17300"/>
    <s v="Won - Contract"/>
    <x v="3"/>
    <x v="0"/>
    <x v="0"/>
    <x v="3"/>
  </r>
  <r>
    <x v="5"/>
    <s v="David Jaffe"/>
    <s v="East"/>
    <s v="Trade Show"/>
    <s v="All"/>
    <n v="17250"/>
    <s v="Contacted"/>
    <x v="4"/>
    <x v="0"/>
    <x v="1"/>
    <x v="4"/>
  </r>
  <r>
    <x v="6"/>
    <s v="Sandeep Kaliyath"/>
    <s v="East"/>
    <s v="Customer Reference"/>
    <s v="Access"/>
    <n v="16350"/>
    <s v="Contacted"/>
    <x v="5"/>
    <x v="0"/>
    <x v="2"/>
    <x v="5"/>
  </r>
  <r>
    <x v="7"/>
    <s v="Paula Nartker"/>
    <s v="Canada"/>
    <s v="Chamber of Commerce"/>
    <s v="PowerPoint"/>
    <n v="14900"/>
    <s v="Contacted"/>
    <x v="6"/>
    <x v="0"/>
    <x v="3"/>
    <x v="6"/>
  </r>
  <r>
    <x v="8"/>
    <s v="Sharon Salavaria"/>
    <s v="Central"/>
    <s v="Customer Reference"/>
    <s v="All"/>
    <n v="14650"/>
    <s v="Contacted"/>
    <x v="7"/>
    <x v="0"/>
    <x v="1"/>
    <x v="7"/>
  </r>
  <r>
    <x v="9"/>
    <s v="Robert O'Hara"/>
    <s v="East"/>
    <s v="Web site"/>
    <s v="Word"/>
    <n v="14000"/>
    <s v="Discussion"/>
    <x v="8"/>
    <x v="0"/>
    <x v="4"/>
    <x v="8"/>
  </r>
  <r>
    <x v="10"/>
    <s v="Carol Philips"/>
    <s v="Central"/>
    <s v="Web site"/>
    <s v="All"/>
    <n v="15500"/>
    <s v="Discussion"/>
    <x v="9"/>
    <x v="0"/>
    <x v="5"/>
    <x v="9"/>
  </r>
  <r>
    <x v="11"/>
    <s v="Andy Teal"/>
    <s v="East"/>
    <s v="Customer Reference"/>
    <s v="SharePoint"/>
    <n v="15765"/>
    <s v="Discussion"/>
    <x v="5"/>
    <x v="0"/>
    <x v="5"/>
    <x v="5"/>
  </r>
  <r>
    <x v="7"/>
    <s v="Janice Galvin"/>
    <s v="Canada"/>
    <s v="Customer Reference"/>
    <s v="PowerPoint"/>
    <n v="14900"/>
    <s v="Identified"/>
    <x v="6"/>
    <x v="0"/>
    <x v="6"/>
    <x v="6"/>
  </r>
  <r>
    <x v="7"/>
    <s v="Adina Hagege"/>
    <s v="Canada"/>
    <s v="Customer Reference"/>
    <s v="PowerPoint"/>
    <n v="14900"/>
    <s v="Identified"/>
    <x v="10"/>
    <x v="0"/>
    <x v="5"/>
    <x v="10"/>
  </r>
  <r>
    <x v="12"/>
    <s v="Rebecca Laszlo"/>
    <s v="Southwest"/>
    <s v="Customer Reference"/>
    <s v="Outlook"/>
    <n v="15550"/>
    <s v="Identified"/>
    <x v="7"/>
    <x v="0"/>
    <x v="3"/>
    <x v="7"/>
  </r>
  <r>
    <x v="13"/>
    <s v="Kim Ralls"/>
    <s v="Northwest"/>
    <s v="Web site"/>
    <s v="SharePoint"/>
    <n v="17320"/>
    <s v="Identified"/>
    <x v="4"/>
    <x v="0"/>
    <x v="6"/>
    <x v="4"/>
  </r>
  <r>
    <x v="14"/>
    <s v="Kim Abercrombie"/>
    <s v="Northeast"/>
    <s v="Web Inquiry"/>
    <s v="Excel"/>
    <n v="15000"/>
    <s v="Lost"/>
    <x v="2"/>
    <x v="0"/>
    <x v="7"/>
    <x v="2"/>
  </r>
  <r>
    <x v="12"/>
    <s v="Barbara S. Decker"/>
    <s v="Southwest"/>
    <s v="Customer Reference"/>
    <s v="SharePoint"/>
    <n v="14750"/>
    <s v="Lost"/>
    <x v="3"/>
    <x v="0"/>
    <x v="7"/>
    <x v="3"/>
  </r>
  <r>
    <x v="15"/>
    <s v="H. Brian Valentine"/>
    <s v="Canada"/>
    <s v="Customer Reference"/>
    <s v="Excel"/>
    <n v="15700"/>
    <s v="Lost"/>
    <x v="1"/>
    <x v="0"/>
    <x v="7"/>
    <x v="1"/>
  </r>
  <r>
    <x v="16"/>
    <s v="Susan W. Eaton"/>
    <s v="West"/>
    <s v="Web site"/>
    <s v="All"/>
    <n v="14800"/>
    <s v="Proposal"/>
    <x v="8"/>
    <x v="0"/>
    <x v="3"/>
    <x v="8"/>
  </r>
  <r>
    <x v="17"/>
    <s v="Kathie Flood"/>
    <s v="Northwest"/>
    <s v="Trade Show"/>
    <s v="SharePoint"/>
    <n v="17500"/>
    <s v="Proposal"/>
    <x v="9"/>
    <x v="0"/>
    <x v="8"/>
    <x v="9"/>
  </r>
  <r>
    <x v="18"/>
    <s v="Shu Ito"/>
    <s v="East"/>
    <s v="Customer Reference"/>
    <s v="Excel"/>
    <n v="19990"/>
    <s v="Proposal"/>
    <x v="11"/>
    <x v="0"/>
    <x v="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Data" cacheId="0" applyNumberFormats="0" applyBorderFormats="0" applyFontFormats="0" applyPatternFormats="0" applyAlignmentFormats="0" applyWidthHeightFormats="1" dataCaption="Values" updatedVersion="5" minRefreshableVersion="5" itemPrintTitles="1" createdVersion="5" indent="0" compact="0" compactData="0" multipleFieldFilters="0">
  <location ref="A9:P31" firstHeaderRow="1" firstDataRow="2" firstDataCol="3"/>
  <pivotFields count="12">
    <pivotField axis="axisRow" compact="0" outline="0" showAll="0" defaultSubtotal="0">
      <items count="19">
        <item x="14"/>
        <item x="0"/>
        <item x="1"/>
        <item x="12"/>
        <item x="16"/>
        <item x="17"/>
        <item sd="0" x="7"/>
        <item x="6"/>
        <item x="5"/>
        <item x="2"/>
        <item x="18"/>
        <item x="9"/>
        <item x="10"/>
        <item x="13"/>
        <item x="8"/>
        <item x="11"/>
        <item x="3"/>
        <item x="15"/>
        <item x="4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numFmtId="6" outline="0" showAll="0"/>
    <pivotField compact="0" outline="0" showAll="0"/>
    <pivotField axis="axisCol" compact="0" outline="0" showAll="0">
      <items count="13">
        <item x="2"/>
        <item x="0"/>
        <item x="1"/>
        <item x="3"/>
        <item x="8"/>
        <item x="9"/>
        <item x="6"/>
        <item x="10"/>
        <item x="11"/>
        <item x="4"/>
        <item x="5"/>
        <item x="7"/>
        <item t="default"/>
      </items>
    </pivotField>
    <pivotField axis="axisRow" compact="0" outline="0" showAll="0" defaultSubtotal="0">
      <items count="1">
        <item x="0"/>
      </items>
    </pivotField>
    <pivotField name="Probability" axis="axisRow" compact="0" numFmtId="10" outline="0" showAll="0" defaultSubtotal="0">
      <items count="10">
        <item x="8"/>
        <item x="4"/>
        <item x="3"/>
        <item x="9"/>
        <item x="6"/>
        <item x="1"/>
        <item x="5"/>
        <item x="2"/>
        <item x="0"/>
        <item x="7"/>
      </items>
    </pivotField>
    <pivotField compact="0" numFmtId="14" outline="0" showAll="0">
      <items count="13">
        <item x="2"/>
        <item x="0"/>
        <item x="1"/>
        <item x="3"/>
        <item x="8"/>
        <item x="9"/>
        <item x="6"/>
        <item x="10"/>
        <item x="11"/>
        <item x="4"/>
        <item x="5"/>
        <item x="7"/>
        <item t="default"/>
      </items>
    </pivotField>
    <pivotField dataField="1" compact="0" outline="0" dragToRow="0" dragToCol="0" dragToPage="0" showAll="0" defaultSubtotal="0"/>
  </pivotFields>
  <rowFields count="3">
    <field x="0"/>
    <field x="8"/>
    <field x="9"/>
  </rowFields>
  <rowItems count="21">
    <i>
      <x/>
      <x/>
      <x v="9"/>
    </i>
    <i>
      <x v="1"/>
      <x/>
      <x v="8"/>
    </i>
    <i>
      <x v="2"/>
      <x/>
      <x v="8"/>
    </i>
    <i>
      <x v="3"/>
      <x/>
      <x v="2"/>
    </i>
    <i r="2">
      <x v="9"/>
    </i>
    <i>
      <x v="4"/>
      <x/>
      <x v="2"/>
    </i>
    <i>
      <x v="5"/>
      <x/>
      <x/>
    </i>
    <i>
      <x v="6"/>
    </i>
    <i>
      <x v="7"/>
      <x/>
      <x v="7"/>
    </i>
    <i>
      <x v="8"/>
      <x/>
      <x v="5"/>
    </i>
    <i>
      <x v="9"/>
      <x/>
      <x v="8"/>
    </i>
    <i>
      <x v="10"/>
      <x/>
      <x v="3"/>
    </i>
    <i>
      <x v="11"/>
      <x/>
      <x v="1"/>
    </i>
    <i>
      <x v="12"/>
      <x/>
      <x v="6"/>
    </i>
    <i>
      <x v="13"/>
      <x/>
      <x v="4"/>
    </i>
    <i>
      <x v="14"/>
      <x/>
      <x v="5"/>
    </i>
    <i>
      <x v="15"/>
      <x/>
      <x v="6"/>
    </i>
    <i>
      <x v="16"/>
      <x/>
      <x v="8"/>
    </i>
    <i>
      <x v="17"/>
      <x/>
      <x v="9"/>
    </i>
    <i>
      <x v="18"/>
      <x/>
      <x v="8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Forecast" fld="11" baseField="9" baseItem="7" numFmtId="165"/>
  </dataFields>
  <formats count="65">
    <format dxfId="64">
      <pivotArea type="all" dataOnly="0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outline="0" fieldPosition="0">
        <references count="2">
          <reference field="0" count="1" selected="0">
            <x v="0"/>
          </reference>
          <reference field="8" count="0"/>
        </references>
      </pivotArea>
    </format>
    <format dxfId="58">
      <pivotArea dataOnly="0" labelOnly="1" outline="0" fieldPosition="0">
        <references count="3">
          <reference field="0" count="1" selected="0">
            <x v="0"/>
          </reference>
          <reference field="8" count="0" selected="0"/>
          <reference field="9" count="1">
            <x v="7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"/>
          </reference>
          <reference field="8" count="0" selected="0"/>
          <reference field="9" count="1">
            <x v="6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2"/>
          </reference>
          <reference field="8" count="0" selected="0"/>
          <reference field="9" count="1">
            <x v="1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3"/>
          </reference>
          <reference field="8" count="0" selected="0"/>
          <reference field="9" count="1">
            <x v="6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4"/>
          </reference>
          <reference field="8" count="0" selected="0"/>
          <reference field="9" count="1">
            <x v="2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5"/>
          </reference>
          <reference field="8" count="0" selected="0"/>
          <reference field="9" count="1">
            <x v="0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6"/>
          </reference>
          <reference field="8" count="0" selected="0"/>
          <reference field="9" count="1">
            <x v="4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7"/>
          </reference>
          <reference field="8" count="0" selected="0"/>
          <reference field="9" count="1">
            <x v="7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8"/>
          </reference>
          <reference field="8" count="0" selected="0"/>
          <reference field="9" count="1">
            <x v="5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9"/>
          </reference>
          <reference field="8" count="0" selected="0"/>
          <reference field="9" count="1">
            <x v="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10"/>
          </reference>
          <reference field="8" count="0" selected="0"/>
          <reference field="9" count="1">
            <x v="2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11"/>
          </reference>
          <reference field="8" count="0" selected="0"/>
          <reference field="9" count="1">
            <x v="1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12"/>
          </reference>
          <reference field="8" count="0" selected="0"/>
          <reference field="9" count="1">
            <x v="6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13"/>
          </reference>
          <reference field="8" count="0" selected="0"/>
          <reference field="9" count="1">
            <x v="4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4"/>
          </reference>
          <reference field="8" count="0" selected="0"/>
          <reference field="9" count="1">
            <x v="5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15"/>
          </reference>
          <reference field="8" count="0" selected="0"/>
          <reference field="9" count="1">
            <x v="6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16"/>
          </reference>
          <reference field="8" count="0" selected="0"/>
          <reference field="9" count="1">
            <x v="3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17"/>
          </reference>
          <reference field="8" count="0" selected="0"/>
          <reference field="9" count="1">
            <x v="7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18"/>
          </reference>
          <reference field="8" count="0" selected="0"/>
          <reference field="9" count="1">
            <x v="6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dataOnly="0" labelOnly="1" grandCol="1" outline="0" fieldPosition="0"/>
    </format>
    <format dxfId="37">
      <pivotArea field="7" type="button" dataOnly="0" labelOnly="1" outline="0" axis="axisCol" fieldPosition="0"/>
    </format>
    <format dxfId="36">
      <pivotArea field="7" type="button" dataOnly="0" labelOnly="1" outline="0" axis="axisCol" fieldPosition="0"/>
    </format>
    <format dxfId="35">
      <pivotArea outline="0" collapsedLevelsAreSubtotals="1" fieldPosition="0">
        <references count="4">
          <reference field="0" count="0" selected="0"/>
          <reference field="7" count="0" selected="0"/>
          <reference field="8" count="0" selected="0"/>
          <reference field="9" count="0" selected="0"/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0"/>
          </reference>
          <reference field="8" count="0" selected="0"/>
          <reference field="9" count="1">
            <x v="7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1"/>
          </reference>
          <reference field="8" count="0" selected="0"/>
          <reference field="9" count="1">
            <x v="6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2"/>
          </reference>
          <reference field="8" count="0" selected="0"/>
          <reference field="9" count="1">
            <x v="1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8" count="0" selected="0"/>
          <reference field="9" count="1">
            <x v="6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9"/>
          </reference>
          <reference field="8" count="0" selected="0"/>
          <reference field="9" count="1">
            <x v="2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10"/>
          </reference>
          <reference field="8" count="0" selected="0"/>
          <reference field="9" count="1">
            <x v="2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16"/>
          </reference>
          <reference field="8" count="0" selected="0"/>
          <reference field="9" count="1">
            <x v="3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17"/>
          </reference>
          <reference field="8" count="0" selected="0"/>
          <reference field="9" count="1">
            <x v="7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18"/>
          </reference>
          <reference field="8" count="0" selected="0"/>
          <reference field="9" count="1">
            <x v="6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0"/>
          </reference>
          <reference field="8" count="0" selected="0"/>
          <reference field="9" count="1">
            <x v="9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"/>
          </reference>
          <reference field="8" count="0" selected="0"/>
          <reference field="9" count="1">
            <x v="8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2"/>
          </reference>
          <reference field="8" count="0" selected="0"/>
          <reference field="9" count="1">
            <x v="8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3"/>
          </reference>
          <reference field="8" count="0" selected="0"/>
          <reference field="9" count="2">
            <x v="2"/>
            <x v="9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4"/>
          </reference>
          <reference field="8" count="0" selected="0"/>
          <reference field="9" count="1">
            <x v="2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5"/>
          </reference>
          <reference field="8" count="0" selected="0"/>
          <reference field="9" count="1">
            <x v="0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6"/>
          </reference>
          <reference field="8" count="0" selected="0"/>
          <reference field="9" count="3">
            <x v="2"/>
            <x v="4"/>
            <x v="6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7"/>
          </reference>
          <reference field="8" count="0" selected="0"/>
          <reference field="9" count="1">
            <x v="7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8"/>
          </reference>
          <reference field="8" count="0" selected="0"/>
          <reference field="9" count="1">
            <x v="5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9"/>
          </reference>
          <reference field="8" count="0" selected="0"/>
          <reference field="9" count="1">
            <x v="8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0"/>
          </reference>
          <reference field="8" count="0" selected="0"/>
          <reference field="9" count="1">
            <x v="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1"/>
          </reference>
          <reference field="8" count="0" selected="0"/>
          <reference field="9" count="1">
            <x v="1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2"/>
          </reference>
          <reference field="8" count="0" selected="0"/>
          <reference field="9" count="1">
            <x v="6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3"/>
          </reference>
          <reference field="8" count="0" selected="0"/>
          <reference field="9" count="1">
            <x v="4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4"/>
          </reference>
          <reference field="8" count="0" selected="0"/>
          <reference field="9" count="1">
            <x v="5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5"/>
          </reference>
          <reference field="8" count="0" selected="0"/>
          <reference field="9" count="1">
            <x v="6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6"/>
          </reference>
          <reference field="8" count="0" selected="0"/>
          <reference field="9" count="1">
            <x v="8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7"/>
          </reference>
          <reference field="8" count="0" selected="0"/>
          <reference field="9" count="1">
            <x v="9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18"/>
          </reference>
          <reference field="8" count="0" selected="0"/>
          <reference field="9" count="1">
            <x v="8"/>
          </reference>
        </references>
      </pivotArea>
    </format>
    <format dxfId="5">
      <pivotArea outline="0" collapsedLevelsAreSubtotals="1" fieldPosition="0">
        <references count="3">
          <reference field="0" count="0" selected="0"/>
          <reference field="8" count="0" selected="0"/>
          <reference field="9" count="0" selected="0"/>
        </references>
      </pivotArea>
    </format>
    <format dxfId="4">
      <pivotArea dataOnly="0" labelOnly="1" outline="0" fieldPosition="0">
        <references count="1">
          <reference field="7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>
        <references count="3">
          <reference field="0" count="0" selected="0"/>
          <reference field="8" count="0" selected="0"/>
          <reference field="9" count="0" selected="0"/>
        </references>
      </pivotArea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9" showRowHeaders="1" showColHeaders="1" showRowStripes="0" showColStripes="0" showLastColumn="1"/>
  <filters count="1">
    <filter fld="10" type="dateBetween" evalOrder="-1" id="16" name="Timelin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altText="Detailed sales forecast" altTextSummary="PivotTable based on the data from the Forecast Input sheet." hideValuesRow="1"/>
    </ext>
  </extLst>
</pivotTableDefinition>
</file>

<file path=xl/tables/table1.xml><?xml version="1.0" encoding="utf-8"?>
<table xmlns="http://schemas.openxmlformats.org/spreadsheetml/2006/main" id="1" name="tblData" displayName="tblData" ref="A5:L28" totalsRowCount="1" headerRowDxfId="91" dataDxfId="89" headerRowBorderDxfId="90">
  <autoFilter ref="A5:L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10" hiddenButton="1"/>
  </autoFilter>
  <sortState ref="A6:L27">
    <sortCondition ref="K6"/>
  </sortState>
  <tableColumns count="12">
    <tableColumn id="1" name="Opportunity Name" totalsRowLabel="Total" dataDxfId="88" totalsRowDxfId="87"/>
    <tableColumn id="2" name="Customer Contact" dataDxfId="86" totalsRowDxfId="85"/>
    <tableColumn id="3" name="Sales Region" dataDxfId="84" totalsRowDxfId="83"/>
    <tableColumn id="4" name="Lead Source" dataDxfId="82" totalsRowDxfId="81"/>
    <tableColumn id="5" name="Interest" dataDxfId="80" totalsRowDxfId="79"/>
    <tableColumn id="6" name="Forecast Amount" totalsRowFunction="sum" dataDxfId="78" totalsRowDxfId="77" dataCellStyle="Normal 2"/>
    <tableColumn id="7" name="Sales Phase" dataDxfId="76" totalsRowDxfId="75"/>
    <tableColumn id="11" name="Forecast Close" dataDxfId="74" totalsRowDxfId="73"/>
    <tableColumn id="8" name="Year" dataDxfId="72" totalsRowDxfId="71"/>
    <tableColumn id="9" name="Probability of Sale" totalsRowFunction="average" dataDxfId="70" totalsRowDxfId="69"/>
    <tableColumn id="10" name="Timeline" dataDxfId="68" totalsRowDxfId="67">
      <calculatedColumnFormula>DATE(tblData[[#This Row],[Year]],LOOKUP(tblData[[#This Row],[Forecast Close]],{"April",4;"August",8;"December",12;"February",2;"January",1;"July",7;"June",6;"March",3;"May",5;"November",11;"October",10;"September",9}),1)</calculatedColumnFormula>
    </tableColumn>
    <tableColumn id="13" name="Probability Forecast" totalsRowFunction="sum" dataDxfId="66" totalsRowDxfId="65">
      <calculatedColumnFormula>tblData[[#This Row],[Forecast Amount]]*tblData[[#This Row],[Probability of Sale]]</calculatedColumnFormula>
    </tableColumn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="Data entry" altTextSummary="Enter sales forecast information regarding opportunity name, the sales agent, region and category, amount, phase, probability of sale and date information.  Timeline and weighted forecast are calculated for you."/>
    </ext>
  </extLst>
</table>
</file>

<file path=xl/theme/theme1.xml><?xml version="1.0" encoding="utf-8"?>
<a:theme xmlns:a="http://schemas.openxmlformats.org/drawingml/2006/main" name="Office Theme">
  <a:themeElements>
    <a:clrScheme name="Sales Pipeline">
      <a:dk1>
        <a:sysClr val="windowText" lastClr="000000"/>
      </a:dk1>
      <a:lt1>
        <a:sysClr val="window" lastClr="FFFFFF"/>
      </a:lt1>
      <a:dk2>
        <a:srgbClr val="1B2C2E"/>
      </a:dk2>
      <a:lt2>
        <a:srgbClr val="EBEBEB"/>
      </a:lt2>
      <a:accent1>
        <a:srgbClr val="FFB54A"/>
      </a:accent1>
      <a:accent2>
        <a:srgbClr val="ED5200"/>
      </a:accent2>
      <a:accent3>
        <a:srgbClr val="CF2E4B"/>
      </a:accent3>
      <a:accent4>
        <a:srgbClr val="5F1A47"/>
      </a:accent4>
      <a:accent5>
        <a:srgbClr val="A8CE41"/>
      </a:accent5>
      <a:accent6>
        <a:srgbClr val="18B7B3"/>
      </a:accent6>
      <a:hlink>
        <a:srgbClr val="18B7B3"/>
      </a:hlink>
      <a:folHlink>
        <a:srgbClr val="5F1A4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Timeline1" sourceName="Timeline">
  <pivotTables>
    <pivotTable tabId="5" name="ptData"/>
  </pivotTables>
  <state minimalRefreshVersion="6" lastRefreshVersion="6" pivotCacheId="7" filterType="dateBetween">
    <selection startDate="2014-01-01T00:00:00" endDate="2014-12-31T00:00:00"/>
    <bounds startDate="201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meline 3" cache="NativeTimeline_Timeline1" caption="Timeline" level="2" selectionLevel="0" scrollPosition="2014-01-17T00:00:00" style="TimeSlicerStyleDark2"/>
  <timeline name="Timeline 4" cache="NativeTimeline_Timeline1" caption="Timeline" level="0" selectionLevel="0" scrollPosition="2014-01-01T00:00:00" style="TimeSlicerStyleDark4"/>
  <timeline name="Timeline 5" cache="NativeTimeline_Timeline1" caption="Timeline" level="1" selectionLevel="0" scrollPosition="2014-01-01T00:00:00" style="TimeSlicerStyleDark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L28"/>
  <sheetViews>
    <sheetView showGridLines="0" tabSelected="1" zoomScaleNormal="100" workbookViewId="0">
      <selection sqref="A1:D1"/>
    </sheetView>
  </sheetViews>
  <sheetFormatPr defaultColWidth="7.28515625" defaultRowHeight="11.25" x14ac:dyDescent="0.2"/>
  <cols>
    <col min="1" max="1" width="27.28515625" style="21" bestFit="1" customWidth="1"/>
    <col min="2" max="2" width="18" style="21" bestFit="1" customWidth="1"/>
    <col min="3" max="3" width="14.28515625" style="21" customWidth="1"/>
    <col min="4" max="4" width="20" style="38" bestFit="1" customWidth="1"/>
    <col min="5" max="5" width="13.28515625" style="38" bestFit="1" customWidth="1"/>
    <col min="6" max="6" width="13.28515625" style="21" customWidth="1"/>
    <col min="7" max="7" width="15.7109375" style="38" customWidth="1"/>
    <col min="8" max="8" width="11.140625" style="38" bestFit="1" customWidth="1"/>
    <col min="9" max="9" width="6.28515625" style="38" customWidth="1"/>
    <col min="10" max="10" width="12.42578125" style="38" bestFit="1" customWidth="1"/>
    <col min="11" max="11" width="10.7109375" style="38" bestFit="1" customWidth="1"/>
    <col min="12" max="12" width="15.28515625" style="21" bestFit="1" customWidth="1"/>
    <col min="13" max="13" width="1.42578125" style="21" customWidth="1"/>
    <col min="14" max="16384" width="7.28515625" style="21"/>
  </cols>
  <sheetData>
    <row r="1" spans="1:12" ht="36" x14ac:dyDescent="0.2">
      <c r="A1" s="61" t="s">
        <v>101</v>
      </c>
      <c r="B1" s="61"/>
      <c r="C1" s="61"/>
      <c r="D1" s="61"/>
      <c r="E1" s="34"/>
      <c r="F1" s="26"/>
      <c r="G1" s="34"/>
      <c r="H1" s="34"/>
      <c r="I1" s="34"/>
      <c r="J1" s="34"/>
      <c r="K1" s="34"/>
      <c r="L1" s="26"/>
    </row>
    <row r="2" spans="1:12" ht="18.75" x14ac:dyDescent="0.2">
      <c r="A2" s="62" t="s">
        <v>100</v>
      </c>
      <c r="B2" s="62"/>
      <c r="C2" s="62"/>
      <c r="D2" s="62"/>
      <c r="E2" s="35"/>
      <c r="F2" s="25"/>
      <c r="G2" s="35"/>
      <c r="H2" s="35"/>
      <c r="I2" s="35"/>
      <c r="J2" s="35"/>
      <c r="K2" s="35"/>
      <c r="L2" s="25"/>
    </row>
    <row r="3" spans="1:12" ht="16.5" thickBot="1" x14ac:dyDescent="0.25">
      <c r="A3" s="63" t="s">
        <v>99</v>
      </c>
      <c r="B3" s="63"/>
      <c r="C3" s="63"/>
      <c r="D3" s="63"/>
      <c r="E3" s="36"/>
      <c r="F3" s="24"/>
      <c r="G3" s="36"/>
      <c r="H3" s="36"/>
      <c r="I3" s="36"/>
      <c r="J3" s="36"/>
      <c r="K3" s="36"/>
      <c r="L3" s="24"/>
    </row>
    <row r="4" spans="1:12" ht="15" customHeight="1" thickTop="1" x14ac:dyDescent="0.2">
      <c r="A4" s="22"/>
      <c r="B4" s="23"/>
      <c r="C4" s="23"/>
      <c r="D4" s="23"/>
      <c r="E4" s="23"/>
      <c r="F4" s="23"/>
      <c r="G4" s="23"/>
      <c r="H4" s="23"/>
      <c r="I4" s="23"/>
      <c r="J4" s="23"/>
    </row>
    <row r="5" spans="1:12" s="45" customFormat="1" ht="31.5" x14ac:dyDescent="0.25">
      <c r="A5" s="44" t="s">
        <v>98</v>
      </c>
      <c r="B5" s="44" t="s">
        <v>97</v>
      </c>
      <c r="C5" s="44" t="s">
        <v>96</v>
      </c>
      <c r="D5" s="44" t="s">
        <v>95</v>
      </c>
      <c r="E5" s="44" t="s">
        <v>114</v>
      </c>
      <c r="F5" s="44" t="s">
        <v>94</v>
      </c>
      <c r="G5" s="44" t="s">
        <v>93</v>
      </c>
      <c r="H5" s="44" t="s">
        <v>92</v>
      </c>
      <c r="I5" s="44" t="s">
        <v>91</v>
      </c>
      <c r="J5" s="44" t="s">
        <v>90</v>
      </c>
      <c r="K5" s="44" t="s">
        <v>89</v>
      </c>
      <c r="L5" s="44" t="s">
        <v>88</v>
      </c>
    </row>
    <row r="6" spans="1:12" ht="15.75" x14ac:dyDescent="0.2">
      <c r="A6" s="27" t="s">
        <v>62</v>
      </c>
      <c r="B6" s="27" t="s">
        <v>61</v>
      </c>
      <c r="C6" s="27" t="s">
        <v>109</v>
      </c>
      <c r="D6" s="41" t="s">
        <v>112</v>
      </c>
      <c r="E6" s="41" t="s">
        <v>115</v>
      </c>
      <c r="F6" s="27">
        <v>16600</v>
      </c>
      <c r="G6" s="32" t="s">
        <v>124</v>
      </c>
      <c r="H6" s="39" t="s">
        <v>60</v>
      </c>
      <c r="I6" s="39">
        <v>2014</v>
      </c>
      <c r="J6" s="32">
        <v>1</v>
      </c>
      <c r="K6" s="55">
        <f>DATE(tblData[[#This Row],[Year]],LOOKUP(tblData[[#This Row],[Forecast Close]],{"April",4;"August",8;"December",12;"February",2;"January",1;"July",7;"June",6;"March",3;"May",5;"November",11;"October",10;"September",9}),1)</f>
        <v>41640</v>
      </c>
      <c r="L6" s="56">
        <f>tblData[[#This Row],[Forecast Amount]]*tblData[[#This Row],[Probability of Sale]]</f>
        <v>16600</v>
      </c>
    </row>
    <row r="7" spans="1:12" ht="15.75" x14ac:dyDescent="0.2">
      <c r="A7" s="27" t="s">
        <v>87</v>
      </c>
      <c r="B7" s="27" t="s">
        <v>86</v>
      </c>
      <c r="C7" s="27" t="s">
        <v>105</v>
      </c>
      <c r="D7" s="41" t="s">
        <v>30</v>
      </c>
      <c r="E7" s="41" t="s">
        <v>115</v>
      </c>
      <c r="F7" s="27">
        <v>15000</v>
      </c>
      <c r="G7" s="32" t="s">
        <v>123</v>
      </c>
      <c r="H7" s="39" t="s">
        <v>60</v>
      </c>
      <c r="I7" s="39">
        <v>2014</v>
      </c>
      <c r="J7" s="32">
        <v>0</v>
      </c>
      <c r="K7" s="57">
        <f>DATE(tblData[[#This Row],[Year]],LOOKUP(tblData[[#This Row],[Forecast Close]],{"April",4;"August",8;"December",12;"February",2;"January",1;"July",7;"June",6;"March",3;"May",5;"November",11;"October",10;"September",9}),1)</f>
        <v>41640</v>
      </c>
      <c r="L7" s="58">
        <f>tblData[[#This Row],[Forecast Amount]]*tblData[[#This Row],[Probability of Sale]]</f>
        <v>0</v>
      </c>
    </row>
    <row r="8" spans="1:12" ht="15.75" x14ac:dyDescent="0.2">
      <c r="A8" s="27" t="s">
        <v>85</v>
      </c>
      <c r="B8" s="27" t="s">
        <v>84</v>
      </c>
      <c r="C8" s="27" t="s">
        <v>106</v>
      </c>
      <c r="D8" s="41" t="s">
        <v>41</v>
      </c>
      <c r="E8" s="41" t="s">
        <v>115</v>
      </c>
      <c r="F8" s="27">
        <v>14520</v>
      </c>
      <c r="G8" s="32" t="s">
        <v>124</v>
      </c>
      <c r="H8" s="39" t="s">
        <v>37</v>
      </c>
      <c r="I8" s="39">
        <v>2014</v>
      </c>
      <c r="J8" s="32">
        <v>1</v>
      </c>
      <c r="K8" s="57">
        <f>DATE(tblData[[#This Row],[Year]],LOOKUP(tblData[[#This Row],[Forecast Close]],{"April",4;"August",8;"December",12;"February",2;"January",1;"July",7;"June",6;"March",3;"May",5;"November",11;"October",10;"September",9}),1)</f>
        <v>41671</v>
      </c>
      <c r="L8" s="58">
        <f>tblData[[#This Row],[Forecast Amount]]*tblData[[#This Row],[Probability of Sale]]</f>
        <v>14520</v>
      </c>
    </row>
    <row r="9" spans="1:12" ht="15.75" x14ac:dyDescent="0.2">
      <c r="A9" s="27" t="s">
        <v>39</v>
      </c>
      <c r="B9" s="27" t="s">
        <v>38</v>
      </c>
      <c r="C9" s="27" t="s">
        <v>107</v>
      </c>
      <c r="D9" s="41" t="s">
        <v>112</v>
      </c>
      <c r="E9" s="41" t="s">
        <v>115</v>
      </c>
      <c r="F9" s="27">
        <v>16200</v>
      </c>
      <c r="G9" s="32" t="s">
        <v>124</v>
      </c>
      <c r="H9" s="39" t="s">
        <v>37</v>
      </c>
      <c r="I9" s="39">
        <v>2014</v>
      </c>
      <c r="J9" s="32">
        <v>1</v>
      </c>
      <c r="K9" s="57">
        <f>DATE(tblData[[#This Row],[Year]],LOOKUP(tblData[[#This Row],[Forecast Close]],{"April",4;"August",8;"December",12;"February",2;"January",1;"July",7;"June",6;"March",3;"May",5;"November",11;"October",10;"September",9}),1)</f>
        <v>41671</v>
      </c>
      <c r="L9" s="58">
        <f>tblData[[#This Row],[Forecast Amount]]*tblData[[#This Row],[Probability of Sale]]</f>
        <v>16200</v>
      </c>
    </row>
    <row r="10" spans="1:12" ht="15.75" x14ac:dyDescent="0.2">
      <c r="A10" s="27" t="s">
        <v>83</v>
      </c>
      <c r="B10" s="27" t="s">
        <v>82</v>
      </c>
      <c r="C10" s="27" t="s">
        <v>81</v>
      </c>
      <c r="D10" s="41" t="s">
        <v>45</v>
      </c>
      <c r="E10" s="41" t="s">
        <v>116</v>
      </c>
      <c r="F10" s="27">
        <v>16250</v>
      </c>
      <c r="G10" s="32" t="s">
        <v>124</v>
      </c>
      <c r="H10" s="39" t="s">
        <v>33</v>
      </c>
      <c r="I10" s="39">
        <v>2014</v>
      </c>
      <c r="J10" s="32">
        <v>1</v>
      </c>
      <c r="K10" s="57">
        <f>DATE(tblData[[#This Row],[Year]],LOOKUP(tblData[[#This Row],[Forecast Close]],{"April",4;"August",8;"December",12;"February",2;"January",1;"July",7;"June",6;"March",3;"May",5;"November",11;"October",10;"September",9}),1)</f>
        <v>41699</v>
      </c>
      <c r="L10" s="58">
        <f>tblData[[#This Row],[Forecast Amount]]*tblData[[#This Row],[Probability of Sale]]</f>
        <v>16250</v>
      </c>
    </row>
    <row r="11" spans="1:12" ht="15.75" x14ac:dyDescent="0.2">
      <c r="A11" s="27" t="s">
        <v>36</v>
      </c>
      <c r="B11" s="27" t="s">
        <v>35</v>
      </c>
      <c r="C11" s="27" t="s">
        <v>108</v>
      </c>
      <c r="D11" s="41" t="s">
        <v>34</v>
      </c>
      <c r="E11" s="41" t="s">
        <v>115</v>
      </c>
      <c r="F11" s="27">
        <v>15700</v>
      </c>
      <c r="G11" s="32" t="s">
        <v>123</v>
      </c>
      <c r="H11" s="39" t="s">
        <v>33</v>
      </c>
      <c r="I11" s="39">
        <v>2014</v>
      </c>
      <c r="J11" s="32">
        <v>0</v>
      </c>
      <c r="K11" s="57">
        <f>DATE(tblData[[#This Row],[Year]],LOOKUP(tblData[[#This Row],[Forecast Close]],{"April",4;"August",8;"December",12;"February",2;"January",1;"July",7;"June",6;"March",3;"May",5;"November",11;"October",10;"September",9}),1)</f>
        <v>41699</v>
      </c>
      <c r="L11" s="58">
        <f>tblData[[#This Row],[Forecast Amount]]*tblData[[#This Row],[Probability of Sale]]</f>
        <v>0</v>
      </c>
    </row>
    <row r="12" spans="1:12" ht="15.75" x14ac:dyDescent="0.2">
      <c r="A12" s="27" t="s">
        <v>32</v>
      </c>
      <c r="B12" s="27" t="s">
        <v>31</v>
      </c>
      <c r="C12" s="27" t="s">
        <v>110</v>
      </c>
      <c r="D12" s="41" t="s">
        <v>113</v>
      </c>
      <c r="E12" s="41" t="s">
        <v>120</v>
      </c>
      <c r="F12" s="27">
        <v>17300</v>
      </c>
      <c r="G12" s="32" t="s">
        <v>124</v>
      </c>
      <c r="H12" s="39" t="s">
        <v>29</v>
      </c>
      <c r="I12" s="39">
        <v>2014</v>
      </c>
      <c r="J12" s="32">
        <v>1</v>
      </c>
      <c r="K12" s="57">
        <f>DATE(tblData[[#This Row],[Year]],LOOKUP(tblData[[#This Row],[Forecast Close]],{"April",4;"August",8;"December",12;"February",2;"January",1;"July",7;"June",6;"March",3;"May",5;"November",11;"October",10;"September",9}),1)</f>
        <v>41730</v>
      </c>
      <c r="L12" s="58">
        <f>tblData[[#This Row],[Forecast Amount]]*tblData[[#This Row],[Probability of Sale]]</f>
        <v>17300</v>
      </c>
    </row>
    <row r="13" spans="1:12" ht="15.75" x14ac:dyDescent="0.2">
      <c r="A13" s="27" t="s">
        <v>80</v>
      </c>
      <c r="B13" s="27" t="s">
        <v>79</v>
      </c>
      <c r="C13" s="27" t="s">
        <v>106</v>
      </c>
      <c r="D13" s="41" t="s">
        <v>34</v>
      </c>
      <c r="E13" s="41" t="s">
        <v>117</v>
      </c>
      <c r="F13" s="27">
        <v>14750</v>
      </c>
      <c r="G13" s="32" t="s">
        <v>123</v>
      </c>
      <c r="H13" s="39" t="s">
        <v>29</v>
      </c>
      <c r="I13" s="39">
        <v>2014</v>
      </c>
      <c r="J13" s="32">
        <v>0</v>
      </c>
      <c r="K13" s="57">
        <f>DATE(tblData[[#This Row],[Year]],LOOKUP(tblData[[#This Row],[Forecast Close]],{"April",4;"August",8;"December",12;"February",2;"January",1;"July",7;"June",6;"March",3;"May",5;"November",11;"October",10;"September",9}),1)</f>
        <v>41730</v>
      </c>
      <c r="L13" s="58">
        <f>tblData[[#This Row],[Forecast Amount]]*tblData[[#This Row],[Probability of Sale]]</f>
        <v>0</v>
      </c>
    </row>
    <row r="14" spans="1:12" ht="15.75" x14ac:dyDescent="0.2">
      <c r="A14" s="27" t="s">
        <v>57</v>
      </c>
      <c r="B14" s="27" t="s">
        <v>56</v>
      </c>
      <c r="C14" s="27" t="s">
        <v>109</v>
      </c>
      <c r="D14" s="41" t="s">
        <v>113</v>
      </c>
      <c r="E14" s="41" t="s">
        <v>119</v>
      </c>
      <c r="F14" s="27">
        <v>14000</v>
      </c>
      <c r="G14" s="32" t="s">
        <v>2</v>
      </c>
      <c r="H14" s="39" t="s">
        <v>54</v>
      </c>
      <c r="I14" s="39">
        <v>2014</v>
      </c>
      <c r="J14" s="32">
        <v>0.2</v>
      </c>
      <c r="K14" s="57">
        <f>DATE(tblData[[#This Row],[Year]],LOOKUP(tblData[[#This Row],[Forecast Close]],{"April",4;"August",8;"December",12;"February",2;"January",1;"July",7;"June",6;"March",3;"May",5;"November",11;"October",10;"September",9}),1)</f>
        <v>41760</v>
      </c>
      <c r="L14" s="58">
        <f>tblData[[#This Row],[Forecast Amount]]*tblData[[#This Row],[Probability of Sale]]</f>
        <v>2800</v>
      </c>
    </row>
    <row r="15" spans="1:12" ht="15.75" x14ac:dyDescent="0.2">
      <c r="A15" s="27" t="s">
        <v>78</v>
      </c>
      <c r="B15" s="27" t="s">
        <v>77</v>
      </c>
      <c r="C15" s="27" t="s">
        <v>107</v>
      </c>
      <c r="D15" s="41" t="s">
        <v>113</v>
      </c>
      <c r="E15" s="41" t="s">
        <v>116</v>
      </c>
      <c r="F15" s="27">
        <v>14800</v>
      </c>
      <c r="G15" s="32" t="s">
        <v>122</v>
      </c>
      <c r="H15" s="39" t="s">
        <v>54</v>
      </c>
      <c r="I15" s="39">
        <v>2014</v>
      </c>
      <c r="J15" s="32">
        <v>0.3</v>
      </c>
      <c r="K15" s="57">
        <f>DATE(tblData[[#This Row],[Year]],LOOKUP(tblData[[#This Row],[Forecast Close]],{"April",4;"August",8;"December",12;"February",2;"January",1;"July",7;"June",6;"March",3;"May",5;"November",11;"October",10;"September",9}),1)</f>
        <v>41760</v>
      </c>
      <c r="L15" s="58">
        <f>tblData[[#This Row],[Forecast Amount]]*tblData[[#This Row],[Probability of Sale]]</f>
        <v>4440</v>
      </c>
    </row>
    <row r="16" spans="1:12" ht="15.75" x14ac:dyDescent="0.2">
      <c r="A16" s="27" t="s">
        <v>53</v>
      </c>
      <c r="B16" s="27" t="s">
        <v>52</v>
      </c>
      <c r="C16" s="27" t="s">
        <v>110</v>
      </c>
      <c r="D16" s="41" t="s">
        <v>113</v>
      </c>
      <c r="E16" s="41" t="s">
        <v>116</v>
      </c>
      <c r="F16" s="27">
        <v>15500</v>
      </c>
      <c r="G16" s="32" t="s">
        <v>2</v>
      </c>
      <c r="H16" s="39" t="s">
        <v>51</v>
      </c>
      <c r="I16" s="39">
        <v>2014</v>
      </c>
      <c r="J16" s="32">
        <v>0.8</v>
      </c>
      <c r="K16" s="57">
        <f>DATE(tblData[[#This Row],[Year]],LOOKUP(tblData[[#This Row],[Forecast Close]],{"April",4;"August",8;"December",12;"February",2;"January",1;"July",7;"June",6;"March",3;"May",5;"November",11;"October",10;"September",9}),1)</f>
        <v>41791</v>
      </c>
      <c r="L16" s="58">
        <f>tblData[[#This Row],[Forecast Amount]]*tblData[[#This Row],[Probability of Sale]]</f>
        <v>12400</v>
      </c>
    </row>
    <row r="17" spans="1:12" ht="15.75" x14ac:dyDescent="0.2">
      <c r="A17" s="27" t="s">
        <v>76</v>
      </c>
      <c r="B17" s="27" t="s">
        <v>75</v>
      </c>
      <c r="C17" s="27" t="s">
        <v>111</v>
      </c>
      <c r="D17" s="41" t="s">
        <v>112</v>
      </c>
      <c r="E17" s="41" t="s">
        <v>117</v>
      </c>
      <c r="F17" s="27">
        <v>17500</v>
      </c>
      <c r="G17" s="32" t="s">
        <v>122</v>
      </c>
      <c r="H17" s="39" t="s">
        <v>51</v>
      </c>
      <c r="I17" s="39">
        <v>2014</v>
      </c>
      <c r="J17" s="32">
        <v>0.1</v>
      </c>
      <c r="K17" s="57">
        <f>DATE(tblData[[#This Row],[Year]],LOOKUP(tblData[[#This Row],[Forecast Close]],{"April",4;"August",8;"December",12;"February",2;"January",1;"July",7;"June",6;"March",3;"May",5;"November",11;"October",10;"September",9}),1)</f>
        <v>41791</v>
      </c>
      <c r="L17" s="58">
        <f>tblData[[#This Row],[Forecast Amount]]*tblData[[#This Row],[Probability of Sale]]</f>
        <v>1750</v>
      </c>
    </row>
    <row r="18" spans="1:12" ht="15.75" x14ac:dyDescent="0.2">
      <c r="A18" s="27" t="s">
        <v>74</v>
      </c>
      <c r="B18" s="27" t="s">
        <v>58</v>
      </c>
      <c r="C18" s="27" t="s">
        <v>108</v>
      </c>
      <c r="D18" s="41" t="s">
        <v>34</v>
      </c>
      <c r="E18" s="41" t="s">
        <v>118</v>
      </c>
      <c r="F18" s="27">
        <v>14900</v>
      </c>
      <c r="G18" s="32" t="s">
        <v>1</v>
      </c>
      <c r="H18" s="39" t="s">
        <v>72</v>
      </c>
      <c r="I18" s="39">
        <v>2014</v>
      </c>
      <c r="J18" s="32">
        <v>0.8</v>
      </c>
      <c r="K18" s="57">
        <f>DATE(tblData[[#This Row],[Year]],LOOKUP(tblData[[#This Row],[Forecast Close]],{"April",4;"August",8;"December",12;"February",2;"January",1;"July",7;"June",6;"March",3;"May",5;"November",11;"October",10;"September",9}),1)</f>
        <v>41821</v>
      </c>
      <c r="L18" s="58">
        <f>tblData[[#This Row],[Forecast Amount]]*tblData[[#This Row],[Probability of Sale]]</f>
        <v>11920</v>
      </c>
    </row>
    <row r="19" spans="1:12" ht="15.75" x14ac:dyDescent="0.2">
      <c r="A19" s="27" t="s">
        <v>74</v>
      </c>
      <c r="B19" s="27" t="s">
        <v>73</v>
      </c>
      <c r="C19" s="27" t="s">
        <v>108</v>
      </c>
      <c r="D19" s="41" t="s">
        <v>34</v>
      </c>
      <c r="E19" s="41" t="s">
        <v>118</v>
      </c>
      <c r="F19" s="27">
        <v>14900</v>
      </c>
      <c r="G19" s="32" t="s">
        <v>0</v>
      </c>
      <c r="H19" s="39" t="s">
        <v>72</v>
      </c>
      <c r="I19" s="39">
        <v>2014</v>
      </c>
      <c r="J19" s="32">
        <v>0.6</v>
      </c>
      <c r="K19" s="57">
        <f>DATE(tblData[[#This Row],[Year]],LOOKUP(tblData[[#This Row],[Forecast Close]],{"April",4;"August",8;"December",12;"February",2;"January",1;"July",7;"June",6;"March",3;"May",5;"November",11;"October",10;"September",9}),1)</f>
        <v>41821</v>
      </c>
      <c r="L19" s="58">
        <f>tblData[[#This Row],[Forecast Amount]]*tblData[[#This Row],[Probability of Sale]]</f>
        <v>8940</v>
      </c>
    </row>
    <row r="20" spans="1:12" ht="15.75" x14ac:dyDescent="0.2">
      <c r="A20" s="27" t="s">
        <v>74</v>
      </c>
      <c r="B20" s="27" t="s">
        <v>71</v>
      </c>
      <c r="C20" s="27" t="s">
        <v>108</v>
      </c>
      <c r="D20" s="41" t="s">
        <v>34</v>
      </c>
      <c r="E20" s="41" t="s">
        <v>118</v>
      </c>
      <c r="F20" s="27">
        <v>18450</v>
      </c>
      <c r="G20" s="32" t="s">
        <v>1</v>
      </c>
      <c r="H20" s="39" t="s">
        <v>68</v>
      </c>
      <c r="I20" s="39">
        <v>2014</v>
      </c>
      <c r="J20" s="32">
        <v>0.8</v>
      </c>
      <c r="K20" s="57">
        <f>DATE(tblData[[#This Row],[Year]],LOOKUP(tblData[[#This Row],[Forecast Close]],{"April",4;"August",8;"December",12;"February",2;"January",1;"July",7;"June",6;"March",3;"May",5;"November",11;"October",10;"September",9}),1)</f>
        <v>41883</v>
      </c>
      <c r="L20" s="58">
        <f>tblData[[#This Row],[Forecast Amount]]*tblData[[#This Row],[Probability of Sale]]</f>
        <v>14760</v>
      </c>
    </row>
    <row r="21" spans="1:12" ht="15.75" x14ac:dyDescent="0.2">
      <c r="A21" s="27" t="s">
        <v>59</v>
      </c>
      <c r="B21" s="27" t="s">
        <v>69</v>
      </c>
      <c r="C21" s="27" t="s">
        <v>109</v>
      </c>
      <c r="D21" s="41" t="s">
        <v>34</v>
      </c>
      <c r="E21" s="41" t="s">
        <v>115</v>
      </c>
      <c r="F21" s="27">
        <v>19990</v>
      </c>
      <c r="G21" s="32" t="s">
        <v>122</v>
      </c>
      <c r="H21" s="39" t="s">
        <v>68</v>
      </c>
      <c r="I21" s="39">
        <v>2014</v>
      </c>
      <c r="J21" s="32">
        <v>0.4</v>
      </c>
      <c r="K21" s="57">
        <f>DATE(tblData[[#This Row],[Year]],LOOKUP(tblData[[#This Row],[Forecast Close]],{"April",4;"August",8;"December",12;"February",2;"January",1;"July",7;"June",6;"March",3;"May",5;"November",11;"October",10;"September",9}),1)</f>
        <v>41883</v>
      </c>
      <c r="L21" s="58">
        <f>tblData[[#This Row],[Forecast Amount]]*tblData[[#This Row],[Probability of Sale]]</f>
        <v>7996</v>
      </c>
    </row>
    <row r="22" spans="1:12" ht="15.75" x14ac:dyDescent="0.2">
      <c r="A22" s="27" t="s">
        <v>67</v>
      </c>
      <c r="B22" s="27" t="s">
        <v>66</v>
      </c>
      <c r="C22" s="27" t="s">
        <v>109</v>
      </c>
      <c r="D22" s="41" t="s">
        <v>112</v>
      </c>
      <c r="E22" s="41" t="s">
        <v>116</v>
      </c>
      <c r="F22" s="27">
        <v>17250</v>
      </c>
      <c r="G22" s="32" t="s">
        <v>1</v>
      </c>
      <c r="H22" s="39" t="s">
        <v>48</v>
      </c>
      <c r="I22" s="39">
        <v>2014</v>
      </c>
      <c r="J22" s="32">
        <v>0.7</v>
      </c>
      <c r="K22" s="57">
        <f>DATE(tblData[[#This Row],[Year]],LOOKUP(tblData[[#This Row],[Forecast Close]],{"April",4;"August",8;"December",12;"February",2;"January",1;"July",7;"June",6;"March",3;"May",5;"November",11;"October",10;"September",9}),1)</f>
        <v>41913</v>
      </c>
      <c r="L22" s="58">
        <f>tblData[[#This Row],[Forecast Amount]]*tblData[[#This Row],[Probability of Sale]]</f>
        <v>12075</v>
      </c>
    </row>
    <row r="23" spans="1:12" ht="15.75" x14ac:dyDescent="0.2">
      <c r="A23" s="27" t="s">
        <v>50</v>
      </c>
      <c r="B23" s="27" t="s">
        <v>49</v>
      </c>
      <c r="C23" s="27" t="s">
        <v>111</v>
      </c>
      <c r="D23" s="41" t="s">
        <v>113</v>
      </c>
      <c r="E23" s="41" t="s">
        <v>117</v>
      </c>
      <c r="F23" s="27">
        <v>17320</v>
      </c>
      <c r="G23" s="32" t="s">
        <v>0</v>
      </c>
      <c r="H23" s="39" t="s">
        <v>48</v>
      </c>
      <c r="I23" s="39">
        <v>2014</v>
      </c>
      <c r="J23" s="32">
        <v>0.6</v>
      </c>
      <c r="K23" s="57">
        <f>DATE(tblData[[#This Row],[Year]],LOOKUP(tblData[[#This Row],[Forecast Close]],{"April",4;"August",8;"December",12;"February",2;"January",1;"July",7;"June",6;"March",3;"May",5;"November",11;"October",10;"September",9}),1)</f>
        <v>41913</v>
      </c>
      <c r="L23" s="58">
        <f>tblData[[#This Row],[Forecast Amount]]*tblData[[#This Row],[Probability of Sale]]</f>
        <v>10392</v>
      </c>
    </row>
    <row r="24" spans="1:12" ht="15.75" x14ac:dyDescent="0.2">
      <c r="A24" s="27" t="s">
        <v>65</v>
      </c>
      <c r="B24" s="27" t="s">
        <v>64</v>
      </c>
      <c r="C24" s="27" t="s">
        <v>109</v>
      </c>
      <c r="D24" s="41" t="s">
        <v>34</v>
      </c>
      <c r="E24" s="41" t="s">
        <v>121</v>
      </c>
      <c r="F24" s="27">
        <v>16350</v>
      </c>
      <c r="G24" s="32" t="s">
        <v>1</v>
      </c>
      <c r="H24" s="39" t="s">
        <v>40</v>
      </c>
      <c r="I24" s="39">
        <v>2014</v>
      </c>
      <c r="J24" s="32">
        <v>0.9</v>
      </c>
      <c r="K24" s="57">
        <f>DATE(tblData[[#This Row],[Year]],LOOKUP(tblData[[#This Row],[Forecast Close]],{"April",4;"August",8;"December",12;"February",2;"January",1;"July",7;"June",6;"March",3;"May",5;"November",11;"October",10;"September",9}),1)</f>
        <v>41944</v>
      </c>
      <c r="L24" s="58">
        <f>tblData[[#This Row],[Forecast Amount]]*tblData[[#This Row],[Probability of Sale]]</f>
        <v>14715</v>
      </c>
    </row>
    <row r="25" spans="1:12" ht="15.75" x14ac:dyDescent="0.2">
      <c r="A25" s="27" t="s">
        <v>43</v>
      </c>
      <c r="B25" s="27" t="s">
        <v>42</v>
      </c>
      <c r="C25" s="27" t="s">
        <v>109</v>
      </c>
      <c r="D25" s="41" t="s">
        <v>34</v>
      </c>
      <c r="E25" s="41" t="s">
        <v>117</v>
      </c>
      <c r="F25" s="27">
        <v>15765</v>
      </c>
      <c r="G25" s="32" t="s">
        <v>2</v>
      </c>
      <c r="H25" s="39" t="s">
        <v>40</v>
      </c>
      <c r="I25" s="39">
        <v>2014</v>
      </c>
      <c r="J25" s="32">
        <v>0.8</v>
      </c>
      <c r="K25" s="57">
        <f>DATE(tblData[[#This Row],[Year]],LOOKUP(tblData[[#This Row],[Forecast Close]],{"April",4;"August",8;"December",12;"February",2;"January",1;"July",7;"June",6;"March",3;"May",5;"November",11;"October",10;"September",9}),1)</f>
        <v>41944</v>
      </c>
      <c r="L25" s="58">
        <f>tblData[[#This Row],[Forecast Amount]]*tblData[[#This Row],[Probability of Sale]]</f>
        <v>12612</v>
      </c>
    </row>
    <row r="26" spans="1:12" ht="15.75" x14ac:dyDescent="0.2">
      <c r="A26" s="27" t="s">
        <v>47</v>
      </c>
      <c r="B26" s="27" t="s">
        <v>46</v>
      </c>
      <c r="C26" s="27" t="s">
        <v>110</v>
      </c>
      <c r="D26" s="41" t="s">
        <v>34</v>
      </c>
      <c r="E26" s="41" t="s">
        <v>116</v>
      </c>
      <c r="F26" s="27">
        <v>14650</v>
      </c>
      <c r="G26" s="32" t="s">
        <v>1</v>
      </c>
      <c r="H26" s="39" t="s">
        <v>44</v>
      </c>
      <c r="I26" s="39">
        <v>2014</v>
      </c>
      <c r="J26" s="32">
        <v>0.7</v>
      </c>
      <c r="K26" s="57">
        <f>DATE(tblData[[#This Row],[Year]],LOOKUP(tblData[[#This Row],[Forecast Close]],{"April",4;"August",8;"December",12;"February",2;"January",1;"July",7;"June",6;"March",3;"May",5;"November",11;"October",10;"September",9}),1)</f>
        <v>41974</v>
      </c>
      <c r="L26" s="58">
        <f>tblData[[#This Row],[Forecast Amount]]*tblData[[#This Row],[Probability of Sale]]</f>
        <v>10255</v>
      </c>
    </row>
    <row r="27" spans="1:12" ht="15.75" x14ac:dyDescent="0.2">
      <c r="A27" s="27" t="s">
        <v>80</v>
      </c>
      <c r="B27" s="27" t="s">
        <v>63</v>
      </c>
      <c r="C27" s="27" t="s">
        <v>106</v>
      </c>
      <c r="D27" s="41" t="s">
        <v>34</v>
      </c>
      <c r="E27" s="41" t="s">
        <v>120</v>
      </c>
      <c r="F27" s="27">
        <v>15550</v>
      </c>
      <c r="G27" s="32" t="s">
        <v>0</v>
      </c>
      <c r="H27" s="39" t="s">
        <v>44</v>
      </c>
      <c r="I27" s="39">
        <v>2014</v>
      </c>
      <c r="J27" s="32">
        <v>0.3</v>
      </c>
      <c r="K27" s="59">
        <f>DATE(tblData[[#This Row],[Year]],LOOKUP(tblData[[#This Row],[Forecast Close]],{"April",4;"August",8;"December",12;"February",2;"January",1;"July",7;"June",6;"March",3;"May",5;"November",11;"October",10;"September",9}),1)</f>
        <v>41974</v>
      </c>
      <c r="L27" s="60">
        <f>tblData[[#This Row],[Forecast Amount]]*tblData[[#This Row],[Probability of Sale]]</f>
        <v>4665</v>
      </c>
    </row>
    <row r="28" spans="1:12" ht="15.75" x14ac:dyDescent="0.2">
      <c r="A28" s="31" t="s">
        <v>28</v>
      </c>
      <c r="B28" s="30"/>
      <c r="C28" s="30"/>
      <c r="D28" s="37"/>
      <c r="E28" s="42"/>
      <c r="F28" s="43">
        <f>SUBTOTAL(109,F6:F27)</f>
        <v>353245</v>
      </c>
      <c r="G28" s="37"/>
      <c r="H28" s="37"/>
      <c r="I28" s="37"/>
      <c r="J28" s="33">
        <f>SUBTOTAL(101,J6:J27)</f>
        <v>0.59090909090909094</v>
      </c>
      <c r="K28" s="40"/>
      <c r="L28" s="43">
        <f>SUBTOTAL(109,L6:L27)</f>
        <v>210590</v>
      </c>
    </row>
  </sheetData>
  <mergeCells count="3">
    <mergeCell ref="A1:D1"/>
    <mergeCell ref="A2:D2"/>
    <mergeCell ref="A3:D3"/>
  </mergeCells>
  <printOptions horizontalCentered="1"/>
  <pageMargins left="0.4" right="0.4" top="0.4" bottom="0.4" header="0.3" footer="0.3"/>
  <pageSetup scale="9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AC55"/>
  <sheetViews>
    <sheetView showGridLines="0" topLeftCell="A4" zoomScaleNormal="100" workbookViewId="0">
      <selection activeCell="C11" sqref="C11"/>
    </sheetView>
  </sheetViews>
  <sheetFormatPr defaultColWidth="7.28515625" defaultRowHeight="11.25" x14ac:dyDescent="0.2"/>
  <cols>
    <col min="1" max="1" width="27.5703125" style="21" customWidth="1"/>
    <col min="2" max="2" width="7" style="21" customWidth="1"/>
    <col min="3" max="3" width="11" style="21" customWidth="1"/>
    <col min="4" max="9" width="11.140625" style="21" bestFit="1" customWidth="1"/>
    <col min="10" max="10" width="10.140625" style="21" bestFit="1" customWidth="1"/>
    <col min="11" max="11" width="11.140625" style="21" bestFit="1" customWidth="1"/>
    <col min="12" max="12" width="10.140625" style="21" bestFit="1" customWidth="1"/>
    <col min="13" max="15" width="11.140625" style="21" bestFit="1" customWidth="1"/>
    <col min="16" max="16" width="13.7109375" style="21" bestFit="1" customWidth="1"/>
    <col min="17" max="16384" width="7.28515625" style="21"/>
  </cols>
  <sheetData>
    <row r="1" spans="1:29" ht="9.9499999999999993" customHeight="1" x14ac:dyDescent="0.2"/>
    <row r="2" spans="1:29" ht="36" x14ac:dyDescent="0.2">
      <c r="A2" s="26" t="str">
        <f>Opportunities!A1</f>
        <v>Yugotit Training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29" ht="18.75" x14ac:dyDescent="0.2">
      <c r="A3" s="25" t="str">
        <f>Opportunities!A2</f>
        <v>Training Sales Pipeline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29" ht="16.5" thickBot="1" x14ac:dyDescent="0.25">
      <c r="A4" s="29" t="str">
        <f>Opportunities!A3</f>
        <v>Confidential: For internal use only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29" ht="102" customHeight="1" thickTop="1" x14ac:dyDescent="0.2"/>
    <row r="9" spans="1:29" ht="30" x14ac:dyDescent="0.25">
      <c r="A9" s="46" t="s">
        <v>103</v>
      </c>
      <c r="B9" s="47"/>
      <c r="C9" s="47"/>
      <c r="D9" s="48" t="s">
        <v>92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ht="15" x14ac:dyDescent="0.25">
      <c r="A10" s="46" t="s">
        <v>98</v>
      </c>
      <c r="B10" s="46" t="s">
        <v>91</v>
      </c>
      <c r="C10" s="46" t="s">
        <v>104</v>
      </c>
      <c r="D10" s="54" t="s">
        <v>60</v>
      </c>
      <c r="E10" s="54" t="s">
        <v>37</v>
      </c>
      <c r="F10" s="54" t="s">
        <v>33</v>
      </c>
      <c r="G10" s="54" t="s">
        <v>29</v>
      </c>
      <c r="H10" s="54" t="s">
        <v>54</v>
      </c>
      <c r="I10" s="54" t="s">
        <v>51</v>
      </c>
      <c r="J10" s="54" t="s">
        <v>72</v>
      </c>
      <c r="K10" s="54" t="s">
        <v>70</v>
      </c>
      <c r="L10" s="54" t="s">
        <v>68</v>
      </c>
      <c r="M10" s="54" t="s">
        <v>48</v>
      </c>
      <c r="N10" s="54" t="s">
        <v>40</v>
      </c>
      <c r="O10" s="54" t="s">
        <v>44</v>
      </c>
      <c r="P10" s="54" t="s">
        <v>102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" x14ac:dyDescent="0.25">
      <c r="A11" s="47" t="s">
        <v>87</v>
      </c>
      <c r="B11" s="47">
        <v>2014</v>
      </c>
      <c r="C11" s="50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5" x14ac:dyDescent="0.25">
      <c r="A12" s="47" t="s">
        <v>85</v>
      </c>
      <c r="B12" s="47">
        <v>2014</v>
      </c>
      <c r="C12" s="50">
        <v>1</v>
      </c>
      <c r="D12" s="53">
        <v>0</v>
      </c>
      <c r="E12" s="53">
        <v>14520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14520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15" x14ac:dyDescent="0.25">
      <c r="A13" s="47" t="s">
        <v>83</v>
      </c>
      <c r="B13" s="47">
        <v>2014</v>
      </c>
      <c r="C13" s="50">
        <v>1</v>
      </c>
      <c r="D13" s="53">
        <v>0</v>
      </c>
      <c r="E13" s="53">
        <v>0</v>
      </c>
      <c r="F13" s="53">
        <v>16250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16250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5" x14ac:dyDescent="0.25">
      <c r="A14" s="47" t="s">
        <v>80</v>
      </c>
      <c r="B14" s="47">
        <v>2014</v>
      </c>
      <c r="C14" s="50">
        <v>0.3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4665</v>
      </c>
      <c r="P14" s="53">
        <v>4665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5" x14ac:dyDescent="0.25">
      <c r="A15" s="47"/>
      <c r="B15" s="47"/>
      <c r="C15" s="50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ht="15" x14ac:dyDescent="0.25">
      <c r="A16" s="47" t="s">
        <v>78</v>
      </c>
      <c r="B16" s="47">
        <v>2014</v>
      </c>
      <c r="C16" s="50">
        <v>0.3</v>
      </c>
      <c r="D16" s="53">
        <v>0</v>
      </c>
      <c r="E16" s="53">
        <v>0</v>
      </c>
      <c r="F16" s="53">
        <v>0</v>
      </c>
      <c r="G16" s="53">
        <v>0</v>
      </c>
      <c r="H16" s="53">
        <v>4440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4440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ht="15" x14ac:dyDescent="0.25">
      <c r="A17" s="47" t="s">
        <v>76</v>
      </c>
      <c r="B17" s="47">
        <v>2014</v>
      </c>
      <c r="C17" s="50">
        <v>0.1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1750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1750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ht="15" x14ac:dyDescent="0.25">
      <c r="A18" s="47" t="s">
        <v>74</v>
      </c>
      <c r="B18" s="47"/>
      <c r="C18" s="47"/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26819.999999999996</v>
      </c>
      <c r="K18" s="49">
        <v>11920</v>
      </c>
      <c r="L18" s="49">
        <v>0</v>
      </c>
      <c r="M18" s="49">
        <v>0</v>
      </c>
      <c r="N18" s="49">
        <v>0</v>
      </c>
      <c r="O18" s="49">
        <v>0</v>
      </c>
      <c r="P18" s="49">
        <v>75990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ht="15" x14ac:dyDescent="0.25">
      <c r="A19" s="47" t="s">
        <v>65</v>
      </c>
      <c r="B19" s="47">
        <v>2014</v>
      </c>
      <c r="C19" s="50">
        <v>0.9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14715</v>
      </c>
      <c r="O19" s="53">
        <v>0</v>
      </c>
      <c r="P19" s="53">
        <v>14715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ht="15" x14ac:dyDescent="0.25">
      <c r="A20" s="47" t="s">
        <v>67</v>
      </c>
      <c r="B20" s="47">
        <v>2014</v>
      </c>
      <c r="C20" s="50">
        <v>0.7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12075</v>
      </c>
      <c r="N20" s="53">
        <v>0</v>
      </c>
      <c r="O20" s="53">
        <v>0</v>
      </c>
      <c r="P20" s="53">
        <v>12075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ht="15" x14ac:dyDescent="0.25">
      <c r="A21" s="47" t="s">
        <v>62</v>
      </c>
      <c r="B21" s="47">
        <v>2014</v>
      </c>
      <c r="C21" s="50">
        <v>1</v>
      </c>
      <c r="D21" s="53">
        <v>16600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16600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ht="15" x14ac:dyDescent="0.25">
      <c r="A22" s="47" t="s">
        <v>59</v>
      </c>
      <c r="B22" s="47">
        <v>2014</v>
      </c>
      <c r="C22" s="50">
        <v>0.4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7996</v>
      </c>
      <c r="M22" s="53">
        <v>0</v>
      </c>
      <c r="N22" s="53">
        <v>0</v>
      </c>
      <c r="O22" s="53">
        <v>0</v>
      </c>
      <c r="P22" s="53">
        <v>7996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5" x14ac:dyDescent="0.25">
      <c r="A23" s="47" t="s">
        <v>57</v>
      </c>
      <c r="B23" s="47">
        <v>2014</v>
      </c>
      <c r="C23" s="50">
        <v>0.2</v>
      </c>
      <c r="D23" s="53">
        <v>0</v>
      </c>
      <c r="E23" s="53">
        <v>0</v>
      </c>
      <c r="F23" s="53">
        <v>0</v>
      </c>
      <c r="G23" s="53">
        <v>0</v>
      </c>
      <c r="H23" s="53">
        <v>2800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2800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5" x14ac:dyDescent="0.25">
      <c r="A24" s="47" t="s">
        <v>53</v>
      </c>
      <c r="B24" s="47">
        <v>2014</v>
      </c>
      <c r="C24" s="50">
        <v>0.8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12400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12400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ht="15" x14ac:dyDescent="0.25">
      <c r="A25" s="47" t="s">
        <v>50</v>
      </c>
      <c r="B25" s="47">
        <v>2014</v>
      </c>
      <c r="C25" s="50">
        <v>0.6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10392</v>
      </c>
      <c r="N25" s="53">
        <v>0</v>
      </c>
      <c r="O25" s="53">
        <v>0</v>
      </c>
      <c r="P25" s="53">
        <v>10392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ht="15" x14ac:dyDescent="0.25">
      <c r="A26" s="47" t="s">
        <v>47</v>
      </c>
      <c r="B26" s="47">
        <v>2014</v>
      </c>
      <c r="C26" s="50">
        <v>0.7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10255</v>
      </c>
      <c r="P26" s="53">
        <v>10255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ht="15" x14ac:dyDescent="0.25">
      <c r="A27" s="47" t="s">
        <v>43</v>
      </c>
      <c r="B27" s="47">
        <v>2014</v>
      </c>
      <c r="C27" s="50">
        <v>0.8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12612</v>
      </c>
      <c r="O27" s="53">
        <v>0</v>
      </c>
      <c r="P27" s="53">
        <v>12612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ht="15" x14ac:dyDescent="0.25">
      <c r="A28" s="47" t="s">
        <v>39</v>
      </c>
      <c r="B28" s="47">
        <v>2014</v>
      </c>
      <c r="C28" s="50">
        <v>1</v>
      </c>
      <c r="D28" s="53">
        <v>0</v>
      </c>
      <c r="E28" s="53">
        <v>16200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16200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ht="15" x14ac:dyDescent="0.25">
      <c r="A29" s="47" t="s">
        <v>36</v>
      </c>
      <c r="B29" s="47">
        <v>2014</v>
      </c>
      <c r="C29" s="50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ht="15" x14ac:dyDescent="0.25">
      <c r="A30" s="47" t="s">
        <v>32</v>
      </c>
      <c r="B30" s="47">
        <v>2014</v>
      </c>
      <c r="C30" s="50">
        <v>1</v>
      </c>
      <c r="D30" s="53">
        <v>0</v>
      </c>
      <c r="E30" s="53">
        <v>0</v>
      </c>
      <c r="F30" s="53">
        <v>0</v>
      </c>
      <c r="G30" s="53">
        <v>17300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17300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ht="15" x14ac:dyDescent="0.25">
      <c r="A31" s="47" t="s">
        <v>102</v>
      </c>
      <c r="B31" s="47"/>
      <c r="C31" s="47"/>
      <c r="D31" s="49">
        <v>31600</v>
      </c>
      <c r="E31" s="49">
        <v>61440</v>
      </c>
      <c r="F31" s="49">
        <v>31950</v>
      </c>
      <c r="G31" s="49">
        <v>32050</v>
      </c>
      <c r="H31" s="49">
        <v>14400</v>
      </c>
      <c r="I31" s="49">
        <v>29700</v>
      </c>
      <c r="J31" s="49">
        <v>26819.999999999996</v>
      </c>
      <c r="K31" s="49">
        <v>11920</v>
      </c>
      <c r="L31" s="49">
        <v>7996</v>
      </c>
      <c r="M31" s="49">
        <v>44940.999999999993</v>
      </c>
      <c r="N31" s="49">
        <v>54595.500000000007</v>
      </c>
      <c r="O31" s="49">
        <v>30200</v>
      </c>
      <c r="P31" s="49">
        <v>4371187.5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29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29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29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29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29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9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29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29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29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29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29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29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29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</sheetData>
  <printOptions horizontalCentered="1"/>
  <pageMargins left="0.4" right="0.4" top="0.4" bottom="0.4" header="0.3" footer="0.3"/>
  <pageSetup scale="85" fitToHeight="0" orientation="landscape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4:E13"/>
  <sheetViews>
    <sheetView showGridLines="0" zoomScaleNormal="100" workbookViewId="0">
      <selection activeCell="E9" sqref="E9"/>
    </sheetView>
  </sheetViews>
  <sheetFormatPr defaultRowHeight="18.75" customHeight="1" x14ac:dyDescent="0.2"/>
  <cols>
    <col min="1" max="1" width="4.85546875" customWidth="1"/>
    <col min="2" max="2" width="14.7109375" customWidth="1"/>
    <col min="3" max="3" width="13.7109375" customWidth="1"/>
    <col min="4" max="4" width="8.5703125" customWidth="1"/>
    <col min="5" max="5" width="16.85546875" customWidth="1"/>
    <col min="6" max="6" width="13.7109375" customWidth="1"/>
  </cols>
  <sheetData>
    <row r="4" spans="2:5" ht="50.25" x14ac:dyDescent="0.75">
      <c r="B4" s="6" t="s">
        <v>125</v>
      </c>
    </row>
    <row r="5" spans="2:5" ht="47.25" x14ac:dyDescent="0.2">
      <c r="B5" s="7" t="s">
        <v>11</v>
      </c>
    </row>
    <row r="7" spans="2:5" ht="18.75" customHeight="1" x14ac:dyDescent="0.2">
      <c r="B7" s="11" t="s">
        <v>7</v>
      </c>
      <c r="C7" s="12" t="s">
        <v>8</v>
      </c>
      <c r="D7" s="12" t="s">
        <v>9</v>
      </c>
      <c r="E7" s="12" t="s">
        <v>10</v>
      </c>
    </row>
    <row r="8" spans="2:5" ht="18.75" customHeight="1" x14ac:dyDescent="0.2">
      <c r="B8" s="13" t="s">
        <v>0</v>
      </c>
      <c r="C8" s="51">
        <v>66</v>
      </c>
      <c r="D8" s="51">
        <v>3</v>
      </c>
      <c r="E8" s="52">
        <v>1</v>
      </c>
    </row>
    <row r="9" spans="2:5" ht="18.75" customHeight="1" x14ac:dyDescent="0.2">
      <c r="B9" s="14" t="s">
        <v>1</v>
      </c>
      <c r="C9" s="3">
        <v>54</v>
      </c>
      <c r="D9" s="3">
        <v>11</v>
      </c>
      <c r="E9" s="15"/>
    </row>
    <row r="10" spans="2:5" ht="18.75" customHeight="1" x14ac:dyDescent="0.2">
      <c r="B10" s="16" t="s">
        <v>2</v>
      </c>
      <c r="C10" s="4">
        <v>22</v>
      </c>
      <c r="D10" s="4">
        <v>4</v>
      </c>
      <c r="E10" s="17"/>
    </row>
    <row r="11" spans="2:5" ht="18.75" customHeight="1" x14ac:dyDescent="0.2">
      <c r="B11" s="18" t="s">
        <v>55</v>
      </c>
      <c r="C11" s="5">
        <v>12</v>
      </c>
      <c r="D11" s="19"/>
      <c r="E11" s="20"/>
    </row>
    <row r="12" spans="2:5" ht="18.75" customHeight="1" thickBot="1" x14ac:dyDescent="0.25"/>
    <row r="13" spans="2:5" ht="18.75" customHeight="1" thickTop="1" x14ac:dyDescent="0.2">
      <c r="B13" s="8"/>
      <c r="C13" s="8"/>
      <c r="D13" s="8"/>
      <c r="E13" s="8"/>
    </row>
  </sheetData>
  <printOptions horizontalCentered="1" verticalCentered="1"/>
  <pageMargins left="0.45" right="0.45" top="0.75" bottom="0.75" header="0.3" footer="0.3"/>
  <pageSetup scale="7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workbookViewId="0">
      <selection activeCell="A2" sqref="A2"/>
    </sheetView>
  </sheetViews>
  <sheetFormatPr defaultRowHeight="12.75" x14ac:dyDescent="0.2"/>
  <cols>
    <col min="2" max="2" width="11.28515625" customWidth="1"/>
    <col min="5" max="5" width="17.85546875" customWidth="1"/>
    <col min="6" max="6" width="9.140625" customWidth="1"/>
    <col min="9" max="9" width="6.28515625" customWidth="1"/>
    <col min="10" max="10" width="17.85546875" customWidth="1"/>
    <col min="11" max="11" width="9.140625" customWidth="1"/>
    <col min="12" max="13" width="9.28515625" customWidth="1"/>
    <col min="14" max="14" width="6.28515625" customWidth="1"/>
    <col min="15" max="15" width="17.85546875" customWidth="1"/>
    <col min="16" max="16" width="9.28515625" customWidth="1"/>
    <col min="17" max="17" width="9.140625" customWidth="1"/>
    <col min="19" max="19" width="6.28515625" customWidth="1"/>
    <col min="20" max="20" width="17.85546875" customWidth="1"/>
    <col min="21" max="22" width="9.140625" customWidth="1"/>
    <col min="28" max="28" width="10.28515625" customWidth="1"/>
    <col min="29" max="29" width="16.42578125" customWidth="1"/>
  </cols>
  <sheetData>
    <row r="1" spans="1:36" x14ac:dyDescent="0.2">
      <c r="A1" t="s">
        <v>5</v>
      </c>
    </row>
    <row r="7" spans="1:36" x14ac:dyDescent="0.2">
      <c r="B7" t="s">
        <v>17</v>
      </c>
      <c r="C7">
        <f>AVERAGE(AD13:AE13)</f>
        <v>91</v>
      </c>
    </row>
    <row r="9" spans="1:36" x14ac:dyDescent="0.2">
      <c r="AD9">
        <f>AA12/2+8+50</f>
        <v>91</v>
      </c>
    </row>
    <row r="10" spans="1:36" x14ac:dyDescent="0.2">
      <c r="E10" s="9" t="s">
        <v>16</v>
      </c>
      <c r="F10" s="9"/>
      <c r="G10" s="9"/>
      <c r="H10" s="9"/>
      <c r="J10" s="9" t="s">
        <v>21</v>
      </c>
      <c r="K10" s="9"/>
      <c r="L10" s="9"/>
      <c r="M10" s="9"/>
      <c r="O10" s="9" t="s">
        <v>24</v>
      </c>
      <c r="P10" s="9"/>
      <c r="Q10" s="9"/>
      <c r="R10" s="9"/>
      <c r="T10" s="9" t="s">
        <v>25</v>
      </c>
      <c r="U10" s="9"/>
      <c r="V10" s="9"/>
      <c r="W10" s="9"/>
      <c r="Y10" s="9" t="s">
        <v>27</v>
      </c>
    </row>
    <row r="11" spans="1:36" x14ac:dyDescent="0.2">
      <c r="B11" t="s">
        <v>6</v>
      </c>
      <c r="C11" s="1" t="s">
        <v>18</v>
      </c>
      <c r="E11" t="s">
        <v>22</v>
      </c>
      <c r="G11" s="1">
        <v>0.45</v>
      </c>
      <c r="H11" s="1">
        <f>3.85%*C7</f>
        <v>3.5034999999999998</v>
      </c>
      <c r="J11" t="s">
        <v>22</v>
      </c>
      <c r="L11" s="1">
        <v>0.45</v>
      </c>
      <c r="M11" s="1">
        <f>-3.85%*C7</f>
        <v>-3.5034999999999998</v>
      </c>
      <c r="O11" t="s">
        <v>22</v>
      </c>
      <c r="Q11" s="1">
        <v>0.45</v>
      </c>
      <c r="R11" s="1">
        <f>-19.2%*C7</f>
        <v>-17.472000000000001</v>
      </c>
      <c r="T11" t="s">
        <v>22</v>
      </c>
      <c r="V11" s="1">
        <v>0.45</v>
      </c>
      <c r="W11" s="1">
        <f>-25.7%*C7</f>
        <v>-23.387</v>
      </c>
      <c r="Y11">
        <v>1.8</v>
      </c>
      <c r="AD11">
        <f>AD12-8</f>
        <v>50</v>
      </c>
      <c r="AE11">
        <f>AE12+8</f>
        <v>132</v>
      </c>
    </row>
    <row r="12" spans="1:36" x14ac:dyDescent="0.2">
      <c r="B12" t="s">
        <v>19</v>
      </c>
      <c r="E12" s="1" t="s">
        <v>23</v>
      </c>
      <c r="F12" s="1" t="s">
        <v>26</v>
      </c>
      <c r="G12" s="1" t="s">
        <v>18</v>
      </c>
      <c r="H12" s="1" t="s">
        <v>4</v>
      </c>
      <c r="J12" s="1" t="s">
        <v>23</v>
      </c>
      <c r="K12" s="1" t="s">
        <v>26</v>
      </c>
      <c r="L12" s="1" t="s">
        <v>18</v>
      </c>
      <c r="M12" s="1" t="s">
        <v>4</v>
      </c>
      <c r="O12" s="1" t="s">
        <v>23</v>
      </c>
      <c r="P12" s="1" t="s">
        <v>26</v>
      </c>
      <c r="Q12" s="1" t="s">
        <v>18</v>
      </c>
      <c r="R12" s="1" t="s">
        <v>4</v>
      </c>
      <c r="T12" s="1" t="s">
        <v>23</v>
      </c>
      <c r="U12" s="1" t="s">
        <v>26</v>
      </c>
      <c r="V12" s="1" t="s">
        <v>18</v>
      </c>
      <c r="W12" s="1" t="s">
        <v>4</v>
      </c>
      <c r="Y12">
        <v>2</v>
      </c>
      <c r="AA12">
        <f>K13</f>
        <v>66</v>
      </c>
      <c r="AB12" t="s">
        <v>0</v>
      </c>
      <c r="AD12">
        <f>-AA12/2+$AD$9</f>
        <v>58</v>
      </c>
      <c r="AE12">
        <f>AA12/2+$AD$9</f>
        <v>124</v>
      </c>
      <c r="AG12">
        <f>AE12</f>
        <v>124</v>
      </c>
      <c r="AH12">
        <v>0</v>
      </c>
      <c r="AI12">
        <v>0</v>
      </c>
      <c r="AJ12">
        <v>0</v>
      </c>
    </row>
    <row r="13" spans="1:36" x14ac:dyDescent="0.2">
      <c r="B13" t="s">
        <v>0</v>
      </c>
      <c r="C13">
        <v>2</v>
      </c>
      <c r="E13" s="2">
        <f>F13</f>
        <v>1</v>
      </c>
      <c r="F13" s="2">
        <v>1</v>
      </c>
      <c r="G13" s="1">
        <f>$C13+G$11</f>
        <v>2.4500000000000002</v>
      </c>
      <c r="H13" s="1">
        <f>$C$7+$H$11</f>
        <v>94.503500000000003</v>
      </c>
      <c r="J13" s="1" t="str">
        <f>UPPER(B13)&amp;" "&amp;K13</f>
        <v>IDENTIFIED 66</v>
      </c>
      <c r="K13" s="10">
        <f>Funnel!C8</f>
        <v>66</v>
      </c>
      <c r="L13" s="1">
        <f>$C13+L$11</f>
        <v>2.4500000000000002</v>
      </c>
      <c r="M13" s="1">
        <f>$C$7+$M$11</f>
        <v>87.496499999999997</v>
      </c>
      <c r="O13" s="1" t="str">
        <f>"LOST " &amp; P13</f>
        <v>LOST 3</v>
      </c>
      <c r="P13" s="10">
        <f>Funnel!D8</f>
        <v>3</v>
      </c>
      <c r="Q13" s="1">
        <f>$C13+Q$11</f>
        <v>2.4500000000000002</v>
      </c>
      <c r="R13" s="1">
        <f>$C$7+$R$11</f>
        <v>73.527999999999992</v>
      </c>
      <c r="T13" s="1" t="str">
        <f>"UNQUALIFIED "&amp;U13</f>
        <v>UNQUALIFIED 1</v>
      </c>
      <c r="U13" s="10">
        <f>Funnel!E8</f>
        <v>1</v>
      </c>
      <c r="V13" s="1">
        <f>$C13+V$11</f>
        <v>2.4500000000000002</v>
      </c>
      <c r="W13" s="1">
        <f>$C$7+$W$11</f>
        <v>67.613</v>
      </c>
      <c r="Y13">
        <f>Y12+1</f>
        <v>3</v>
      </c>
      <c r="AB13" t="s">
        <v>12</v>
      </c>
      <c r="AD13">
        <f>-K13/2+$AD$9</f>
        <v>58</v>
      </c>
      <c r="AE13">
        <f>K13/2+$AD$9</f>
        <v>124</v>
      </c>
      <c r="AG13">
        <f>AE13</f>
        <v>124</v>
      </c>
      <c r="AH13">
        <f>AE13</f>
        <v>124</v>
      </c>
      <c r="AI13">
        <v>0</v>
      </c>
      <c r="AJ13">
        <v>0</v>
      </c>
    </row>
    <row r="14" spans="1:36" x14ac:dyDescent="0.2">
      <c r="B14" t="s">
        <v>1</v>
      </c>
      <c r="C14">
        <v>3</v>
      </c>
      <c r="E14" s="2">
        <f>F14</f>
        <v>0.81818181818181823</v>
      </c>
      <c r="F14" s="2">
        <f>Funnel!C9/Funnel!$C$8</f>
        <v>0.81818181818181823</v>
      </c>
      <c r="G14" s="1">
        <f>$C14+G$11</f>
        <v>3.45</v>
      </c>
      <c r="H14" s="1">
        <f>$C$7+$H$11</f>
        <v>94.503500000000003</v>
      </c>
      <c r="J14" s="1" t="str">
        <f>UPPER(B14)&amp;" "&amp;K14</f>
        <v>CONTACTED 54</v>
      </c>
      <c r="K14" s="10">
        <f>Funnel!C9</f>
        <v>54</v>
      </c>
      <c r="L14" s="1">
        <f>$C14+L$11</f>
        <v>3.45</v>
      </c>
      <c r="M14" s="1">
        <f>$C$7+$M$11</f>
        <v>87.496499999999997</v>
      </c>
      <c r="O14" s="1" t="str">
        <f>"LOST " &amp; P14</f>
        <v>LOST 11</v>
      </c>
      <c r="P14" s="10">
        <f>Funnel!D9</f>
        <v>11</v>
      </c>
      <c r="Q14" s="1">
        <f>$C14+Q$11</f>
        <v>3.45</v>
      </c>
      <c r="R14" s="1">
        <f>$C$7+$R$11</f>
        <v>73.527999999999992</v>
      </c>
      <c r="T14" s="1"/>
      <c r="U14" s="1"/>
      <c r="V14" s="1"/>
      <c r="W14" s="1"/>
      <c r="Y14">
        <f>Y13+1</f>
        <v>4</v>
      </c>
      <c r="AB14" t="s">
        <v>13</v>
      </c>
      <c r="AD14">
        <f>-K14/2+$AD$9</f>
        <v>64</v>
      </c>
      <c r="AE14">
        <f>K14/2+$AD$9</f>
        <v>118</v>
      </c>
      <c r="AH14">
        <f>AE14</f>
        <v>118</v>
      </c>
      <c r="AI14">
        <f>AE14</f>
        <v>118</v>
      </c>
      <c r="AJ14">
        <v>0</v>
      </c>
    </row>
    <row r="15" spans="1:36" x14ac:dyDescent="0.2">
      <c r="B15" t="s">
        <v>2</v>
      </c>
      <c r="C15">
        <v>4</v>
      </c>
      <c r="E15" s="2">
        <f>F15</f>
        <v>0.33333333333333331</v>
      </c>
      <c r="F15" s="2">
        <f>Funnel!C10/Funnel!$C$8</f>
        <v>0.33333333333333331</v>
      </c>
      <c r="G15" s="1">
        <f>$C15+G$11</f>
        <v>4.45</v>
      </c>
      <c r="H15" s="1">
        <f>$C$7+$H$11</f>
        <v>94.503500000000003</v>
      </c>
      <c r="J15" s="1" t="str">
        <f>UPPER(B15)&amp;" "&amp;K15</f>
        <v>DISCUSSION 22</v>
      </c>
      <c r="K15" s="10">
        <f>Funnel!C10</f>
        <v>22</v>
      </c>
      <c r="L15" s="1">
        <f>$C15+L$11</f>
        <v>4.45</v>
      </c>
      <c r="M15" s="1">
        <f>$C$7+$M$11</f>
        <v>87.496499999999997</v>
      </c>
      <c r="O15" s="1" t="str">
        <f>"LOST " &amp; P15</f>
        <v>LOST 4</v>
      </c>
      <c r="P15" s="10">
        <f>Funnel!D10</f>
        <v>4</v>
      </c>
      <c r="Q15" s="1">
        <f>$C15+Q$11</f>
        <v>4.45</v>
      </c>
      <c r="R15" s="1">
        <f>$C$7+$R$11</f>
        <v>73.527999999999992</v>
      </c>
      <c r="T15" s="1"/>
      <c r="U15" s="1"/>
      <c r="V15" s="1"/>
      <c r="W15" s="1"/>
      <c r="Y15">
        <f>Y14+1</f>
        <v>5</v>
      </c>
      <c r="AB15" t="s">
        <v>14</v>
      </c>
      <c r="AD15">
        <f>-K15/2+$AD$9</f>
        <v>80</v>
      </c>
      <c r="AE15">
        <f>K15/2+$AD$9</f>
        <v>102</v>
      </c>
      <c r="AI15">
        <f>AE15</f>
        <v>102</v>
      </c>
      <c r="AJ15">
        <f>AE15</f>
        <v>102</v>
      </c>
    </row>
    <row r="16" spans="1:36" x14ac:dyDescent="0.2">
      <c r="B16" t="s">
        <v>3</v>
      </c>
      <c r="C16">
        <v>5</v>
      </c>
      <c r="E16" s="2">
        <f>F16</f>
        <v>0.18181818181818182</v>
      </c>
      <c r="F16" s="2">
        <f>Funnel!C11/Funnel!$C$8</f>
        <v>0.18181818181818182</v>
      </c>
      <c r="G16" s="1">
        <f>$C16+G$11 - 0.1</f>
        <v>5.3500000000000005</v>
      </c>
      <c r="H16" s="1">
        <f>$C$7+$H$11</f>
        <v>94.503500000000003</v>
      </c>
      <c r="J16" s="1" t="str">
        <f>UPPER(B16)</f>
        <v>WON</v>
      </c>
      <c r="K16" s="10">
        <f>Funnel!C11</f>
        <v>12</v>
      </c>
      <c r="L16" s="1">
        <f>$C16+L$11 -0.1</f>
        <v>5.3500000000000005</v>
      </c>
      <c r="M16" s="1">
        <f>$C$7+$M$11</f>
        <v>87.496499999999997</v>
      </c>
      <c r="O16" s="1"/>
      <c r="P16" s="1"/>
      <c r="Q16" s="1"/>
      <c r="R16" s="1"/>
      <c r="T16" s="1"/>
      <c r="U16" s="1"/>
      <c r="V16" s="1"/>
      <c r="W16" s="1"/>
      <c r="Y16">
        <f>Y15+1</f>
        <v>6</v>
      </c>
      <c r="AB16" t="s">
        <v>15</v>
      </c>
      <c r="AD16">
        <f>-K16/2+$AD$9</f>
        <v>85</v>
      </c>
      <c r="AE16">
        <f>K16/2+$AD$9</f>
        <v>97</v>
      </c>
      <c r="AJ16">
        <f>AE16</f>
        <v>97</v>
      </c>
    </row>
    <row r="17" spans="2:13" x14ac:dyDescent="0.2">
      <c r="B17" t="s">
        <v>20</v>
      </c>
      <c r="C17">
        <v>6</v>
      </c>
      <c r="K17" s="1">
        <f>K16</f>
        <v>12</v>
      </c>
      <c r="L17" s="1">
        <v>6.44</v>
      </c>
      <c r="M17" s="1">
        <f>C7</f>
        <v>91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9764968-C5A2-43BF-B6EF-D623DAE971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Opportunities</vt:lpstr>
      <vt:lpstr>Summary</vt:lpstr>
      <vt:lpstr>Funnel</vt:lpstr>
      <vt:lpstr>scratch</vt:lpstr>
      <vt:lpstr>Opportunities!Print_Titles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Erin A. Olsen</dc:creator>
  <cp:keywords/>
  <cp:lastModifiedBy>Michael Brookes</cp:lastModifiedBy>
  <dcterms:created xsi:type="dcterms:W3CDTF">2014-03-15T17:32:34Z</dcterms:created>
  <dcterms:modified xsi:type="dcterms:W3CDTF">2014-03-17T14:42:14Z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TC038452839991</vt:lpwstr>
  </property>
</Properties>
</file>