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0.37.90.10\電子商務\寶僑\3.行銷與圖文素材\酷澎報價\新增資料夾\NEW\2026 Q3\"/>
    </mc:Choice>
  </mc:AlternateContent>
  <xr:revisionPtr revIDLastSave="0" documentId="13_ncr:1_{321B6DAA-593A-49A3-B361-57434726E3A3}" xr6:coauthVersionLast="36" xr6:coauthVersionMax="36" xr10:uidLastSave="{00000000-0000-0000-0000-000000000000}"/>
  <bookViews>
    <workbookView xWindow="0" yWindow="0" windowWidth="15200" windowHeight="7960" activeTab="1" xr2:uid="{E70B1E45-8EE7-4380-9B95-460D66A3EAD8}"/>
  </bookViews>
  <sheets>
    <sheet name="工作表1" sheetId="2" r:id="rId1"/>
    <sheet name="Sheet1" sheetId="1" r:id="rId2"/>
    <sheet name="工作表2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xlnm._FilterDatabase" localSheetId="1" hidden="1">Sheet1!$A$1:$CV$244</definedName>
  </definedNames>
  <calcPr calcId="191029"/>
  <pivotCaches>
    <pivotCache cacheId="8" r:id="rId1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F2" i="1" l="1"/>
  <c r="BF3" i="1" l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F107" i="1"/>
  <c r="BF108" i="1"/>
  <c r="BF109" i="1"/>
  <c r="BF110" i="1"/>
  <c r="BF111" i="1"/>
  <c r="BF112" i="1"/>
  <c r="BF113" i="1"/>
  <c r="BF114" i="1"/>
  <c r="BF115" i="1"/>
  <c r="BF116" i="1"/>
  <c r="BF117" i="1"/>
  <c r="BF118" i="1"/>
  <c r="BF119" i="1"/>
  <c r="BF120" i="1"/>
  <c r="BF121" i="1"/>
  <c r="BF122" i="1"/>
  <c r="BF123" i="1"/>
  <c r="BF124" i="1"/>
  <c r="BF125" i="1"/>
  <c r="BF126" i="1"/>
  <c r="BF127" i="1"/>
  <c r="BF128" i="1"/>
  <c r="BF129" i="1"/>
  <c r="BF130" i="1"/>
  <c r="BF131" i="1"/>
  <c r="BF132" i="1"/>
  <c r="BF133" i="1"/>
  <c r="BF134" i="1"/>
  <c r="BF135" i="1"/>
  <c r="BF136" i="1"/>
  <c r="BF137" i="1"/>
  <c r="BF138" i="1"/>
  <c r="BF139" i="1"/>
  <c r="BF140" i="1"/>
  <c r="BF141" i="1"/>
  <c r="BF142" i="1"/>
  <c r="BF143" i="1"/>
  <c r="BF144" i="1"/>
  <c r="BF145" i="1"/>
  <c r="BF146" i="1"/>
  <c r="BF147" i="1"/>
  <c r="BF148" i="1"/>
  <c r="BF149" i="1"/>
  <c r="BF150" i="1"/>
  <c r="BF151" i="1"/>
  <c r="BF152" i="1"/>
  <c r="BF153" i="1"/>
  <c r="BF154" i="1"/>
  <c r="BF155" i="1"/>
  <c r="BF156" i="1"/>
  <c r="BF157" i="1"/>
  <c r="BF158" i="1"/>
  <c r="BF159" i="1"/>
  <c r="BF160" i="1"/>
  <c r="BF161" i="1"/>
  <c r="BF162" i="1"/>
  <c r="BF163" i="1"/>
  <c r="BF164" i="1"/>
  <c r="BF165" i="1"/>
  <c r="BF166" i="1"/>
  <c r="BF167" i="1"/>
  <c r="BF168" i="1"/>
  <c r="BF169" i="1"/>
  <c r="BF170" i="1"/>
  <c r="BF171" i="1"/>
  <c r="BF172" i="1"/>
  <c r="BF173" i="1"/>
  <c r="BF174" i="1"/>
  <c r="BF175" i="1"/>
  <c r="BF176" i="1"/>
  <c r="BF177" i="1"/>
  <c r="BF178" i="1"/>
  <c r="BF179" i="1"/>
  <c r="BF180" i="1"/>
  <c r="BF181" i="1"/>
  <c r="BF182" i="1"/>
  <c r="BF183" i="1"/>
  <c r="BF184" i="1"/>
  <c r="BF185" i="1"/>
  <c r="BF186" i="1"/>
  <c r="BF187" i="1"/>
  <c r="BF188" i="1"/>
  <c r="BF189" i="1"/>
  <c r="BF190" i="1"/>
  <c r="BF191" i="1"/>
  <c r="BF192" i="1"/>
  <c r="BF193" i="1"/>
  <c r="BF194" i="1"/>
  <c r="BF195" i="1"/>
  <c r="BF196" i="1"/>
  <c r="BF197" i="1"/>
  <c r="BF198" i="1"/>
  <c r="BF199" i="1"/>
  <c r="BF200" i="1"/>
  <c r="BF201" i="1"/>
  <c r="BF202" i="1"/>
  <c r="BF203" i="1"/>
  <c r="BF204" i="1"/>
  <c r="BF205" i="1"/>
  <c r="BF206" i="1"/>
  <c r="BF207" i="1"/>
  <c r="BF208" i="1"/>
  <c r="BF209" i="1"/>
  <c r="BF210" i="1"/>
  <c r="BF211" i="1"/>
  <c r="BF212" i="1"/>
  <c r="BF213" i="1"/>
  <c r="BF214" i="1"/>
  <c r="BF215" i="1"/>
  <c r="BF216" i="1"/>
  <c r="BF217" i="1"/>
  <c r="BF218" i="1"/>
  <c r="BF219" i="1"/>
  <c r="BF220" i="1"/>
  <c r="BF221" i="1"/>
  <c r="BF222" i="1"/>
  <c r="BF223" i="1"/>
  <c r="BF224" i="1"/>
  <c r="BF225" i="1"/>
  <c r="BF226" i="1"/>
  <c r="BF227" i="1"/>
  <c r="BF228" i="1"/>
  <c r="BF229" i="1"/>
  <c r="BF230" i="1"/>
  <c r="BF231" i="1"/>
  <c r="BF232" i="1"/>
  <c r="BF233" i="1"/>
  <c r="BF234" i="1"/>
  <c r="BF235" i="1"/>
  <c r="BF236" i="1"/>
  <c r="BF237" i="1"/>
  <c r="BF238" i="1"/>
  <c r="BF239" i="1"/>
  <c r="BF240" i="1"/>
  <c r="BF241" i="1"/>
  <c r="BF242" i="1"/>
  <c r="BF243" i="1"/>
  <c r="AX244" i="1" l="1"/>
  <c r="BD3" i="1" l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187" i="1"/>
  <c r="BD188" i="1"/>
  <c r="BD189" i="1"/>
  <c r="BD190" i="1"/>
  <c r="BD191" i="1"/>
  <c r="BD192" i="1"/>
  <c r="BD193" i="1"/>
  <c r="BD194" i="1"/>
  <c r="BD195" i="1"/>
  <c r="BD196" i="1"/>
  <c r="BD197" i="1"/>
  <c r="BD198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T215" i="1" s="1"/>
  <c r="BD216" i="1"/>
  <c r="BT216" i="1" s="1"/>
  <c r="BD217" i="1"/>
  <c r="BT217" i="1" s="1"/>
  <c r="BD218" i="1"/>
  <c r="BT218" i="1" s="1"/>
  <c r="BD219" i="1"/>
  <c r="BT219" i="1" s="1"/>
  <c r="BD220" i="1"/>
  <c r="BT220" i="1" s="1"/>
  <c r="BD221" i="1"/>
  <c r="BT221" i="1" s="1"/>
  <c r="BD222" i="1"/>
  <c r="BT222" i="1" s="1"/>
  <c r="BD223" i="1"/>
  <c r="BT223" i="1" s="1"/>
  <c r="BD224" i="1"/>
  <c r="BT224" i="1" s="1"/>
  <c r="BD225" i="1"/>
  <c r="BT225" i="1" s="1"/>
  <c r="BD226" i="1"/>
  <c r="BT226" i="1" s="1"/>
  <c r="BD227" i="1"/>
  <c r="BT227" i="1" s="1"/>
  <c r="BD228" i="1"/>
  <c r="BT228" i="1" s="1"/>
  <c r="BD229" i="1"/>
  <c r="BT229" i="1" s="1"/>
  <c r="BD230" i="1"/>
  <c r="BT230" i="1" s="1"/>
  <c r="BD231" i="1"/>
  <c r="BT231" i="1" s="1"/>
  <c r="BD232" i="1"/>
  <c r="BT232" i="1" s="1"/>
  <c r="BD233" i="1"/>
  <c r="BT233" i="1" s="1"/>
  <c r="BD234" i="1"/>
  <c r="BT234" i="1" s="1"/>
  <c r="BD235" i="1"/>
  <c r="BD236" i="1"/>
  <c r="BD237" i="1"/>
  <c r="BD238" i="1"/>
  <c r="BD239" i="1"/>
  <c r="BD240" i="1"/>
  <c r="BD241" i="1"/>
  <c r="BD242" i="1"/>
  <c r="BD243" i="1"/>
  <c r="BI20" i="1"/>
  <c r="BI21" i="1"/>
  <c r="BI67" i="1"/>
  <c r="BI85" i="1"/>
  <c r="BI86" i="1"/>
  <c r="BI87" i="1"/>
  <c r="BI88" i="1"/>
  <c r="BI89" i="1"/>
  <c r="BI90" i="1"/>
  <c r="BI100" i="1"/>
  <c r="BI215" i="1"/>
  <c r="BI217" i="1"/>
  <c r="BI218" i="1"/>
  <c r="BI219" i="1"/>
  <c r="BI222" i="1"/>
  <c r="BI224" i="1"/>
  <c r="BI228" i="1"/>
  <c r="BI229" i="1"/>
  <c r="BI236" i="1"/>
  <c r="BI237" i="1"/>
  <c r="BI238" i="1"/>
  <c r="BI242" i="1"/>
  <c r="BI243" i="1"/>
  <c r="BS242" i="1" l="1"/>
  <c r="BU242" i="1"/>
  <c r="BT242" i="1"/>
  <c r="BU210" i="1"/>
  <c r="BS210" i="1"/>
  <c r="BT210" i="1"/>
  <c r="BU202" i="1"/>
  <c r="BS202" i="1"/>
  <c r="BT202" i="1"/>
  <c r="BU194" i="1"/>
  <c r="BS194" i="1"/>
  <c r="BT194" i="1"/>
  <c r="BU186" i="1"/>
  <c r="BS186" i="1"/>
  <c r="BT186" i="1"/>
  <c r="BU178" i="1"/>
  <c r="BS178" i="1"/>
  <c r="BT178" i="1"/>
  <c r="BU170" i="1"/>
  <c r="BS170" i="1"/>
  <c r="BT170" i="1"/>
  <c r="BU162" i="1"/>
  <c r="BS162" i="1"/>
  <c r="BT162" i="1"/>
  <c r="BU154" i="1"/>
  <c r="BS154" i="1"/>
  <c r="BT154" i="1"/>
  <c r="BU146" i="1"/>
  <c r="BS146" i="1"/>
  <c r="BT146" i="1"/>
  <c r="BU138" i="1"/>
  <c r="BS138" i="1"/>
  <c r="BT138" i="1"/>
  <c r="BU130" i="1"/>
  <c r="BS130" i="1"/>
  <c r="BT130" i="1"/>
  <c r="BU122" i="1"/>
  <c r="BS122" i="1"/>
  <c r="BT122" i="1"/>
  <c r="BU114" i="1"/>
  <c r="BS114" i="1"/>
  <c r="BT114" i="1"/>
  <c r="BU106" i="1"/>
  <c r="BS106" i="1"/>
  <c r="BT106" i="1"/>
  <c r="BU98" i="1"/>
  <c r="BS98" i="1"/>
  <c r="BT98" i="1"/>
  <c r="BU90" i="1"/>
  <c r="BS90" i="1"/>
  <c r="BT90" i="1"/>
  <c r="BU82" i="1"/>
  <c r="BS82" i="1"/>
  <c r="BT82" i="1"/>
  <c r="BU74" i="1"/>
  <c r="BS74" i="1"/>
  <c r="BT74" i="1"/>
  <c r="BU66" i="1"/>
  <c r="BS66" i="1"/>
  <c r="BT66" i="1"/>
  <c r="BU58" i="1"/>
  <c r="BS58" i="1"/>
  <c r="BT58" i="1"/>
  <c r="BU50" i="1"/>
  <c r="BS50" i="1"/>
  <c r="BT50" i="1"/>
  <c r="BU42" i="1"/>
  <c r="BS42" i="1"/>
  <c r="BT42" i="1"/>
  <c r="BU34" i="1"/>
  <c r="BS34" i="1"/>
  <c r="BT34" i="1"/>
  <c r="BU26" i="1"/>
  <c r="BS26" i="1"/>
  <c r="BT26" i="1"/>
  <c r="BU18" i="1"/>
  <c r="BS18" i="1"/>
  <c r="BT18" i="1"/>
  <c r="BU10" i="1"/>
  <c r="BS10" i="1"/>
  <c r="BT10" i="1"/>
  <c r="BU241" i="1"/>
  <c r="BS241" i="1"/>
  <c r="BT241" i="1"/>
  <c r="BS209" i="1"/>
  <c r="BT209" i="1"/>
  <c r="BU209" i="1"/>
  <c r="BS201" i="1"/>
  <c r="BT201" i="1"/>
  <c r="BU201" i="1"/>
  <c r="BS193" i="1"/>
  <c r="BT193" i="1"/>
  <c r="BU193" i="1"/>
  <c r="BS185" i="1"/>
  <c r="BT185" i="1"/>
  <c r="BU185" i="1"/>
  <c r="BS177" i="1"/>
  <c r="BT177" i="1"/>
  <c r="BU177" i="1"/>
  <c r="BS169" i="1"/>
  <c r="BT169" i="1"/>
  <c r="BU169" i="1"/>
  <c r="BS161" i="1"/>
  <c r="BT161" i="1"/>
  <c r="BU161" i="1"/>
  <c r="BS153" i="1"/>
  <c r="BT153" i="1"/>
  <c r="BU153" i="1"/>
  <c r="BS145" i="1"/>
  <c r="BT145" i="1"/>
  <c r="BU145" i="1"/>
  <c r="BS137" i="1"/>
  <c r="BT137" i="1"/>
  <c r="BU137" i="1"/>
  <c r="BS129" i="1"/>
  <c r="BT129" i="1"/>
  <c r="BU129" i="1"/>
  <c r="BS121" i="1"/>
  <c r="BT121" i="1"/>
  <c r="BU121" i="1"/>
  <c r="BS113" i="1"/>
  <c r="BT113" i="1"/>
  <c r="BU113" i="1"/>
  <c r="BS105" i="1"/>
  <c r="BU105" i="1"/>
  <c r="BS97" i="1"/>
  <c r="BT97" i="1"/>
  <c r="BU97" i="1"/>
  <c r="BS89" i="1"/>
  <c r="BT89" i="1"/>
  <c r="BU89" i="1"/>
  <c r="BS81" i="1"/>
  <c r="BT81" i="1"/>
  <c r="BU81" i="1"/>
  <c r="BS73" i="1"/>
  <c r="BT73" i="1"/>
  <c r="BU73" i="1"/>
  <c r="BS65" i="1"/>
  <c r="BT65" i="1"/>
  <c r="BU65" i="1"/>
  <c r="BS57" i="1"/>
  <c r="BT57" i="1"/>
  <c r="BU57" i="1"/>
  <c r="BS49" i="1"/>
  <c r="BT49" i="1"/>
  <c r="BU49" i="1"/>
  <c r="BS41" i="1"/>
  <c r="BT41" i="1"/>
  <c r="BU41" i="1"/>
  <c r="BS33" i="1"/>
  <c r="BT33" i="1"/>
  <c r="BU33" i="1"/>
  <c r="BS25" i="1"/>
  <c r="BT25" i="1"/>
  <c r="BU25" i="1"/>
  <c r="BS17" i="1"/>
  <c r="BT17" i="1"/>
  <c r="BU17" i="1"/>
  <c r="BS9" i="1"/>
  <c r="BT9" i="1"/>
  <c r="BU9" i="1"/>
  <c r="BS240" i="1"/>
  <c r="BT240" i="1"/>
  <c r="BU240" i="1"/>
  <c r="BS208" i="1"/>
  <c r="BU208" i="1"/>
  <c r="BT208" i="1"/>
  <c r="BS200" i="1"/>
  <c r="BT200" i="1"/>
  <c r="BU200" i="1"/>
  <c r="BS192" i="1"/>
  <c r="BU192" i="1"/>
  <c r="BT192" i="1"/>
  <c r="BS184" i="1"/>
  <c r="BT184" i="1"/>
  <c r="BU184" i="1"/>
  <c r="BS176" i="1"/>
  <c r="BT176" i="1"/>
  <c r="BU176" i="1"/>
  <c r="BS168" i="1"/>
  <c r="BU168" i="1"/>
  <c r="BT168" i="1"/>
  <c r="BS160" i="1"/>
  <c r="BU160" i="1"/>
  <c r="BT160" i="1"/>
  <c r="BS152" i="1"/>
  <c r="BU152" i="1"/>
  <c r="BT152" i="1"/>
  <c r="BS144" i="1"/>
  <c r="BU144" i="1"/>
  <c r="BT144" i="1"/>
  <c r="BS136" i="1"/>
  <c r="BT136" i="1"/>
  <c r="BU136" i="1"/>
  <c r="BS128" i="1"/>
  <c r="BU128" i="1"/>
  <c r="BT128" i="1"/>
  <c r="BS120" i="1"/>
  <c r="BU120" i="1"/>
  <c r="BT120" i="1"/>
  <c r="BS112" i="1"/>
  <c r="BT112" i="1"/>
  <c r="BU112" i="1"/>
  <c r="BS104" i="1"/>
  <c r="BU104" i="1"/>
  <c r="BT104" i="1"/>
  <c r="BS96" i="1"/>
  <c r="BU96" i="1"/>
  <c r="BT96" i="1"/>
  <c r="BS88" i="1"/>
  <c r="BU88" i="1"/>
  <c r="BT88" i="1"/>
  <c r="BS80" i="1"/>
  <c r="BU80" i="1"/>
  <c r="BT80" i="1"/>
  <c r="BS72" i="1"/>
  <c r="BT72" i="1"/>
  <c r="BU72" i="1"/>
  <c r="BS64" i="1"/>
  <c r="BU64" i="1"/>
  <c r="BT64" i="1"/>
  <c r="BS56" i="1"/>
  <c r="BT56" i="1"/>
  <c r="BU56" i="1"/>
  <c r="BS48" i="1"/>
  <c r="BT48" i="1"/>
  <c r="BU48" i="1"/>
  <c r="BS40" i="1"/>
  <c r="BU40" i="1"/>
  <c r="BT40" i="1"/>
  <c r="BS32" i="1"/>
  <c r="BU32" i="1"/>
  <c r="BT32" i="1"/>
  <c r="BS24" i="1"/>
  <c r="BT24" i="1"/>
  <c r="BU24" i="1"/>
  <c r="BS16" i="1"/>
  <c r="BT16" i="1"/>
  <c r="BU16" i="1"/>
  <c r="BS8" i="1"/>
  <c r="BT8" i="1"/>
  <c r="BU8" i="1"/>
  <c r="BU239" i="1"/>
  <c r="BT239" i="1"/>
  <c r="BS239" i="1"/>
  <c r="BT207" i="1"/>
  <c r="BU207" i="1"/>
  <c r="BS207" i="1"/>
  <c r="BT199" i="1"/>
  <c r="BU199" i="1"/>
  <c r="BS199" i="1"/>
  <c r="BT191" i="1"/>
  <c r="BU191" i="1"/>
  <c r="BS191" i="1"/>
  <c r="BT183" i="1"/>
  <c r="BU183" i="1"/>
  <c r="BS183" i="1"/>
  <c r="BT175" i="1"/>
  <c r="BU175" i="1"/>
  <c r="BS175" i="1"/>
  <c r="BT167" i="1"/>
  <c r="BU167" i="1"/>
  <c r="BS167" i="1"/>
  <c r="BT159" i="1"/>
  <c r="BU159" i="1"/>
  <c r="BS159" i="1"/>
  <c r="BT151" i="1"/>
  <c r="BU151" i="1"/>
  <c r="BS151" i="1"/>
  <c r="BT143" i="1"/>
  <c r="BU143" i="1"/>
  <c r="BS143" i="1"/>
  <c r="BT135" i="1"/>
  <c r="BU135" i="1"/>
  <c r="BS135" i="1"/>
  <c r="BT127" i="1"/>
  <c r="BU127" i="1"/>
  <c r="BS127" i="1"/>
  <c r="BT119" i="1"/>
  <c r="BU119" i="1"/>
  <c r="BS119" i="1"/>
  <c r="BT111" i="1"/>
  <c r="BU111" i="1"/>
  <c r="BS111" i="1"/>
  <c r="BT103" i="1"/>
  <c r="BU103" i="1"/>
  <c r="BS103" i="1"/>
  <c r="BT95" i="1"/>
  <c r="BU95" i="1"/>
  <c r="BS95" i="1"/>
  <c r="BT87" i="1"/>
  <c r="BU87" i="1"/>
  <c r="BS87" i="1"/>
  <c r="BT79" i="1"/>
  <c r="BU79" i="1"/>
  <c r="BS79" i="1"/>
  <c r="BT71" i="1"/>
  <c r="BU71" i="1"/>
  <c r="BS71" i="1"/>
  <c r="BT63" i="1"/>
  <c r="BU63" i="1"/>
  <c r="BS63" i="1"/>
  <c r="BT55" i="1"/>
  <c r="BU55" i="1"/>
  <c r="BS55" i="1"/>
  <c r="BT47" i="1"/>
  <c r="BU47" i="1"/>
  <c r="BS47" i="1"/>
  <c r="BU39" i="1"/>
  <c r="BS39" i="1"/>
  <c r="BT31" i="1"/>
  <c r="BU31" i="1"/>
  <c r="BS31" i="1"/>
  <c r="BT23" i="1"/>
  <c r="BU23" i="1"/>
  <c r="BS23" i="1"/>
  <c r="BU15" i="1"/>
  <c r="BS15" i="1"/>
  <c r="BT15" i="1"/>
  <c r="BU7" i="1"/>
  <c r="BS7" i="1"/>
  <c r="BT7" i="1"/>
  <c r="BU238" i="1"/>
  <c r="BS238" i="1"/>
  <c r="BT238" i="1"/>
  <c r="BT214" i="1"/>
  <c r="BU214" i="1"/>
  <c r="BS214" i="1"/>
  <c r="BT206" i="1"/>
  <c r="BU206" i="1"/>
  <c r="BS206" i="1"/>
  <c r="BT198" i="1"/>
  <c r="BS198" i="1"/>
  <c r="BU198" i="1"/>
  <c r="BT190" i="1"/>
  <c r="BS190" i="1"/>
  <c r="BU190" i="1"/>
  <c r="BT182" i="1"/>
  <c r="BU182" i="1"/>
  <c r="BS182" i="1"/>
  <c r="BT174" i="1"/>
  <c r="BU174" i="1"/>
  <c r="BS174" i="1"/>
  <c r="BT166" i="1"/>
  <c r="BU166" i="1"/>
  <c r="BS166" i="1"/>
  <c r="BT158" i="1"/>
  <c r="BS158" i="1"/>
  <c r="BU158" i="1"/>
  <c r="BT150" i="1"/>
  <c r="BU150" i="1"/>
  <c r="BS150" i="1"/>
  <c r="BT142" i="1"/>
  <c r="BU142" i="1"/>
  <c r="BS142" i="1"/>
  <c r="BT134" i="1"/>
  <c r="BS134" i="1"/>
  <c r="BU134" i="1"/>
  <c r="BT126" i="1"/>
  <c r="BS126" i="1"/>
  <c r="BU126" i="1"/>
  <c r="BT118" i="1"/>
  <c r="BU118" i="1"/>
  <c r="BS118" i="1"/>
  <c r="BT110" i="1"/>
  <c r="BU110" i="1"/>
  <c r="BS110" i="1"/>
  <c r="BT102" i="1"/>
  <c r="BU102" i="1"/>
  <c r="BS102" i="1"/>
  <c r="BT94" i="1"/>
  <c r="BS94" i="1"/>
  <c r="BU94" i="1"/>
  <c r="BT86" i="1"/>
  <c r="BU86" i="1"/>
  <c r="BS86" i="1"/>
  <c r="BT78" i="1"/>
  <c r="BS78" i="1"/>
  <c r="BU78" i="1"/>
  <c r="BT70" i="1"/>
  <c r="BS70" i="1"/>
  <c r="BU70" i="1"/>
  <c r="BT62" i="1"/>
  <c r="BS62" i="1"/>
  <c r="BU62" i="1"/>
  <c r="BT54" i="1"/>
  <c r="BS54" i="1"/>
  <c r="BU54" i="1"/>
  <c r="BT46" i="1"/>
  <c r="BU46" i="1"/>
  <c r="BS46" i="1"/>
  <c r="BT38" i="1"/>
  <c r="BU38" i="1"/>
  <c r="BS38" i="1"/>
  <c r="BT30" i="1"/>
  <c r="BU30" i="1"/>
  <c r="BS30" i="1"/>
  <c r="BT22" i="1"/>
  <c r="BU22" i="1"/>
  <c r="BS22" i="1"/>
  <c r="BT14" i="1"/>
  <c r="BU14" i="1"/>
  <c r="BS14" i="1"/>
  <c r="BT6" i="1"/>
  <c r="BU6" i="1"/>
  <c r="BS6" i="1"/>
  <c r="BS237" i="1"/>
  <c r="BT237" i="1"/>
  <c r="BU237" i="1"/>
  <c r="BU213" i="1"/>
  <c r="BS213" i="1"/>
  <c r="BT213" i="1"/>
  <c r="BU205" i="1"/>
  <c r="BS205" i="1"/>
  <c r="BT205" i="1"/>
  <c r="BU197" i="1"/>
  <c r="BS197" i="1"/>
  <c r="BT197" i="1"/>
  <c r="BU189" i="1"/>
  <c r="BS189" i="1"/>
  <c r="BT189" i="1"/>
  <c r="BU181" i="1"/>
  <c r="BS181" i="1"/>
  <c r="BT181" i="1"/>
  <c r="BU173" i="1"/>
  <c r="BS173" i="1"/>
  <c r="BT173" i="1"/>
  <c r="BU165" i="1"/>
  <c r="BS165" i="1"/>
  <c r="BT165" i="1"/>
  <c r="BU157" i="1"/>
  <c r="BS157" i="1"/>
  <c r="BT157" i="1"/>
  <c r="BU149" i="1"/>
  <c r="BS149" i="1"/>
  <c r="BT149" i="1"/>
  <c r="BU141" i="1"/>
  <c r="BS141" i="1"/>
  <c r="BT141" i="1"/>
  <c r="BU133" i="1"/>
  <c r="BS133" i="1"/>
  <c r="BT133" i="1"/>
  <c r="BU125" i="1"/>
  <c r="BS125" i="1"/>
  <c r="BT125" i="1"/>
  <c r="BU117" i="1"/>
  <c r="BS117" i="1"/>
  <c r="BT117" i="1"/>
  <c r="BU109" i="1"/>
  <c r="BS109" i="1"/>
  <c r="BT109" i="1"/>
  <c r="BU101" i="1"/>
  <c r="BS101" i="1"/>
  <c r="BT101" i="1"/>
  <c r="BU93" i="1"/>
  <c r="BS93" i="1"/>
  <c r="BT93" i="1"/>
  <c r="BU85" i="1"/>
  <c r="BS85" i="1"/>
  <c r="BT85" i="1"/>
  <c r="BU77" i="1"/>
  <c r="BS77" i="1"/>
  <c r="BT77" i="1"/>
  <c r="BU69" i="1"/>
  <c r="BS69" i="1"/>
  <c r="BT69" i="1"/>
  <c r="BU61" i="1"/>
  <c r="BS61" i="1"/>
  <c r="BT61" i="1"/>
  <c r="BU53" i="1"/>
  <c r="BS53" i="1"/>
  <c r="BT53" i="1"/>
  <c r="BU45" i="1"/>
  <c r="BS45" i="1"/>
  <c r="BT45" i="1"/>
  <c r="BU37" i="1"/>
  <c r="BS37" i="1"/>
  <c r="BT37" i="1"/>
  <c r="BU29" i="1"/>
  <c r="BS29" i="1"/>
  <c r="BT29" i="1"/>
  <c r="BU21" i="1"/>
  <c r="BS21" i="1"/>
  <c r="BT21" i="1"/>
  <c r="BT13" i="1"/>
  <c r="BU13" i="1"/>
  <c r="BS13" i="1"/>
  <c r="BT5" i="1"/>
  <c r="BU5" i="1"/>
  <c r="BS5" i="1"/>
  <c r="BS236" i="1"/>
  <c r="BT236" i="1"/>
  <c r="BU236" i="1"/>
  <c r="BS212" i="1"/>
  <c r="BT212" i="1"/>
  <c r="BU212" i="1"/>
  <c r="BS204" i="1"/>
  <c r="BT204" i="1"/>
  <c r="BU204" i="1"/>
  <c r="BU196" i="1"/>
  <c r="BS196" i="1"/>
  <c r="BT196" i="1"/>
  <c r="BU188" i="1"/>
  <c r="BS188" i="1"/>
  <c r="BT188" i="1"/>
  <c r="BU180" i="1"/>
  <c r="BS180" i="1"/>
  <c r="BT180" i="1"/>
  <c r="BU172" i="1"/>
  <c r="BS172" i="1"/>
  <c r="BT172" i="1"/>
  <c r="BU164" i="1"/>
  <c r="BS164" i="1"/>
  <c r="BT164" i="1"/>
  <c r="BU156" i="1"/>
  <c r="BS156" i="1"/>
  <c r="BT156" i="1"/>
  <c r="BU148" i="1"/>
  <c r="BS148" i="1"/>
  <c r="BT148" i="1"/>
  <c r="BU140" i="1"/>
  <c r="BS140" i="1"/>
  <c r="BT140" i="1"/>
  <c r="BU132" i="1"/>
  <c r="BS132" i="1"/>
  <c r="BT132" i="1"/>
  <c r="BU124" i="1"/>
  <c r="BS124" i="1"/>
  <c r="BT124" i="1"/>
  <c r="BU116" i="1"/>
  <c r="BS116" i="1"/>
  <c r="BT116" i="1"/>
  <c r="BU108" i="1"/>
  <c r="BS108" i="1"/>
  <c r="BT108" i="1"/>
  <c r="BU100" i="1"/>
  <c r="BS100" i="1"/>
  <c r="BT100" i="1"/>
  <c r="BU92" i="1"/>
  <c r="BS92" i="1"/>
  <c r="BT92" i="1"/>
  <c r="BU84" i="1"/>
  <c r="BS84" i="1"/>
  <c r="BT84" i="1"/>
  <c r="BU76" i="1"/>
  <c r="BS76" i="1"/>
  <c r="BT76" i="1"/>
  <c r="BU68" i="1"/>
  <c r="BS68" i="1"/>
  <c r="BT68" i="1"/>
  <c r="BU60" i="1"/>
  <c r="BS60" i="1"/>
  <c r="BT60" i="1"/>
  <c r="BU52" i="1"/>
  <c r="BS52" i="1"/>
  <c r="BT52" i="1"/>
  <c r="BU44" i="1"/>
  <c r="BS44" i="1"/>
  <c r="BU36" i="1"/>
  <c r="BS36" i="1"/>
  <c r="BT36" i="1"/>
  <c r="BU28" i="1"/>
  <c r="BS28" i="1"/>
  <c r="BT28" i="1"/>
  <c r="BU20" i="1"/>
  <c r="BS20" i="1"/>
  <c r="BT20" i="1"/>
  <c r="BU12" i="1"/>
  <c r="BS12" i="1"/>
  <c r="BT12" i="1"/>
  <c r="BU4" i="1"/>
  <c r="BS4" i="1"/>
  <c r="BT4" i="1"/>
  <c r="BU243" i="1"/>
  <c r="BS243" i="1"/>
  <c r="BT243" i="1"/>
  <c r="BU235" i="1"/>
  <c r="BT235" i="1"/>
  <c r="BS235" i="1"/>
  <c r="BU211" i="1"/>
  <c r="BS211" i="1"/>
  <c r="BT211" i="1"/>
  <c r="BU203" i="1"/>
  <c r="BS203" i="1"/>
  <c r="BT203" i="1"/>
  <c r="BU195" i="1"/>
  <c r="BS195" i="1"/>
  <c r="BT195" i="1"/>
  <c r="BU187" i="1"/>
  <c r="BS187" i="1"/>
  <c r="BT187" i="1"/>
  <c r="BU179" i="1"/>
  <c r="BS179" i="1"/>
  <c r="BT179" i="1"/>
  <c r="BU171" i="1"/>
  <c r="BS171" i="1"/>
  <c r="BT171" i="1"/>
  <c r="BU163" i="1"/>
  <c r="BS163" i="1"/>
  <c r="BT163" i="1"/>
  <c r="BU155" i="1"/>
  <c r="BS155" i="1"/>
  <c r="BT155" i="1"/>
  <c r="BU147" i="1"/>
  <c r="BS147" i="1"/>
  <c r="BT147" i="1"/>
  <c r="BU139" i="1"/>
  <c r="BS139" i="1"/>
  <c r="BT139" i="1"/>
  <c r="BU131" i="1"/>
  <c r="BS131" i="1"/>
  <c r="BT131" i="1"/>
  <c r="BU123" i="1"/>
  <c r="BS123" i="1"/>
  <c r="BT123" i="1"/>
  <c r="BU115" i="1"/>
  <c r="BS115" i="1"/>
  <c r="BT115" i="1"/>
  <c r="BU107" i="1"/>
  <c r="BS107" i="1"/>
  <c r="BT107" i="1"/>
  <c r="BU99" i="1"/>
  <c r="BS99" i="1"/>
  <c r="BT99" i="1"/>
  <c r="BU91" i="1"/>
  <c r="BS91" i="1"/>
  <c r="BT91" i="1"/>
  <c r="BU83" i="1"/>
  <c r="BS83" i="1"/>
  <c r="BT83" i="1"/>
  <c r="BU75" i="1"/>
  <c r="BS75" i="1"/>
  <c r="BT75" i="1"/>
  <c r="BU67" i="1"/>
  <c r="BS67" i="1"/>
  <c r="BT67" i="1"/>
  <c r="BU59" i="1"/>
  <c r="BS59" i="1"/>
  <c r="BT59" i="1"/>
  <c r="BU51" i="1"/>
  <c r="BS51" i="1"/>
  <c r="BT51" i="1"/>
  <c r="BU43" i="1"/>
  <c r="BS43" i="1"/>
  <c r="BT43" i="1"/>
  <c r="BU35" i="1"/>
  <c r="BS35" i="1"/>
  <c r="BT35" i="1"/>
  <c r="BU27" i="1"/>
  <c r="BS27" i="1"/>
  <c r="BT27" i="1"/>
  <c r="BU19" i="1"/>
  <c r="BT19" i="1"/>
  <c r="BS19" i="1"/>
  <c r="BU11" i="1"/>
  <c r="BS11" i="1"/>
  <c r="BT11" i="1"/>
  <c r="BU3" i="1"/>
  <c r="BS3" i="1"/>
  <c r="BT3" i="1"/>
  <c r="BD2" i="1"/>
  <c r="BS2" i="1" s="1"/>
  <c r="AN3" i="1" l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" i="1"/>
  <c r="R61" i="1" l="1"/>
  <c r="R60" i="1"/>
  <c r="BW55" i="1" l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54" i="1"/>
  <c r="BW3" i="1"/>
  <c r="BW4" i="1"/>
  <c r="BW5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" i="1"/>
  <c r="O215" i="1" l="1"/>
  <c r="O218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13" i="1"/>
  <c r="O53" i="1"/>
  <c r="O49" i="1"/>
  <c r="O48" i="1"/>
  <c r="O47" i="1"/>
  <c r="O46" i="1"/>
  <c r="O45" i="1"/>
  <c r="O43" i="1"/>
  <c r="O42" i="1"/>
  <c r="O41" i="1"/>
  <c r="O40" i="1"/>
  <c r="O38" i="1"/>
  <c r="O37" i="1"/>
  <c r="O36" i="1"/>
  <c r="O35" i="1"/>
  <c r="O34" i="1"/>
  <c r="O33" i="1"/>
  <c r="O32" i="1"/>
  <c r="O31" i="1"/>
  <c r="O30" i="1"/>
  <c r="O29" i="1"/>
  <c r="O28" i="1"/>
  <c r="O26" i="1"/>
  <c r="O21" i="1"/>
  <c r="O20" i="1"/>
  <c r="O8" i="1"/>
  <c r="O3" i="1"/>
  <c r="O2" i="1"/>
  <c r="O213" i="1" l="1"/>
  <c r="O214" i="1"/>
  <c r="BE80" i="1" l="1"/>
  <c r="BE76" i="1"/>
  <c r="BE74" i="1"/>
  <c r="BE56" i="1"/>
  <c r="BE54" i="1"/>
  <c r="AW244" i="1" l="1"/>
  <c r="BE20" i="1" l="1"/>
  <c r="BE21" i="1"/>
  <c r="BE22" i="1"/>
  <c r="BE23" i="1"/>
  <c r="BE85" i="1"/>
  <c r="BE86" i="1"/>
  <c r="BE87" i="1"/>
  <c r="BE88" i="1"/>
  <c r="BE89" i="1"/>
  <c r="BE90" i="1"/>
  <c r="BE92" i="1"/>
  <c r="BE30" i="1" l="1"/>
  <c r="BE43" i="1"/>
  <c r="BE228" i="1"/>
  <c r="BE13" i="1"/>
  <c r="BE53" i="1"/>
  <c r="BE25" i="1"/>
  <c r="BE10" i="1"/>
  <c r="BE224" i="1"/>
  <c r="BE51" i="1"/>
  <c r="BE37" i="1"/>
  <c r="BE9" i="1"/>
  <c r="BE217" i="1"/>
  <c r="BE229" i="1"/>
  <c r="BE41" i="1"/>
  <c r="BE26" i="1"/>
  <c r="BE12" i="1"/>
  <c r="BE226" i="1"/>
  <c r="BE11" i="1"/>
  <c r="BE52" i="1"/>
  <c r="BE38" i="1"/>
  <c r="BE223" i="1"/>
  <c r="BE50" i="1"/>
  <c r="BE36" i="1"/>
  <c r="BE8" i="1"/>
  <c r="BE16" i="1"/>
  <c r="BE216" i="1"/>
  <c r="BE29" i="1"/>
  <c r="BE27" i="1"/>
  <c r="BE39" i="1"/>
  <c r="BE24" i="1"/>
  <c r="BE222" i="1"/>
  <c r="BE49" i="1"/>
  <c r="BE35" i="1"/>
  <c r="BE7" i="1"/>
  <c r="BE231" i="1"/>
  <c r="BE230" i="1"/>
  <c r="BE15" i="1"/>
  <c r="BE215" i="1"/>
  <c r="BE14" i="1"/>
  <c r="BE227" i="1"/>
  <c r="BE225" i="1"/>
  <c r="BE221" i="1"/>
  <c r="BE48" i="1"/>
  <c r="BE34" i="1"/>
  <c r="BE6" i="1"/>
  <c r="BE42" i="1"/>
  <c r="BE40" i="1"/>
  <c r="BE234" i="1"/>
  <c r="BE220" i="1"/>
  <c r="BE33" i="1"/>
  <c r="BE5" i="1"/>
  <c r="BE233" i="1"/>
  <c r="BE219" i="1"/>
  <c r="BE46" i="1"/>
  <c r="BE32" i="1"/>
  <c r="BE18" i="1"/>
  <c r="BE4" i="1"/>
  <c r="BE44" i="1"/>
  <c r="BE2" i="1"/>
  <c r="BE28" i="1"/>
  <c r="BE47" i="1"/>
  <c r="BE19" i="1"/>
  <c r="BE232" i="1"/>
  <c r="BE218" i="1"/>
  <c r="BE45" i="1"/>
  <c r="BE31" i="1"/>
  <c r="BE17" i="1"/>
  <c r="BE3" i="1"/>
  <c r="BE79" i="1"/>
  <c r="BE84" i="1"/>
  <c r="BE66" i="1"/>
  <c r="BE83" i="1"/>
  <c r="BE81" i="1"/>
  <c r="BE67" i="1"/>
  <c r="BE65" i="1"/>
  <c r="BE72" i="1"/>
  <c r="BE71" i="1"/>
  <c r="BE64" i="1"/>
  <c r="BE77" i="1"/>
  <c r="BE62" i="1"/>
  <c r="BE58" i="1"/>
  <c r="BE69" i="1"/>
  <c r="BE82" i="1"/>
  <c r="BE75" i="1"/>
  <c r="BE61" i="1"/>
  <c r="BE57" i="1"/>
  <c r="BE78" i="1"/>
  <c r="BE63" i="1"/>
  <c r="BE60" i="1"/>
  <c r="BE70" i="1"/>
  <c r="BE55" i="1"/>
  <c r="BE68" i="1"/>
  <c r="BE73" i="1"/>
  <c r="BE59" i="1"/>
  <c r="BG20" i="1" l="1"/>
  <c r="BG21" i="1"/>
  <c r="BG67" i="1"/>
  <c r="BG85" i="1"/>
  <c r="BG86" i="1"/>
  <c r="BG87" i="1"/>
  <c r="BG88" i="1"/>
  <c r="BG89" i="1"/>
  <c r="BG90" i="1"/>
  <c r="BG100" i="1"/>
  <c r="BG215" i="1"/>
  <c r="BG217" i="1"/>
  <c r="BG218" i="1"/>
  <c r="BG219" i="1"/>
  <c r="BG222" i="1"/>
  <c r="BG224" i="1"/>
  <c r="BG228" i="1"/>
  <c r="BG229" i="1"/>
  <c r="BG236" i="1"/>
  <c r="BG237" i="1"/>
  <c r="BG238" i="1"/>
  <c r="BG242" i="1"/>
  <c r="BG243" i="1"/>
  <c r="BH20" i="1"/>
  <c r="BH21" i="1"/>
  <c r="BH67" i="1"/>
  <c r="BH85" i="1"/>
  <c r="BH86" i="1"/>
  <c r="BH87" i="1"/>
  <c r="BH88" i="1"/>
  <c r="BH89" i="1"/>
  <c r="BH90" i="1"/>
  <c r="BH100" i="1"/>
  <c r="BH215" i="1"/>
  <c r="BH217" i="1"/>
  <c r="BH218" i="1"/>
  <c r="BH219" i="1"/>
  <c r="BH222" i="1"/>
  <c r="BH224" i="1"/>
  <c r="BH228" i="1"/>
  <c r="BH229" i="1"/>
  <c r="BH236" i="1"/>
  <c r="BH237" i="1"/>
  <c r="BH238" i="1"/>
  <c r="BH242" i="1"/>
  <c r="BH243" i="1"/>
  <c r="AY244" i="1" l="1"/>
  <c r="CT17" i="1" l="1"/>
  <c r="BE213" i="1" l="1"/>
  <c r="BE214" i="1"/>
  <c r="BR242" i="1"/>
  <c r="BR243" i="1"/>
  <c r="AD244" i="1"/>
  <c r="AE244" i="1"/>
  <c r="AF244" i="1"/>
  <c r="AG244" i="1"/>
  <c r="AH244" i="1"/>
  <c r="AI244" i="1"/>
  <c r="AJ244" i="1"/>
  <c r="AK244" i="1"/>
  <c r="AL244" i="1"/>
  <c r="AM244" i="1"/>
  <c r="AO244" i="1"/>
  <c r="AP244" i="1"/>
  <c r="AQ244" i="1"/>
  <c r="AR244" i="1"/>
  <c r="AS244" i="1"/>
  <c r="AT244" i="1"/>
  <c r="AU244" i="1"/>
  <c r="AV244" i="1"/>
  <c r="AZ244" i="1"/>
  <c r="BA244" i="1"/>
  <c r="BB244" i="1"/>
  <c r="BC244" i="1"/>
  <c r="BQ215" i="1" l="1"/>
  <c r="BQ216" i="1"/>
  <c r="BQ219" i="1"/>
  <c r="BQ220" i="1"/>
  <c r="BQ221" i="1"/>
  <c r="BQ222" i="1"/>
  <c r="BQ223" i="1"/>
  <c r="BQ224" i="1"/>
  <c r="BQ225" i="1"/>
  <c r="BQ228" i="1"/>
  <c r="BQ229" i="1"/>
  <c r="BQ230" i="1"/>
  <c r="BQ234" i="1"/>
  <c r="BQ235" i="1"/>
  <c r="BP236" i="1"/>
  <c r="BQ237" i="1"/>
  <c r="BP238" i="1"/>
  <c r="BP239" i="1"/>
  <c r="BQ240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L216" i="1"/>
  <c r="BU216" i="1" s="1"/>
  <c r="L217" i="1"/>
  <c r="BU217" i="1" s="1"/>
  <c r="L218" i="1"/>
  <c r="BU218" i="1" s="1"/>
  <c r="L219" i="1"/>
  <c r="BU219" i="1" s="1"/>
  <c r="L220" i="1"/>
  <c r="BU220" i="1" s="1"/>
  <c r="L221" i="1"/>
  <c r="BU221" i="1" s="1"/>
  <c r="L222" i="1"/>
  <c r="BU222" i="1" s="1"/>
  <c r="L223" i="1"/>
  <c r="BU223" i="1" s="1"/>
  <c r="L224" i="1"/>
  <c r="BU224" i="1" s="1"/>
  <c r="L225" i="1"/>
  <c r="BU225" i="1" s="1"/>
  <c r="L226" i="1"/>
  <c r="BU226" i="1" s="1"/>
  <c r="L227" i="1"/>
  <c r="BU227" i="1" s="1"/>
  <c r="L228" i="1"/>
  <c r="BU228" i="1" s="1"/>
  <c r="L229" i="1"/>
  <c r="BU229" i="1" s="1"/>
  <c r="L230" i="1"/>
  <c r="BU230" i="1" s="1"/>
  <c r="L231" i="1"/>
  <c r="BU231" i="1" s="1"/>
  <c r="L232" i="1"/>
  <c r="BU232" i="1" s="1"/>
  <c r="L233" i="1"/>
  <c r="BU233" i="1" s="1"/>
  <c r="L234" i="1"/>
  <c r="BU234" i="1" s="1"/>
  <c r="L215" i="1"/>
  <c r="BU215" i="1" s="1"/>
  <c r="K215" i="1"/>
  <c r="BS215" i="1" s="1"/>
  <c r="K216" i="1"/>
  <c r="BS216" i="1" s="1"/>
  <c r="K217" i="1"/>
  <c r="BS217" i="1" s="1"/>
  <c r="K218" i="1"/>
  <c r="BS218" i="1" s="1"/>
  <c r="K219" i="1"/>
  <c r="BS219" i="1" s="1"/>
  <c r="K220" i="1"/>
  <c r="BS220" i="1" s="1"/>
  <c r="K221" i="1"/>
  <c r="BS221" i="1" s="1"/>
  <c r="K222" i="1"/>
  <c r="BS222" i="1" s="1"/>
  <c r="K223" i="1"/>
  <c r="BS223" i="1" s="1"/>
  <c r="K224" i="1"/>
  <c r="BS224" i="1" s="1"/>
  <c r="K225" i="1"/>
  <c r="BS225" i="1" s="1"/>
  <c r="K226" i="1"/>
  <c r="BS226" i="1" s="1"/>
  <c r="K227" i="1"/>
  <c r="BS227" i="1" s="1"/>
  <c r="K228" i="1"/>
  <c r="BS228" i="1" s="1"/>
  <c r="K229" i="1"/>
  <c r="BS229" i="1" s="1"/>
  <c r="K230" i="1"/>
  <c r="BS230" i="1" s="1"/>
  <c r="K231" i="1"/>
  <c r="BS231" i="1" s="1"/>
  <c r="K232" i="1"/>
  <c r="BS232" i="1" s="1"/>
  <c r="K233" i="1"/>
  <c r="BS233" i="1" s="1"/>
  <c r="K234" i="1"/>
  <c r="BS234" i="1" s="1"/>
  <c r="BE236" i="1" l="1"/>
  <c r="BE239" i="1"/>
  <c r="BE237" i="1"/>
  <c r="BE241" i="1"/>
  <c r="BE238" i="1"/>
  <c r="BE240" i="1"/>
  <c r="BE235" i="1"/>
  <c r="BR241" i="1"/>
  <c r="BQ226" i="1"/>
  <c r="BQ231" i="1"/>
  <c r="BP230" i="1"/>
  <c r="BP229" i="1"/>
  <c r="BP228" i="1"/>
  <c r="BP224" i="1"/>
  <c r="BP223" i="1"/>
  <c r="BR229" i="1"/>
  <c r="BR228" i="1"/>
  <c r="BR225" i="1"/>
  <c r="BR224" i="1"/>
  <c r="BR217" i="1"/>
  <c r="BR226" i="1"/>
  <c r="BR223" i="1"/>
  <c r="BQ241" i="1"/>
  <c r="BR238" i="1"/>
  <c r="BR215" i="1"/>
  <c r="BR221" i="1"/>
  <c r="BR234" i="1"/>
  <c r="BR220" i="1"/>
  <c r="BQ239" i="1"/>
  <c r="BR233" i="1"/>
  <c r="BR219" i="1"/>
  <c r="BR222" i="1"/>
  <c r="BR231" i="1"/>
  <c r="BP237" i="1"/>
  <c r="BR230" i="1"/>
  <c r="BR216" i="1"/>
  <c r="BP219" i="1"/>
  <c r="BP231" i="1"/>
  <c r="BP227" i="1"/>
  <c r="BQ238" i="1"/>
  <c r="BQ236" i="1"/>
  <c r="BQ227" i="1"/>
  <c r="BP233" i="1"/>
  <c r="BP232" i="1"/>
  <c r="BP218" i="1"/>
  <c r="BQ218" i="1"/>
  <c r="BP217" i="1"/>
  <c r="BR218" i="1"/>
  <c r="BP225" i="1"/>
  <c r="BQ217" i="1"/>
  <c r="BP216" i="1"/>
  <c r="BP215" i="1"/>
  <c r="BR232" i="1"/>
  <c r="BQ233" i="1"/>
  <c r="BP241" i="1"/>
  <c r="BP222" i="1"/>
  <c r="BQ232" i="1"/>
  <c r="BR240" i="1"/>
  <c r="BR227" i="1"/>
  <c r="BP234" i="1"/>
  <c r="BP220" i="1"/>
  <c r="BR237" i="1"/>
  <c r="BR236" i="1"/>
  <c r="BP240" i="1"/>
  <c r="BP226" i="1"/>
  <c r="BR239" i="1"/>
  <c r="BR235" i="1"/>
  <c r="BP235" i="1"/>
  <c r="BP221" i="1"/>
  <c r="CR10" i="1" l="1"/>
  <c r="CN10" i="1"/>
  <c r="CH10" i="1"/>
  <c r="CH13" i="1" l="1"/>
  <c r="CR13" i="1"/>
  <c r="CQ40" i="1" s="1"/>
  <c r="CN13" i="1" l="1"/>
  <c r="CQ39" i="1" s="1"/>
  <c r="BE207" i="1"/>
  <c r="BE206" i="1"/>
  <c r="BQ69" i="1"/>
  <c r="BQ97" i="1"/>
  <c r="BQ125" i="1"/>
  <c r="BP132" i="1"/>
  <c r="BP135" i="1"/>
  <c r="BP136" i="1"/>
  <c r="BP160" i="1"/>
  <c r="BP197" i="1"/>
  <c r="BP198" i="1"/>
  <c r="BR3" i="1"/>
  <c r="BR4" i="1"/>
  <c r="BR5" i="1"/>
  <c r="BR7" i="1"/>
  <c r="BR8" i="1"/>
  <c r="BR10" i="1"/>
  <c r="BR11" i="1"/>
  <c r="BR12" i="1"/>
  <c r="BR14" i="1"/>
  <c r="BR15" i="1"/>
  <c r="BR16" i="1"/>
  <c r="BR17" i="1"/>
  <c r="BQ18" i="1"/>
  <c r="BR19" i="1"/>
  <c r="BQ23" i="1"/>
  <c r="BQ24" i="1"/>
  <c r="BQ25" i="1"/>
  <c r="BQ26" i="1"/>
  <c r="BR27" i="1"/>
  <c r="BR28" i="1"/>
  <c r="BR30" i="1"/>
  <c r="BR31" i="1"/>
  <c r="BR32" i="1"/>
  <c r="BR33" i="1"/>
  <c r="BR34" i="1"/>
  <c r="BR35" i="1"/>
  <c r="BR37" i="1"/>
  <c r="BR38" i="1"/>
  <c r="BP41" i="1"/>
  <c r="BR42" i="1"/>
  <c r="BR44" i="1"/>
  <c r="BR45" i="1"/>
  <c r="BR46" i="1"/>
  <c r="BQ47" i="1"/>
  <c r="BR48" i="1"/>
  <c r="BR49" i="1"/>
  <c r="BQ51" i="1"/>
  <c r="BQ52" i="1"/>
  <c r="BQ53" i="1"/>
  <c r="BQ54" i="1"/>
  <c r="BR55" i="1"/>
  <c r="BR56" i="1"/>
  <c r="BR58" i="1"/>
  <c r="BR59" i="1"/>
  <c r="BR60" i="1"/>
  <c r="BR61" i="1"/>
  <c r="BR62" i="1"/>
  <c r="BR63" i="1"/>
  <c r="BP64" i="1"/>
  <c r="BR65" i="1"/>
  <c r="BR66" i="1"/>
  <c r="BQ68" i="1"/>
  <c r="BR70" i="1"/>
  <c r="BP72" i="1"/>
  <c r="BR73" i="1"/>
  <c r="BR74" i="1"/>
  <c r="BR75" i="1"/>
  <c r="BR76" i="1"/>
  <c r="BR77" i="1"/>
  <c r="BQ79" i="1"/>
  <c r="BQ80" i="1"/>
  <c r="BQ81" i="1"/>
  <c r="BQ82" i="1"/>
  <c r="BQ83" i="1"/>
  <c r="BR84" i="1"/>
  <c r="BP85" i="1"/>
  <c r="BQ86" i="1"/>
  <c r="BR87" i="1"/>
  <c r="BR88" i="1"/>
  <c r="BR89" i="1"/>
  <c r="BR90" i="1"/>
  <c r="BR91" i="1"/>
  <c r="BR93" i="1"/>
  <c r="BP94" i="1"/>
  <c r="BQ95" i="1"/>
  <c r="BR98" i="1"/>
  <c r="BP99" i="1"/>
  <c r="BR100" i="1"/>
  <c r="BR101" i="1"/>
  <c r="BR102" i="1"/>
  <c r="BR103" i="1"/>
  <c r="BR104" i="1"/>
  <c r="BR105" i="1"/>
  <c r="BR106" i="1"/>
  <c r="BR107" i="1"/>
  <c r="BP108" i="1"/>
  <c r="BQ109" i="1"/>
  <c r="BQ110" i="1"/>
  <c r="BQ111" i="1"/>
  <c r="BR112" i="1"/>
  <c r="BP113" i="1"/>
  <c r="BQ114" i="1"/>
  <c r="BR115" i="1"/>
  <c r="BR116" i="1"/>
  <c r="BR117" i="1"/>
  <c r="BR118" i="1"/>
  <c r="BR119" i="1"/>
  <c r="BQ120" i="1"/>
  <c r="BP121" i="1"/>
  <c r="BP122" i="1"/>
  <c r="BP123" i="1"/>
  <c r="BQ124" i="1"/>
  <c r="BR125" i="1"/>
  <c r="BR126" i="1"/>
  <c r="BP127" i="1"/>
  <c r="BR128" i="1"/>
  <c r="BR129" i="1"/>
  <c r="BR130" i="1"/>
  <c r="BR131" i="1"/>
  <c r="BR132" i="1"/>
  <c r="BR133" i="1"/>
  <c r="BR134" i="1"/>
  <c r="BR135" i="1"/>
  <c r="BR136" i="1"/>
  <c r="BQ138" i="1"/>
  <c r="BR139" i="1"/>
  <c r="BR140" i="1"/>
  <c r="BR142" i="1"/>
  <c r="BR143" i="1"/>
  <c r="BR144" i="1"/>
  <c r="BR145" i="1"/>
  <c r="BR146" i="1"/>
  <c r="BR147" i="1"/>
  <c r="BQ148" i="1"/>
  <c r="BR149" i="1"/>
  <c r="BR150" i="1"/>
  <c r="BP151" i="1"/>
  <c r="BR152" i="1"/>
  <c r="BR153" i="1"/>
  <c r="BR154" i="1"/>
  <c r="BP155" i="1"/>
  <c r="BR156" i="1"/>
  <c r="BR157" i="1"/>
  <c r="BR158" i="1"/>
  <c r="BR159" i="1"/>
  <c r="BQ160" i="1"/>
  <c r="BR161" i="1"/>
  <c r="BR162" i="1"/>
  <c r="BR163" i="1"/>
  <c r="BQ167" i="1"/>
  <c r="BR168" i="1"/>
  <c r="BP169" i="1"/>
  <c r="BQ170" i="1"/>
  <c r="BR171" i="1"/>
  <c r="BR172" i="1"/>
  <c r="BR173" i="1"/>
  <c r="BR174" i="1"/>
  <c r="BR175" i="1"/>
  <c r="BR176" i="1"/>
  <c r="BP177" i="1"/>
  <c r="BQ178" i="1"/>
  <c r="BP179" i="1"/>
  <c r="BR180" i="1"/>
  <c r="BR181" i="1"/>
  <c r="BR182" i="1"/>
  <c r="BP183" i="1"/>
  <c r="BR184" i="1"/>
  <c r="BR185" i="1"/>
  <c r="BR186" i="1"/>
  <c r="BR187" i="1"/>
  <c r="BR188" i="1"/>
  <c r="BR189" i="1"/>
  <c r="BP191" i="1"/>
  <c r="BP195" i="1"/>
  <c r="BR196" i="1"/>
  <c r="BR199" i="1"/>
  <c r="BR200" i="1"/>
  <c r="BR201" i="1"/>
  <c r="BR202" i="1"/>
  <c r="BR203" i="1"/>
  <c r="BR204" i="1"/>
  <c r="BP205" i="1"/>
  <c r="BQ206" i="1"/>
  <c r="BQ207" i="1"/>
  <c r="BP208" i="1"/>
  <c r="BP209" i="1"/>
  <c r="BR210" i="1"/>
  <c r="BP212" i="1"/>
  <c r="BR213" i="1"/>
  <c r="BR214" i="1"/>
  <c r="BP167" i="1" l="1"/>
  <c r="BQ55" i="1"/>
  <c r="BQ41" i="1"/>
  <c r="BR167" i="1"/>
  <c r="BR160" i="1"/>
  <c r="BR83" i="1"/>
  <c r="BP125" i="1"/>
  <c r="BR47" i="1"/>
  <c r="BP111" i="1"/>
  <c r="BR41" i="1"/>
  <c r="BP66" i="1"/>
  <c r="BP65" i="1"/>
  <c r="BQ209" i="1"/>
  <c r="BQ153" i="1"/>
  <c r="BP128" i="1"/>
  <c r="BP55" i="1"/>
  <c r="BQ121" i="1"/>
  <c r="BP184" i="1"/>
  <c r="BP58" i="1"/>
  <c r="BQ122" i="1"/>
  <c r="BP181" i="1"/>
  <c r="BP27" i="1"/>
  <c r="BR86" i="1"/>
  <c r="BQ212" i="1"/>
  <c r="BQ72" i="1"/>
  <c r="BP163" i="1"/>
  <c r="BQ205" i="1"/>
  <c r="BP162" i="1"/>
  <c r="BP107" i="1"/>
  <c r="BQ204" i="1"/>
  <c r="BP106" i="1"/>
  <c r="BQ184" i="1"/>
  <c r="BP156" i="1"/>
  <c r="BP100" i="1"/>
  <c r="BQ181" i="1"/>
  <c r="BR209" i="1"/>
  <c r="BQ162" i="1"/>
  <c r="BP153" i="1"/>
  <c r="BP83" i="1"/>
  <c r="BQ156" i="1"/>
  <c r="BR170" i="1"/>
  <c r="BP134" i="1"/>
  <c r="BQ123" i="1"/>
  <c r="BQ194" i="1"/>
  <c r="BR194" i="1"/>
  <c r="BQ166" i="1"/>
  <c r="BP166" i="1"/>
  <c r="BR166" i="1"/>
  <c r="BR96" i="1"/>
  <c r="BP96" i="1"/>
  <c r="BP40" i="1"/>
  <c r="BR40" i="1"/>
  <c r="BQ193" i="1"/>
  <c r="BR193" i="1"/>
  <c r="BQ165" i="1"/>
  <c r="BP165" i="1"/>
  <c r="BR165" i="1"/>
  <c r="BQ137" i="1"/>
  <c r="BR137" i="1"/>
  <c r="BP39" i="1"/>
  <c r="BR39" i="1"/>
  <c r="BR192" i="1"/>
  <c r="BP192" i="1"/>
  <c r="BP164" i="1"/>
  <c r="BR164" i="1"/>
  <c r="BQ192" i="1"/>
  <c r="BR138" i="1"/>
  <c r="BQ152" i="1"/>
  <c r="BR178" i="1"/>
  <c r="BR190" i="1"/>
  <c r="BP190" i="1"/>
  <c r="BR120" i="1"/>
  <c r="BP120" i="1"/>
  <c r="BR92" i="1"/>
  <c r="BQ92" i="1"/>
  <c r="BR78" i="1"/>
  <c r="BQ78" i="1"/>
  <c r="BR64" i="1"/>
  <c r="BQ64" i="1"/>
  <c r="BR50" i="1"/>
  <c r="BQ50" i="1"/>
  <c r="BR36" i="1"/>
  <c r="BR22" i="1"/>
  <c r="BQ22" i="1"/>
  <c r="BR6" i="1"/>
  <c r="BQ6" i="1"/>
  <c r="BP193" i="1"/>
  <c r="BP23" i="1"/>
  <c r="BQ190" i="1"/>
  <c r="BQ151" i="1"/>
  <c r="BQ108" i="1"/>
  <c r="BQ66" i="1"/>
  <c r="BQ8" i="1"/>
  <c r="BR177" i="1"/>
  <c r="BR123" i="1"/>
  <c r="BR80" i="1"/>
  <c r="BP92" i="1"/>
  <c r="BP54" i="1"/>
  <c r="BP22" i="1"/>
  <c r="BQ150" i="1"/>
  <c r="BQ107" i="1"/>
  <c r="BQ65" i="1"/>
  <c r="BQ7" i="1"/>
  <c r="BR122" i="1"/>
  <c r="BR79" i="1"/>
  <c r="BR26" i="1"/>
  <c r="BP86" i="1"/>
  <c r="BP53" i="1"/>
  <c r="BP8" i="1"/>
  <c r="BQ149" i="1"/>
  <c r="BQ106" i="1"/>
  <c r="BQ58" i="1"/>
  <c r="BR212" i="1"/>
  <c r="BR121" i="1"/>
  <c r="BR72" i="1"/>
  <c r="BR25" i="1"/>
  <c r="BP124" i="1"/>
  <c r="BP52" i="1"/>
  <c r="BP7" i="1"/>
  <c r="BQ180" i="1"/>
  <c r="BQ100" i="1"/>
  <c r="BR114" i="1"/>
  <c r="BR24" i="1"/>
  <c r="BP180" i="1"/>
  <c r="BP152" i="1"/>
  <c r="BP114" i="1"/>
  <c r="BP51" i="1"/>
  <c r="BP6" i="1"/>
  <c r="BQ179" i="1"/>
  <c r="BQ136" i="1"/>
  <c r="BR208" i="1"/>
  <c r="BR111" i="1"/>
  <c r="BR23" i="1"/>
  <c r="BR124" i="1"/>
  <c r="BP44" i="1"/>
  <c r="BQ14" i="1"/>
  <c r="BP14" i="1"/>
  <c r="BP207" i="1"/>
  <c r="BP178" i="1"/>
  <c r="BP150" i="1"/>
  <c r="BP81" i="1"/>
  <c r="BP38" i="1"/>
  <c r="BQ177" i="1"/>
  <c r="BQ134" i="1"/>
  <c r="BR206" i="1"/>
  <c r="BR109" i="1"/>
  <c r="BR53" i="1"/>
  <c r="BP194" i="1"/>
  <c r="BR54" i="1"/>
  <c r="BR197" i="1"/>
  <c r="BQ197" i="1"/>
  <c r="BR43" i="1"/>
  <c r="BP43" i="1"/>
  <c r="BP206" i="1"/>
  <c r="BP149" i="1"/>
  <c r="BP110" i="1"/>
  <c r="BP37" i="1"/>
  <c r="BQ208" i="1"/>
  <c r="BQ176" i="1"/>
  <c r="BQ128" i="1"/>
  <c r="BQ94" i="1"/>
  <c r="BQ38" i="1"/>
  <c r="BR205" i="1"/>
  <c r="BR151" i="1"/>
  <c r="BR108" i="1"/>
  <c r="BR52" i="1"/>
  <c r="BR110" i="1"/>
  <c r="BR51" i="1"/>
  <c r="BP68" i="1"/>
  <c r="BR68" i="1"/>
  <c r="BQ10" i="1"/>
  <c r="BP10" i="1"/>
  <c r="BR95" i="1"/>
  <c r="BP95" i="1"/>
  <c r="BP67" i="1"/>
  <c r="BR67" i="1"/>
  <c r="BP9" i="1"/>
  <c r="BR9" i="1"/>
  <c r="BP26" i="1"/>
  <c r="BP25" i="1"/>
  <c r="BR179" i="1"/>
  <c r="BR82" i="1"/>
  <c r="BP24" i="1"/>
  <c r="BQ191" i="1"/>
  <c r="BQ67" i="1"/>
  <c r="BQ9" i="1"/>
  <c r="BR81" i="1"/>
  <c r="BR148" i="1"/>
  <c r="BP148" i="1"/>
  <c r="BP93" i="1"/>
  <c r="BP82" i="1"/>
  <c r="BP50" i="1"/>
  <c r="BQ135" i="1"/>
  <c r="BQ96" i="1"/>
  <c r="BQ40" i="1"/>
  <c r="BR207" i="1"/>
  <c r="BQ198" i="1"/>
  <c r="BR198" i="1"/>
  <c r="BP142" i="1"/>
  <c r="BQ142" i="1"/>
  <c r="BR211" i="1"/>
  <c r="BQ211" i="1"/>
  <c r="BP211" i="1"/>
  <c r="BR183" i="1"/>
  <c r="BQ183" i="1"/>
  <c r="BR169" i="1"/>
  <c r="BQ169" i="1"/>
  <c r="BR155" i="1"/>
  <c r="BQ155" i="1"/>
  <c r="BR141" i="1"/>
  <c r="BQ141" i="1"/>
  <c r="BP141" i="1"/>
  <c r="BR127" i="1"/>
  <c r="BQ127" i="1"/>
  <c r="BR113" i="1"/>
  <c r="BQ113" i="1"/>
  <c r="BR99" i="1"/>
  <c r="BQ99" i="1"/>
  <c r="BR85" i="1"/>
  <c r="BQ85" i="1"/>
  <c r="BR71" i="1"/>
  <c r="BQ71" i="1"/>
  <c r="BP71" i="1"/>
  <c r="BR57" i="1"/>
  <c r="BQ57" i="1"/>
  <c r="BP57" i="1"/>
  <c r="BR29" i="1"/>
  <c r="BP29" i="1"/>
  <c r="BR13" i="1"/>
  <c r="BQ13" i="1"/>
  <c r="BP13" i="1"/>
  <c r="BP80" i="1"/>
  <c r="BP176" i="1"/>
  <c r="BP138" i="1"/>
  <c r="BP109" i="1"/>
  <c r="BP79" i="1"/>
  <c r="BP36" i="1"/>
  <c r="BQ164" i="1"/>
  <c r="BQ93" i="1"/>
  <c r="BR191" i="1"/>
  <c r="BR94" i="1"/>
  <c r="BQ195" i="1"/>
  <c r="BR195" i="1"/>
  <c r="BP139" i="1"/>
  <c r="BQ139" i="1"/>
  <c r="BR97" i="1"/>
  <c r="BP97" i="1"/>
  <c r="BP69" i="1"/>
  <c r="BR69" i="1"/>
  <c r="BQ11" i="1"/>
  <c r="BP11" i="1"/>
  <c r="BP204" i="1"/>
  <c r="BP170" i="1"/>
  <c r="BP137" i="1"/>
  <c r="BP78" i="1"/>
  <c r="BP30" i="1"/>
  <c r="BQ163" i="1"/>
  <c r="BP210" i="1"/>
  <c r="BP196" i="1"/>
  <c r="BP182" i="1"/>
  <c r="BP168" i="1"/>
  <c r="BP154" i="1"/>
  <c r="BP140" i="1"/>
  <c r="BP126" i="1"/>
  <c r="BP112" i="1"/>
  <c r="BP98" i="1"/>
  <c r="BP84" i="1"/>
  <c r="BP70" i="1"/>
  <c r="BP56" i="1"/>
  <c r="BP42" i="1"/>
  <c r="BP28" i="1"/>
  <c r="BP12" i="1"/>
  <c r="BQ210" i="1"/>
  <c r="BQ196" i="1"/>
  <c r="BQ182" i="1"/>
  <c r="BQ168" i="1"/>
  <c r="BQ154" i="1"/>
  <c r="BQ140" i="1"/>
  <c r="BQ126" i="1"/>
  <c r="BQ112" i="1"/>
  <c r="BQ98" i="1"/>
  <c r="BQ84" i="1"/>
  <c r="BQ70" i="1"/>
  <c r="BQ56" i="1"/>
  <c r="BQ42" i="1"/>
  <c r="BQ12" i="1"/>
  <c r="BP203" i="1"/>
  <c r="BP189" i="1"/>
  <c r="BP175" i="1"/>
  <c r="BP161" i="1"/>
  <c r="BP147" i="1"/>
  <c r="BP133" i="1"/>
  <c r="BP119" i="1"/>
  <c r="BP105" i="1"/>
  <c r="BP91" i="1"/>
  <c r="BP77" i="1"/>
  <c r="BP63" i="1"/>
  <c r="BP49" i="1"/>
  <c r="BP35" i="1"/>
  <c r="BP19" i="1"/>
  <c r="BP5" i="1"/>
  <c r="BQ203" i="1"/>
  <c r="BQ189" i="1"/>
  <c r="BQ175" i="1"/>
  <c r="BQ161" i="1"/>
  <c r="BQ147" i="1"/>
  <c r="BQ133" i="1"/>
  <c r="BQ119" i="1"/>
  <c r="BQ91" i="1"/>
  <c r="BQ77" i="1"/>
  <c r="BQ63" i="1"/>
  <c r="BQ49" i="1"/>
  <c r="BQ19" i="1"/>
  <c r="BQ5" i="1"/>
  <c r="BR18" i="1"/>
  <c r="BP202" i="1"/>
  <c r="BP188" i="1"/>
  <c r="BP174" i="1"/>
  <c r="BP146" i="1"/>
  <c r="BP118" i="1"/>
  <c r="BP104" i="1"/>
  <c r="BP90" i="1"/>
  <c r="BP76" i="1"/>
  <c r="BP62" i="1"/>
  <c r="BP48" i="1"/>
  <c r="BP34" i="1"/>
  <c r="BP18" i="1"/>
  <c r="BP4" i="1"/>
  <c r="BQ202" i="1"/>
  <c r="BQ188" i="1"/>
  <c r="BQ174" i="1"/>
  <c r="BQ146" i="1"/>
  <c r="BQ132" i="1"/>
  <c r="BQ118" i="1"/>
  <c r="BQ104" i="1"/>
  <c r="BQ90" i="1"/>
  <c r="BQ76" i="1"/>
  <c r="BQ62" i="1"/>
  <c r="BQ48" i="1"/>
  <c r="BQ4" i="1"/>
  <c r="BP201" i="1"/>
  <c r="BP187" i="1"/>
  <c r="BP173" i="1"/>
  <c r="BP159" i="1"/>
  <c r="BP145" i="1"/>
  <c r="BP131" i="1"/>
  <c r="BP117" i="1"/>
  <c r="BP103" i="1"/>
  <c r="BP89" i="1"/>
  <c r="BP75" i="1"/>
  <c r="BP61" i="1"/>
  <c r="BP47" i="1"/>
  <c r="BP33" i="1"/>
  <c r="BP17" i="1"/>
  <c r="BP3" i="1"/>
  <c r="BQ201" i="1"/>
  <c r="BQ187" i="1"/>
  <c r="BQ173" i="1"/>
  <c r="BQ159" i="1"/>
  <c r="BQ145" i="1"/>
  <c r="BQ131" i="1"/>
  <c r="BQ117" i="1"/>
  <c r="BQ103" i="1"/>
  <c r="BQ89" i="1"/>
  <c r="BQ75" i="1"/>
  <c r="BQ61" i="1"/>
  <c r="BQ17" i="1"/>
  <c r="BQ3" i="1"/>
  <c r="BP214" i="1"/>
  <c r="BP200" i="1"/>
  <c r="BP186" i="1"/>
  <c r="BP172" i="1"/>
  <c r="BP158" i="1"/>
  <c r="BP144" i="1"/>
  <c r="BP130" i="1"/>
  <c r="BP116" i="1"/>
  <c r="BP102" i="1"/>
  <c r="BP88" i="1"/>
  <c r="BP74" i="1"/>
  <c r="BP60" i="1"/>
  <c r="BP46" i="1"/>
  <c r="BP32" i="1"/>
  <c r="BP16" i="1"/>
  <c r="BQ214" i="1"/>
  <c r="BQ200" i="1"/>
  <c r="BQ186" i="1"/>
  <c r="BQ172" i="1"/>
  <c r="BQ158" i="1"/>
  <c r="BQ144" i="1"/>
  <c r="BQ130" i="1"/>
  <c r="BQ116" i="1"/>
  <c r="BQ102" i="1"/>
  <c r="BQ88" i="1"/>
  <c r="BQ74" i="1"/>
  <c r="BQ60" i="1"/>
  <c r="BQ46" i="1"/>
  <c r="BQ16" i="1"/>
  <c r="BP213" i="1"/>
  <c r="BP199" i="1"/>
  <c r="BP185" i="1"/>
  <c r="BP171" i="1"/>
  <c r="BP157" i="1"/>
  <c r="BP143" i="1"/>
  <c r="BP129" i="1"/>
  <c r="BP115" i="1"/>
  <c r="BP101" i="1"/>
  <c r="BP87" i="1"/>
  <c r="BP73" i="1"/>
  <c r="BP59" i="1"/>
  <c r="BP45" i="1"/>
  <c r="BP31" i="1"/>
  <c r="BP15" i="1"/>
  <c r="BQ213" i="1"/>
  <c r="BQ199" i="1"/>
  <c r="BQ185" i="1"/>
  <c r="BQ171" i="1"/>
  <c r="BQ157" i="1"/>
  <c r="BQ143" i="1"/>
  <c r="BQ129" i="1"/>
  <c r="BQ115" i="1"/>
  <c r="BQ101" i="1"/>
  <c r="BQ87" i="1"/>
  <c r="BQ73" i="1"/>
  <c r="BQ59" i="1"/>
  <c r="BQ45" i="1"/>
  <c r="BQ15" i="1"/>
  <c r="CR12" i="1" l="1"/>
  <c r="CH11" i="1"/>
  <c r="CR11" i="1"/>
  <c r="CH12" i="1"/>
  <c r="CM2" i="1"/>
  <c r="CQ2" i="1"/>
  <c r="CG2" i="1"/>
  <c r="CN15" i="1"/>
  <c r="CR15" i="1"/>
  <c r="CH15" i="1"/>
  <c r="CN12" i="1"/>
  <c r="CN11" i="1"/>
  <c r="BO68" i="1" l="1"/>
  <c r="BN68" i="1"/>
  <c r="BM68" i="1"/>
  <c r="AC70" i="1"/>
  <c r="BM70" i="1" s="1"/>
  <c r="Q70" i="1"/>
  <c r="BN70" i="1" l="1"/>
  <c r="BO70" i="1"/>
  <c r="BM206" i="1" l="1"/>
  <c r="BM207" i="1"/>
  <c r="BN206" i="1"/>
  <c r="BN207" i="1"/>
  <c r="BO206" i="1"/>
  <c r="BO207" i="1"/>
  <c r="BV206" i="1"/>
  <c r="BV207" i="1"/>
  <c r="BV210" i="1"/>
  <c r="BV213" i="1"/>
  <c r="BV214" i="1"/>
  <c r="BV9" i="1"/>
  <c r="BV11" i="1"/>
  <c r="BV12" i="1"/>
  <c r="BV16" i="1"/>
  <c r="BV22" i="1"/>
  <c r="BV23" i="1"/>
  <c r="BV24" i="1"/>
  <c r="BV25" i="1"/>
  <c r="BV26" i="1"/>
  <c r="BV27" i="1"/>
  <c r="BV28" i="1"/>
  <c r="BV32" i="1"/>
  <c r="BV33" i="1"/>
  <c r="BV34" i="1"/>
  <c r="BV35" i="1"/>
  <c r="BV36" i="1"/>
  <c r="BV37" i="1"/>
  <c r="BV39" i="1"/>
  <c r="BV43" i="1"/>
  <c r="BV44" i="1"/>
  <c r="BV60" i="1"/>
  <c r="BV61" i="1"/>
  <c r="BV62" i="1"/>
  <c r="BV63" i="1"/>
  <c r="BV64" i="1"/>
  <c r="BV66" i="1"/>
  <c r="BV67" i="1"/>
  <c r="BV68" i="1"/>
  <c r="BV71" i="1"/>
  <c r="BV72" i="1"/>
  <c r="BV85" i="1"/>
  <c r="BV86" i="1"/>
  <c r="BV87" i="1"/>
  <c r="BV88" i="1"/>
  <c r="BV89" i="1"/>
  <c r="BV90" i="1"/>
  <c r="BV91" i="1"/>
  <c r="BV100" i="1"/>
  <c r="BV105" i="1"/>
  <c r="BV107" i="1"/>
  <c r="BV109" i="1"/>
  <c r="BV112" i="1"/>
  <c r="BV114" i="1"/>
  <c r="BV119" i="1"/>
  <c r="BV125" i="1"/>
  <c r="BV129" i="1"/>
  <c r="BV130" i="1"/>
  <c r="BV131" i="1"/>
  <c r="BV133" i="1"/>
  <c r="BV135" i="1"/>
  <c r="BV144" i="1"/>
  <c r="BV145" i="1"/>
  <c r="BV146" i="1"/>
  <c r="BV147" i="1"/>
  <c r="BV148" i="1"/>
  <c r="BV150" i="1"/>
  <c r="BV152" i="1"/>
  <c r="BV154" i="1"/>
  <c r="BV155" i="1"/>
  <c r="BV157" i="1"/>
  <c r="BV158" i="1"/>
  <c r="BV159" i="1"/>
  <c r="BV161" i="1"/>
  <c r="BV162" i="1"/>
  <c r="BV163" i="1"/>
  <c r="BV164" i="1"/>
  <c r="BV166" i="1"/>
  <c r="BV167" i="1"/>
  <c r="BV168" i="1"/>
  <c r="BV169" i="1"/>
  <c r="BV170" i="1"/>
  <c r="BV171" i="1"/>
  <c r="BV172" i="1"/>
  <c r="BV173" i="1"/>
  <c r="BV174" i="1"/>
  <c r="BV177" i="1"/>
  <c r="BV183" i="1"/>
  <c r="BV184" i="1"/>
  <c r="BV185" i="1"/>
  <c r="BV188" i="1"/>
  <c r="BV197" i="1"/>
  <c r="BV199" i="1"/>
  <c r="BV200" i="1"/>
  <c r="BV201" i="1"/>
  <c r="BV202" i="1"/>
  <c r="BV203" i="1"/>
  <c r="BV204" i="1"/>
  <c r="BV205" i="1"/>
  <c r="BK206" i="1" l="1"/>
  <c r="M208" i="1" l="1"/>
  <c r="N153" i="1" l="1"/>
  <c r="N138" i="1"/>
  <c r="N128" i="1"/>
  <c r="N127" i="1"/>
  <c r="N126" i="1"/>
  <c r="N123" i="1"/>
  <c r="N51" i="1"/>
  <c r="N101" i="1"/>
  <c r="N94" i="1"/>
  <c r="N95" i="1"/>
  <c r="N96" i="1"/>
  <c r="N97" i="1"/>
  <c r="N98" i="1"/>
  <c r="N99" i="1"/>
  <c r="N100" i="1"/>
  <c r="N102" i="1"/>
  <c r="N103" i="1"/>
  <c r="N104" i="1"/>
  <c r="N105" i="1"/>
  <c r="N106" i="1"/>
  <c r="N107" i="1"/>
  <c r="N108" i="1"/>
  <c r="N111" i="1"/>
  <c r="N112" i="1"/>
  <c r="N115" i="1"/>
  <c r="N118" i="1"/>
  <c r="N120" i="1"/>
  <c r="N121" i="1"/>
  <c r="N122" i="1"/>
  <c r="N124" i="1"/>
  <c r="N125" i="1"/>
  <c r="N130" i="1"/>
  <c r="N131" i="1"/>
  <c r="N133" i="1"/>
  <c r="N135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4" i="1"/>
  <c r="N155" i="1"/>
  <c r="N156" i="1"/>
  <c r="N157" i="1"/>
  <c r="N158" i="1"/>
  <c r="N159" i="1"/>
  <c r="N160" i="1"/>
  <c r="N161" i="1"/>
  <c r="N93" i="1"/>
  <c r="AN244" i="1" l="1"/>
  <c r="M179" i="1"/>
  <c r="M181" i="1"/>
  <c r="M212" i="1" l="1"/>
  <c r="M211" i="1"/>
  <c r="M209" i="1"/>
  <c r="M189" i="1"/>
  <c r="M187" i="1"/>
  <c r="M175" i="1"/>
  <c r="M156" i="1"/>
  <c r="M151" i="1"/>
  <c r="M139" i="1"/>
  <c r="M136" i="1"/>
  <c r="M134" i="1"/>
  <c r="M132" i="1"/>
  <c r="M128" i="1"/>
  <c r="M127" i="1"/>
  <c r="M126" i="1"/>
  <c r="M123" i="1"/>
  <c r="M120" i="1"/>
  <c r="M99" i="1"/>
  <c r="M97" i="1"/>
  <c r="M84" i="1"/>
  <c r="M83" i="1"/>
  <c r="M76" i="1"/>
  <c r="M73" i="1"/>
  <c r="M51" i="1"/>
  <c r="M49" i="1"/>
  <c r="M48" i="1"/>
  <c r="M47" i="1"/>
  <c r="M46" i="1"/>
  <c r="M18" i="1"/>
  <c r="M8" i="1"/>
  <c r="M7" i="1"/>
  <c r="BT2" i="1" l="1"/>
  <c r="BU2" i="1"/>
  <c r="CQ16" i="1" l="1"/>
  <c r="CQ13" i="1"/>
  <c r="CQ10" i="1"/>
  <c r="CM16" i="1"/>
  <c r="CM13" i="1"/>
  <c r="CM10" i="1"/>
  <c r="CG16" i="1"/>
  <c r="CG13" i="1"/>
  <c r="CG10" i="1"/>
  <c r="AC211" i="1" l="1"/>
  <c r="AC212" i="1"/>
  <c r="AC213" i="1"/>
  <c r="AC214" i="1"/>
  <c r="BL213" i="1"/>
  <c r="BL214" i="1"/>
  <c r="BK211" i="1"/>
  <c r="BK212" i="1"/>
  <c r="BK213" i="1"/>
  <c r="BK209" i="1"/>
  <c r="BK210" i="1"/>
  <c r="BO213" i="1" l="1"/>
  <c r="BO212" i="1"/>
  <c r="BO211" i="1"/>
  <c r="BN211" i="1"/>
  <c r="BM211" i="1"/>
  <c r="BM212" i="1"/>
  <c r="BO214" i="1"/>
  <c r="BJ214" i="1"/>
  <c r="BJ212" i="1"/>
  <c r="BJ211" i="1"/>
  <c r="BN214" i="1"/>
  <c r="BN213" i="1"/>
  <c r="BJ213" i="1"/>
  <c r="BN212" i="1"/>
  <c r="BM214" i="1"/>
  <c r="BK214" i="1"/>
  <c r="BM213" i="1"/>
  <c r="CG6" i="1" l="1"/>
  <c r="CQ6" i="1"/>
  <c r="CM6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BO60" i="1" s="1"/>
  <c r="AC61" i="1"/>
  <c r="AC62" i="1"/>
  <c r="AC63" i="1"/>
  <c r="AC64" i="1"/>
  <c r="AC65" i="1"/>
  <c r="AC66" i="1"/>
  <c r="AC67" i="1"/>
  <c r="AC69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BE91" i="1" s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BE166" i="1" s="1"/>
  <c r="AC167" i="1"/>
  <c r="BE167" i="1" s="1"/>
  <c r="AC168" i="1"/>
  <c r="BE168" i="1" s="1"/>
  <c r="AC169" i="1"/>
  <c r="BE169" i="1" s="1"/>
  <c r="AC170" i="1"/>
  <c r="BE170" i="1" s="1"/>
  <c r="AC171" i="1"/>
  <c r="BE171" i="1" s="1"/>
  <c r="AC172" i="1"/>
  <c r="BE172" i="1" s="1"/>
  <c r="AC173" i="1"/>
  <c r="BE173" i="1" s="1"/>
  <c r="AC174" i="1"/>
  <c r="BE174" i="1" s="1"/>
  <c r="AC175" i="1"/>
  <c r="BE175" i="1" s="1"/>
  <c r="AC176" i="1"/>
  <c r="BE176" i="1" s="1"/>
  <c r="AC177" i="1"/>
  <c r="BE177" i="1" s="1"/>
  <c r="AC178" i="1"/>
  <c r="BE178" i="1" s="1"/>
  <c r="AC179" i="1"/>
  <c r="BE179" i="1" s="1"/>
  <c r="AC180" i="1"/>
  <c r="BE180" i="1" s="1"/>
  <c r="AC181" i="1"/>
  <c r="BE181" i="1" s="1"/>
  <c r="AC182" i="1"/>
  <c r="BE182" i="1" s="1"/>
  <c r="AC183" i="1"/>
  <c r="BE183" i="1" s="1"/>
  <c r="AC184" i="1"/>
  <c r="BE184" i="1" s="1"/>
  <c r="AC185" i="1"/>
  <c r="BE185" i="1" s="1"/>
  <c r="AC186" i="1"/>
  <c r="BE186" i="1" s="1"/>
  <c r="AC187" i="1"/>
  <c r="BE187" i="1" s="1"/>
  <c r="AC188" i="1"/>
  <c r="BE188" i="1" s="1"/>
  <c r="AC189" i="1"/>
  <c r="BE189" i="1" s="1"/>
  <c r="AC190" i="1"/>
  <c r="BE190" i="1" s="1"/>
  <c r="AC191" i="1"/>
  <c r="BE191" i="1" s="1"/>
  <c r="AC192" i="1"/>
  <c r="BE192" i="1" s="1"/>
  <c r="AC193" i="1"/>
  <c r="BE193" i="1" s="1"/>
  <c r="AC194" i="1"/>
  <c r="BE194" i="1" s="1"/>
  <c r="AC195" i="1"/>
  <c r="BE195" i="1" s="1"/>
  <c r="AC196" i="1"/>
  <c r="BE196" i="1" s="1"/>
  <c r="AC197" i="1"/>
  <c r="BE197" i="1" s="1"/>
  <c r="AC198" i="1"/>
  <c r="BE198" i="1" s="1"/>
  <c r="AC199" i="1"/>
  <c r="BE199" i="1" s="1"/>
  <c r="AC200" i="1"/>
  <c r="AC201" i="1"/>
  <c r="AC202" i="1"/>
  <c r="AC203" i="1"/>
  <c r="AC204" i="1"/>
  <c r="AC205" i="1"/>
  <c r="AC208" i="1"/>
  <c r="AC209" i="1"/>
  <c r="AC210" i="1"/>
  <c r="AC2" i="1"/>
  <c r="BE200" i="1" l="1"/>
  <c r="BE201" i="1"/>
  <c r="BE204" i="1"/>
  <c r="BE202" i="1"/>
  <c r="BE205" i="1"/>
  <c r="BE203" i="1"/>
  <c r="AC244" i="1"/>
  <c r="BN67" i="1"/>
  <c r="BO67" i="1"/>
  <c r="BM67" i="1"/>
  <c r="BO66" i="1"/>
  <c r="BM66" i="1"/>
  <c r="BN66" i="1"/>
  <c r="BM65" i="1"/>
  <c r="BN65" i="1"/>
  <c r="BO65" i="1"/>
  <c r="BO64" i="1"/>
  <c r="BN64" i="1"/>
  <c r="BN63" i="1"/>
  <c r="BO63" i="1"/>
  <c r="BN62" i="1"/>
  <c r="BO62" i="1"/>
  <c r="BN61" i="1"/>
  <c r="BO61" i="1"/>
  <c r="BO197" i="1"/>
  <c r="BM197" i="1"/>
  <c r="BN197" i="1"/>
  <c r="BO195" i="1"/>
  <c r="BM195" i="1"/>
  <c r="BN195" i="1"/>
  <c r="BM194" i="1"/>
  <c r="BN194" i="1"/>
  <c r="BO194" i="1"/>
  <c r="BM209" i="1"/>
  <c r="BN209" i="1"/>
  <c r="BO209" i="1"/>
  <c r="BM193" i="1"/>
  <c r="BN193" i="1"/>
  <c r="BO193" i="1"/>
  <c r="BO198" i="1"/>
  <c r="BM198" i="1"/>
  <c r="BN198" i="1"/>
  <c r="BO210" i="1"/>
  <c r="BM210" i="1"/>
  <c r="BN210" i="1"/>
  <c r="BO192" i="1"/>
  <c r="BM192" i="1"/>
  <c r="BN192" i="1"/>
  <c r="BN202" i="1"/>
  <c r="BO202" i="1"/>
  <c r="BM202" i="1"/>
  <c r="BO196" i="1"/>
  <c r="BM196" i="1"/>
  <c r="BN196" i="1"/>
  <c r="BM208" i="1"/>
  <c r="BN208" i="1"/>
  <c r="BO208" i="1"/>
  <c r="BM205" i="1"/>
  <c r="BO205" i="1"/>
  <c r="BN205" i="1"/>
  <c r="BO191" i="1"/>
  <c r="BO188" i="1"/>
  <c r="BO199" i="1"/>
  <c r="BM199" i="1"/>
  <c r="BN199" i="1"/>
  <c r="BM204" i="1"/>
  <c r="BO204" i="1"/>
  <c r="BN204" i="1"/>
  <c r="BO190" i="1"/>
  <c r="BM203" i="1"/>
  <c r="BO203" i="1"/>
  <c r="BN203" i="1"/>
  <c r="BO189" i="1"/>
  <c r="BM201" i="1"/>
  <c r="BO201" i="1"/>
  <c r="BN201" i="1"/>
  <c r="BO187" i="1"/>
  <c r="BN200" i="1"/>
  <c r="BO200" i="1"/>
  <c r="BM200" i="1"/>
  <c r="BL22" i="1"/>
  <c r="BL23" i="1"/>
  <c r="BK22" i="1"/>
  <c r="BK23" i="1"/>
  <c r="BK24" i="1"/>
  <c r="BK25" i="1"/>
  <c r="BJ11" i="1"/>
  <c r="BJ12" i="1"/>
  <c r="BJ13" i="1"/>
  <c r="BJ14" i="1"/>
  <c r="BJ15" i="1"/>
  <c r="BJ16" i="1"/>
  <c r="BJ17" i="1"/>
  <c r="BJ18" i="1"/>
  <c r="BJ19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M25" i="1" l="1"/>
  <c r="BO24" i="1"/>
  <c r="BO14" i="1"/>
  <c r="BM29" i="1"/>
  <c r="BO13" i="1"/>
  <c r="BO30" i="1"/>
  <c r="BO28" i="1"/>
  <c r="BO26" i="1"/>
  <c r="BN22" i="1"/>
  <c r="BM35" i="1"/>
  <c r="BO31" i="1"/>
  <c r="BM27" i="1"/>
  <c r="BN38" i="1"/>
  <c r="BO23" i="1"/>
  <c r="BN19" i="1"/>
  <c r="BM34" i="1"/>
  <c r="BO18" i="1"/>
  <c r="BM33" i="1"/>
  <c r="BN17" i="1"/>
  <c r="BO32" i="1"/>
  <c r="BM16" i="1"/>
  <c r="BM15" i="1"/>
  <c r="BM32" i="1"/>
  <c r="BM18" i="1"/>
  <c r="BM14" i="1"/>
  <c r="BO19" i="1"/>
  <c r="BM31" i="1"/>
  <c r="BM30" i="1"/>
  <c r="BN24" i="1"/>
  <c r="BM28" i="1"/>
  <c r="BN18" i="1"/>
  <c r="BM24" i="1"/>
  <c r="BM23" i="1"/>
  <c r="BO29" i="1"/>
  <c r="BM22" i="1"/>
  <c r="BO22" i="1"/>
  <c r="BN26" i="1"/>
  <c r="BN16" i="1"/>
  <c r="BM19" i="1"/>
  <c r="BN25" i="1"/>
  <c r="BO35" i="1"/>
  <c r="BO27" i="1"/>
  <c r="BO17" i="1"/>
  <c r="BO34" i="1"/>
  <c r="BM17" i="1"/>
  <c r="BN23" i="1"/>
  <c r="BO33" i="1"/>
  <c r="BO25" i="1"/>
  <c r="BO15" i="1"/>
  <c r="BO16" i="1"/>
  <c r="BM26" i="1"/>
  <c r="Y244" i="1"/>
  <c r="Z244" i="1" l="1"/>
  <c r="X244" i="1"/>
  <c r="W244" i="1"/>
  <c r="V244" i="1"/>
  <c r="AA244" i="1"/>
  <c r="AB244" i="1"/>
  <c r="BJ202" i="1"/>
  <c r="BJ208" i="1"/>
  <c r="BJ209" i="1"/>
  <c r="BJ210" i="1"/>
  <c r="BJ200" i="1"/>
  <c r="BJ201" i="1" l="1"/>
  <c r="BJ204" i="1"/>
  <c r="BJ205" i="1"/>
  <c r="BJ203" i="1"/>
  <c r="BL4" i="1"/>
  <c r="BL60" i="1"/>
  <c r="BL61" i="1"/>
  <c r="BL62" i="1"/>
  <c r="BL63" i="1"/>
  <c r="BL64" i="1"/>
  <c r="BL65" i="1"/>
  <c r="BL66" i="1"/>
  <c r="BL67" i="1"/>
  <c r="BL69" i="1"/>
  <c r="BL71" i="1"/>
  <c r="BL72" i="1"/>
  <c r="BL85" i="1"/>
  <c r="BL86" i="1"/>
  <c r="BL87" i="1"/>
  <c r="BL88" i="1"/>
  <c r="BL89" i="1"/>
  <c r="BL90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4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J3" i="1"/>
  <c r="BJ4" i="1"/>
  <c r="BJ5" i="1"/>
  <c r="BJ6" i="1"/>
  <c r="BJ7" i="1"/>
  <c r="BJ8" i="1"/>
  <c r="BJ9" i="1"/>
  <c r="BJ10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60" i="1"/>
  <c r="BJ61" i="1"/>
  <c r="BJ62" i="1"/>
  <c r="BJ63" i="1"/>
  <c r="BJ64" i="1"/>
  <c r="BJ65" i="1"/>
  <c r="BJ66" i="1"/>
  <c r="BJ67" i="1"/>
  <c r="BJ69" i="1"/>
  <c r="BJ71" i="1"/>
  <c r="BJ72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O3" i="1"/>
  <c r="BO4" i="1"/>
  <c r="BO5" i="1"/>
  <c r="BO6" i="1"/>
  <c r="BO7" i="1"/>
  <c r="BN8" i="1"/>
  <c r="BN10" i="1"/>
  <c r="BN11" i="1"/>
  <c r="BN12" i="1"/>
  <c r="BN13" i="1"/>
  <c r="BO36" i="1"/>
  <c r="BO37" i="1"/>
  <c r="BO38" i="1"/>
  <c r="BO39" i="1"/>
  <c r="BN40" i="1"/>
  <c r="BN89" i="1" l="1"/>
  <c r="BN88" i="1"/>
  <c r="BN87" i="1"/>
  <c r="BN100" i="1"/>
  <c r="BN86" i="1"/>
  <c r="BM90" i="1"/>
  <c r="BO44" i="1"/>
  <c r="BN185" i="1"/>
  <c r="BN171" i="1"/>
  <c r="BN157" i="1"/>
  <c r="BN143" i="1"/>
  <c r="BN129" i="1"/>
  <c r="BN115" i="1"/>
  <c r="BN101" i="1"/>
  <c r="BN73" i="1"/>
  <c r="BN57" i="1"/>
  <c r="BO43" i="1"/>
  <c r="BN184" i="1"/>
  <c r="BN170" i="1"/>
  <c r="BN156" i="1"/>
  <c r="BN142" i="1"/>
  <c r="BN128" i="1"/>
  <c r="BN114" i="1"/>
  <c r="BN72" i="1"/>
  <c r="BN56" i="1"/>
  <c r="BN42" i="1"/>
  <c r="BN158" i="1"/>
  <c r="BN116" i="1"/>
  <c r="BN74" i="1"/>
  <c r="BN154" i="1"/>
  <c r="BN126" i="1"/>
  <c r="BN69" i="1"/>
  <c r="BO181" i="1"/>
  <c r="BM111" i="1"/>
  <c r="BO53" i="1"/>
  <c r="BO180" i="1"/>
  <c r="BO166" i="1"/>
  <c r="BO152" i="1"/>
  <c r="BO138" i="1"/>
  <c r="BM124" i="1"/>
  <c r="BO110" i="1"/>
  <c r="BO96" i="1"/>
  <c r="BO82" i="1"/>
  <c r="BO52" i="1"/>
  <c r="BN172" i="1"/>
  <c r="BN168" i="1"/>
  <c r="BN140" i="1"/>
  <c r="BN98" i="1"/>
  <c r="BO153" i="1"/>
  <c r="BO83" i="1"/>
  <c r="BO179" i="1"/>
  <c r="BO165" i="1"/>
  <c r="BO151" i="1"/>
  <c r="BO137" i="1"/>
  <c r="BO123" i="1"/>
  <c r="BO109" i="1"/>
  <c r="BO95" i="1"/>
  <c r="BO81" i="1"/>
  <c r="BO51" i="1"/>
  <c r="BN144" i="1"/>
  <c r="BN112" i="1"/>
  <c r="BM97" i="1"/>
  <c r="BO178" i="1"/>
  <c r="BO150" i="1"/>
  <c r="BO122" i="1"/>
  <c r="BO94" i="1"/>
  <c r="BN102" i="1"/>
  <c r="BO164" i="1"/>
  <c r="BO136" i="1"/>
  <c r="BO108" i="1"/>
  <c r="BO80" i="1"/>
  <c r="BO50" i="1"/>
  <c r="BO177" i="1"/>
  <c r="BO163" i="1"/>
  <c r="BO149" i="1"/>
  <c r="BO135" i="1"/>
  <c r="BO121" i="1"/>
  <c r="BO107" i="1"/>
  <c r="BO93" i="1"/>
  <c r="BO79" i="1"/>
  <c r="BO49" i="1"/>
  <c r="BN130" i="1"/>
  <c r="BM139" i="1"/>
  <c r="BM176" i="1"/>
  <c r="BM120" i="1"/>
  <c r="BM62" i="1"/>
  <c r="BN189" i="1"/>
  <c r="BN175" i="1"/>
  <c r="BM161" i="1"/>
  <c r="BO147" i="1"/>
  <c r="BN133" i="1"/>
  <c r="BM119" i="1"/>
  <c r="BM105" i="1"/>
  <c r="BM91" i="1"/>
  <c r="BM77" i="1"/>
  <c r="BM61" i="1"/>
  <c r="BM47" i="1"/>
  <c r="BN186" i="1"/>
  <c r="BN84" i="1"/>
  <c r="BO167" i="1"/>
  <c r="BM162" i="1"/>
  <c r="BM134" i="1"/>
  <c r="BM92" i="1"/>
  <c r="BM48" i="1"/>
  <c r="BM188" i="1"/>
  <c r="BM174" i="1"/>
  <c r="BM160" i="1"/>
  <c r="BM146" i="1"/>
  <c r="BM132" i="1"/>
  <c r="BM118" i="1"/>
  <c r="BM104" i="1"/>
  <c r="BM76" i="1"/>
  <c r="BM60" i="1"/>
  <c r="BM46" i="1"/>
  <c r="BN58" i="1"/>
  <c r="BN182" i="1"/>
  <c r="BN54" i="1"/>
  <c r="BM125" i="1"/>
  <c r="BM190" i="1"/>
  <c r="BM148" i="1"/>
  <c r="BM106" i="1"/>
  <c r="BM78" i="1"/>
  <c r="BN187" i="1"/>
  <c r="BN173" i="1"/>
  <c r="BN159" i="1"/>
  <c r="BN145" i="1"/>
  <c r="BN131" i="1"/>
  <c r="BN117" i="1"/>
  <c r="BN103" i="1"/>
  <c r="BN75" i="1"/>
  <c r="BN59" i="1"/>
  <c r="BN45" i="1"/>
  <c r="BN149" i="1"/>
  <c r="BN147" i="1"/>
  <c r="BO134" i="1"/>
  <c r="BN132" i="1"/>
  <c r="BN97" i="1"/>
  <c r="BO175" i="1"/>
  <c r="BO174" i="1"/>
  <c r="BO160" i="1"/>
  <c r="BO133" i="1"/>
  <c r="BO90" i="1"/>
  <c r="BN96" i="1"/>
  <c r="BO120" i="1"/>
  <c r="BN94" i="1"/>
  <c r="BO119" i="1"/>
  <c r="BN123" i="1"/>
  <c r="BN92" i="1"/>
  <c r="BN79" i="1"/>
  <c r="BO78" i="1"/>
  <c r="BN48" i="1"/>
  <c r="BM189" i="1"/>
  <c r="BN47" i="1"/>
  <c r="BO47" i="1"/>
  <c r="BM57" i="1"/>
  <c r="BO46" i="1"/>
  <c r="BN177" i="1"/>
  <c r="BN7" i="1"/>
  <c r="BN150" i="1"/>
  <c r="BN4" i="1"/>
  <c r="BM158" i="1"/>
  <c r="BM87" i="1"/>
  <c r="BN164" i="1"/>
  <c r="BN118" i="1"/>
  <c r="BO145" i="1"/>
  <c r="BO104" i="1"/>
  <c r="BO58" i="1"/>
  <c r="BM157" i="1"/>
  <c r="BM59" i="1"/>
  <c r="BN152" i="1"/>
  <c r="BN106" i="1"/>
  <c r="BN50" i="1"/>
  <c r="BO144" i="1"/>
  <c r="BO92" i="1"/>
  <c r="BO57" i="1"/>
  <c r="BM45" i="1"/>
  <c r="BO116" i="1"/>
  <c r="BM147" i="1"/>
  <c r="BM58" i="1"/>
  <c r="BN151" i="1"/>
  <c r="BN104" i="1"/>
  <c r="BN49" i="1"/>
  <c r="BO176" i="1"/>
  <c r="BO143" i="1"/>
  <c r="BO91" i="1"/>
  <c r="BO48" i="1"/>
  <c r="BM144" i="1"/>
  <c r="BM133" i="1"/>
  <c r="BM43" i="1"/>
  <c r="BN148" i="1"/>
  <c r="BN95" i="1"/>
  <c r="BN46" i="1"/>
  <c r="BO173" i="1"/>
  <c r="BO132" i="1"/>
  <c r="BO88" i="1"/>
  <c r="BM131" i="1"/>
  <c r="BO87" i="1"/>
  <c r="BM116" i="1"/>
  <c r="BM187" i="1"/>
  <c r="BM115" i="1"/>
  <c r="BM11" i="1"/>
  <c r="BN125" i="1"/>
  <c r="BN91" i="1"/>
  <c r="BN6" i="1"/>
  <c r="BO162" i="1"/>
  <c r="BO118" i="1"/>
  <c r="BO77" i="1"/>
  <c r="BO89" i="1"/>
  <c r="BO172" i="1"/>
  <c r="BM12" i="1"/>
  <c r="BO171" i="1"/>
  <c r="BM186" i="1"/>
  <c r="BM103" i="1"/>
  <c r="BN178" i="1"/>
  <c r="BN124" i="1"/>
  <c r="BN90" i="1"/>
  <c r="BN5" i="1"/>
  <c r="BO161" i="1"/>
  <c r="BO117" i="1"/>
  <c r="BO76" i="1"/>
  <c r="BM145" i="1"/>
  <c r="BM185" i="1"/>
  <c r="BM175" i="1"/>
  <c r="BM101" i="1"/>
  <c r="BN176" i="1"/>
  <c r="BN122" i="1"/>
  <c r="BN78" i="1"/>
  <c r="BN3" i="1"/>
  <c r="BO148" i="1"/>
  <c r="BO115" i="1"/>
  <c r="BM102" i="1"/>
  <c r="BM173" i="1"/>
  <c r="BM89" i="1"/>
  <c r="BN121" i="1"/>
  <c r="BN77" i="1"/>
  <c r="BO106" i="1"/>
  <c r="BM172" i="1"/>
  <c r="BM88" i="1"/>
  <c r="BN174" i="1"/>
  <c r="BN119" i="1"/>
  <c r="BN76" i="1"/>
  <c r="BO146" i="1"/>
  <c r="BO105" i="1"/>
  <c r="BO59" i="1"/>
  <c r="BM184" i="1"/>
  <c r="BM143" i="1"/>
  <c r="BM100" i="1"/>
  <c r="BM44" i="1"/>
  <c r="BN166" i="1"/>
  <c r="BN146" i="1"/>
  <c r="BN120" i="1"/>
  <c r="BN93" i="1"/>
  <c r="BO170" i="1"/>
  <c r="BO142" i="1"/>
  <c r="BO114" i="1"/>
  <c r="BO86" i="1"/>
  <c r="BO56" i="1"/>
  <c r="BM72" i="1"/>
  <c r="BM156" i="1"/>
  <c r="BM114" i="1"/>
  <c r="BM10" i="1"/>
  <c r="BM56" i="1"/>
  <c r="BN167" i="1"/>
  <c r="BM142" i="1"/>
  <c r="BN139" i="1"/>
  <c r="BN190" i="1"/>
  <c r="BN138" i="1"/>
  <c r="BN163" i="1"/>
  <c r="BN137" i="1"/>
  <c r="BN111" i="1"/>
  <c r="BM171" i="1"/>
  <c r="BM130" i="1"/>
  <c r="BM86" i="1"/>
  <c r="BN188" i="1"/>
  <c r="BN162" i="1"/>
  <c r="BN136" i="1"/>
  <c r="BN110" i="1"/>
  <c r="BN83" i="1"/>
  <c r="BO159" i="1"/>
  <c r="BO131" i="1"/>
  <c r="BO103" i="1"/>
  <c r="BO75" i="1"/>
  <c r="BO45" i="1"/>
  <c r="BN191" i="1"/>
  <c r="BM42" i="1"/>
  <c r="BM170" i="1"/>
  <c r="BM129" i="1"/>
  <c r="BM75" i="1"/>
  <c r="BN181" i="1"/>
  <c r="BN161" i="1"/>
  <c r="BN135" i="1"/>
  <c r="BN109" i="1"/>
  <c r="BN82" i="1"/>
  <c r="BN60" i="1"/>
  <c r="BO186" i="1"/>
  <c r="BO158" i="1"/>
  <c r="BO130" i="1"/>
  <c r="BO102" i="1"/>
  <c r="BO74" i="1"/>
  <c r="BO12" i="1"/>
  <c r="BM128" i="1"/>
  <c r="BM74" i="1"/>
  <c r="BN180" i="1"/>
  <c r="BN160" i="1"/>
  <c r="BN134" i="1"/>
  <c r="BN108" i="1"/>
  <c r="BN81" i="1"/>
  <c r="BN53" i="1"/>
  <c r="BN15" i="1"/>
  <c r="BO185" i="1"/>
  <c r="BO157" i="1"/>
  <c r="BO129" i="1"/>
  <c r="BO101" i="1"/>
  <c r="BO73" i="1"/>
  <c r="BO11" i="1"/>
  <c r="BN165" i="1"/>
  <c r="BM159" i="1"/>
  <c r="BM117" i="1"/>
  <c r="BM73" i="1"/>
  <c r="BM13" i="1"/>
  <c r="BN179" i="1"/>
  <c r="BN153" i="1"/>
  <c r="BN107" i="1"/>
  <c r="BN80" i="1"/>
  <c r="BN51" i="1"/>
  <c r="BN14" i="1"/>
  <c r="BO184" i="1"/>
  <c r="BO156" i="1"/>
  <c r="BO128" i="1"/>
  <c r="BO100" i="1"/>
  <c r="BO72" i="1"/>
  <c r="BO42" i="1"/>
  <c r="BO10" i="1"/>
  <c r="BN169" i="1"/>
  <c r="BO169" i="1"/>
  <c r="BM169" i="1"/>
  <c r="BN141" i="1"/>
  <c r="BO141" i="1"/>
  <c r="BM141" i="1"/>
  <c r="BN113" i="1"/>
  <c r="BO113" i="1"/>
  <c r="BM113" i="1"/>
  <c r="BN71" i="1"/>
  <c r="BO71" i="1"/>
  <c r="BM71" i="1"/>
  <c r="BN41" i="1"/>
  <c r="BM41" i="1"/>
  <c r="BO41" i="1"/>
  <c r="BN9" i="1"/>
  <c r="BO9" i="1"/>
  <c r="BM9" i="1"/>
  <c r="BM183" i="1"/>
  <c r="BN183" i="1"/>
  <c r="BO183" i="1"/>
  <c r="BN155" i="1"/>
  <c r="BM155" i="1"/>
  <c r="BO155" i="1"/>
  <c r="BM127" i="1"/>
  <c r="BN127" i="1"/>
  <c r="BO127" i="1"/>
  <c r="BN99" i="1"/>
  <c r="BM99" i="1"/>
  <c r="BO99" i="1"/>
  <c r="BM85" i="1"/>
  <c r="BN85" i="1"/>
  <c r="BO85" i="1"/>
  <c r="BM55" i="1"/>
  <c r="BN55" i="1"/>
  <c r="BO55" i="1"/>
  <c r="BM181" i="1"/>
  <c r="BM167" i="1"/>
  <c r="BM153" i="1"/>
  <c r="BM83" i="1"/>
  <c r="BM53" i="1"/>
  <c r="BM39" i="1"/>
  <c r="BM7" i="1"/>
  <c r="BM180" i="1"/>
  <c r="BM138" i="1"/>
  <c r="BM110" i="1"/>
  <c r="BM82" i="1"/>
  <c r="BM165" i="1"/>
  <c r="BM51" i="1"/>
  <c r="BM178" i="1"/>
  <c r="BM164" i="1"/>
  <c r="BM150" i="1"/>
  <c r="BM136" i="1"/>
  <c r="BM122" i="1"/>
  <c r="BM108" i="1"/>
  <c r="BM94" i="1"/>
  <c r="BM80" i="1"/>
  <c r="BM64" i="1"/>
  <c r="BM50" i="1"/>
  <c r="BM36" i="1"/>
  <c r="BM4" i="1"/>
  <c r="BO182" i="1"/>
  <c r="BO168" i="1"/>
  <c r="BO154" i="1"/>
  <c r="BO140" i="1"/>
  <c r="BO126" i="1"/>
  <c r="BO112" i="1"/>
  <c r="BO98" i="1"/>
  <c r="BO84" i="1"/>
  <c r="BO69" i="1"/>
  <c r="BO54" i="1"/>
  <c r="BO40" i="1"/>
  <c r="BO8" i="1"/>
  <c r="BN52" i="1"/>
  <c r="BM166" i="1"/>
  <c r="BM96" i="1"/>
  <c r="BM52" i="1"/>
  <c r="BM6" i="1"/>
  <c r="BM179" i="1"/>
  <c r="BM151" i="1"/>
  <c r="BM137" i="1"/>
  <c r="BM109" i="1"/>
  <c r="BM95" i="1"/>
  <c r="BM37" i="1"/>
  <c r="BM5" i="1"/>
  <c r="BM191" i="1"/>
  <c r="BM177" i="1"/>
  <c r="BM163" i="1"/>
  <c r="BM149" i="1"/>
  <c r="BM135" i="1"/>
  <c r="BM121" i="1"/>
  <c r="BM107" i="1"/>
  <c r="BM93" i="1"/>
  <c r="BM79" i="1"/>
  <c r="BM63" i="1"/>
  <c r="BM49" i="1"/>
  <c r="BM3" i="1"/>
  <c r="BO139" i="1"/>
  <c r="BO125" i="1"/>
  <c r="BO111" i="1"/>
  <c r="BO97" i="1"/>
  <c r="BM152" i="1"/>
  <c r="BM38" i="1"/>
  <c r="BM123" i="1"/>
  <c r="BM81" i="1"/>
  <c r="BO124" i="1"/>
  <c r="BM168" i="1"/>
  <c r="BM126" i="1"/>
  <c r="BM84" i="1"/>
  <c r="BM40" i="1"/>
  <c r="BM154" i="1"/>
  <c r="BM112" i="1"/>
  <c r="BM69" i="1"/>
  <c r="BM8" i="1"/>
  <c r="BM182" i="1"/>
  <c r="BM140" i="1"/>
  <c r="BM98" i="1"/>
  <c r="BM54" i="1"/>
  <c r="CP2" i="1" l="1"/>
  <c r="CL2" i="1"/>
  <c r="CF2" i="1"/>
  <c r="CB16" i="1"/>
  <c r="CB15" i="1"/>
  <c r="CB13" i="1"/>
  <c r="CB12" i="1"/>
  <c r="CB11" i="1"/>
  <c r="CB10" i="1"/>
  <c r="CB9" i="1"/>
  <c r="BJ2" i="1"/>
  <c r="CB5" i="1" l="1"/>
  <c r="CB4" i="1"/>
  <c r="CB6" i="1"/>
  <c r="CB3" i="1"/>
  <c r="CB7" i="1"/>
  <c r="CB14" i="1"/>
  <c r="CB8" i="1"/>
  <c r="BL75" i="1"/>
  <c r="BL74" i="1"/>
  <c r="BL73" i="1"/>
  <c r="BL59" i="1"/>
  <c r="BL58" i="1"/>
  <c r="BL57" i="1"/>
  <c r="BL56" i="1"/>
  <c r="BL55" i="1"/>
  <c r="BL54" i="1"/>
  <c r="H105" i="1" l="1"/>
  <c r="BT105" i="1" s="1"/>
  <c r="H44" i="1"/>
  <c r="BT44" i="1" s="1"/>
  <c r="H39" i="1"/>
  <c r="BT39" i="1" s="1"/>
  <c r="BQ28" i="1" l="1"/>
  <c r="BQ32" i="1"/>
  <c r="BQ34" i="1"/>
  <c r="BQ31" i="1"/>
  <c r="BQ35" i="1"/>
  <c r="BQ29" i="1"/>
  <c r="BQ43" i="1"/>
  <c r="BQ44" i="1"/>
  <c r="BQ33" i="1"/>
  <c r="BQ36" i="1"/>
  <c r="BQ37" i="1"/>
  <c r="BQ39" i="1"/>
  <c r="BQ27" i="1"/>
  <c r="BQ105" i="1"/>
  <c r="BQ30" i="1"/>
  <c r="BN31" i="1"/>
  <c r="BN34" i="1"/>
  <c r="BN35" i="1"/>
  <c r="BN29" i="1"/>
  <c r="BN28" i="1"/>
  <c r="BN33" i="1"/>
  <c r="BN36" i="1"/>
  <c r="BN37" i="1"/>
  <c r="BN32" i="1"/>
  <c r="BN43" i="1"/>
  <c r="BN27" i="1"/>
  <c r="BN39" i="1"/>
  <c r="BN44" i="1"/>
  <c r="BN105" i="1"/>
  <c r="BN30" i="1"/>
  <c r="CP16" i="1"/>
  <c r="CP15" i="1"/>
  <c r="CP13" i="1"/>
  <c r="CS13" i="1" s="1"/>
  <c r="CP12" i="1"/>
  <c r="CP11" i="1"/>
  <c r="CP10" i="1"/>
  <c r="CS10" i="1" s="1"/>
  <c r="CP9" i="1"/>
  <c r="CL16" i="1"/>
  <c r="CL15" i="1"/>
  <c r="CL13" i="1"/>
  <c r="CO13" i="1" s="1"/>
  <c r="CU13" i="1" s="1"/>
  <c r="CL12" i="1"/>
  <c r="CL11" i="1"/>
  <c r="CL10" i="1"/>
  <c r="CO10" i="1" s="1"/>
  <c r="CU10" i="1" s="1"/>
  <c r="CL9" i="1"/>
  <c r="CF16" i="1"/>
  <c r="CF15" i="1"/>
  <c r="CF13" i="1"/>
  <c r="CF12" i="1"/>
  <c r="CF11" i="1"/>
  <c r="CF10" i="1"/>
  <c r="CF9" i="1"/>
  <c r="CF6" i="1"/>
  <c r="CP28" i="1" l="1"/>
  <c r="CP29" i="1"/>
  <c r="CP6" i="1"/>
  <c r="CI10" i="1"/>
  <c r="CL6" i="1"/>
  <c r="CI13" i="1"/>
  <c r="R186" i="1" l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R129" i="1" l="1"/>
  <c r="Q129" i="1"/>
  <c r="P129" i="1"/>
  <c r="P60" i="1" l="1"/>
  <c r="Q167" i="1"/>
  <c r="Q168" i="1"/>
  <c r="P169" i="1"/>
  <c r="P170" i="1"/>
  <c r="Q176" i="1"/>
  <c r="R166" i="1"/>
  <c r="R171" i="1"/>
  <c r="R172" i="1"/>
  <c r="R173" i="1"/>
  <c r="R174" i="1"/>
  <c r="R175" i="1"/>
  <c r="R177" i="1"/>
  <c r="R178" i="1"/>
  <c r="Q171" i="1"/>
  <c r="Q172" i="1"/>
  <c r="Q173" i="1"/>
  <c r="Q174" i="1"/>
  <c r="Q175" i="1"/>
  <c r="Q177" i="1"/>
  <c r="Q178" i="1"/>
  <c r="P171" i="1"/>
  <c r="P172" i="1"/>
  <c r="P173" i="1"/>
  <c r="P174" i="1"/>
  <c r="P175" i="1"/>
  <c r="P176" i="1"/>
  <c r="P177" i="1"/>
  <c r="P178" i="1"/>
  <c r="P3" i="1"/>
  <c r="P2" i="1"/>
  <c r="P168" i="1" l="1"/>
  <c r="P167" i="1"/>
  <c r="R176" i="1"/>
  <c r="R170" i="1"/>
  <c r="R169" i="1"/>
  <c r="Q170" i="1"/>
  <c r="R168" i="1"/>
  <c r="Q169" i="1"/>
  <c r="R167" i="1"/>
  <c r="Q166" i="1"/>
  <c r="P166" i="1"/>
  <c r="Q130" i="1"/>
  <c r="P130" i="1"/>
  <c r="Q135" i="1"/>
  <c r="P135" i="1"/>
  <c r="Q133" i="1"/>
  <c r="P133" i="1"/>
  <c r="R128" i="1" l="1"/>
  <c r="Q128" i="1"/>
  <c r="P128" i="1"/>
  <c r="R127" i="1"/>
  <c r="Q127" i="1"/>
  <c r="P127" i="1"/>
  <c r="R126" i="1"/>
  <c r="Q126" i="1"/>
  <c r="P126" i="1"/>
  <c r="R119" i="1"/>
  <c r="Q119" i="1"/>
  <c r="P119" i="1"/>
  <c r="R118" i="1"/>
  <c r="Q118" i="1"/>
  <c r="P118" i="1"/>
  <c r="Q115" i="1"/>
  <c r="P115" i="1"/>
  <c r="R114" i="1"/>
  <c r="Q114" i="1"/>
  <c r="P114" i="1"/>
  <c r="R108" i="1"/>
  <c r="Q108" i="1"/>
  <c r="P108" i="1"/>
  <c r="R106" i="1"/>
  <c r="Q106" i="1"/>
  <c r="P106" i="1"/>
  <c r="R104" i="1"/>
  <c r="Q104" i="1"/>
  <c r="P104" i="1"/>
  <c r="R103" i="1"/>
  <c r="Q103" i="1"/>
  <c r="P103" i="1"/>
  <c r="R102" i="1"/>
  <c r="Q102" i="1"/>
  <c r="P102" i="1"/>
  <c r="R101" i="1"/>
  <c r="Q101" i="1"/>
  <c r="P101" i="1"/>
  <c r="R99" i="1"/>
  <c r="Q99" i="1"/>
  <c r="P99" i="1"/>
  <c r="R98" i="1"/>
  <c r="Q98" i="1"/>
  <c r="P98" i="1"/>
  <c r="R97" i="1"/>
  <c r="Q97" i="1"/>
  <c r="P97" i="1"/>
  <c r="R96" i="1"/>
  <c r="Q96" i="1"/>
  <c r="P96" i="1"/>
  <c r="R95" i="1"/>
  <c r="Q95" i="1"/>
  <c r="P95" i="1"/>
  <c r="R94" i="1"/>
  <c r="Q94" i="1"/>
  <c r="P94" i="1"/>
  <c r="P93" i="1"/>
  <c r="Q48" i="1"/>
  <c r="R48" i="1"/>
  <c r="P48" i="1"/>
  <c r="R54" i="1"/>
  <c r="R55" i="1"/>
  <c r="R56" i="1"/>
  <c r="R57" i="1"/>
  <c r="R58" i="1"/>
  <c r="R59" i="1"/>
  <c r="R64" i="1"/>
  <c r="R65" i="1"/>
  <c r="R66" i="1"/>
  <c r="R67" i="1"/>
  <c r="R69" i="1"/>
  <c r="R71" i="1"/>
  <c r="R72" i="1"/>
  <c r="R73" i="1"/>
  <c r="R74" i="1"/>
  <c r="R75" i="1"/>
  <c r="R85" i="1"/>
  <c r="R86" i="1"/>
  <c r="R87" i="1"/>
  <c r="R88" i="1"/>
  <c r="R89" i="1"/>
  <c r="R90" i="1"/>
  <c r="R4" i="1"/>
  <c r="Q100" i="1"/>
  <c r="Q105" i="1"/>
  <c r="Q107" i="1"/>
  <c r="Q109" i="1"/>
  <c r="Q110" i="1"/>
  <c r="Q111" i="1"/>
  <c r="Q112" i="1"/>
  <c r="Q113" i="1"/>
  <c r="Q116" i="1"/>
  <c r="Q117" i="1"/>
  <c r="Q120" i="1"/>
  <c r="Q121" i="1"/>
  <c r="Q122" i="1"/>
  <c r="Q123" i="1"/>
  <c r="Q124" i="1"/>
  <c r="Q125" i="1"/>
  <c r="Q131" i="1"/>
  <c r="Q132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2" i="1"/>
  <c r="Q153" i="1"/>
  <c r="Q154" i="1"/>
  <c r="Q155" i="1"/>
  <c r="Q156" i="1"/>
  <c r="Q157" i="1"/>
  <c r="Q158" i="1"/>
  <c r="Q159" i="1"/>
  <c r="Q160" i="1"/>
  <c r="Q161" i="1"/>
  <c r="P5" i="1"/>
  <c r="P6" i="1"/>
  <c r="P7" i="1"/>
  <c r="P8" i="1"/>
  <c r="P9" i="1"/>
  <c r="P10" i="1"/>
  <c r="P11" i="1"/>
  <c r="P12" i="1"/>
  <c r="P13" i="1"/>
  <c r="P16" i="1"/>
  <c r="P18" i="1"/>
  <c r="P19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64" i="1"/>
  <c r="P65" i="1"/>
  <c r="P66" i="1"/>
  <c r="P67" i="1"/>
  <c r="P69" i="1"/>
  <c r="P71" i="1"/>
  <c r="P72" i="1"/>
  <c r="P85" i="1"/>
  <c r="P86" i="1"/>
  <c r="P87" i="1"/>
  <c r="P88" i="1"/>
  <c r="P89" i="1"/>
  <c r="P90" i="1"/>
  <c r="P92" i="1"/>
  <c r="P100" i="1"/>
  <c r="P105" i="1"/>
  <c r="P107" i="1"/>
  <c r="P109" i="1"/>
  <c r="P110" i="1"/>
  <c r="P111" i="1"/>
  <c r="P112" i="1"/>
  <c r="P113" i="1"/>
  <c r="P116" i="1"/>
  <c r="P117" i="1"/>
  <c r="P120" i="1"/>
  <c r="P121" i="1"/>
  <c r="P122" i="1"/>
  <c r="P123" i="1"/>
  <c r="P124" i="1"/>
  <c r="P125" i="1"/>
  <c r="P131" i="1"/>
  <c r="P132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4" i="1"/>
  <c r="BM2" i="1" l="1"/>
  <c r="BM244" i="1" s="1"/>
  <c r="BO2" i="1"/>
  <c r="BO244" i="1" s="1"/>
  <c r="BN2" i="1"/>
  <c r="BN244" i="1" s="1"/>
  <c r="CP14" i="1" l="1"/>
  <c r="CL5" i="1"/>
  <c r="CF5" i="1"/>
  <c r="CP5" i="1"/>
  <c r="CM29" i="1"/>
  <c r="CR29" i="1" l="1"/>
  <c r="CM28" i="1"/>
  <c r="CL14" i="1"/>
  <c r="CF14" i="1"/>
  <c r="CL8" i="1"/>
  <c r="CF8" i="1"/>
  <c r="CP8" i="1"/>
  <c r="CP3" i="1"/>
  <c r="CL4" i="1"/>
  <c r="CF4" i="1"/>
  <c r="CP4" i="1"/>
  <c r="CF3" i="1"/>
  <c r="CS29" i="1" l="1"/>
  <c r="CS28" i="1"/>
  <c r="CR28" i="1"/>
  <c r="CN29" i="1"/>
  <c r="CL3" i="1"/>
  <c r="CF7" i="1"/>
  <c r="CL7" i="1"/>
  <c r="CO28" i="1" l="1"/>
  <c r="CN28" i="1"/>
  <c r="CL17" i="1"/>
  <c r="CP7" i="1"/>
  <c r="CF17" i="1"/>
  <c r="CU28" i="1" l="1"/>
  <c r="CP17" i="1"/>
  <c r="CO29" i="1"/>
  <c r="CU29" i="1" s="1"/>
  <c r="BL200" i="1" l="1"/>
  <c r="BL202" i="1"/>
  <c r="BL203" i="1"/>
  <c r="BL204" i="1"/>
  <c r="BK204" i="1"/>
  <c r="BK205" i="1"/>
  <c r="BK202" i="1"/>
  <c r="BK201" i="1"/>
  <c r="BK203" i="1"/>
  <c r="BL205" i="1"/>
  <c r="BL201" i="1"/>
  <c r="BK200" i="1"/>
  <c r="BK208" i="1"/>
  <c r="BL84" i="1" l="1"/>
  <c r="R84" i="1"/>
  <c r="BL80" i="1"/>
  <c r="R80" i="1"/>
  <c r="BL83" i="1"/>
  <c r="R83" i="1"/>
  <c r="BL81" i="1"/>
  <c r="R81" i="1"/>
  <c r="BL76" i="1"/>
  <c r="R76" i="1"/>
  <c r="BL79" i="1"/>
  <c r="R79" i="1"/>
  <c r="BL77" i="1"/>
  <c r="R77" i="1"/>
  <c r="BL82" i="1"/>
  <c r="R82" i="1"/>
  <c r="BL78" i="1"/>
  <c r="R78" i="1"/>
  <c r="BJ84" i="1" l="1"/>
  <c r="P84" i="1"/>
  <c r="P73" i="1"/>
  <c r="BJ73" i="1"/>
  <c r="BJ54" i="1"/>
  <c r="P54" i="1"/>
  <c r="P83" i="1"/>
  <c r="BJ83" i="1"/>
  <c r="P74" i="1"/>
  <c r="BJ74" i="1"/>
  <c r="BJ77" i="1"/>
  <c r="P77" i="1"/>
  <c r="BJ58" i="1"/>
  <c r="P58" i="1"/>
  <c r="BJ55" i="1"/>
  <c r="P55" i="1"/>
  <c r="BJ57" i="1"/>
  <c r="P57" i="1"/>
  <c r="BJ75" i="1"/>
  <c r="P75" i="1"/>
  <c r="P81" i="1"/>
  <c r="BJ81" i="1"/>
  <c r="P82" i="1"/>
  <c r="BJ82" i="1"/>
  <c r="P59" i="1"/>
  <c r="BJ59" i="1"/>
  <c r="BJ80" i="1"/>
  <c r="P80" i="1"/>
  <c r="P79" i="1"/>
  <c r="BJ79" i="1"/>
  <c r="BJ56" i="1"/>
  <c r="P56" i="1"/>
  <c r="P76" i="1"/>
  <c r="BJ76" i="1"/>
  <c r="BJ78" i="1"/>
  <c r="P78" i="1"/>
  <c r="BJ244" i="1" l="1"/>
  <c r="CB2" i="1"/>
  <c r="CB17" i="1" s="1"/>
  <c r="BQ2" i="1" l="1"/>
  <c r="BQ244" i="1" s="1"/>
  <c r="BP2" i="1"/>
  <c r="BP244" i="1" s="1"/>
  <c r="BR2" i="1"/>
  <c r="BR244" i="1" s="1"/>
  <c r="BK46" i="1" l="1"/>
  <c r="BK49" i="1"/>
  <c r="BK51" i="1"/>
  <c r="BK53" i="1"/>
  <c r="BK50" i="1" l="1"/>
  <c r="BK45" i="1"/>
  <c r="BK47" i="1"/>
  <c r="BK91" i="1"/>
  <c r="BK19" i="1"/>
  <c r="Q19" i="1"/>
  <c r="BK38" i="1"/>
  <c r="Q38" i="1"/>
  <c r="Q4" i="1" l="1"/>
  <c r="BK4" i="1"/>
  <c r="BK61" i="1" l="1"/>
  <c r="Q76" i="1"/>
  <c r="BK76" i="1"/>
  <c r="Q90" i="1"/>
  <c r="BK90" i="1"/>
  <c r="BK59" i="1"/>
  <c r="Q59" i="1"/>
  <c r="Q75" i="1"/>
  <c r="BK75" i="1"/>
  <c r="Q85" i="1"/>
  <c r="BK85" i="1"/>
  <c r="BK62" i="1"/>
  <c r="Q87" i="1"/>
  <c r="BK87" i="1"/>
  <c r="BK67" i="1"/>
  <c r="Q67" i="1"/>
  <c r="Q79" i="1"/>
  <c r="BK79" i="1"/>
  <c r="BK55" i="1"/>
  <c r="Q55" i="1"/>
  <c r="Q64" i="1"/>
  <c r="BK64" i="1"/>
  <c r="BK84" i="1"/>
  <c r="Q84" i="1"/>
  <c r="Q56" i="1"/>
  <c r="BK56" i="1"/>
  <c r="BK86" i="1"/>
  <c r="Q86" i="1"/>
  <c r="BK89" i="1"/>
  <c r="Q89" i="1"/>
  <c r="Q54" i="1"/>
  <c r="BK54" i="1"/>
  <c r="BK73" i="1"/>
  <c r="Q73" i="1"/>
  <c r="Q88" i="1"/>
  <c r="BK88" i="1"/>
  <c r="BK58" i="1"/>
  <c r="Q58" i="1"/>
  <c r="BK63" i="1"/>
  <c r="BK74" i="1"/>
  <c r="Q74" i="1"/>
  <c r="Q57" i="1"/>
  <c r="BK57" i="1"/>
  <c r="Q81" i="1"/>
  <c r="BK81" i="1"/>
  <c r="BK65" i="1"/>
  <c r="Q65" i="1"/>
  <c r="BK83" i="1"/>
  <c r="Q83" i="1"/>
  <c r="BK60" i="1"/>
  <c r="BK77" i="1"/>
  <c r="Q77" i="1"/>
  <c r="BK71" i="1"/>
  <c r="Q71" i="1"/>
  <c r="BK72" i="1"/>
  <c r="Q72" i="1"/>
  <c r="Q69" i="1"/>
  <c r="BK69" i="1"/>
  <c r="BK80" i="1"/>
  <c r="Q80" i="1"/>
  <c r="BK66" i="1"/>
  <c r="Q66" i="1"/>
  <c r="BK78" i="1"/>
  <c r="Q78" i="1"/>
  <c r="BK82" i="1"/>
  <c r="Q82" i="1"/>
  <c r="N164" i="1" l="1"/>
  <c r="N165" i="1"/>
  <c r="N129" i="1"/>
  <c r="N162" i="1"/>
  <c r="N163" i="1"/>
  <c r="BK163" i="1" l="1"/>
  <c r="Q163" i="1"/>
  <c r="BK162" i="1"/>
  <c r="Q162" i="1"/>
  <c r="BK129" i="1"/>
  <c r="Q165" i="1"/>
  <c r="BK165" i="1"/>
  <c r="Q164" i="1"/>
  <c r="BK164" i="1"/>
  <c r="N52" i="1" l="1"/>
  <c r="N33" i="1"/>
  <c r="N9" i="1"/>
  <c r="N92" i="1"/>
  <c r="N48" i="1"/>
  <c r="N27" i="1"/>
  <c r="N41" i="1"/>
  <c r="N30" i="1"/>
  <c r="N34" i="1"/>
  <c r="N40" i="1"/>
  <c r="N42" i="1"/>
  <c r="N14" i="1"/>
  <c r="N5" i="1"/>
  <c r="N6" i="1"/>
  <c r="N28" i="1"/>
  <c r="N43" i="1"/>
  <c r="N11" i="1"/>
  <c r="N35" i="1"/>
  <c r="N39" i="1"/>
  <c r="N36" i="1"/>
  <c r="N44" i="1"/>
  <c r="N10" i="1"/>
  <c r="N12" i="1"/>
  <c r="N13" i="1"/>
  <c r="N26" i="1"/>
  <c r="N32" i="1"/>
  <c r="N15" i="1"/>
  <c r="N16" i="1"/>
  <c r="N3" i="1"/>
  <c r="N17" i="1"/>
  <c r="N2" i="1"/>
  <c r="N37" i="1"/>
  <c r="N29" i="1"/>
  <c r="N31" i="1"/>
  <c r="Q7" i="1" l="1"/>
  <c r="BK7" i="1"/>
  <c r="Q40" i="1"/>
  <c r="BK40" i="1"/>
  <c r="BK12" i="1"/>
  <c r="Q12" i="1"/>
  <c r="Q34" i="1"/>
  <c r="BK34" i="1"/>
  <c r="Q10" i="1"/>
  <c r="BK10" i="1"/>
  <c r="BK30" i="1"/>
  <c r="Q30" i="1"/>
  <c r="Q26" i="1"/>
  <c r="BK26" i="1"/>
  <c r="BK31" i="1"/>
  <c r="Q31" i="1"/>
  <c r="Q44" i="1"/>
  <c r="BK44" i="1"/>
  <c r="BK41" i="1"/>
  <c r="Q41" i="1"/>
  <c r="Q42" i="1"/>
  <c r="BK42" i="1"/>
  <c r="BK29" i="1"/>
  <c r="Q29" i="1"/>
  <c r="BK36" i="1"/>
  <c r="Q36" i="1"/>
  <c r="Q27" i="1"/>
  <c r="BK27" i="1"/>
  <c r="BK37" i="1"/>
  <c r="Q37" i="1"/>
  <c r="Q39" i="1"/>
  <c r="BK39" i="1"/>
  <c r="BK48" i="1"/>
  <c r="BK2" i="1"/>
  <c r="Q35" i="1"/>
  <c r="BK35" i="1"/>
  <c r="Q92" i="1"/>
  <c r="BK92" i="1"/>
  <c r="BK14" i="1"/>
  <c r="BK17" i="1"/>
  <c r="Q11" i="1"/>
  <c r="BK11" i="1"/>
  <c r="Q9" i="1"/>
  <c r="BK9" i="1"/>
  <c r="BK13" i="1"/>
  <c r="Q13" i="1"/>
  <c r="BK3" i="1"/>
  <c r="Q43" i="1"/>
  <c r="BK43" i="1"/>
  <c r="Q33" i="1"/>
  <c r="BK33" i="1"/>
  <c r="BK16" i="1"/>
  <c r="Q16" i="1"/>
  <c r="Q28" i="1"/>
  <c r="BK28" i="1"/>
  <c r="BK52" i="1"/>
  <c r="BK15" i="1"/>
  <c r="Q6" i="1"/>
  <c r="BK6" i="1"/>
  <c r="Q18" i="1"/>
  <c r="BK18" i="1"/>
  <c r="BK32" i="1"/>
  <c r="Q32" i="1"/>
  <c r="BK5" i="1"/>
  <c r="Q5" i="1"/>
  <c r="Q8" i="1"/>
  <c r="BK8" i="1"/>
  <c r="BK244" i="1" l="1"/>
  <c r="CM15" i="1" l="1"/>
  <c r="CT33" i="1" s="1"/>
  <c r="CQ15" i="1"/>
  <c r="CT34" i="1" s="1"/>
  <c r="CG15" i="1"/>
  <c r="CI15" i="1" s="1"/>
  <c r="CS15" i="1" l="1"/>
  <c r="CO15" i="1"/>
  <c r="CU15" i="1" s="1"/>
  <c r="CM4" i="1"/>
  <c r="CQ4" i="1"/>
  <c r="CG4" i="1"/>
  <c r="CG3" i="1" l="1"/>
  <c r="CM3" i="1"/>
  <c r="CQ3" i="1"/>
  <c r="CM12" i="1" l="1"/>
  <c r="CO12" i="1" s="1"/>
  <c r="CU12" i="1" s="1"/>
  <c r="CQ12" i="1"/>
  <c r="CS12" i="1" s="1"/>
  <c r="CQ5" i="1"/>
  <c r="CM5" i="1"/>
  <c r="CG5" i="1"/>
  <c r="CQ9" i="1"/>
  <c r="CQ11" i="1"/>
  <c r="CS11" i="1" s="1"/>
  <c r="CN34" i="1" l="1"/>
  <c r="CN33" i="1"/>
  <c r="CG14" i="1"/>
  <c r="CM14" i="1"/>
  <c r="CG12" i="1"/>
  <c r="CI12" i="1" s="1"/>
  <c r="CQ8" i="1"/>
  <c r="CM8" i="1"/>
  <c r="CM11" i="1"/>
  <c r="CO11" i="1" s="1"/>
  <c r="CU11" i="1" s="1"/>
  <c r="CM9" i="1"/>
  <c r="CG11" i="1"/>
  <c r="CI11" i="1" s="1"/>
  <c r="CP34" i="1"/>
  <c r="CQ14" i="1"/>
  <c r="CG9" i="1"/>
  <c r="CR34" i="1" l="1"/>
  <c r="CS34" i="1"/>
  <c r="CS33" i="1"/>
  <c r="CR33" i="1"/>
  <c r="CP33" i="1"/>
  <c r="CG8" i="1"/>
  <c r="CG7" i="1"/>
  <c r="CQ7" i="1"/>
  <c r="CM7" i="1"/>
  <c r="CO34" i="1" l="1"/>
  <c r="CO33" i="1"/>
  <c r="CK7" i="1"/>
  <c r="CK8" i="1"/>
  <c r="CQ17" i="1"/>
  <c r="CM34" i="1"/>
  <c r="CM33" i="1"/>
  <c r="CM17" i="1"/>
  <c r="CM18" i="1" s="1"/>
  <c r="CG17" i="1"/>
  <c r="CU33" i="1" l="1"/>
  <c r="CU34" i="1"/>
  <c r="BV15" i="1" l="1"/>
  <c r="BV8" i="1"/>
  <c r="BV4" i="1"/>
  <c r="BV7" i="1"/>
  <c r="BV18" i="1"/>
  <c r="BV10" i="1"/>
  <c r="BV6" i="1"/>
  <c r="BV5" i="1"/>
  <c r="BV13" i="1"/>
  <c r="BV17" i="1"/>
  <c r="BV14" i="1"/>
  <c r="BV40" i="1"/>
  <c r="BV41" i="1"/>
  <c r="BV31" i="1"/>
  <c r="BV38" i="1"/>
  <c r="BV42" i="1"/>
  <c r="BV29" i="1"/>
  <c r="BV30" i="1"/>
  <c r="BV186" i="1"/>
  <c r="BV190" i="1"/>
  <c r="BV189" i="1"/>
  <c r="BV194" i="1"/>
  <c r="BV196" i="1"/>
  <c r="BV193" i="1"/>
  <c r="BV187" i="1"/>
  <c r="BV195" i="1"/>
  <c r="BV192" i="1"/>
  <c r="BV191" i="1"/>
  <c r="BV198" i="1"/>
  <c r="BV57" i="1"/>
  <c r="BV59" i="1"/>
  <c r="BV54" i="1"/>
  <c r="BV75" i="1"/>
  <c r="BV55" i="1"/>
  <c r="BV73" i="1"/>
  <c r="BV84" i="1"/>
  <c r="BV83" i="1"/>
  <c r="BV82" i="1"/>
  <c r="BV80" i="1"/>
  <c r="BV78" i="1"/>
  <c r="BV81" i="1"/>
  <c r="BV79" i="1"/>
  <c r="BV77" i="1"/>
  <c r="BV76" i="1"/>
  <c r="BV74" i="1"/>
  <c r="BV58" i="1"/>
  <c r="BV56" i="1"/>
  <c r="BV92" i="1"/>
  <c r="BV121" i="1"/>
  <c r="BV99" i="1"/>
  <c r="BV98" i="1"/>
  <c r="BV96" i="1"/>
  <c r="BV97" i="1"/>
  <c r="BV122" i="1"/>
  <c r="BV104" i="1"/>
  <c r="BV102" i="1"/>
  <c r="BV103" i="1"/>
  <c r="BV101" i="1"/>
  <c r="BV123" i="1"/>
  <c r="BV117" i="1"/>
  <c r="BV141" i="1"/>
  <c r="BV151" i="1"/>
  <c r="BV153" i="1"/>
  <c r="BV165" i="1"/>
  <c r="BV142" i="1"/>
  <c r="BV149" i="1"/>
  <c r="BV160" i="1"/>
  <c r="BV143" i="1"/>
  <c r="BV140" i="1"/>
  <c r="BV156" i="1"/>
  <c r="BV93" i="1"/>
  <c r="BV95" i="1"/>
  <c r="BV94" i="1"/>
  <c r="BV124" i="1"/>
  <c r="BV113" i="1"/>
  <c r="BV115" i="1"/>
  <c r="BV108" i="1"/>
  <c r="BV120" i="1"/>
  <c r="BV126" i="1"/>
  <c r="BV118" i="1"/>
  <c r="BV127" i="1"/>
  <c r="BV128" i="1"/>
  <c r="BV106" i="1"/>
  <c r="BV116" i="1"/>
  <c r="BV111" i="1"/>
  <c r="BV110" i="1"/>
  <c r="BV132" i="1"/>
  <c r="BV134" i="1"/>
  <c r="BV136" i="1"/>
  <c r="BV137" i="1"/>
  <c r="BV138" i="1"/>
  <c r="BV139" i="1"/>
  <c r="BV45" i="1"/>
  <c r="BV46" i="1"/>
  <c r="BV48" i="1"/>
  <c r="BV50" i="1"/>
  <c r="BV53" i="1"/>
  <c r="BV47" i="1"/>
  <c r="BV52" i="1"/>
  <c r="BV49" i="1"/>
  <c r="BV51" i="1"/>
  <c r="BV65" i="1"/>
  <c r="BV2" i="1"/>
  <c r="BV3" i="1"/>
  <c r="BV69" i="1"/>
  <c r="BV175" i="1"/>
  <c r="BV176" i="1"/>
  <c r="BV178" i="1"/>
  <c r="BV179" i="1"/>
  <c r="BV180" i="1"/>
  <c r="BV181" i="1"/>
  <c r="BV182" i="1"/>
  <c r="BV208" i="1"/>
  <c r="BV209" i="1"/>
  <c r="BV211" i="1"/>
  <c r="BV212" i="1"/>
  <c r="BV19" i="1"/>
  <c r="CR5" i="1" l="1"/>
  <c r="CS5" i="1" s="1"/>
  <c r="CH5" i="1"/>
  <c r="CI5" i="1" s="1"/>
  <c r="CN5" i="1"/>
  <c r="CO5" i="1" s="1"/>
  <c r="CU5" i="1" s="1"/>
  <c r="CN9" i="1" l="1"/>
  <c r="CO9" i="1" s="1"/>
  <c r="CU9" i="1" s="1"/>
  <c r="CN16" i="1"/>
  <c r="CO16" i="1" s="1"/>
  <c r="CU16" i="1" s="1"/>
  <c r="CH4" i="1"/>
  <c r="CI4" i="1" s="1"/>
  <c r="CR16" i="1"/>
  <c r="CT40" i="1" s="1"/>
  <c r="CN6" i="1"/>
  <c r="CO6" i="1" s="1"/>
  <c r="CU6" i="1" s="1"/>
  <c r="CH16" i="1"/>
  <c r="CI16" i="1" s="1"/>
  <c r="CR4" i="1"/>
  <c r="CS4" i="1" s="1"/>
  <c r="CR9" i="1"/>
  <c r="CP40" i="1" s="1"/>
  <c r="CH9" i="1"/>
  <c r="CI9" i="1" s="1"/>
  <c r="CN8" i="1"/>
  <c r="CS39" i="1" s="1"/>
  <c r="CN4" i="1"/>
  <c r="CO4" i="1" s="1"/>
  <c r="CU4" i="1" s="1"/>
  <c r="CN14" i="1"/>
  <c r="CO14" i="1" s="1"/>
  <c r="CU14" i="1" s="1"/>
  <c r="CR6" i="1"/>
  <c r="CS6" i="1" s="1"/>
  <c r="CH6" i="1"/>
  <c r="CI6" i="1" s="1"/>
  <c r="CH8" i="1"/>
  <c r="CI8" i="1" s="1"/>
  <c r="CH14" i="1"/>
  <c r="CI14" i="1" s="1"/>
  <c r="CR8" i="1"/>
  <c r="CS8" i="1" s="1"/>
  <c r="CH2" i="1"/>
  <c r="CR3" i="1"/>
  <c r="CS3" i="1" s="1"/>
  <c r="CN2" i="1"/>
  <c r="CO2" i="1" s="1"/>
  <c r="CU2" i="1" s="1"/>
  <c r="CN3" i="1"/>
  <c r="CH3" i="1"/>
  <c r="CR2" i="1"/>
  <c r="CR14" i="1"/>
  <c r="CT39" i="1" l="1"/>
  <c r="CP39" i="1"/>
  <c r="CH22" i="1"/>
  <c r="CI3" i="1"/>
  <c r="CH20" i="1"/>
  <c r="CS16" i="1"/>
  <c r="CO8" i="1"/>
  <c r="CU8" i="1" s="1"/>
  <c r="CS9" i="1"/>
  <c r="CR39" i="1"/>
  <c r="CK14" i="1"/>
  <c r="CS40" i="1"/>
  <c r="CI2" i="1"/>
  <c r="CK2" i="1"/>
  <c r="CN40" i="1"/>
  <c r="CM39" i="1"/>
  <c r="CN39" i="1"/>
  <c r="CO3" i="1"/>
  <c r="CU3" i="1" s="1"/>
  <c r="CS2" i="1"/>
  <c r="CM40" i="1"/>
  <c r="CS14" i="1"/>
  <c r="CR40" i="1"/>
  <c r="CM43" i="1" l="1"/>
  <c r="R32" i="1"/>
  <c r="BL32" i="1"/>
  <c r="BL29" i="1"/>
  <c r="R29" i="1"/>
  <c r="R41" i="1"/>
  <c r="BL41" i="1"/>
  <c r="BL30" i="1"/>
  <c r="R30" i="1"/>
  <c r="R26" i="1"/>
  <c r="BL26" i="1"/>
  <c r="R28" i="1"/>
  <c r="BL28" i="1"/>
  <c r="BL19" i="1"/>
  <c r="R19" i="1"/>
  <c r="BL17" i="1"/>
  <c r="R40" i="1"/>
  <c r="BL40" i="1"/>
  <c r="R16" i="1"/>
  <c r="BL16" i="1"/>
  <c r="R33" i="1"/>
  <c r="BL33" i="1"/>
  <c r="BL38" i="1"/>
  <c r="R38" i="1"/>
  <c r="BL6" i="1"/>
  <c r="R6" i="1"/>
  <c r="BL15" i="1"/>
  <c r="BL27" i="1"/>
  <c r="R27" i="1"/>
  <c r="R5" i="1"/>
  <c r="BL5" i="1"/>
  <c r="BL14" i="1"/>
  <c r="BL39" i="1"/>
  <c r="R39" i="1"/>
  <c r="R18" i="1"/>
  <c r="BL18" i="1"/>
  <c r="BL3" i="1"/>
  <c r="R12" i="1"/>
  <c r="BL12" i="1"/>
  <c r="BL2" i="1"/>
  <c r="BL44" i="1"/>
  <c r="R44" i="1"/>
  <c r="BL11" i="1"/>
  <c r="R11" i="1"/>
  <c r="BL36" i="1"/>
  <c r="R36" i="1"/>
  <c r="R9" i="1"/>
  <c r="BL9" i="1"/>
  <c r="BL31" i="1"/>
  <c r="R31" i="1"/>
  <c r="BL42" i="1"/>
  <c r="R42" i="1"/>
  <c r="R35" i="1"/>
  <c r="BL35" i="1"/>
  <c r="BL8" i="1"/>
  <c r="R8" i="1"/>
  <c r="BL43" i="1" l="1"/>
  <c r="R43" i="1"/>
  <c r="BL7" i="1"/>
  <c r="R7" i="1"/>
  <c r="BL10" i="1"/>
  <c r="R10" i="1"/>
  <c r="BL34" i="1" l="1"/>
  <c r="R34" i="1"/>
  <c r="BL25" i="1"/>
  <c r="R13" i="1"/>
  <c r="BL13" i="1"/>
  <c r="BL24" i="1" l="1"/>
  <c r="BL37" i="1"/>
  <c r="R37" i="1"/>
  <c r="BD244" i="1" l="1"/>
  <c r="CR7" i="1"/>
  <c r="CR17" i="1" s="1"/>
  <c r="BU244" i="1"/>
  <c r="CH7" i="1"/>
  <c r="CH17" i="1" s="1"/>
  <c r="CI17" i="1" s="1"/>
  <c r="BS244" i="1"/>
  <c r="CN7" i="1"/>
  <c r="CO39" i="1" l="1"/>
  <c r="CU39" i="1" s="1"/>
  <c r="CN17" i="1"/>
  <c r="CN18" i="1" s="1"/>
  <c r="CO7" i="1"/>
  <c r="CS7" i="1"/>
  <c r="CS17" i="1" s="1"/>
  <c r="CI7" i="1"/>
  <c r="CO40" i="1"/>
  <c r="CU40" i="1" s="1"/>
  <c r="BT244" i="1"/>
  <c r="CO17" i="1" l="1"/>
  <c r="CU17" i="1" s="1"/>
  <c r="CU7" i="1"/>
  <c r="BL92" i="1" l="1"/>
  <c r="R92" i="1"/>
  <c r="BL51" i="1"/>
  <c r="BL46" i="1"/>
  <c r="BL50" i="1"/>
  <c r="BL52" i="1"/>
  <c r="BL48" i="1"/>
  <c r="BL49" i="1"/>
  <c r="BL53" i="1"/>
  <c r="BL45" i="1"/>
  <c r="BL91" i="1"/>
  <c r="BL47" i="1"/>
  <c r="BE136" i="1" l="1"/>
  <c r="R136" i="1"/>
  <c r="BL136" i="1"/>
  <c r="R151" i="1" l="1"/>
  <c r="BL151" i="1"/>
  <c r="BE151" i="1"/>
  <c r="BL156" i="1"/>
  <c r="R156" i="1"/>
  <c r="BE156" i="1"/>
  <c r="BG223" i="1" l="1"/>
  <c r="BG227" i="1" l="1"/>
  <c r="BG220" i="1"/>
  <c r="BG232" i="1"/>
  <c r="BG235" i="1"/>
  <c r="BG225" i="1"/>
  <c r="BG216" i="1"/>
  <c r="BG221" i="1"/>
  <c r="BG230" i="1"/>
  <c r="BG231" i="1" l="1"/>
  <c r="BG226" i="1"/>
  <c r="BG71" i="1" l="1"/>
  <c r="BG39" i="1"/>
  <c r="BG65" i="1"/>
  <c r="BG36" i="1"/>
  <c r="BG35" i="1"/>
  <c r="BG32" i="1"/>
  <c r="BG72" i="1"/>
  <c r="BG40" i="1"/>
  <c r="BG197" i="1"/>
  <c r="BG183" i="1"/>
  <c r="BG169" i="1"/>
  <c r="BG155" i="1"/>
  <c r="BG113" i="1"/>
  <c r="BG16" i="1"/>
  <c r="BG154" i="1"/>
  <c r="BG140" i="1"/>
  <c r="BG112" i="1"/>
  <c r="BG31" i="1"/>
  <c r="BG44" i="1"/>
  <c r="BG43" i="1"/>
  <c r="BG29" i="1"/>
  <c r="BG125" i="1"/>
  <c r="BG165" i="1"/>
  <c r="BG151" i="1"/>
  <c r="BG109" i="1"/>
  <c r="BG28" i="1"/>
  <c r="BG12" i="1"/>
  <c r="BG167" i="1"/>
  <c r="BG27" i="1"/>
  <c r="BG205" i="1"/>
  <c r="BG163" i="1"/>
  <c r="BG149" i="1"/>
  <c r="BG135" i="1"/>
  <c r="BG107" i="1"/>
  <c r="BG92" i="1"/>
  <c r="BG26" i="1"/>
  <c r="BG11" i="1"/>
  <c r="BG162" i="1"/>
  <c r="BG9" i="1"/>
  <c r="BG164" i="1"/>
  <c r="BG147" i="1"/>
  <c r="BG133" i="1"/>
  <c r="BG119" i="1"/>
  <c r="BG105" i="1"/>
  <c r="BG83" i="1"/>
  <c r="BG68" i="1"/>
  <c r="BG160" i="1"/>
  <c r="BG146" i="1"/>
  <c r="BG66" i="1"/>
  <c r="BG37" i="1"/>
  <c r="BG23" i="1"/>
  <c r="BG159" i="1"/>
  <c r="BG145" i="1"/>
  <c r="BG131" i="1"/>
  <c r="BG22" i="1"/>
  <c r="BG6" i="1"/>
  <c r="BG153" i="1"/>
  <c r="BG158" i="1"/>
  <c r="BG144" i="1"/>
  <c r="BG130" i="1"/>
  <c r="BG64" i="1"/>
  <c r="BG199" i="1"/>
  <c r="BG157" i="1"/>
  <c r="BG143" i="1"/>
  <c r="BG63" i="1"/>
  <c r="BG156" i="1"/>
  <c r="BG142" i="1"/>
  <c r="BG114" i="1"/>
  <c r="BG62" i="1"/>
  <c r="BG33" i="1"/>
  <c r="BH68" i="1" l="1"/>
  <c r="BG84" i="1" l="1"/>
  <c r="O243" i="1" l="1"/>
  <c r="BE243" i="1" s="1"/>
  <c r="O104" i="1"/>
  <c r="O116" i="1"/>
  <c r="O147" i="1"/>
  <c r="O111" i="1"/>
  <c r="O113" i="1"/>
  <c r="O160" i="1"/>
  <c r="O211" i="1"/>
  <c r="O212" i="1"/>
  <c r="O133" i="1"/>
  <c r="O134" i="1"/>
  <c r="O158" i="1"/>
  <c r="O208" i="1"/>
  <c r="O127" i="1"/>
  <c r="O123" i="1"/>
  <c r="O135" i="1"/>
  <c r="O138" i="1"/>
  <c r="O115" i="1"/>
  <c r="O143" i="1"/>
  <c r="O157" i="1"/>
  <c r="O150" i="1"/>
  <c r="O98" i="1"/>
  <c r="O142" i="1"/>
  <c r="O163" i="1"/>
  <c r="O107" i="1"/>
  <c r="O152" i="1"/>
  <c r="O121" i="1"/>
  <c r="O95" i="1"/>
  <c r="O146" i="1"/>
  <c r="O99" i="1"/>
  <c r="O122" i="1"/>
  <c r="O120" i="1"/>
  <c r="O164" i="1"/>
  <c r="O144" i="1"/>
  <c r="O108" i="1"/>
  <c r="O141" i="1"/>
  <c r="O129" i="1"/>
  <c r="O140" i="1"/>
  <c r="O162" i="1"/>
  <c r="O154" i="1"/>
  <c r="O209" i="1"/>
  <c r="O103" i="1"/>
  <c r="O128" i="1"/>
  <c r="O106" i="1"/>
  <c r="O161" i="1"/>
  <c r="O109" i="1"/>
  <c r="O110" i="1"/>
  <c r="O118" i="1"/>
  <c r="O100" i="1"/>
  <c r="O96" i="1"/>
  <c r="O102" i="1"/>
  <c r="O94" i="1"/>
  <c r="O139" i="1"/>
  <c r="O242" i="1"/>
  <c r="BE242" i="1" s="1"/>
  <c r="O148" i="1"/>
  <c r="O131" i="1"/>
  <c r="O105" i="1"/>
  <c r="O114" i="1"/>
  <c r="O159" i="1"/>
  <c r="O119" i="1"/>
  <c r="O112" i="1"/>
  <c r="O145" i="1"/>
  <c r="O126" i="1"/>
  <c r="O101" i="1"/>
  <c r="O117" i="1"/>
  <c r="O165" i="1"/>
  <c r="O130" i="1"/>
  <c r="O124" i="1"/>
  <c r="O97" i="1"/>
  <c r="O155" i="1"/>
  <c r="O132" i="1"/>
  <c r="O125" i="1"/>
  <c r="O93" i="1"/>
  <c r="O149" i="1"/>
  <c r="O153" i="1"/>
  <c r="O210" i="1"/>
  <c r="O137" i="1"/>
  <c r="BL95" i="1" l="1"/>
  <c r="BE95" i="1"/>
  <c r="R152" i="1"/>
  <c r="BE152" i="1"/>
  <c r="BL152" i="1"/>
  <c r="BL139" i="1"/>
  <c r="R139" i="1"/>
  <c r="BE139" i="1"/>
  <c r="R162" i="1"/>
  <c r="BE162" i="1"/>
  <c r="BL162" i="1"/>
  <c r="R107" i="1"/>
  <c r="BE107" i="1"/>
  <c r="BL107" i="1"/>
  <c r="BE134" i="1"/>
  <c r="R134" i="1"/>
  <c r="BL134" i="1"/>
  <c r="BE127" i="1"/>
  <c r="BL127" i="1"/>
  <c r="R124" i="1"/>
  <c r="BL124" i="1"/>
  <c r="BE124" i="1"/>
  <c r="BL165" i="1"/>
  <c r="BE165" i="1"/>
  <c r="R165" i="1"/>
  <c r="BL94" i="1"/>
  <c r="BE94" i="1"/>
  <c r="BL140" i="1"/>
  <c r="R140" i="1"/>
  <c r="BE140" i="1"/>
  <c r="BL163" i="1"/>
  <c r="R163" i="1"/>
  <c r="BE163" i="1"/>
  <c r="R133" i="1"/>
  <c r="BL133" i="1"/>
  <c r="BE133" i="1"/>
  <c r="BL117" i="1"/>
  <c r="BE117" i="1"/>
  <c r="R117" i="1"/>
  <c r="BL102" i="1"/>
  <c r="BE102" i="1"/>
  <c r="BE129" i="1"/>
  <c r="BL129" i="1"/>
  <c r="BE142" i="1"/>
  <c r="BL142" i="1"/>
  <c r="R142" i="1"/>
  <c r="BE212" i="1"/>
  <c r="BL212" i="1"/>
  <c r="BE148" i="1"/>
  <c r="BL148" i="1"/>
  <c r="R148" i="1"/>
  <c r="R130" i="1"/>
  <c r="BL130" i="1"/>
  <c r="BE130" i="1"/>
  <c r="BL101" i="1"/>
  <c r="BE101" i="1"/>
  <c r="BL96" i="1"/>
  <c r="BE96" i="1"/>
  <c r="BE141" i="1"/>
  <c r="BL141" i="1"/>
  <c r="R141" i="1"/>
  <c r="BL98" i="1"/>
  <c r="BE98" i="1"/>
  <c r="BE211" i="1"/>
  <c r="BL211" i="1"/>
  <c r="BE208" i="1"/>
  <c r="BL208" i="1"/>
  <c r="BE126" i="1"/>
  <c r="BL126" i="1"/>
  <c r="BL100" i="1"/>
  <c r="BE100" i="1"/>
  <c r="R100" i="1"/>
  <c r="BL108" i="1"/>
  <c r="BE108" i="1"/>
  <c r="R150" i="1"/>
  <c r="BL150" i="1"/>
  <c r="BE150" i="1"/>
  <c r="R160" i="1"/>
  <c r="BE160" i="1"/>
  <c r="BL160" i="1"/>
  <c r="BE103" i="1"/>
  <c r="BL103" i="1"/>
  <c r="BE154" i="1"/>
  <c r="R154" i="1"/>
  <c r="BL154" i="1"/>
  <c r="R145" i="1"/>
  <c r="BE145" i="1"/>
  <c r="BL145" i="1"/>
  <c r="BE118" i="1"/>
  <c r="BL118" i="1"/>
  <c r="BL144" i="1"/>
  <c r="BE144" i="1"/>
  <c r="R144" i="1"/>
  <c r="R157" i="1"/>
  <c r="BE157" i="1"/>
  <c r="BL157" i="1"/>
  <c r="R113" i="1"/>
  <c r="BE113" i="1"/>
  <c r="BL113" i="1"/>
  <c r="BE121" i="1"/>
  <c r="R121" i="1"/>
  <c r="BL121" i="1"/>
  <c r="R153" i="1"/>
  <c r="BE153" i="1"/>
  <c r="BL153" i="1"/>
  <c r="BE112" i="1"/>
  <c r="BL112" i="1"/>
  <c r="R112" i="1"/>
  <c r="BL110" i="1"/>
  <c r="BE110" i="1"/>
  <c r="R110" i="1"/>
  <c r="BL164" i="1"/>
  <c r="BE164" i="1"/>
  <c r="R164" i="1"/>
  <c r="BL143" i="1"/>
  <c r="R143" i="1"/>
  <c r="BE143" i="1"/>
  <c r="R111" i="1"/>
  <c r="BE111" i="1"/>
  <c r="BL111" i="1"/>
  <c r="BL97" i="1"/>
  <c r="BE97" i="1"/>
  <c r="BE137" i="1"/>
  <c r="R137" i="1"/>
  <c r="BL137" i="1"/>
  <c r="BL149" i="1"/>
  <c r="R149" i="1"/>
  <c r="BE149" i="1"/>
  <c r="BE119" i="1"/>
  <c r="BL119" i="1"/>
  <c r="R109" i="1"/>
  <c r="BE109" i="1"/>
  <c r="BL109" i="1"/>
  <c r="BL120" i="1"/>
  <c r="BE120" i="1"/>
  <c r="R120" i="1"/>
  <c r="R115" i="1"/>
  <c r="BE115" i="1"/>
  <c r="BL115" i="1"/>
  <c r="BL147" i="1"/>
  <c r="BE147" i="1"/>
  <c r="R147" i="1"/>
  <c r="R155" i="1"/>
  <c r="BE155" i="1"/>
  <c r="BL155" i="1"/>
  <c r="R158" i="1"/>
  <c r="BE158" i="1"/>
  <c r="BL158" i="1"/>
  <c r="BE93" i="1"/>
  <c r="BL93" i="1"/>
  <c r="BE159" i="1"/>
  <c r="R159" i="1"/>
  <c r="BL159" i="1"/>
  <c r="BE161" i="1"/>
  <c r="BL161" i="1"/>
  <c r="R161" i="1"/>
  <c r="R122" i="1"/>
  <c r="BE122" i="1"/>
  <c r="BL122" i="1"/>
  <c r="R138" i="1"/>
  <c r="BL138" i="1"/>
  <c r="BE138" i="1"/>
  <c r="BE116" i="1"/>
  <c r="R116" i="1"/>
  <c r="BL116" i="1"/>
  <c r="BL209" i="1"/>
  <c r="BE209" i="1"/>
  <c r="BL210" i="1"/>
  <c r="BE210" i="1"/>
  <c r="BE125" i="1"/>
  <c r="R125" i="1"/>
  <c r="BL125" i="1"/>
  <c r="BL114" i="1"/>
  <c r="BE114" i="1"/>
  <c r="BL106" i="1"/>
  <c r="BE106" i="1"/>
  <c r="BE99" i="1"/>
  <c r="BL99" i="1"/>
  <c r="BE135" i="1"/>
  <c r="BL135" i="1"/>
  <c r="R135" i="1"/>
  <c r="BL104" i="1"/>
  <c r="BE104" i="1"/>
  <c r="R131" i="1"/>
  <c r="BE131" i="1"/>
  <c r="BL131" i="1"/>
  <c r="BE132" i="1"/>
  <c r="R132" i="1"/>
  <c r="BL132" i="1"/>
  <c r="BL105" i="1"/>
  <c r="BE105" i="1"/>
  <c r="R105" i="1"/>
  <c r="BE128" i="1"/>
  <c r="BL128" i="1"/>
  <c r="R146" i="1"/>
  <c r="BL146" i="1"/>
  <c r="BE146" i="1"/>
  <c r="R123" i="1"/>
  <c r="BL123" i="1"/>
  <c r="BE123" i="1"/>
  <c r="BE244" i="1" l="1"/>
  <c r="BL244" i="1"/>
  <c r="BG30" i="1" l="1"/>
  <c r="BG60" i="1"/>
  <c r="BG61" i="1"/>
  <c r="BG204" i="1" l="1"/>
  <c r="BG34" i="1"/>
  <c r="BG51" i="1"/>
  <c r="BG41" i="1"/>
  <c r="BG172" i="1"/>
  <c r="BG80" i="1"/>
  <c r="BG200" i="1"/>
  <c r="BG171" i="1"/>
  <c r="BG52" i="1"/>
  <c r="BG134" i="1"/>
  <c r="BG94" i="1"/>
  <c r="BG96" i="1"/>
  <c r="BG82" i="1"/>
  <c r="BG193" i="1"/>
  <c r="BG17" i="1"/>
  <c r="BG175" i="1"/>
  <c r="BG102" i="1"/>
  <c r="BG138" i="1"/>
  <c r="BG104" i="1"/>
  <c r="BG173" i="1"/>
  <c r="BG122" i="1"/>
  <c r="BG195" i="1"/>
  <c r="BG213" i="1"/>
  <c r="BG49" i="1"/>
  <c r="BG124" i="1"/>
  <c r="BG14" i="1"/>
  <c r="BG212" i="1"/>
  <c r="BG170" i="1"/>
  <c r="BG132" i="1"/>
  <c r="BG95" i="1"/>
  <c r="BG98" i="1"/>
  <c r="BG196" i="1"/>
  <c r="BG13" i="1"/>
  <c r="BG211" i="1"/>
  <c r="BG184" i="1"/>
  <c r="BG168" i="1"/>
  <c r="BG53" i="1"/>
  <c r="BG110" i="1"/>
  <c r="BG93" i="1"/>
  <c r="BG99" i="1"/>
  <c r="BG73" i="1"/>
  <c r="BG194" i="1"/>
  <c r="BG5" i="1"/>
  <c r="BG139" i="1"/>
  <c r="BG2" i="1"/>
  <c r="BG81" i="1"/>
  <c r="BG214" i="1"/>
  <c r="BG115" i="1"/>
  <c r="BG78" i="1"/>
  <c r="BG201" i="1"/>
  <c r="BG136" i="1"/>
  <c r="BG97" i="1"/>
  <c r="BG187" i="1"/>
  <c r="BG241" i="1"/>
  <c r="BG185" i="1"/>
  <c r="BG47" i="1"/>
  <c r="BG210" i="1"/>
  <c r="BG182" i="1"/>
  <c r="BG166" i="1"/>
  <c r="BG50" i="1"/>
  <c r="BG111" i="1"/>
  <c r="BG141" i="1"/>
  <c r="BG121" i="1"/>
  <c r="BG55" i="1"/>
  <c r="BG10" i="1"/>
  <c r="BG3" i="1"/>
  <c r="BG174" i="1"/>
  <c r="BG137" i="1"/>
  <c r="BG181" i="1"/>
  <c r="BG116" i="1"/>
  <c r="BG189" i="1"/>
  <c r="BG18" i="1"/>
  <c r="BG208" i="1"/>
  <c r="BG180" i="1"/>
  <c r="BG69" i="1"/>
  <c r="BG46" i="1"/>
  <c r="BG106" i="1"/>
  <c r="BG148" i="1"/>
  <c r="BG56" i="1"/>
  <c r="BG190" i="1"/>
  <c r="BG7" i="1"/>
  <c r="BG233" i="1"/>
  <c r="BG79" i="1"/>
  <c r="BG108" i="1"/>
  <c r="BG91" i="1"/>
  <c r="BG75" i="1"/>
  <c r="BG207" i="1"/>
  <c r="BG179" i="1"/>
  <c r="BG45" i="1"/>
  <c r="BG128" i="1"/>
  <c r="BG117" i="1"/>
  <c r="BG58" i="1"/>
  <c r="BG54" i="1"/>
  <c r="BG188" i="1"/>
  <c r="BG4" i="1"/>
  <c r="BG192" i="1"/>
  <c r="BG48" i="1"/>
  <c r="BG178" i="1"/>
  <c r="BG129" i="1"/>
  <c r="BG127" i="1"/>
  <c r="BG123" i="1"/>
  <c r="BG74" i="1"/>
  <c r="BG59" i="1"/>
  <c r="BG186" i="1"/>
  <c r="BG8" i="1"/>
  <c r="BG120" i="1"/>
  <c r="BG191" i="1"/>
  <c r="BG202" i="1"/>
  <c r="BG161" i="1"/>
  <c r="BG206" i="1"/>
  <c r="BG240" i="1"/>
  <c r="BG177" i="1"/>
  <c r="BG25" i="1"/>
  <c r="BG152" i="1"/>
  <c r="BG118" i="1"/>
  <c r="BG101" i="1"/>
  <c r="BG76" i="1"/>
  <c r="BG57" i="1"/>
  <c r="BG203" i="1"/>
  <c r="BG38" i="1"/>
  <c r="BG209" i="1"/>
  <c r="BG70" i="1"/>
  <c r="BG19" i="1"/>
  <c r="BG234" i="1"/>
  <c r="BG239" i="1"/>
  <c r="BG176" i="1"/>
  <c r="BG24" i="1"/>
  <c r="BG150" i="1"/>
  <c r="BG126" i="1"/>
  <c r="BG103" i="1"/>
  <c r="BG77" i="1"/>
  <c r="BG198" i="1"/>
  <c r="BG42" i="1"/>
  <c r="BG15" i="1"/>
  <c r="BH70" i="1" l="1"/>
  <c r="BH25" i="1"/>
  <c r="BH24" i="1" l="1"/>
  <c r="BI227" i="1" l="1"/>
  <c r="BH227" i="1"/>
  <c r="BH239" i="1"/>
  <c r="BI239" i="1" l="1"/>
  <c r="BI220" i="1"/>
  <c r="BI230" i="1"/>
  <c r="BI225" i="1"/>
  <c r="BI216" i="1"/>
  <c r="BI232" i="1"/>
  <c r="BH216" i="1"/>
  <c r="BH232" i="1"/>
  <c r="BH230" i="1"/>
  <c r="BH220" i="1"/>
  <c r="BH225" i="1"/>
  <c r="BH233" i="1"/>
  <c r="BI240" i="1"/>
  <c r="BI223" i="1" l="1"/>
  <c r="BH235" i="1"/>
  <c r="BI235" i="1"/>
  <c r="BH221" i="1"/>
  <c r="BI221" i="1"/>
  <c r="BI233" i="1"/>
  <c r="BH234" i="1"/>
  <c r="BI234" i="1"/>
  <c r="BI72" i="1"/>
  <c r="BH72" i="1"/>
  <c r="BI71" i="1"/>
  <c r="BH71" i="1"/>
  <c r="BI65" i="1"/>
  <c r="BH65" i="1"/>
  <c r="BI40" i="1"/>
  <c r="BH40" i="1"/>
  <c r="BI39" i="1"/>
  <c r="BH39" i="1"/>
  <c r="BI36" i="1"/>
  <c r="BH36" i="1"/>
  <c r="BI41" i="1"/>
  <c r="BH41" i="1"/>
  <c r="BI117" i="1"/>
  <c r="BH117" i="1"/>
  <c r="BI188" i="1"/>
  <c r="BH188" i="1"/>
  <c r="BI32" i="1"/>
  <c r="BH32" i="1"/>
  <c r="BH223" i="1"/>
  <c r="BH240" i="1"/>
  <c r="BH209" i="1" l="1"/>
  <c r="BH211" i="1"/>
  <c r="BH177" i="1"/>
  <c r="BH96" i="1"/>
  <c r="BH119" i="1"/>
  <c r="BH241" i="1"/>
  <c r="BH48" i="1"/>
  <c r="BH156" i="1"/>
  <c r="BI130" i="1"/>
  <c r="BH130" i="1"/>
  <c r="BH199" i="1"/>
  <c r="BH92" i="1"/>
  <c r="BH133" i="1"/>
  <c r="BI11" i="1"/>
  <c r="BH11" i="1"/>
  <c r="BI183" i="1"/>
  <c r="BH183" i="1"/>
  <c r="BH197" i="1"/>
  <c r="BI143" i="1"/>
  <c r="BH143" i="1"/>
  <c r="BI144" i="1"/>
  <c r="BH144" i="1"/>
  <c r="BI194" i="1"/>
  <c r="BH194" i="1"/>
  <c r="BH131" i="1"/>
  <c r="BI157" i="1"/>
  <c r="BH157" i="1"/>
  <c r="BI193" i="1"/>
  <c r="BH193" i="1"/>
  <c r="BI158" i="1"/>
  <c r="BH158" i="1"/>
  <c r="BH5" i="1"/>
  <c r="BH145" i="1"/>
  <c r="BI2" i="1"/>
  <c r="BH2" i="1"/>
  <c r="BH109" i="1"/>
  <c r="BI125" i="1"/>
  <c r="BH125" i="1"/>
  <c r="BH28" i="1"/>
  <c r="BH69" i="1"/>
  <c r="BI164" i="1"/>
  <c r="BH164" i="1"/>
  <c r="BH146" i="1"/>
  <c r="BI160" i="1"/>
  <c r="BH160" i="1"/>
  <c r="BI26" i="1"/>
  <c r="BH26" i="1"/>
  <c r="BI64" i="1"/>
  <c r="BH64" i="1"/>
  <c r="BI172" i="1"/>
  <c r="BH172" i="1"/>
  <c r="BH159" i="1"/>
  <c r="BI6" i="1"/>
  <c r="BH147" i="1"/>
  <c r="BH163" i="1"/>
  <c r="BH42" i="1"/>
  <c r="BH44" i="1"/>
  <c r="BI9" i="1"/>
  <c r="BH9" i="1"/>
  <c r="BI105" i="1"/>
  <c r="BH105" i="1"/>
  <c r="BI192" i="1"/>
  <c r="BH192" i="1"/>
  <c r="BH112" i="1"/>
  <c r="BH66" i="1"/>
  <c r="BH114" i="1"/>
  <c r="BH62" i="1"/>
  <c r="BH154" i="1"/>
  <c r="BI43" i="1"/>
  <c r="BH43" i="1"/>
  <c r="BH18" i="1"/>
  <c r="BI189" i="1"/>
  <c r="BH161" i="1"/>
  <c r="BI162" i="1"/>
  <c r="BH162" i="1"/>
  <c r="BI198" i="1"/>
  <c r="BH198" i="1"/>
  <c r="BH195" i="1"/>
  <c r="BH191" i="1"/>
  <c r="BI75" i="1"/>
  <c r="BI31" i="1"/>
  <c r="BH31" i="1"/>
  <c r="BI141" i="1"/>
  <c r="BH141" i="1"/>
  <c r="BH142" i="1"/>
  <c r="BH186" i="1"/>
  <c r="BI22" i="1"/>
  <c r="BH22" i="1"/>
  <c r="BH148" i="1"/>
  <c r="BH33" i="1"/>
  <c r="BH27" i="1"/>
  <c r="BH29" i="1"/>
  <c r="BH107" i="1"/>
  <c r="BI23" i="1"/>
  <c r="BH23" i="1"/>
  <c r="BI25" i="1"/>
  <c r="BH165" i="1"/>
  <c r="BI190" i="1"/>
  <c r="BI196" i="1"/>
  <c r="BH196" i="1"/>
  <c r="BH201" i="1"/>
  <c r="BH38" i="1"/>
  <c r="BH16" i="1"/>
  <c r="BI155" i="1"/>
  <c r="BH155" i="1"/>
  <c r="BI135" i="1"/>
  <c r="BH135" i="1"/>
  <c r="BI187" i="1"/>
  <c r="BH63" i="1"/>
  <c r="BH12" i="1"/>
  <c r="BH150" i="1"/>
  <c r="BI70" i="1"/>
  <c r="BH75" i="1" l="1"/>
  <c r="BI133" i="1"/>
  <c r="BI27" i="1"/>
  <c r="BI92" i="1"/>
  <c r="BI161" i="1"/>
  <c r="BI62" i="1"/>
  <c r="BI197" i="1"/>
  <c r="BI29" i="1"/>
  <c r="BI186" i="1"/>
  <c r="BI159" i="1"/>
  <c r="BI191" i="1"/>
  <c r="BI28" i="1"/>
  <c r="BI142" i="1"/>
  <c r="BI131" i="1"/>
  <c r="BI195" i="1"/>
  <c r="BI114" i="1"/>
  <c r="BI42" i="1"/>
  <c r="BI146" i="1"/>
  <c r="BI145" i="1"/>
  <c r="BI165" i="1"/>
  <c r="BI44" i="1"/>
  <c r="BI16" i="1"/>
  <c r="BI5" i="1"/>
  <c r="BI38" i="1"/>
  <c r="BI33" i="1"/>
  <c r="BI18" i="1"/>
  <c r="BI199" i="1"/>
  <c r="BI163" i="1"/>
  <c r="BI69" i="1"/>
  <c r="BI109" i="1"/>
  <c r="BI112" i="1"/>
  <c r="BI63" i="1"/>
  <c r="BI148" i="1"/>
  <c r="BI12" i="1"/>
  <c r="BI154" i="1"/>
  <c r="BI107" i="1"/>
  <c r="BI66" i="1"/>
  <c r="BI231" i="1"/>
  <c r="BI35" i="1"/>
  <c r="BI84" i="1"/>
  <c r="BI140" i="1"/>
  <c r="BI226" i="1"/>
  <c r="BI153" i="1"/>
  <c r="BI24" i="1"/>
  <c r="BI30" i="1"/>
  <c r="BI83" i="1"/>
  <c r="BH231" i="1"/>
  <c r="BH77" i="1"/>
  <c r="BH153" i="1"/>
  <c r="BH6" i="1"/>
  <c r="BH190" i="1"/>
  <c r="BH55" i="1"/>
  <c r="BH83" i="1"/>
  <c r="BH35" i="1"/>
  <c r="BH30" i="1"/>
  <c r="BH226" i="1"/>
  <c r="BH8" i="1"/>
  <c r="BH189" i="1"/>
  <c r="BH187" i="1"/>
  <c r="BH82" i="1"/>
  <c r="BH84" i="1"/>
  <c r="BH140" i="1"/>
  <c r="BI150" i="1"/>
  <c r="BI147" i="1"/>
  <c r="BH93" i="1"/>
  <c r="BH7" i="1"/>
  <c r="BI77" i="1"/>
  <c r="BH175" i="1"/>
  <c r="BI34" i="1"/>
  <c r="BI178" i="1"/>
  <c r="BI82" i="1"/>
  <c r="BH126" i="1"/>
  <c r="BH127" i="1"/>
  <c r="BH118" i="1"/>
  <c r="BH34" i="1"/>
  <c r="BH166" i="1"/>
  <c r="BH178" i="1"/>
  <c r="BH210" i="1"/>
  <c r="BH51" i="1"/>
  <c r="BI126" i="1"/>
  <c r="BI48" i="1"/>
  <c r="BH3" i="1"/>
  <c r="BH169" i="1"/>
  <c r="BH139" i="1"/>
  <c r="BH168" i="1"/>
  <c r="BI156" i="1"/>
  <c r="BI168" i="1"/>
  <c r="BH176" i="1"/>
  <c r="BH212" i="1"/>
  <c r="BI241" i="1"/>
  <c r="BI173" i="1"/>
  <c r="BI177" i="1"/>
  <c r="BI3" i="1"/>
  <c r="BI47" i="1"/>
  <c r="BI214" i="1"/>
  <c r="BH173" i="1"/>
  <c r="BH124" i="1"/>
  <c r="BI124" i="1"/>
  <c r="BI180" i="1"/>
  <c r="BH181" i="1"/>
  <c r="BI8" i="1"/>
  <c r="BI96" i="1"/>
  <c r="BI211" i="1"/>
  <c r="BH137" i="1"/>
  <c r="BI94" i="1"/>
  <c r="BH104" i="1"/>
  <c r="BH180" i="1"/>
  <c r="BH110" i="1"/>
  <c r="BH170" i="1"/>
  <c r="BI110" i="1"/>
  <c r="BI175" i="1"/>
  <c r="BI212" i="1"/>
  <c r="BH116" i="1"/>
  <c r="BI170" i="1"/>
  <c r="BI116" i="1"/>
  <c r="BH91" i="1"/>
  <c r="BH123" i="1"/>
  <c r="BI205" i="1"/>
  <c r="BI91" i="1"/>
  <c r="BI209" i="1"/>
  <c r="BI200" i="1"/>
  <c r="BI123" i="1"/>
  <c r="BH121" i="1"/>
  <c r="BI119" i="1"/>
  <c r="BI120" i="1"/>
  <c r="BH94" i="1"/>
  <c r="BI121" i="1"/>
  <c r="BH95" i="1"/>
  <c r="BH120" i="1"/>
  <c r="BI52" i="1"/>
  <c r="BI95" i="1"/>
  <c r="BI169" i="1"/>
  <c r="BH205" i="1"/>
  <c r="BI201" i="1"/>
  <c r="BH185" i="1"/>
  <c r="BI93" i="1"/>
  <c r="BH179" i="1"/>
  <c r="BI185" i="1"/>
  <c r="BI179" i="1"/>
  <c r="BH4" i="1"/>
  <c r="BH149" i="1"/>
  <c r="BH102" i="1"/>
  <c r="BH37" i="1"/>
  <c r="BI182" i="1"/>
  <c r="BI68" i="1"/>
  <c r="BH60" i="1"/>
  <c r="BI58" i="1"/>
  <c r="BH58" i="1"/>
  <c r="BI19" i="1"/>
  <c r="BI136" i="1" l="1"/>
  <c r="BI213" i="1"/>
  <c r="BH81" i="1"/>
  <c r="BH80" i="1"/>
  <c r="BI54" i="1"/>
  <c r="BI49" i="1"/>
  <c r="BI53" i="1"/>
  <c r="BI79" i="1"/>
  <c r="BH103" i="1"/>
  <c r="BI103" i="1"/>
  <c r="BH14" i="1"/>
  <c r="BI14" i="1"/>
  <c r="BH50" i="1"/>
  <c r="BI50" i="1"/>
  <c r="BH202" i="1"/>
  <c r="BI202" i="1"/>
  <c r="BH46" i="1"/>
  <c r="BI46" i="1"/>
  <c r="BI102" i="1"/>
  <c r="BH56" i="1"/>
  <c r="BI56" i="1"/>
  <c r="BH99" i="1"/>
  <c r="BI99" i="1"/>
  <c r="BI37" i="1"/>
  <c r="BH134" i="1"/>
  <c r="BI134" i="1"/>
  <c r="BI139" i="1"/>
  <c r="BI115" i="1"/>
  <c r="BI60" i="1"/>
  <c r="BH206" i="1"/>
  <c r="BI206" i="1"/>
  <c r="BH132" i="1"/>
  <c r="BI132" i="1"/>
  <c r="BI127" i="1"/>
  <c r="BI80" i="1"/>
  <c r="BH113" i="1"/>
  <c r="BI113" i="1"/>
  <c r="BH184" i="1"/>
  <c r="BI184" i="1"/>
  <c r="BI51" i="1"/>
  <c r="BI210" i="1"/>
  <c r="BH138" i="1"/>
  <c r="BI138" i="1"/>
  <c r="BI166" i="1"/>
  <c r="BH101" i="1"/>
  <c r="BI101" i="1"/>
  <c r="BI106" i="1"/>
  <c r="BH61" i="1"/>
  <c r="BI61" i="1"/>
  <c r="BH74" i="1"/>
  <c r="BI74" i="1"/>
  <c r="BH208" i="1"/>
  <c r="BI208" i="1"/>
  <c r="BH203" i="1"/>
  <c r="BI203" i="1"/>
  <c r="BH152" i="1"/>
  <c r="BI152" i="1"/>
  <c r="BI137" i="1"/>
  <c r="BI59" i="1"/>
  <c r="BH10" i="1"/>
  <c r="BI10" i="1"/>
  <c r="BH111" i="1"/>
  <c r="BI111" i="1"/>
  <c r="BI176" i="1"/>
  <c r="BI7" i="1"/>
  <c r="BH15" i="1"/>
  <c r="BI15" i="1"/>
  <c r="BI4" i="1"/>
  <c r="BI104" i="1"/>
  <c r="BH45" i="1"/>
  <c r="BI45" i="1"/>
  <c r="BH174" i="1"/>
  <c r="BI174" i="1"/>
  <c r="BH122" i="1"/>
  <c r="BI122" i="1"/>
  <c r="BH13" i="1"/>
  <c r="BI13" i="1"/>
  <c r="BH73" i="1"/>
  <c r="BI73" i="1"/>
  <c r="BH17" i="1"/>
  <c r="BI17" i="1"/>
  <c r="BH204" i="1"/>
  <c r="BI204" i="1"/>
  <c r="BH76" i="1"/>
  <c r="BI76" i="1"/>
  <c r="BI81" i="1"/>
  <c r="BH98" i="1"/>
  <c r="BI98" i="1"/>
  <c r="BH128" i="1"/>
  <c r="BI128" i="1"/>
  <c r="BI149" i="1"/>
  <c r="BH129" i="1"/>
  <c r="BI129" i="1"/>
  <c r="BI181" i="1"/>
  <c r="BH97" i="1"/>
  <c r="BI97" i="1"/>
  <c r="BH171" i="1"/>
  <c r="BI171" i="1"/>
  <c r="BH167" i="1"/>
  <c r="BI167" i="1"/>
  <c r="BH78" i="1"/>
  <c r="BI78" i="1"/>
  <c r="BI118" i="1"/>
  <c r="BI151" i="1"/>
  <c r="BI57" i="1"/>
  <c r="BI207" i="1"/>
  <c r="BI55" i="1"/>
  <c r="BI108" i="1"/>
  <c r="BH19" i="1"/>
  <c r="BH57" i="1"/>
  <c r="BH213" i="1"/>
  <c r="BH182" i="1"/>
  <c r="BH115" i="1"/>
  <c r="BH54" i="1"/>
  <c r="BH59" i="1"/>
  <c r="BH214" i="1"/>
  <c r="BH49" i="1"/>
  <c r="BH106" i="1"/>
  <c r="BH108" i="1"/>
  <c r="BH200" i="1"/>
  <c r="BH151" i="1"/>
  <c r="BH52" i="1"/>
  <c r="BH136" i="1"/>
  <c r="BH79" i="1"/>
  <c r="BH47" i="1"/>
  <c r="BH207" i="1"/>
  <c r="BH53" i="1"/>
</calcChain>
</file>

<file path=xl/sharedStrings.xml><?xml version="1.0" encoding="utf-8"?>
<sst xmlns="http://schemas.openxmlformats.org/spreadsheetml/2006/main" count="1039" uniqueCount="421">
  <si>
    <t>Category</t>
  </si>
  <si>
    <t>Brand</t>
  </si>
  <si>
    <t>skuid</t>
  </si>
  <si>
    <t>Pgcode</t>
  </si>
  <si>
    <t>Barcode</t>
  </si>
  <si>
    <t>SKU Name</t>
    <phoneticPr fontId="0" type="noConversion"/>
  </si>
  <si>
    <t>COGS (pcs/ w. TAX)</t>
  </si>
  <si>
    <t>Note</t>
    <phoneticPr fontId="0" type="noConversion"/>
  </si>
  <si>
    <t>箱入數</t>
    <phoneticPr fontId="0" type="noConversion"/>
  </si>
  <si>
    <t>Fabric</t>
  </si>
  <si>
    <t>ARIEL</t>
  </si>
  <si>
    <t>[箱裝]ARIEL 抗菌洗衣精補充包, 抗菌去漬型, 1690g, 6包</t>
  </si>
  <si>
    <t>[箱裝]ARIEL 抗菌洗衣精補充包, 高效除螨, 1690g, 6包</t>
  </si>
  <si>
    <t>[箱裝]ARIEL 抗菌洗衣精補充包, 自然微香型, 1690g, 6包</t>
  </si>
  <si>
    <t>ARIEL 抗菌洗衣精補充 室內晾衣型, 1690g, 1個</t>
  </si>
  <si>
    <t>ARIEL 抗菌洗衣精補充 抗菌去漬型, 1690g, 1個</t>
  </si>
  <si>
    <t>ARIEL 抗菌洗衣精 抗菌去漬型, 800g, 1個</t>
  </si>
  <si>
    <t>ARIEL 抗菌洗衣精補充 自然微香型, 1690g, 1個</t>
  </si>
  <si>
    <t>ARIEL 抗菌洗衣精 自然微香型, 800g, 1個</t>
  </si>
  <si>
    <t>ARIEL 抗菌洗衣精 室內晾衣型, 800g, 1瓶</t>
  </si>
  <si>
    <t>ARIEL 抗菌洗衣精補充 高效除蟎, 1690g, 1個</t>
  </si>
  <si>
    <t>ARIEL 4D抗菌洗衣膠囊補充包 自然微香型, 30個裝, 1套</t>
  </si>
  <si>
    <t>ARIEL 4D抗菌洗衣膠囊補充包 抗菌去漬型, 30個裝, 1套</t>
  </si>
  <si>
    <t>ARIEL 抗菌洗衣精 高效除蟎, 800g, 1個</t>
  </si>
  <si>
    <t>ARIEL 4D抗菌洗衣膠囊補充包 室內晾衣型, 30個裝, 1套</t>
  </si>
  <si>
    <t>ARIEL 4D抗菌洗衣膠囊補充包 抗菌去漬型, 80顆, 1袋</t>
  </si>
  <si>
    <t>Bold</t>
  </si>
  <si>
    <r>
      <t xml:space="preserve">Lenor </t>
    </r>
    <r>
      <rPr>
        <sz val="11"/>
        <color theme="1"/>
        <rFont val="微軟正黑體"/>
        <family val="2"/>
        <charset val="136"/>
      </rPr>
      <t>蘭諾</t>
    </r>
  </si>
  <si>
    <t>Lenor 蘭諾 台灣公司貨 衣物芳香豆補充包 春暖晨露, 455ml, 1包</t>
  </si>
  <si>
    <t>Lenor 蘭諾 台灣公司貨 衣物芳香豆 春暖晨露, 470ml, 1瓶</t>
  </si>
  <si>
    <t>Lenor 蘭諾 台灣公司貨 衣物芳香豆補充包 淨白純棉, 455ml, 1包</t>
  </si>
  <si>
    <t>Lenor 蘭諾 台灣公司貨 衣物芳香豆 淨白純棉, 470ml, 1瓶</t>
  </si>
  <si>
    <t>Lenor 蘭諾 衣物芳香豆 雪松梔子花 補充包, 440ml, 1包</t>
  </si>
  <si>
    <t>Lenor 蘭諾 衣物芳香豆 甜柔麝香, 450ml, 1瓶</t>
  </si>
  <si>
    <t>Lenor 蘭諾 衣物芳香豆 甜花石榴香, 450ml, 1瓶</t>
  </si>
  <si>
    <t>Lenor 蘭諾 衣物芳香豆 青檸紫羅蘭, 450ml, 1瓶</t>
  </si>
  <si>
    <t>Lenor 蘭諾 衣物芳香豆 清晨草木, 450ml, 1瓶</t>
  </si>
  <si>
    <t>Lenor 蘭諾 衣物芳香豆 雪松梔子花, 450ml, 1瓶</t>
  </si>
  <si>
    <t>Lenor 蘭諾 衣物抗菌芳香豆 潮濕天氣抗臭, 440ml, 1瓶</t>
  </si>
  <si>
    <t>Lenor 蘭諾 衣物芳香豆 清晨草木 補充包, 440ml, 1包</t>
  </si>
  <si>
    <t>Lenor 蘭諾 衣物抗菌芳香豆 潮濕天氣抗臭 補充包, 430ml, 1包</t>
  </si>
  <si>
    <t>Lenor 蘭諾 衣物芳香豆 甜柔麝香 補充包, 440ml, 1包</t>
  </si>
  <si>
    <t>Lenor 蘭諾 衣物芳香豆 甜花石榴香 補充包, 440ml, 1包</t>
  </si>
  <si>
    <t>Lenor 蘭諾 衣物芳香豆 青檸紫羅蘭 補充包, 440ml, 1包</t>
  </si>
  <si>
    <t>Lenor 蘭諾 衣物抗菌芳香豆 運動衣物抗臭, 440ml, 1瓶</t>
  </si>
  <si>
    <t>Lenor 蘭諾 衣物抗菌芳香豆 運動衣物抗臭 補充包, 430ml, 1包</t>
  </si>
  <si>
    <t>Lenor 蘭諾</t>
  </si>
  <si>
    <t>Lenor 蘭諾 衣物芳香豆 甜花石榴香 補充包, 900ml, 1個</t>
  </si>
  <si>
    <t>Lenor 蘭諾 衣物芳香豆 雪松梔子花 補充包, 900ml, 1個</t>
  </si>
  <si>
    <t>Lenor 蘭諾 衣物芳香豆 運動衣物抗臭 補充包, 880ml, 1個</t>
  </si>
  <si>
    <t>Lenor 蘭諾 衣物芳香豆 清晨草木 補充包, 900ml, 1個</t>
  </si>
  <si>
    <t>Lenor 蘭諾 衣物芳香豆 淨白純棉 補充包, 940ml, 1個</t>
  </si>
  <si>
    <t>Lenor 蘭諾 衣物芳香豆 青檸紫羅蘭 補充包, 900ml, 1個</t>
  </si>
  <si>
    <t>Lenor 蘭諾 衣物芳香豆 春暖晨露 補充包, 940ml, 1個</t>
  </si>
  <si>
    <t>Lenor 蘭諾 衣物芳香豆 潮濕天氣抗臭 補充包, 880ml, 1個</t>
  </si>
  <si>
    <t>Lenor 蘭諾 衣物芳香豆 甜柔麝香 補充包, 900ml, 1個</t>
  </si>
  <si>
    <t>Baby</t>
  </si>
  <si>
    <r>
      <t xml:space="preserve">Pampers </t>
    </r>
    <r>
      <rPr>
        <sz val="11"/>
        <color theme="1"/>
        <rFont val="微軟正黑體"/>
        <family val="2"/>
        <charset val="136"/>
      </rPr>
      <t>幫寶適</t>
    </r>
  </si>
  <si>
    <t>[箱裝]Pampers 幫寶適 原廠公司貨 CP值之選清新幫紙尿褲/尿布, 黏貼型, L, 9-14kg, 184片</t>
  </si>
  <si>
    <t>[箱裝]Pampers 幫寶適 原廠公司貨 CP值之選清新幫紙尿褲/尿布, 黏貼型, XL, 12~17kg, 152片, 1箱</t>
  </si>
  <si>
    <t>[箱裝]Pampers 幫寶適 原廠公司貨 CP值之選清新幫拉拉褲/尿布, XXL, 15kg以上, 104片</t>
  </si>
  <si>
    <t>[箱裝]Pampers 幫寶適 原廠公司貨 CP值之選清新幫拉拉褲/尿布, L, 9-14kg, 168片</t>
  </si>
  <si>
    <t>[箱裝]Pampers 幫寶適 原廠公司貨 CP值之選清新幫拉拉褲/尿布, XL, 12-17kg, 152片</t>
  </si>
  <si>
    <t>[箱裝]Pampers 幫寶適 原廠公司貨 史上最強一級幫黏貼型護膚尿布/紙尿褲, S, 4~8kg, 224片_夏日遠離紅屁屁 (極上守護)</t>
  </si>
  <si>
    <t>[箱裝]Pampers 幫寶適 原廠公司貨 史上最強一級幫黏貼型護膚尿布/紙尿褲, M, 6~11kg, 156片_夏日遠離紅屁屁 (極上守護)</t>
  </si>
  <si>
    <t>[箱裝]Pampers 幫寶適 原廠公司貨 史上最強一級幫黏貼型護膚尿布/紙尿褲, NB, 5kg以下, 256片_夏日遠離紅屁屁 (極上守護)</t>
  </si>
  <si>
    <t>Pampers 幫寶適 原廠公司貨 史上最強一級幫紙尿褲/尿布禮盒/彌月禮盒組(黏貼型尿布-S 56片+M 108片+拉拉褲M 4片), 168片, 1盒_(極上守護)</t>
  </si>
  <si>
    <t>[箱裝]Pampers 幫寶適 原廠公司貨 史上最強一級幫紙尿褲/尿布禮盒/彌月禮盒組(黏貼型尿布-NB 32片+S112片), 144片, 1盒_(極上守護)</t>
  </si>
  <si>
    <t>[箱裝]Pampers 幫寶適 原廠公司貨 史上最強一級幫散熱拉拉褲/尿布/褲型, M, 6~11kg, 152片_(極上守護)</t>
  </si>
  <si>
    <t>[箱裝]Pampers 幫寶適 原廠公司貨 史上最強一級幫散熱拉拉褲/尿布/褲型, L+, 10~15kg, 102片_(極上守護)</t>
  </si>
  <si>
    <t>[箱裝]Pampers 幫寶適 原廠公司貨 清新幫褲型尿布, M, 6~11kg, 200片</t>
  </si>
  <si>
    <t>[箱裝]Pampers 幫寶適 原廠公司貨 清新幫黏貼型尿布, S, 4~8kg, 264片</t>
  </si>
  <si>
    <t>[箱裝]Pampers 幫寶適 原廠公司貨 清新幫黏貼型尿布, M, 6~11kg, 216片</t>
  </si>
  <si>
    <t>Pampers 幫寶適 原廠公司貨 清新幫黏貼型紙尿褲/尿布, S, 4~8kg, 66片</t>
  </si>
  <si>
    <t>Pampers 幫寶適 原廠公司貨 清新幫黏貼型紙尿褲/尿布, M, 6~11kg, 54片</t>
  </si>
  <si>
    <t>Pampers 幫寶適 原廠公司貨 清新幫拉拉褲/褲型尿布, M, 6~11kg, 50片</t>
  </si>
  <si>
    <t>Pampers 幫寶適 原廠公司貨 清新幫黏貼型紙尿褲/尿布, L, 9~14kg, 46片</t>
  </si>
  <si>
    <t>Pampers 幫寶適 原廠公司貨 清新幫拉拉褲/褲型尿布, L, 9~14kg, 42片</t>
  </si>
  <si>
    <t>Pampers 幫寶適 原廠公司貨 清新幫黏貼型紙尿褲/尿布, XL, 12~17kg, 38片</t>
  </si>
  <si>
    <t>Pampers 幫寶適 原廠公司貨 清新幫拉拉褲/褲型尿布, XL, 12~17kg, 38片</t>
  </si>
  <si>
    <t>Pampers 幫寶適 原廠公司貨 清新幫拉拉褲/褲型尿布, XXL, 15kg, 26片</t>
  </si>
  <si>
    <t>Pampers 幫寶適 原廠公司貨 清新幫拉拉褲/褲型尿布, XXXL, 17kg, 22片</t>
  </si>
  <si>
    <t>Pampers 幫寶適</t>
  </si>
  <si>
    <t>[箱裝]Pampers 幫寶適 極上守護 一級幫 紙尿褲/尿布 12~17kg, 特大碼 (XL), 99片</t>
  </si>
  <si>
    <t>[箱裝]Pampers 幫寶適 極上守護 一級幫 紙尿褲/尿布 6~11kg, 中碼 (M), 152片</t>
  </si>
  <si>
    <t>[箱裝]Pampers 幫寶適 極上守護 一級幫 褲型拉拉褲 12~17kg, 特大碼 (XL), 90片</t>
  </si>
  <si>
    <t>[箱裝]Pampers 幫寶適 極上守護 一級幫 紙尿褲/尿布 9~14kg, 大碼 (L), 124片</t>
  </si>
  <si>
    <t>[箱裝]Pampers 幫寶適 極上守護 一級幫 褲型拉拉褲 9~14kg, 大碼 (L), 117片</t>
  </si>
  <si>
    <t>[箱裝]Pampers 幫寶適 極上守護 一級幫 褲型拉拉褲 15kg以上, 超大碼 (2XL), 70片</t>
  </si>
  <si>
    <r>
      <t xml:space="preserve">Tide </t>
    </r>
    <r>
      <rPr>
        <sz val="11"/>
        <color theme="1"/>
        <rFont val="微軟正黑體"/>
        <family val="2"/>
        <charset val="136"/>
      </rPr>
      <t>汰漬</t>
    </r>
  </si>
  <si>
    <t>Tide 汰漬 台灣公司貨 2倍超濃縮洗衣精, 3.9L, 1桶</t>
  </si>
  <si>
    <t>Fem</t>
  </si>
  <si>
    <r>
      <t xml:space="preserve">whisper </t>
    </r>
    <r>
      <rPr>
        <sz val="11"/>
        <color theme="1"/>
        <rFont val="微軟正黑體"/>
        <family val="2"/>
        <charset val="136"/>
      </rPr>
      <t>好自在</t>
    </r>
  </si>
  <si>
    <t>whisper 好自在 台灣公司貨 隱型透氣護墊, 自然無香, 40片, 1包</t>
  </si>
  <si>
    <t>whisper 好自在 台灣公司貨 隱型乾爽護墊, 自然無香, 40片, 1包</t>
  </si>
  <si>
    <t>好自在隱型清新護墊 淡香 40片,1包</t>
  </si>
  <si>
    <t>whisper 好自在 台灣公司貨 熊抱安睡36cm量多夜用(10片X2),1組</t>
  </si>
  <si>
    <t>whisper 好自在 台灣公司貨 熊抱安睡425mm量多夜用衛生棉, 7片,2包,1組</t>
  </si>
  <si>
    <t>whisper 好自在 熊抱安睡42.5cm 量多夜用,7片,1包</t>
  </si>
  <si>
    <t>whisper 好自在 台灣公司貨 熊抱安睡36cm量多夜用10片, 1包</t>
  </si>
  <si>
    <t>whisper 好自在</t>
  </si>
  <si>
    <t>whisper 好自在 台灣公司貨 無痕安心褲, 均碼, 2件, 1包</t>
  </si>
  <si>
    <t>whisper 好自在 台灣公司貨 INFINITY液體衛生棉 超長夜用 34cm, 10片, 夜用型, 1盒</t>
  </si>
  <si>
    <t>whisper 好自在 Radiant清新淨味 液體衛生棉/巾 棉柔表層 量多超薄 日用型, 27cm, 9片, 1盒</t>
  </si>
  <si>
    <t>whisper 好自在 台灣公司貨 液體衛生棉清新淨味 31.7cm, 1包, 9片, 一般</t>
  </si>
  <si>
    <t>whisper 好自在 台灣公司貨 液體衛生棉清新淨味 24cm, 1包, 9片, 一般</t>
  </si>
  <si>
    <t>whisper 好自在 熊抱安睡褲XL, 24包, 2片, 內褲型</t>
  </si>
  <si>
    <t>whisper 好自在 台灣公司貨 Air Dry 雲枕瞬吸衛生棉 日用量大, 28cm, 10片, 1包</t>
  </si>
  <si>
    <t>whisper 好自在 台灣公司貨 Air Dry 雲枕瞬吸衛生棉 日用, 24cm, 10片, 1包</t>
  </si>
  <si>
    <t>whisper 好自在 台灣公司貨 Air Dry 雲枕瞬吸衛生棉 日用輕量型, 18cm , 12片, 1包</t>
  </si>
  <si>
    <t>whisper 好自在 台灣公司貨 Air Dry 雲枕瞬吸衛生棉 日用量大加長, 32cm, 8片, 1包</t>
  </si>
  <si>
    <t>whisper 好自在 台灣公司貨 Air Dry Fresh 草本健康衛生棉 日用量大, 28cm, 10片, 1包</t>
  </si>
  <si>
    <t>whisper 好自在 台灣公司貨 Air Dry Fresh 草本健康衛生棉 量大加長, 32cm, 8片, 1包</t>
  </si>
  <si>
    <t>whisper 好自在 台灣公司貨 Air Dry Fresh 草本健康衛生棉 日用普通, 24cm, 10片, 1包</t>
  </si>
  <si>
    <t>whisper 好自在 台灣公司貨 Air Dry Fresh 純棉衛生棉 日用輕量型, 18cm, 12片, 1包</t>
  </si>
  <si>
    <t>whisper 好自在 台灣公司貨 Air Dry 雲枕瞬吸衛生棉 日用量大加長, 32cm, 16片, 1袋</t>
  </si>
  <si>
    <t>whisper 好自在 台灣公司貨 Air Dry 雲枕瞬吸衛生棉 日用, 24cm, 20片, 1袋</t>
  </si>
  <si>
    <t>whisper 好自在 台灣公司貨 Air Dry Fresh 草本健康衛生棉 日用量大, 28cm, 20片, 1袋</t>
  </si>
  <si>
    <t>whisper 好自在 台灣公司貨 Air Dry Fresh 草本健康衛生棉 量大加長, 32cm, 16片, 1袋</t>
  </si>
  <si>
    <t>whisper 好自在 台灣公司貨 Air Dry 雲枕瞬吸衛生棉 日用量大, 28cm, 20片, 1袋</t>
  </si>
  <si>
    <t>whisper 好自在 台灣公司貨 Air Dry Fresh 草本健康衛生棉 日用普通, 24cm, 20片, 1袋</t>
  </si>
  <si>
    <t>whisper 好自在 經典款 液體衛生棉, 量大加長型 29.5cm, 夜用, 9片, 1個</t>
  </si>
  <si>
    <t>whisper 好自在 熊抱安睡褲 L, 夜用, 8片, 1個</t>
  </si>
  <si>
    <t>whisper 好自在 熊抱安睡褲 M, 夜用, 8片, 1個</t>
  </si>
  <si>
    <t>whisper 好自在 熊抱安睡褲 XL, 夜用, 8片, 1個</t>
  </si>
  <si>
    <t>whisper 好自在 經典款 液體衛生棉 量多日用型 27cm, 日用, 16片, 1個</t>
  </si>
  <si>
    <t>whisper 好自在 經典款 液體衛生棉 日用型 24cm 日用, 18片, 1個</t>
  </si>
  <si>
    <t>whisper 好自在 無痕奢柔褲 內褲型, M~L, 3片, 1個</t>
  </si>
  <si>
    <t>whisper 好自在 無痕奢柔褲 內褲型, XL, 3片, 1個</t>
  </si>
  <si>
    <t>whisper 好自在 無痕早安褲 內褲型, M~L, 3片, 1個</t>
  </si>
  <si>
    <t>whisper 好自在 熊抱安睡褲 內褲型, L, 44片, 1套</t>
  </si>
  <si>
    <t>whisper 好自在 無痕早安褲 內褲型, M~L, 3片, 11包</t>
  </si>
  <si>
    <t>whisper 好自在 無痕早安褲 內褲型, M~L, 3片, 6包</t>
  </si>
  <si>
    <t>whisper 好自在 無痕奢柔褲 內褲型, M~L, 3片, 11包</t>
  </si>
  <si>
    <t>whisper 好自在 無痕奢柔褲 內褲型, M~L, 3片, 6包</t>
  </si>
  <si>
    <t>whisper 好自在 無痕奢柔褲 內褲型, XL, 3片, 11包</t>
  </si>
  <si>
    <t>whisper 好自在 無痕奢柔褲 內褲型, XL, 3片, 6包</t>
  </si>
  <si>
    <t>whisper 好自在 熊抱安睡褲 L, 夜用, 8片, 3包</t>
  </si>
  <si>
    <t>whisper 好自在 熊抱安睡褲 M, 夜用, 8片, 3包</t>
  </si>
  <si>
    <t>whisper 好自在 熊抱安睡褲 XL, 夜用, 8片, 3包</t>
  </si>
  <si>
    <t>[DS]whisper 好自在 台灣公司貨 Air Dry Fresh 純棉衛生棉 日用輕量型, 18cm, 12片, 12包</t>
  </si>
  <si>
    <t>[DS]whisper 好自在 台灣公司貨 Air Dry Fresh 純棉衛生棉 日用輕量型, 18cm, 12片, 22包</t>
  </si>
  <si>
    <t>whisper 好自在 AirDry 雲枕瞬吸量大組 20片 5包 + 12片 2包, 28cm + 18cm, 124片, 1套</t>
  </si>
  <si>
    <t>whisper 好自在 AirDry 雲枕瞬吸普通組 20片 5包 + 12片 2包, 24cm + 18cm, 124片, 1套</t>
  </si>
  <si>
    <t>whisper 好自在 熊抱安睡褲 內褲型, M, 44片, 1套</t>
  </si>
  <si>
    <t>whisper 好自在 熊抱安睡褲 內褲型, XL, 44片, 1套</t>
  </si>
  <si>
    <t>whisper 好自在 液體衛生棉 18片 7包 + 清新淨味液體衛生棉 9片 4包, 24cm, 162片, 1套</t>
  </si>
  <si>
    <t>whisper 好自在 液體衛生棉 16片 2包 + 清新淨味液體衛生棉 9片 2包, 27cm, 50片, 1套</t>
  </si>
  <si>
    <t>whisper 好自在 AirDry 雲枕瞬吸普通組 20片 9包 + 12片 3包, 24cm + 18cm, 216片, 1套</t>
  </si>
  <si>
    <t>whisper 好自在 液體衛生棉 16片 5包 + 清新淨味液體衛生棉 9片 3包, 27cm, 107片, 1套</t>
  </si>
  <si>
    <t>whisper 好自在 液體衛生棉 18片 2包 + 清新淨味液體衛生棉 9片 2包, 24cm, 54片, 1套</t>
  </si>
  <si>
    <t>whisper 好自在 液體衛生棉 9片 9包 + 清新淨味液體衛生棉 9片 3包, 29.5cm + 31.7cm, 108片, 1套</t>
  </si>
  <si>
    <t>whisper 好自在 液體衛生棉 9片 4包 + 清新淨味液體衛生棉 9片 2包, 29.5cm + 31.7cm, 54片, 1套</t>
  </si>
  <si>
    <t>whisper 好自在 液體衛生棉 10片 9包 + 清新淨味液體衛生棉 9片 2包, 34cm + 31.7cm, 108片, 1套</t>
  </si>
  <si>
    <t>whisper 好自在 液體衛生棉 10片 3包 + 清新淨味液體衛生棉 9片 2包, 34cm + 31.7cm, 48片, 1套</t>
  </si>
  <si>
    <t>whisper 好自在 液體衛生棉 9片 14包 + 清新淨味液體衛生棉 9片 4包, 29.5cm + 31.7cm, 162片, 1套</t>
  </si>
  <si>
    <t>whisper 好自在 液體衛生棉 18片 5包 + 清新淨味液體衛生棉 9片 2包, 24cm, 108片, 1套</t>
  </si>
  <si>
    <t>whisper 好自在 液體衛生棉 10片 12包 + 清新淨味液體衛生棉 9片 4包, 34cm + 31.7cm, 156片, 1套</t>
  </si>
  <si>
    <t>whisper 好自在 液體衛生棉 16片 8包 + 清新淨味液體衛生棉 9片 4包, 27cm, 164片, 1套</t>
  </si>
  <si>
    <t>whisper 好自在 AirDry 雲枕瞬吸量大組 20片 9包 + 12片 3包, 28cm +18cm, 216片, 1套</t>
  </si>
  <si>
    <t>whisper 好自在 AirDry Fresh 草本健康普通組 20片 5包 + 12片 2包, 24cm + 18cm, 124片, 1套</t>
  </si>
  <si>
    <t>whisper 好自在 AirDry Fresh 草本健康量大組 20片 9包 + 12片 3包, 28cm + 18cm, 216片, 1套</t>
  </si>
  <si>
    <t>whisper 好自在 AirDry 雲枕瞬吸量大組 10片+ 12片, 28cm + 18cm, 22片, 1套</t>
  </si>
  <si>
    <t>whisper 好自在 AirDry Fresh 草本健康量大組 10片 + 12片, 28cm + 18m, 22片, 1套</t>
  </si>
  <si>
    <t>whisper 好自在 AirDry Fresh 草本健康普通組 20片 9包 + 12片 3包, 24cm + 18cm, 216片, 1套</t>
  </si>
  <si>
    <t>whisper 好自在 AirDry Fresh 草本健康量大組 20片 5包 + 12片 2包, 28cm + 18cm, 124片, 1套</t>
  </si>
  <si>
    <t>Supply_CS (Jul)</t>
  </si>
  <si>
    <t>Supply_CS (Aug)</t>
  </si>
  <si>
    <t>Supply_CS (Sep)</t>
  </si>
  <si>
    <t>停產</t>
  </si>
  <si>
    <t>Supply_PCS (Jul)</t>
    <phoneticPr fontId="6" type="noConversion"/>
  </si>
  <si>
    <t>Supply_PCS (Aug)</t>
    <phoneticPr fontId="6" type="noConversion"/>
  </si>
  <si>
    <t>Supply_PCS (Sep)</t>
    <phoneticPr fontId="6" type="noConversion"/>
  </si>
  <si>
    <t>新品</t>
    <phoneticPr fontId="6" type="noConversion"/>
  </si>
  <si>
    <t>ARIEL 原廠公司貨 抗菌洗衣精, 抗菌去漬型, 1.9kg , 1瓶</t>
  </si>
  <si>
    <t>ARIEL 原廠公司貨 抗菌洗衣精, 室內晾衣型, 1.9kg , 1瓶</t>
  </si>
  <si>
    <t xml:space="preserve">Shave </t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</si>
  <si>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</si>
  <si>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Labs </t>
    </r>
    <r>
      <rPr>
        <sz val="11"/>
        <color rgb="FF000000"/>
        <rFont val="新細明體"/>
        <family val="1"/>
        <charset val="136"/>
      </rPr>
      <t>極光系列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刮鬍刀組</t>
    </r>
    <r>
      <rPr>
        <sz val="11"/>
        <color rgb="FF000000"/>
        <rFont val="Arial Narrow"/>
        <family val="2"/>
      </rPr>
      <t xml:space="preserve">, </t>
    </r>
    <r>
      <rPr>
        <sz val="11"/>
        <color rgb="FF000000"/>
        <rFont val="新細明體"/>
        <family val="1"/>
        <charset val="136"/>
      </rPr>
      <t>刀架</t>
    </r>
    <r>
      <rPr>
        <sz val="11"/>
        <color rgb="FF000000"/>
        <rFont val="Arial Narrow"/>
        <family val="2"/>
      </rPr>
      <t xml:space="preserve"> + </t>
    </r>
    <r>
      <rPr>
        <sz val="11"/>
        <color rgb="FF000000"/>
        <rFont val="新細明體"/>
        <family val="1"/>
        <charset val="136"/>
      </rPr>
      <t>刀頭</t>
    </r>
    <r>
      <rPr>
        <sz val="11"/>
        <color rgb="FF000000"/>
        <rFont val="Arial Narrow"/>
        <family val="2"/>
      </rPr>
      <t xml:space="preserve"> 2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 xml:space="preserve"> + </t>
    </r>
    <r>
      <rPr>
        <sz val="11"/>
        <color rgb="FF000000"/>
        <rFont val="新細明體"/>
        <family val="1"/>
        <charset val="136"/>
      </rPr>
      <t>刀座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組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</si>
  <si>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Mach3 Turbo </t>
    </r>
    <r>
      <rPr>
        <sz val="11"/>
        <color rgb="FF000000"/>
        <rFont val="新細明體"/>
        <family val="1"/>
        <charset val="136"/>
      </rPr>
      <t>鋒速突破系列刮鬍刀頭</t>
    </r>
    <r>
      <rPr>
        <sz val="11"/>
        <color rgb="FF000000"/>
        <rFont val="Arial Narrow"/>
        <family val="2"/>
      </rPr>
      <t>, 4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</si>
  <si>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Arial Narrow"/>
        <family val="2"/>
      </rPr>
      <t xml:space="preserve"> Mach3 </t>
    </r>
    <r>
      <rPr>
        <sz val="11"/>
        <color rgb="FF000000"/>
        <rFont val="新細明體"/>
        <family val="1"/>
        <charset val="136"/>
      </rPr>
      <t>鋒速系列刮鬍刀頭</t>
    </r>
    <r>
      <rPr>
        <sz val="11"/>
        <color rgb="FF000000"/>
        <rFont val="Arial Narrow"/>
        <family val="2"/>
      </rPr>
      <t>, 8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</si>
  <si>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Arial Narrow"/>
        <family val="2"/>
      </rPr>
      <t xml:space="preserve"> Mach3 Turbo </t>
    </r>
    <r>
      <rPr>
        <sz val="11"/>
        <color rgb="FF000000"/>
        <rFont val="新細明體"/>
        <family val="1"/>
        <charset val="136"/>
      </rPr>
      <t>鋒速突破系列刮鬍刀組</t>
    </r>
    <r>
      <rPr>
        <sz val="11"/>
        <color rgb="FF000000"/>
        <rFont val="Arial Narrow"/>
        <family val="2"/>
      </rPr>
      <t xml:space="preserve">, </t>
    </r>
    <r>
      <rPr>
        <sz val="11"/>
        <color rgb="FF000000"/>
        <rFont val="新細明體"/>
        <family val="1"/>
        <charset val="136"/>
      </rPr>
      <t>刀架</t>
    </r>
    <r>
      <rPr>
        <sz val="11"/>
        <color rgb="FF000000"/>
        <rFont val="Arial Narrow"/>
        <family val="2"/>
      </rPr>
      <t>+</t>
    </r>
    <r>
      <rPr>
        <sz val="11"/>
        <color rgb="FF000000"/>
        <rFont val="新細明體"/>
        <family val="1"/>
        <charset val="136"/>
      </rPr>
      <t>刀頭</t>
    </r>
    <r>
      <rPr>
        <sz val="11"/>
        <color rgb="FF000000"/>
        <rFont val="Arial Narrow"/>
        <family val="2"/>
      </rPr>
      <t>*2,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</si>
  <si>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Arial Narrow"/>
        <family val="2"/>
      </rPr>
      <t xml:space="preserve"> Labs </t>
    </r>
    <r>
      <rPr>
        <sz val="11"/>
        <color rgb="FF000000"/>
        <rFont val="新細明體"/>
        <family val="1"/>
        <charset val="136"/>
      </rPr>
      <t>極光系列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刮鬍刀頭</t>
    </r>
    <r>
      <rPr>
        <sz val="11"/>
        <color rgb="FF000000"/>
        <rFont val="Arial Narrow"/>
        <family val="2"/>
      </rPr>
      <t>, 8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</si>
  <si>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Arial Narrow"/>
        <family val="2"/>
      </rPr>
      <t xml:space="preserve"> Labs </t>
    </r>
    <r>
      <rPr>
        <sz val="11"/>
        <color rgb="FF000000"/>
        <rFont val="新細明體"/>
        <family val="1"/>
        <charset val="136"/>
      </rPr>
      <t>極光系列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刮鬍刀頭</t>
    </r>
    <r>
      <rPr>
        <sz val="11"/>
        <color rgb="FF000000"/>
        <rFont val="Arial Narrow"/>
        <family val="2"/>
      </rPr>
      <t>, 4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</si>
  <si>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原廠公司貨</t>
    </r>
    <r>
      <rPr>
        <sz val="11"/>
        <color rgb="FF000000"/>
        <rFont val="Arial Narrow"/>
        <family val="2"/>
      </rPr>
      <t xml:space="preserve"> Proglide</t>
    </r>
    <r>
      <rPr>
        <sz val="11"/>
        <color rgb="FF000000"/>
        <rFont val="新細明體"/>
        <family val="1"/>
        <charset val="136"/>
      </rPr>
      <t>無感系列刮鬍刀頭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組</t>
    </r>
    <r>
      <rPr>
        <sz val="11"/>
        <color rgb="FF000000"/>
        <rFont val="Arial Narrow"/>
        <family val="2"/>
      </rPr>
      <t>, 4</t>
    </r>
    <r>
      <rPr>
        <sz val="11"/>
        <color rgb="FF000000"/>
        <rFont val="新細明體"/>
        <family val="1"/>
        <charset val="136"/>
      </rPr>
      <t>個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</si>
  <si>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原廠公司貨</t>
    </r>
    <r>
      <rPr>
        <sz val="11"/>
        <color rgb="FF000000"/>
        <rFont val="Arial Narrow"/>
        <family val="2"/>
      </rPr>
      <t xml:space="preserve"> ProShield</t>
    </r>
    <r>
      <rPr>
        <sz val="11"/>
        <color rgb="FF000000"/>
        <rFont val="新細明體"/>
        <family val="1"/>
        <charset val="136"/>
      </rPr>
      <t>鋒護系列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刮鬍刀頭</t>
    </r>
    <r>
      <rPr>
        <sz val="11"/>
        <color rgb="FF000000"/>
        <rFont val="Arial Narrow"/>
        <family val="2"/>
      </rPr>
      <t>, 4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組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</si>
  <si>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服貼滑順輕便刮鬍刀</t>
    </r>
    <r>
      <rPr>
        <sz val="11"/>
        <color rgb="FF000000"/>
        <rFont val="Arial Narrow"/>
        <family val="2"/>
      </rPr>
      <t>, 10</t>
    </r>
    <r>
      <rPr>
        <sz val="11"/>
        <color rgb="FF000000"/>
        <rFont val="新細明體"/>
        <family val="1"/>
        <charset val="136"/>
      </rPr>
      <t>支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包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</si>
  <si>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SkinGuard </t>
    </r>
    <r>
      <rPr>
        <sz val="11"/>
        <color rgb="FF000000"/>
        <rFont val="新細明體"/>
        <family val="1"/>
        <charset val="136"/>
      </rPr>
      <t>紳適系列刮鬍刀頭</t>
    </r>
    <r>
      <rPr>
        <sz val="11"/>
        <color rgb="FF000000"/>
        <rFont val="Arial Narrow"/>
        <family val="2"/>
      </rPr>
      <t>, 4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組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</si>
  <si>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Arial Narrow"/>
        <family val="2"/>
      </rPr>
      <t xml:space="preserve"> Labs </t>
    </r>
    <r>
      <rPr>
        <sz val="11"/>
        <color rgb="FF000000"/>
        <rFont val="新細明體"/>
        <family val="1"/>
        <charset val="136"/>
      </rPr>
      <t>極光系列</t>
    </r>
    <r>
      <rPr>
        <sz val="11"/>
        <color rgb="FF000000"/>
        <rFont val="Arial Narrow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刮鬍刀組</t>
    </r>
    <r>
      <rPr>
        <sz val="11"/>
        <color rgb="FF000000"/>
        <rFont val="Arial Narrow"/>
        <family val="2"/>
      </rPr>
      <t xml:space="preserve">, </t>
    </r>
    <r>
      <rPr>
        <sz val="11"/>
        <color rgb="FF000000"/>
        <rFont val="新細明體"/>
        <family val="1"/>
        <charset val="136"/>
      </rPr>
      <t>刀架</t>
    </r>
    <r>
      <rPr>
        <sz val="11"/>
        <color rgb="FF000000"/>
        <rFont val="Arial Narrow"/>
        <family val="2"/>
      </rPr>
      <t xml:space="preserve"> + </t>
    </r>
    <r>
      <rPr>
        <sz val="11"/>
        <color rgb="FF000000"/>
        <rFont val="新細明體"/>
        <family val="1"/>
        <charset val="136"/>
      </rPr>
      <t>刀頭</t>
    </r>
    <r>
      <rPr>
        <sz val="11"/>
        <color rgb="FF000000"/>
        <rFont val="Arial Narrow"/>
        <family val="2"/>
      </rPr>
      <t xml:space="preserve"> 5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Arial Narrow"/>
        <family val="2"/>
      </rPr>
      <t xml:space="preserve"> + </t>
    </r>
    <r>
      <rPr>
        <sz val="11"/>
        <color rgb="FF000000"/>
        <rFont val="新細明體"/>
        <family val="1"/>
        <charset val="136"/>
      </rPr>
      <t>刀座</t>
    </r>
    <r>
      <rPr>
        <sz val="11"/>
        <color rgb="FF000000"/>
        <rFont val="Arial Narrow"/>
        <family val="2"/>
      </rPr>
      <t xml:space="preserve"> + </t>
    </r>
    <r>
      <rPr>
        <sz val="11"/>
        <color rgb="FF000000"/>
        <rFont val="新細明體"/>
        <family val="1"/>
        <charset val="136"/>
      </rPr>
      <t>旅行盒</t>
    </r>
    <r>
      <rPr>
        <sz val="11"/>
        <color rgb="FF000000"/>
        <rFont val="Arial Narrow"/>
        <family val="2"/>
      </rPr>
      <t>, 1</t>
    </r>
    <r>
      <rPr>
        <sz val="11"/>
        <color rgb="FF000000"/>
        <rFont val="新細明體"/>
        <family val="1"/>
        <charset val="136"/>
      </rPr>
      <t>組</t>
    </r>
  </si>
  <si>
    <t>Gillette 吉列 維納斯 敏感肌適用除毛刀, 1刀架+2刀頭, 1組</t>
  </si>
  <si>
    <t>Gillette 吉列 維納斯 敏感肌適用除毛刀頭, 4個, 1盒</t>
  </si>
  <si>
    <r>
      <t>[</t>
    </r>
    <r>
      <rPr>
        <sz val="11"/>
        <color theme="1"/>
        <rFont val="微軟正黑體"/>
        <family val="2"/>
        <charset val="136"/>
      </rPr>
      <t>箱裝</t>
    </r>
    <r>
      <rPr>
        <sz val="11"/>
        <color theme="1"/>
        <rFont val="Arial Narrow"/>
        <family val="2"/>
      </rPr>
      <t xml:space="preserve">]Pampers </t>
    </r>
    <r>
      <rPr>
        <sz val="11"/>
        <color theme="1"/>
        <rFont val="微軟正黑體"/>
        <family val="2"/>
        <charset val="136"/>
      </rPr>
      <t>幫寶適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原廠公司貨</t>
    </r>
    <r>
      <rPr>
        <sz val="11"/>
        <color theme="1"/>
        <rFont val="Arial Narrow"/>
        <family val="2"/>
      </rPr>
      <t xml:space="preserve"> CP</t>
    </r>
    <r>
      <rPr>
        <sz val="11"/>
        <color theme="1"/>
        <rFont val="微軟正黑體"/>
        <family val="2"/>
        <charset val="136"/>
      </rPr>
      <t>值之選清新幫拉拉褲</t>
    </r>
    <r>
      <rPr>
        <sz val="11"/>
        <color theme="1"/>
        <rFont val="Arial Narrow"/>
        <family val="2"/>
      </rPr>
      <t>/</t>
    </r>
    <r>
      <rPr>
        <sz val="11"/>
        <color theme="1"/>
        <rFont val="微軟正黑體"/>
        <family val="2"/>
        <charset val="136"/>
      </rPr>
      <t>尿布</t>
    </r>
    <r>
      <rPr>
        <sz val="11"/>
        <color theme="1"/>
        <rFont val="Arial Narrow"/>
        <family val="2"/>
      </rPr>
      <t>, XXXL, 17kg</t>
    </r>
    <r>
      <rPr>
        <sz val="11"/>
        <color theme="1"/>
        <rFont val="微軟正黑體"/>
        <family val="2"/>
        <charset val="136"/>
      </rPr>
      <t>以上</t>
    </r>
    <r>
      <rPr>
        <sz val="11"/>
        <color theme="1"/>
        <rFont val="Arial Narrow"/>
        <family val="2"/>
      </rPr>
      <t>, 88</t>
    </r>
    <r>
      <rPr>
        <sz val="11"/>
        <color theme="1"/>
        <rFont val="微軟正黑體"/>
        <family val="2"/>
        <charset val="136"/>
      </rPr>
      <t>片</t>
    </r>
    <phoneticPr fontId="6" type="noConversion"/>
  </si>
  <si>
    <t>[箱裝]Pampers 幫寶適 原廠公司貨 史上最強一級幫黏貼型護膚尿布/紙尿褲, S, 4~8kg, 198片_夏日遠離紅屁屁 (極上守護)</t>
  </si>
  <si>
    <t>[箱裝]Pampers 幫寶適 原廠公司貨 史上最強一級幫散熱拉拉褲/尿布/褲型, M, 6~11kg, 150片_夏日遠離紅屁屁 (極上守護)</t>
  </si>
  <si>
    <t>[箱裝]Pampers 幫寶適 原廠公司貨 史上最強一級幫散熱拉拉褲/尿布/褲型, L+, 10~15kg, 102片_夏日遠離紅屁屁 (極上守護)</t>
  </si>
  <si>
    <t>[箱裝]Pampers 幫寶適 原廠公司貨 史上最強一級幫散熱拉拉褲/尿布/褲型, XXXL, 17kg以上, 78片_夏日遠離紅屁屁 (極上守護)</t>
  </si>
  <si>
    <t>Supply_CS (Oct)</t>
    <phoneticPr fontId="6" type="noConversion"/>
  </si>
  <si>
    <t>Supply_CS (Nov)</t>
    <phoneticPr fontId="6" type="noConversion"/>
  </si>
  <si>
    <t>Supply_CS (Dec)</t>
    <phoneticPr fontId="6" type="noConversion"/>
  </si>
  <si>
    <t>停產</t>
    <phoneticPr fontId="6" type="noConversion"/>
  </si>
  <si>
    <t>Tide 汰漬</t>
  </si>
  <si>
    <r>
      <t xml:space="preserve">Tide </t>
    </r>
    <r>
      <rPr>
        <sz val="11"/>
        <color theme="1"/>
        <rFont val="微軟正黑體"/>
        <family val="2"/>
        <charset val="136"/>
      </rPr>
      <t>汰漬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台灣公司貨</t>
    </r>
    <r>
      <rPr>
        <sz val="11"/>
        <color theme="1"/>
        <rFont val="Arial Narrow"/>
        <family val="2"/>
      </rPr>
      <t xml:space="preserve"> 2</t>
    </r>
    <r>
      <rPr>
        <sz val="11"/>
        <color theme="1"/>
        <rFont val="微軟正黑體"/>
        <family val="2"/>
        <charset val="136"/>
      </rPr>
      <t>倍超濃縮洗衣精</t>
    </r>
    <r>
      <rPr>
        <sz val="11"/>
        <color theme="1"/>
        <rFont val="Arial Narrow"/>
        <family val="2"/>
      </rPr>
      <t>, 3.69L, 1</t>
    </r>
    <r>
      <rPr>
        <sz val="11"/>
        <color theme="1"/>
        <rFont val="微軟正黑體"/>
        <family val="2"/>
        <charset val="136"/>
      </rPr>
      <t>桶</t>
    </r>
    <phoneticPr fontId="6" type="noConversion"/>
  </si>
  <si>
    <t>whisper 好自在 無痕早安褲, 內褲型, XL, 3片, 1包</t>
  </si>
  <si>
    <r>
      <t xml:space="preserve">OLAY </t>
    </r>
    <r>
      <rPr>
        <sz val="11"/>
        <color theme="1"/>
        <rFont val="微軟正黑體"/>
        <family val="2"/>
        <charset val="136"/>
      </rPr>
      <t>歐蕾</t>
    </r>
  </si>
  <si>
    <t>OLAY 歐蕾 台灣公司貨 水感透白面膜, 5片, 1盒</t>
  </si>
  <si>
    <t>OLAY 歐蕾 台灣公司貨 多效防曬日霜優惠組, 1組</t>
  </si>
  <si>
    <t>OLAY 歐蕾 台灣公司貨 抗皺保濕面膜, 5片, 1盒</t>
  </si>
  <si>
    <t>OLAY 歐蕾 台灣公司貨 滋潤保溼霜, 100g, 1罐</t>
  </si>
  <si>
    <t>OLAY 歐蕾 台灣公司貨 滋潤保濕霜 無添加色素香料, 100g, 1罐</t>
  </si>
  <si>
    <t>OLAY 歐蕾 多元修護日霜, 50g, 1罐</t>
  </si>
  <si>
    <t>OLAY 歐蕾 多元修護晚霜(6066), 50g, 1罐</t>
  </si>
  <si>
    <t>OLAY 歐蕾 多元修護霜無香料配方, 50g , 1入</t>
  </si>
  <si>
    <t>OLAY 歐蕾 長效保濕凝露, 50g, 1罐</t>
  </si>
  <si>
    <t>OLAY 歐蕾 活膚菁華霜, 50g, 1罐</t>
  </si>
  <si>
    <t>OLAY 歐蕾 滋潤保濕乳液, 150ml, 1瓶</t>
  </si>
  <si>
    <t>OLAY 歐蕾 滋潤緊緻優惠組 護膚霜50g+護膚霜14g*2+精華水18ml*2, 1組</t>
  </si>
  <si>
    <t>OLAY 歐蕾水感透白光曜精華水, 150ml, 1瓶</t>
  </si>
  <si>
    <t>Skin</t>
    <phoneticPr fontId="6" type="noConversion"/>
  </si>
  <si>
    <t>OLAY 歐蕾 台灣公司貨 胜肽專研密集奢護面膜, 5片, 1盒</t>
  </si>
  <si>
    <t>永豐料號</t>
    <phoneticPr fontId="6" type="noConversion"/>
  </si>
  <si>
    <t>GIV</t>
    <phoneticPr fontId="6" type="noConversion"/>
  </si>
  <si>
    <t>NIV</t>
    <phoneticPr fontId="6" type="noConversion"/>
  </si>
  <si>
    <t>brand</t>
    <phoneticPr fontId="14" type="noConversion"/>
  </si>
  <si>
    <t>Skin</t>
  </si>
  <si>
    <t>OLAY 歐蕾</t>
  </si>
  <si>
    <t>Hair</t>
    <phoneticPr fontId="6" type="noConversion"/>
  </si>
  <si>
    <r>
      <t xml:space="preserve">HAIR RECIPE </t>
    </r>
    <r>
      <rPr>
        <sz val="11"/>
        <color theme="1"/>
        <rFont val="微軟正黑體"/>
        <family val="2"/>
        <charset val="136"/>
      </rPr>
      <t>髮的食譜</t>
    </r>
  </si>
  <si>
    <r>
      <t xml:space="preserve">head &amp; shoulders </t>
    </r>
    <r>
      <rPr>
        <sz val="11"/>
        <color theme="1"/>
        <rFont val="微軟正黑體"/>
        <family val="2"/>
        <charset val="136"/>
      </rPr>
      <t>海倫仙度絲</t>
    </r>
  </si>
  <si>
    <r>
      <t xml:space="preserve">PANTENE </t>
    </r>
    <r>
      <rPr>
        <sz val="11"/>
        <color theme="1"/>
        <rFont val="微軟正黑體"/>
        <family val="2"/>
        <charset val="136"/>
      </rPr>
      <t>潘婷</t>
    </r>
  </si>
  <si>
    <r>
      <t xml:space="preserve">PERT </t>
    </r>
    <r>
      <rPr>
        <sz val="11"/>
        <color theme="1"/>
        <rFont val="微軟正黑體"/>
        <family val="2"/>
        <charset val="136"/>
      </rPr>
      <t>飛柔</t>
    </r>
  </si>
  <si>
    <t>Home</t>
    <phoneticPr fontId="6" type="noConversion"/>
  </si>
  <si>
    <r>
      <t xml:space="preserve">Febreze </t>
    </r>
    <r>
      <rPr>
        <sz val="11"/>
        <color theme="1"/>
        <rFont val="微軟正黑體"/>
        <family val="2"/>
        <charset val="136"/>
      </rPr>
      <t>風倍清</t>
    </r>
  </si>
  <si>
    <t>Shave</t>
    <phoneticPr fontId="6" type="noConversion"/>
  </si>
  <si>
    <r>
      <t xml:space="preserve">Gillette </t>
    </r>
    <r>
      <rPr>
        <sz val="11"/>
        <color theme="1"/>
        <rFont val="微軟正黑體"/>
        <family val="2"/>
        <charset val="136"/>
      </rPr>
      <t>吉列</t>
    </r>
  </si>
  <si>
    <t>OCM</t>
    <phoneticPr fontId="6" type="noConversion"/>
  </si>
  <si>
    <t>Crest</t>
  </si>
  <si>
    <r>
      <t xml:space="preserve">Oral-B </t>
    </r>
    <r>
      <rPr>
        <sz val="11"/>
        <color theme="1"/>
        <rFont val="微軟正黑體"/>
        <family val="2"/>
        <charset val="136"/>
      </rPr>
      <t>歐樂</t>
    </r>
    <r>
      <rPr>
        <sz val="11"/>
        <color theme="1"/>
        <rFont val="Calibri"/>
        <family val="2"/>
      </rPr>
      <t>B</t>
    </r>
  </si>
  <si>
    <t>TTL</t>
    <phoneticPr fontId="6" type="noConversion"/>
  </si>
  <si>
    <r>
      <t>7</t>
    </r>
    <r>
      <rPr>
        <sz val="11"/>
        <color theme="1"/>
        <rFont val="微軟正黑體"/>
        <family val="2"/>
        <charset val="136"/>
      </rPr>
      <t>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軟正黑體"/>
        <family val="2"/>
        <charset val="136"/>
      </rPr>
      <t>下單</t>
    </r>
    <r>
      <rPr>
        <sz val="11"/>
        <color theme="1"/>
        <rFont val="Calibri"/>
        <family val="2"/>
      </rPr>
      <t>GIV</t>
    </r>
    <phoneticPr fontId="6" type="noConversion"/>
  </si>
  <si>
    <r>
      <t>8</t>
    </r>
    <r>
      <rPr>
        <sz val="11"/>
        <color theme="1"/>
        <rFont val="微軟正黑體"/>
        <family val="2"/>
        <charset val="136"/>
      </rPr>
      <t>月
下單GIV</t>
    </r>
    <phoneticPr fontId="6" type="noConversion"/>
  </si>
  <si>
    <r>
      <t>9</t>
    </r>
    <r>
      <rPr>
        <sz val="11"/>
        <color theme="1"/>
        <rFont val="微軟正黑體"/>
        <family val="2"/>
        <charset val="136"/>
      </rPr>
      <t>月
下單GIV</t>
    </r>
    <phoneticPr fontId="6" type="noConversion"/>
  </si>
  <si>
    <r>
      <t>JAS</t>
    </r>
    <r>
      <rPr>
        <sz val="11"/>
        <color theme="1"/>
        <rFont val="微軟正黑體"/>
        <family val="2"/>
        <charset val="136"/>
      </rPr>
      <t>合計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軟正黑體"/>
        <family val="2"/>
        <charset val="136"/>
      </rPr>
      <t>下單</t>
    </r>
    <r>
      <rPr>
        <sz val="11"/>
        <color theme="1"/>
        <rFont val="Calibri"/>
        <family val="2"/>
      </rPr>
      <t>GIV</t>
    </r>
    <phoneticPr fontId="6" type="noConversion"/>
  </si>
  <si>
    <t>7月TTL下單總箱數</t>
    <phoneticPr fontId="6" type="noConversion"/>
  </si>
  <si>
    <r>
      <t>7</t>
    </r>
    <r>
      <rPr>
        <sz val="11"/>
        <color theme="1"/>
        <rFont val="微軟正黑體"/>
        <family val="2"/>
        <charset val="136"/>
      </rPr>
      <t>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軟正黑體"/>
        <family val="2"/>
        <charset val="136"/>
      </rPr>
      <t>下單</t>
    </r>
    <r>
      <rPr>
        <sz val="11"/>
        <color theme="1"/>
        <rFont val="Calibri"/>
        <family val="2"/>
      </rPr>
      <t>COGS</t>
    </r>
    <r>
      <rPr>
        <sz val="11"/>
        <color theme="1"/>
        <rFont val="微軟正黑體"/>
        <family val="2"/>
        <charset val="136"/>
      </rPr>
      <t>含稅</t>
    </r>
    <phoneticPr fontId="6" type="noConversion"/>
  </si>
  <si>
    <r>
      <t>8</t>
    </r>
    <r>
      <rPr>
        <sz val="11"/>
        <color theme="1"/>
        <rFont val="微軟正黑體"/>
        <family val="2"/>
        <charset val="136"/>
      </rPr>
      <t>月
下單COGS含稅</t>
    </r>
    <phoneticPr fontId="6" type="noConversion"/>
  </si>
  <si>
    <r>
      <t>9</t>
    </r>
    <r>
      <rPr>
        <sz val="11"/>
        <color theme="1"/>
        <rFont val="微軟正黑體"/>
        <family val="2"/>
        <charset val="136"/>
      </rPr>
      <t>月
下單COGS含稅</t>
    </r>
    <phoneticPr fontId="6" type="noConversion"/>
  </si>
  <si>
    <r>
      <t>JAS</t>
    </r>
    <r>
      <rPr>
        <sz val="11"/>
        <color theme="1"/>
        <rFont val="微軟正黑體"/>
        <family val="2"/>
        <charset val="136"/>
      </rPr>
      <t>合計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軟正黑體"/>
        <family val="2"/>
        <charset val="136"/>
      </rPr>
      <t>下單</t>
    </r>
    <r>
      <rPr>
        <sz val="11"/>
        <color theme="1"/>
        <rFont val="Calibri"/>
        <family val="2"/>
      </rPr>
      <t>COGS</t>
    </r>
    <r>
      <rPr>
        <sz val="11"/>
        <color theme="1"/>
        <rFont val="微軟正黑體"/>
        <family val="2"/>
        <charset val="136"/>
      </rPr>
      <t>含稅</t>
    </r>
    <phoneticPr fontId="6" type="noConversion"/>
  </si>
  <si>
    <r>
      <t>7</t>
    </r>
    <r>
      <rPr>
        <sz val="11"/>
        <color theme="1"/>
        <rFont val="微軟正黑體"/>
        <family val="2"/>
        <charset val="136"/>
      </rPr>
      <t>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軟正黑體"/>
        <family val="2"/>
        <charset val="136"/>
      </rPr>
      <t>下單永豐成本未稅</t>
    </r>
    <phoneticPr fontId="6" type="noConversion"/>
  </si>
  <si>
    <r>
      <t>8</t>
    </r>
    <r>
      <rPr>
        <sz val="11"/>
        <color theme="1"/>
        <rFont val="微軟正黑體"/>
        <family val="2"/>
        <charset val="136"/>
      </rPr>
      <t>月
下單永豐成本未稅</t>
    </r>
    <phoneticPr fontId="6" type="noConversion"/>
  </si>
  <si>
    <r>
      <t>9</t>
    </r>
    <r>
      <rPr>
        <sz val="11"/>
        <color theme="1"/>
        <rFont val="微軟正黑體"/>
        <family val="2"/>
        <charset val="136"/>
      </rPr>
      <t>月
下單永豐成本未稅</t>
    </r>
    <phoneticPr fontId="6" type="noConversion"/>
  </si>
  <si>
    <r>
      <t>JAS</t>
    </r>
    <r>
      <rPr>
        <sz val="11"/>
        <color theme="1"/>
        <rFont val="微軟正黑體"/>
        <family val="2"/>
        <charset val="136"/>
      </rPr>
      <t>合計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軟正黑體"/>
        <family val="2"/>
        <charset val="136"/>
      </rPr>
      <t>下單永豐成本未稅</t>
    </r>
    <phoneticPr fontId="6" type="noConversion"/>
  </si>
  <si>
    <r>
      <t>7/9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</si>
  <si>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r>
      <t>7/13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</si>
  <si>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r>
      <t xml:space="preserve">Bold </t>
    </r>
    <r>
      <rPr>
        <sz val="11"/>
        <color theme="1"/>
        <rFont val="微軟正黑體"/>
        <family val="2"/>
        <charset val="136"/>
      </rPr>
      <t>原廠公司貨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四合一洗衣膠囊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清淨花香</t>
    </r>
    <r>
      <rPr>
        <sz val="11"/>
        <color theme="1"/>
        <rFont val="Arial Narrow"/>
        <family val="2"/>
      </rPr>
      <t>, 57</t>
    </r>
    <r>
      <rPr>
        <sz val="11"/>
        <color theme="1"/>
        <rFont val="微軟正黑體"/>
        <family val="2"/>
        <charset val="136"/>
      </rPr>
      <t>個裝</t>
    </r>
    <r>
      <rPr>
        <sz val="11"/>
        <color theme="1"/>
        <rFont val="Arial Narrow"/>
        <family val="2"/>
      </rPr>
      <t>, 1</t>
    </r>
    <r>
      <rPr>
        <sz val="11"/>
        <color theme="1"/>
        <rFont val="微軟正黑體"/>
        <family val="2"/>
        <charset val="136"/>
      </rPr>
      <t>套</t>
    </r>
    <phoneticPr fontId="6" type="noConversion"/>
  </si>
  <si>
    <r>
      <t>BOLD</t>
    </r>
    <r>
      <rPr>
        <sz val="11"/>
        <color theme="1"/>
        <rFont val="微軟正黑體"/>
        <family val="2"/>
        <charset val="136"/>
      </rPr>
      <t>原廠公司貨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四合一洗衣膠囊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 xml:space="preserve">清淨花香, </t>
    </r>
    <r>
      <rPr>
        <sz val="11"/>
        <color theme="1"/>
        <rFont val="Arial Narrow"/>
        <family val="2"/>
      </rPr>
      <t>14</t>
    </r>
    <r>
      <rPr>
        <sz val="11"/>
        <color theme="1"/>
        <rFont val="微軟正黑體"/>
        <family val="2"/>
        <charset val="136"/>
      </rPr>
      <t>顆 ,1盒</t>
    </r>
    <phoneticPr fontId="6" type="noConversion"/>
  </si>
  <si>
    <r>
      <t>BOLD</t>
    </r>
    <r>
      <rPr>
        <sz val="11"/>
        <color theme="1"/>
        <rFont val="微軟正黑體"/>
        <family val="2"/>
        <charset val="136"/>
      </rPr>
      <t>原廠公司貨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四合一洗衣膠囊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 xml:space="preserve">淡雅花香, </t>
    </r>
    <r>
      <rPr>
        <sz val="11"/>
        <color theme="1"/>
        <rFont val="Arial Narrow"/>
        <family val="2"/>
      </rPr>
      <t>14</t>
    </r>
    <r>
      <rPr>
        <sz val="11"/>
        <color theme="1"/>
        <rFont val="微軟正黑體"/>
        <family val="2"/>
        <charset val="136"/>
      </rPr>
      <t>顆 ,1盒</t>
    </r>
    <phoneticPr fontId="6" type="noConversion"/>
  </si>
  <si>
    <t>Gillette 吉列 Fusion鋒隱系列刮鬍刀頭, 1組, 4個</t>
  </si>
  <si>
    <t>Gillette 吉列 Fusion鋒隱系列刮鬍刀頭 (8刀頭)</t>
  </si>
  <si>
    <t>Gillette 吉列 Fusion 鋒隱系列 刮鬍刀, 刀架*1+刀頭*2, 1組</t>
  </si>
  <si>
    <t>Gillette 吉列 Proglide 無感系列 刮鬍刀, 刀架*1+刀頭*2, 1組</t>
  </si>
  <si>
    <t>Gillette 吉列 Proshield鋒護系列刮鬍刀, 刀架*1+刀頭*2, 1組</t>
  </si>
  <si>
    <t>Gillette 吉列 Mach3 鋒速系列刮鬍刀頭 4刀入</t>
  </si>
  <si>
    <t>Gillette 吉列 Mach3 鋒速系列刮鬍刀 1刀架2刀頭</t>
  </si>
  <si>
    <r>
      <t>7</t>
    </r>
    <r>
      <rPr>
        <sz val="11"/>
        <color theme="1"/>
        <rFont val="微軟正黑體"/>
        <family val="2"/>
        <charset val="136"/>
      </rPr>
      <t>月</t>
    </r>
    <r>
      <rPr>
        <sz val="11"/>
        <color theme="1"/>
        <rFont val="Calibri"/>
        <family val="2"/>
      </rPr>
      <t xml:space="preserve">
Supply GIV</t>
    </r>
    <phoneticPr fontId="6" type="noConversion"/>
  </si>
  <si>
    <r>
      <t>8</t>
    </r>
    <r>
      <rPr>
        <sz val="11"/>
        <color theme="1"/>
        <rFont val="微軟正黑體"/>
        <family val="2"/>
        <charset val="136"/>
      </rPr>
      <t>月
Supply GIV</t>
    </r>
    <phoneticPr fontId="6" type="noConversion"/>
  </si>
  <si>
    <r>
      <t>9</t>
    </r>
    <r>
      <rPr>
        <sz val="11"/>
        <color theme="1"/>
        <rFont val="微軟正黑體"/>
        <family val="2"/>
        <charset val="136"/>
      </rPr>
      <t>月
Supply GIV</t>
    </r>
    <phoneticPr fontId="6" type="noConversion"/>
  </si>
  <si>
    <r>
      <t>JAS</t>
    </r>
    <r>
      <rPr>
        <sz val="11"/>
        <color theme="1"/>
        <rFont val="微軟正黑體"/>
        <family val="2"/>
        <charset val="136"/>
      </rPr>
      <t>合計</t>
    </r>
    <r>
      <rPr>
        <sz val="11"/>
        <color theme="1"/>
        <rFont val="Calibri"/>
        <family val="2"/>
      </rPr>
      <t xml:space="preserve">
Supply GIV</t>
    </r>
    <phoneticPr fontId="6" type="noConversion"/>
  </si>
  <si>
    <t>加總 - PG剩餘可供貨量(CS)</t>
  </si>
  <si>
    <t>列標籤</t>
  </si>
  <si>
    <t>(空白)</t>
  </si>
  <si>
    <t>總計</t>
  </si>
  <si>
    <r>
      <t>7/17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</si>
  <si>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r>
      <t>7/20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</si>
  <si>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t>酷澎</t>
  </si>
  <si>
    <t>幫寶適</t>
  </si>
  <si>
    <t>洗劑</t>
  </si>
  <si>
    <t>好自在</t>
  </si>
  <si>
    <t>髮品</t>
  </si>
  <si>
    <t>風倍清</t>
  </si>
  <si>
    <t>吉列</t>
  </si>
  <si>
    <t>歐蕾</t>
  </si>
  <si>
    <t>OCM</t>
  </si>
  <si>
    <t>合計</t>
  </si>
  <si>
    <t>銷貨淨額</t>
  </si>
  <si>
    <t>銷貨成本</t>
  </si>
  <si>
    <t>7 月</t>
    <phoneticPr fontId="6" type="noConversion"/>
  </si>
  <si>
    <t>BOLD原廠公司貨 四合一洗衣膠囊 清淨花香, 31顆 ,1袋</t>
  </si>
  <si>
    <t>BOLD原廠公司貨 四合一洗衣膠囊 淡雅花香, 31顆 ,1袋</t>
  </si>
  <si>
    <t>有放單直接給貨</t>
    <phoneticPr fontId="6" type="noConversion"/>
  </si>
  <si>
    <r>
      <t xml:space="preserve">Crest </t>
    </r>
    <r>
      <rPr>
        <sz val="11"/>
        <rFont val="微軟正黑體"/>
        <family val="2"/>
        <charset val="136"/>
      </rPr>
      <t xml:space="preserve">多效淨白牙膏 清爽薄荷, </t>
    </r>
    <r>
      <rPr>
        <sz val="11"/>
        <rFont val="Calibri"/>
        <family val="2"/>
      </rPr>
      <t>120g , 1</t>
    </r>
    <r>
      <rPr>
        <sz val="11"/>
        <rFont val="微軟正黑體"/>
        <family val="2"/>
        <charset val="136"/>
      </rPr>
      <t>條</t>
    </r>
    <phoneticPr fontId="6" type="noConversion"/>
  </si>
  <si>
    <r>
      <t xml:space="preserve">Crest </t>
    </r>
    <r>
      <rPr>
        <sz val="11"/>
        <rFont val="微軟正黑體"/>
        <family val="2"/>
        <charset val="136"/>
      </rPr>
      <t xml:space="preserve">多效淨白牙膏 檸檬青茶, </t>
    </r>
    <r>
      <rPr>
        <sz val="11"/>
        <rFont val="Calibri"/>
        <family val="2"/>
      </rPr>
      <t>120g , 1</t>
    </r>
    <r>
      <rPr>
        <sz val="11"/>
        <rFont val="微軟正黑體"/>
        <family val="2"/>
        <charset val="136"/>
      </rPr>
      <t>條</t>
    </r>
    <phoneticPr fontId="6" type="noConversion"/>
  </si>
  <si>
    <r>
      <t xml:space="preserve">Crest </t>
    </r>
    <r>
      <rPr>
        <sz val="11"/>
        <rFont val="微軟正黑體"/>
        <family val="2"/>
        <charset val="136"/>
      </rPr>
      <t xml:space="preserve">多效淨白牙膏 清新茉莉, </t>
    </r>
    <r>
      <rPr>
        <sz val="11"/>
        <rFont val="Calibri"/>
        <family val="2"/>
      </rPr>
      <t>120g, 1</t>
    </r>
    <r>
      <rPr>
        <sz val="11"/>
        <rFont val="微軟正黑體"/>
        <family val="2"/>
        <charset val="136"/>
      </rPr>
      <t>條</t>
    </r>
    <phoneticPr fontId="6" type="noConversion"/>
  </si>
  <si>
    <r>
      <t xml:space="preserve">Crest </t>
    </r>
    <r>
      <rPr>
        <sz val="11"/>
        <rFont val="微軟正黑體"/>
        <family val="2"/>
        <charset val="136"/>
      </rPr>
      <t xml:space="preserve">多效淨白牙膏 清爽薄荷, </t>
    </r>
    <r>
      <rPr>
        <sz val="11"/>
        <rFont val="Calibri"/>
        <family val="2"/>
      </rPr>
      <t>120g, 6</t>
    </r>
    <r>
      <rPr>
        <sz val="11"/>
        <rFont val="微軟正黑體"/>
        <family val="2"/>
        <charset val="136"/>
      </rPr>
      <t>條</t>
    </r>
    <phoneticPr fontId="6" type="noConversion"/>
  </si>
  <si>
    <r>
      <t xml:space="preserve">Crest </t>
    </r>
    <r>
      <rPr>
        <sz val="11"/>
        <rFont val="微軟正黑體"/>
        <family val="2"/>
        <charset val="136"/>
      </rPr>
      <t>多效淨白牙膏 檸檬青茶, 120g, 6條</t>
    </r>
    <phoneticPr fontId="6" type="noConversion"/>
  </si>
  <si>
    <r>
      <t xml:space="preserve">Crest </t>
    </r>
    <r>
      <rPr>
        <sz val="11"/>
        <rFont val="微軟正黑體"/>
        <family val="2"/>
        <charset val="136"/>
      </rPr>
      <t>多效淨白牙膏 清新茉莉</t>
    </r>
    <r>
      <rPr>
        <sz val="11"/>
        <rFont val="Calibri"/>
        <family val="2"/>
      </rPr>
      <t>, 120g, 6</t>
    </r>
    <r>
      <rPr>
        <sz val="11"/>
        <rFont val="微軟正黑體"/>
        <family val="2"/>
        <charset val="136"/>
      </rPr>
      <t>條</t>
    </r>
    <phoneticPr fontId="6" type="noConversion"/>
  </si>
  <si>
    <t>PANTENE 潘婷 miracles奇蹟系列 煥活根源洗髮露, 500ml, 1瓶</t>
  </si>
  <si>
    <t>PANTENE 潘婷 miracles 奇蹟系列柔亮護色護髮精華素, 500g, 1瓶</t>
  </si>
  <si>
    <t>PANTENE 潘婷 miracles奇蹟系列 柔亮護色洗髮露, 500ml, 1瓶</t>
  </si>
  <si>
    <t>Pert 飛柔 免沖洗瞬效護髮精華滋養修護 按壓瓶 380g, 1瓶</t>
  </si>
  <si>
    <t>PERT 飛柔 免沖洗瞬效護髮精華, 清爽修護, 380g, 1瓶</t>
  </si>
  <si>
    <t>可以超打</t>
    <phoneticPr fontId="6" type="noConversion"/>
  </si>
  <si>
    <r>
      <t>7/21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</si>
  <si>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r>
      <t>7/23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</si>
  <si>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r>
      <t>7/24</t>
    </r>
    <r>
      <rPr>
        <b/>
        <sz val="11"/>
        <rFont val="微軟正黑體"/>
        <family val="2"/>
        <charset val="136"/>
      </rPr>
      <t>交貨</t>
    </r>
    <r>
      <rPr>
        <b/>
        <sz val="11"/>
        <rFont val="Calibri"/>
        <family val="2"/>
      </rPr>
      <t>_1</t>
    </r>
    <phoneticPr fontId="14" type="noConversion"/>
  </si>
  <si>
    <t>8月TTL下單總箱數</t>
    <phoneticPr fontId="6" type="noConversion"/>
  </si>
  <si>
    <r>
      <t xml:space="preserve">HAIR RECIPE </t>
    </r>
    <r>
      <rPr>
        <sz val="11"/>
        <rFont val="Microsoft JhengHei Light"/>
        <family val="2"/>
        <charset val="136"/>
      </rPr>
      <t>髮的食譜</t>
    </r>
  </si>
  <si>
    <r>
      <rPr>
        <sz val="11"/>
        <color rgb="FF000000"/>
        <rFont val="Calibri"/>
        <family val="2"/>
      </rPr>
      <t xml:space="preserve">HAIR RECIPE </t>
    </r>
    <r>
      <rPr>
        <sz val="11"/>
        <color rgb="FF000000"/>
        <rFont val="Microsoft JhengHei Light"/>
        <family val="2"/>
        <charset val="136"/>
      </rPr>
      <t>髪的食譜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Microsoft JhengHei Light"/>
        <family val="2"/>
        <charset val="136"/>
      </rPr>
      <t>蘋果生薑防斷修護洗髮露</t>
    </r>
    <r>
      <rPr>
        <sz val="11"/>
        <color rgb="FF000000"/>
        <rFont val="Calibri"/>
        <family val="2"/>
      </rPr>
      <t>, 530ml, 1</t>
    </r>
    <r>
      <rPr>
        <sz val="11"/>
        <color rgb="FF000000"/>
        <rFont val="Microsoft JhengHei Light"/>
        <family val="2"/>
        <charset val="136"/>
      </rPr>
      <t>瓶</t>
    </r>
  </si>
  <si>
    <t>HAIR RECIPE 髮的食譜 蘋果生薑防斷修護潤髮乳, 530g, 1瓶</t>
  </si>
  <si>
    <t>8/4交貨_1</t>
    <phoneticPr fontId="6" type="noConversion"/>
  </si>
  <si>
    <t>8/10交貨_1</t>
    <phoneticPr fontId="6" type="noConversion"/>
  </si>
  <si>
    <t>brand</t>
  </si>
  <si>
    <t>Bardcode</t>
  </si>
  <si>
    <t>SKU Name</t>
  </si>
  <si>
    <r>
      <t>Aug Incremental_BU</t>
    </r>
    <r>
      <rPr>
        <sz val="11"/>
        <color rgb="FF000000"/>
        <rFont val="新細明體"/>
        <family val="1"/>
        <charset val="136"/>
      </rPr>
      <t xml:space="preserve"> (箱數)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</si>
  <si>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Calibri"/>
        <family val="2"/>
      </rPr>
      <t xml:space="preserve"> Labs </t>
    </r>
    <r>
      <rPr>
        <sz val="11"/>
        <color rgb="FF000000"/>
        <rFont val="新細明體"/>
        <family val="1"/>
        <charset val="136"/>
      </rPr>
      <t>極光系列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新細明體"/>
        <family val="1"/>
        <charset val="136"/>
      </rPr>
      <t>刀架</t>
    </r>
    <r>
      <rPr>
        <sz val="11"/>
        <color rgb="FF000000"/>
        <rFont val="Calibri"/>
        <family val="2"/>
      </rPr>
      <t xml:space="preserve"> + </t>
    </r>
    <r>
      <rPr>
        <sz val="11"/>
        <color rgb="FF000000"/>
        <rFont val="新細明體"/>
        <family val="1"/>
        <charset val="136"/>
      </rPr>
      <t>刀頭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Calibri"/>
        <family val="2"/>
      </rPr>
      <t xml:space="preserve"> + </t>
    </r>
    <r>
      <rPr>
        <sz val="11"/>
        <color rgb="FF000000"/>
        <rFont val="新細明體"/>
        <family val="1"/>
        <charset val="136"/>
      </rPr>
      <t>刀座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新細明體"/>
        <family val="1"/>
        <charset val="136"/>
      </rPr>
      <t>組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</si>
  <si>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Calibri"/>
        <family val="2"/>
      </rPr>
      <t xml:space="preserve"> Mach3 Turbo </t>
    </r>
    <r>
      <rPr>
        <sz val="11"/>
        <color rgb="FF000000"/>
        <rFont val="新細明體"/>
        <family val="1"/>
        <charset val="136"/>
      </rPr>
      <t>鋒速突破系列刮鬍刀頭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</si>
  <si>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Calibri"/>
        <family val="2"/>
      </rPr>
      <t xml:space="preserve"> Mach3 </t>
    </r>
    <r>
      <rPr>
        <sz val="11"/>
        <color rgb="FF000000"/>
        <rFont val="新細明體"/>
        <family val="1"/>
        <charset val="136"/>
      </rPr>
      <t>鋒速系列刮鬍刀頭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</si>
  <si>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Calibri"/>
        <family val="2"/>
      </rPr>
      <t xml:space="preserve"> Mach3 Turbo </t>
    </r>
    <r>
      <rPr>
        <sz val="11"/>
        <color rgb="FF000000"/>
        <rFont val="新細明體"/>
        <family val="1"/>
        <charset val="136"/>
      </rPr>
      <t>鋒速突破系列刮鬍刀組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新細明體"/>
        <family val="1"/>
        <charset val="136"/>
      </rPr>
      <t>刀架</t>
    </r>
    <r>
      <rPr>
        <sz val="11"/>
        <color rgb="FF000000"/>
        <rFont val="Calibri"/>
        <family val="2"/>
      </rPr>
      <t>+</t>
    </r>
    <r>
      <rPr>
        <sz val="11"/>
        <color rgb="FF000000"/>
        <rFont val="新細明體"/>
        <family val="1"/>
        <charset val="136"/>
      </rPr>
      <t>刀頭</t>
    </r>
    <r>
      <rPr>
        <sz val="11"/>
        <color rgb="FF000000"/>
        <rFont val="Calibri"/>
        <family val="2"/>
      </rPr>
      <t>*2,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</si>
  <si>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Calibri"/>
        <family val="2"/>
      </rPr>
      <t xml:space="preserve"> Labs </t>
    </r>
    <r>
      <rPr>
        <sz val="11"/>
        <color rgb="FF000000"/>
        <rFont val="新細明體"/>
        <family val="1"/>
        <charset val="136"/>
      </rPr>
      <t>極光系列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刮鬍刀頭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新細明體"/>
        <family val="1"/>
        <charset val="136"/>
      </rPr>
      <t>個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新細明體"/>
        <family val="1"/>
        <charset val="136"/>
      </rPr>
      <t>盒</t>
    </r>
  </si>
  <si>
    <r>
      <t xml:space="preserve">Gillette </t>
    </r>
    <r>
      <rPr>
        <sz val="11"/>
        <color rgb="FF000000"/>
        <rFont val="新細明體"/>
        <family val="1"/>
        <charset val="136"/>
      </rPr>
      <t>吉列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台灣公司貨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刮鬍泡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新細明體"/>
        <family val="1"/>
        <charset val="136"/>
      </rPr>
      <t>清新檸檬</t>
    </r>
    <r>
      <rPr>
        <sz val="11"/>
        <color rgb="FF000000"/>
        <rFont val="Calibri"/>
        <family val="2"/>
      </rPr>
      <t>, 333g, 1</t>
    </r>
    <r>
      <rPr>
        <sz val="11"/>
        <color rgb="FF000000"/>
        <rFont val="新細明體"/>
        <family val="1"/>
        <charset val="136"/>
      </rPr>
      <t>罐</t>
    </r>
  </si>
  <si>
    <t>停產</t>
    <phoneticPr fontId="6" type="noConversion"/>
  </si>
  <si>
    <t>8/12交貨_1</t>
    <phoneticPr fontId="6" type="noConversion"/>
  </si>
  <si>
    <t>8/14交貨_1</t>
    <phoneticPr fontId="6" type="noConversion"/>
  </si>
  <si>
    <t>8/15交貨_1</t>
    <phoneticPr fontId="6" type="noConversion"/>
  </si>
  <si>
    <t>7月DERP
下單GIV</t>
    <phoneticPr fontId="6" type="noConversion"/>
  </si>
  <si>
    <t>7月下單
COGS含稅</t>
    <phoneticPr fontId="6" type="noConversion"/>
  </si>
  <si>
    <t>7月下單
永豐成本未稅</t>
    <phoneticPr fontId="6" type="noConversion"/>
  </si>
  <si>
    <t>8月DERP
下單GIV</t>
    <phoneticPr fontId="6" type="noConversion"/>
  </si>
  <si>
    <t>8月下單
COGS含稅</t>
    <phoneticPr fontId="6" type="noConversion"/>
  </si>
  <si>
    <t>8月下單
永豐成本未稅</t>
    <phoneticPr fontId="6" type="noConversion"/>
  </si>
  <si>
    <t>每個月200萬GIV</t>
    <phoneticPr fontId="6" type="noConversion"/>
  </si>
  <si>
    <t>每個月60萬GIV</t>
    <phoneticPr fontId="6" type="noConversion"/>
  </si>
  <si>
    <t>8月</t>
    <phoneticPr fontId="6" type="noConversion"/>
  </si>
  <si>
    <t>Pampers 幫寶適 原廠公司貨 史上最強一級幫紙尿褲/尿布禮盒/彌月禮盒組(黏貼型尿布-S 56片+M 108片), 164片, 1盒_(極上守護)</t>
  </si>
  <si>
    <t>8月600-660萬</t>
    <phoneticPr fontId="6" type="noConversion"/>
  </si>
  <si>
    <t>8/19交貨_1</t>
    <phoneticPr fontId="6" type="noConversion"/>
  </si>
  <si>
    <t>8/21交貨_1</t>
    <phoneticPr fontId="6" type="noConversion"/>
  </si>
  <si>
    <t>7月銷量</t>
    <phoneticPr fontId="6" type="noConversion"/>
  </si>
  <si>
    <t>7-9月GIV 300W</t>
    <phoneticPr fontId="6" type="noConversion"/>
  </si>
  <si>
    <t>7-9月GIV 400W</t>
    <phoneticPr fontId="6" type="noConversion"/>
  </si>
  <si>
    <t>8/24交貨_1</t>
    <phoneticPr fontId="6" type="noConversion"/>
  </si>
  <si>
    <t>短效不能出</t>
    <phoneticPr fontId="6" type="noConversion"/>
  </si>
  <si>
    <t>Oral-B 歐樂B 抗敏護齦牙膏 極速抗敏, 海洋薄荷, 90g, 1條</t>
    <phoneticPr fontId="6" type="noConversion"/>
  </si>
  <si>
    <r>
      <t xml:space="preserve">Oral-B </t>
    </r>
    <r>
      <rPr>
        <sz val="11"/>
        <rFont val="微軟正黑體"/>
        <family val="2"/>
        <charset val="136"/>
      </rPr>
      <t>歐樂</t>
    </r>
    <r>
      <rPr>
        <sz val="11"/>
        <rFont val="Calibri"/>
        <family val="2"/>
      </rPr>
      <t xml:space="preserve">B </t>
    </r>
    <r>
      <rPr>
        <sz val="11"/>
        <rFont val="微軟正黑體"/>
        <family val="2"/>
        <charset val="136"/>
      </rPr>
      <t>抗敏護齦牙膏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專業修護</t>
    </r>
    <r>
      <rPr>
        <sz val="11"/>
        <rFont val="Calibri"/>
        <family val="2"/>
      </rPr>
      <t xml:space="preserve">, </t>
    </r>
    <r>
      <rPr>
        <sz val="11"/>
        <rFont val="微軟正黑體"/>
        <family val="2"/>
        <charset val="136"/>
      </rPr>
      <t>森林薄荷</t>
    </r>
    <r>
      <rPr>
        <sz val="11"/>
        <rFont val="Calibri"/>
        <family val="2"/>
      </rPr>
      <t>, 90g, 1</t>
    </r>
    <r>
      <rPr>
        <sz val="11"/>
        <rFont val="微軟正黑體"/>
        <family val="2"/>
        <charset val="136"/>
      </rPr>
      <t>條</t>
    </r>
  </si>
  <si>
    <t>8/25交貨_1</t>
    <phoneticPr fontId="6" type="noConversion"/>
  </si>
  <si>
    <t>Oral-B 歐樂B</t>
  </si>
  <si>
    <t>目標</t>
    <phoneticPr fontId="6" type="noConversion"/>
  </si>
  <si>
    <t>diff</t>
    <phoneticPr fontId="6" type="noConversion"/>
  </si>
  <si>
    <t>Pampers 幫寶適 原廠公司貨 一級幫黏貼型嬰兒紙尿褲 NB 32片 + S 112片, 新生兒用 (NB), 144片</t>
  </si>
  <si>
    <t>停產</t>
    <phoneticPr fontId="6" type="noConversion"/>
  </si>
  <si>
    <t>8/22交貨_1</t>
    <phoneticPr fontId="6" type="noConversion"/>
  </si>
  <si>
    <t>9/交貨</t>
    <phoneticPr fontId="6" type="noConversion"/>
  </si>
  <si>
    <t>9月TTL下單總箱數</t>
    <phoneticPr fontId="6" type="noConversion"/>
  </si>
  <si>
    <t>9月DERP
下單GIV</t>
    <phoneticPr fontId="6" type="noConversion"/>
  </si>
  <si>
    <t>9月下單
COGS含稅</t>
    <phoneticPr fontId="6" type="noConversion"/>
  </si>
  <si>
    <t>9月下單
永豐成本未稅</t>
    <phoneticPr fontId="6" type="noConversion"/>
  </si>
  <si>
    <t>9月</t>
    <phoneticPr fontId="6" type="noConversion"/>
  </si>
  <si>
    <t>9/2交貨</t>
    <phoneticPr fontId="6" type="noConversion"/>
  </si>
  <si>
    <t>停產</t>
    <phoneticPr fontId="6" type="noConversion"/>
  </si>
  <si>
    <t>9/3交貨</t>
    <phoneticPr fontId="6" type="noConversion"/>
  </si>
  <si>
    <t>9/7交貨</t>
    <phoneticPr fontId="6" type="noConversion"/>
  </si>
  <si>
    <r>
      <rPr>
        <sz val="11"/>
        <color theme="1"/>
        <rFont val="微軟正黑體"/>
        <family val="2"/>
        <charset val="136"/>
      </rPr>
      <t>停</t>
    </r>
    <r>
      <rPr>
        <sz val="11"/>
        <color theme="1"/>
        <rFont val="Arial Narrow"/>
        <family val="2"/>
      </rPr>
      <t>?</t>
    </r>
    <phoneticPr fontId="6" type="noConversion"/>
  </si>
  <si>
    <t>停?</t>
  </si>
  <si>
    <t>febreze 風倍清 台灣公司貨 浴廁用抗菌消臭防臭劑山谷微香, 6ml, 1入</t>
  </si>
  <si>
    <t>Febreze 風倍清 織物除菌消臭噴霧 綠茶清香 370ml,1瓶</t>
  </si>
  <si>
    <t>Febreze 風倍清 織物除菌消臭噴霧 無香型,370ml, 1瓶</t>
  </si>
  <si>
    <t>Febreze 風倍清 浴廁用抗菌消臭防臭劑 清爽皂香, 6ml, 1入</t>
  </si>
  <si>
    <t>febreze 風倍清 織物除菌消臭噴霧 無香酒精+, 370ml, 1瓶</t>
  </si>
  <si>
    <t>febreze 風倍清 台灣公司貨 織物除菌消臭噴霧 高效除菌, 370ml, 1瓶</t>
  </si>
  <si>
    <t>Febreze 風倍清 織物除菌消臭噴霧 補充包 ,綠茶清香, 320ml, 1包</t>
  </si>
  <si>
    <t>febreze 風倍清 織物除菌消臭噴霧 補充包無香含酒精, 320ml, 1包</t>
  </si>
  <si>
    <t>febreze 風倍清 織物除菌消臭噴霧補充包, 高效除菌, 320ml, 1包</t>
  </si>
  <si>
    <t>Febreze 風倍清 浴廁用抗菌消臭防臭劑 薄荷綠香,6ml 1入</t>
  </si>
  <si>
    <t>febreze 風倍清 台灣公司貨 浴廁用抗菌消臭防臭劑 山谷微香, 6ml, 2入,1組</t>
  </si>
  <si>
    <t>febreze 風倍清 台灣公司貨 浴廁用抗菌消臭防臭劑, 清爽皂香, 6ml, 2入,1組</t>
  </si>
  <si>
    <t>febreze 風倍清 台灣公司貨 浴廁用抗菌消臭防臭劑 薄荷綠香 6ml, 2入, 1組</t>
  </si>
  <si>
    <t xml:space="preserve"> febreze 風倍清 台灣公司貨 Naturis天然織物噴霧, 大馬士革玫瑰&amp;天竺葵, 370ml, 1瓶</t>
  </si>
  <si>
    <t>febreze 風倍清  台灣公司貨  新包裝升級 浴廁用防霉防臭劑, 清新柑橘, 7ml, 1入</t>
  </si>
  <si>
    <t>febreze 風倍清 台灣公司貨 新包裝升級 浴廁用防霉防臭劑, 柔和花香, 7ml, 2入,1組</t>
  </si>
  <si>
    <t>febreze 風倍清 台灣公司貨 新包裝升級 浴廁用防霉防臭劑, 柔和花香, 7ml, 1入</t>
  </si>
  <si>
    <t>febreze 風倍清 台灣公司貨 新包裝升級浴廁用防霉防臭劑, 清新柑橘, 7ml, 2入,1組</t>
  </si>
  <si>
    <t>febreze 風倍清 台灣公司貨 室內用抗菌消臭防臭劑 清爽皂香, 7ml, 1個</t>
  </si>
  <si>
    <t>febreze 風倍清 台灣公司貨 室內用抗菌消臭防臭劑 清新白茶, 7ml, 1個</t>
  </si>
  <si>
    <t>Febreze 風倍清</t>
  </si>
  <si>
    <t>Crest 台灣公司貨 香氛鎖白牙膏, 清新雪櫻, 120g, 1條</t>
  </si>
  <si>
    <t>Crest 台灣公司貨 香氛鎖白牙膏 海洋薄荷, 120g, 1條</t>
  </si>
  <si>
    <t>Crest 香氛鎖白牙膏 岡山夢白桃, 120g, 1條</t>
  </si>
  <si>
    <t>Crest 原廠公司貨 香氛鎖白牙膏 清柚白茶,120g, 1條</t>
  </si>
  <si>
    <t xml:space="preserve">Crest 台灣公司貨 極致鑽白牙膏 亮白防蛀, 110g, 6條 </t>
  </si>
  <si>
    <t>Oral-B 深層潔淨牙線, 清涼潔淨, 40m, 1個</t>
  </si>
  <si>
    <t>Oral-B 舒適深潔牙線, 清新薄荷, 40m, 1個</t>
  </si>
  <si>
    <r>
      <t>ARIEL 4D</t>
    </r>
    <r>
      <rPr>
        <sz val="11"/>
        <color theme="1"/>
        <rFont val="微軟正黑體"/>
        <family val="2"/>
        <charset val="136"/>
      </rPr>
      <t>抗菌洗衣膠囊補充包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抗菌去漬型</t>
    </r>
    <r>
      <rPr>
        <sz val="11"/>
        <color theme="1"/>
        <rFont val="Arial Narrow"/>
        <family val="2"/>
      </rPr>
      <t>, 73</t>
    </r>
    <r>
      <rPr>
        <sz val="11"/>
        <color theme="1"/>
        <rFont val="微軟正黑體"/>
        <family val="2"/>
        <charset val="136"/>
      </rPr>
      <t>顆</t>
    </r>
    <r>
      <rPr>
        <sz val="11"/>
        <color theme="1"/>
        <rFont val="Arial Narrow"/>
        <family val="2"/>
      </rPr>
      <t>, 1</t>
    </r>
    <r>
      <rPr>
        <sz val="11"/>
        <color theme="1"/>
        <rFont val="微軟正黑體"/>
        <family val="2"/>
        <charset val="136"/>
      </rPr>
      <t>袋</t>
    </r>
    <phoneticPr fontId="6" type="noConversion"/>
  </si>
  <si>
    <r>
      <t>[</t>
    </r>
    <r>
      <rPr>
        <sz val="11"/>
        <color theme="1"/>
        <rFont val="微軟正黑體"/>
        <family val="2"/>
        <charset val="136"/>
      </rPr>
      <t>箱裝</t>
    </r>
    <r>
      <rPr>
        <sz val="11"/>
        <color theme="1"/>
        <rFont val="Arial Narrow"/>
        <family val="2"/>
      </rPr>
      <t xml:space="preserve">]ARIEL </t>
    </r>
    <r>
      <rPr>
        <sz val="11"/>
        <color theme="1"/>
        <rFont val="微軟正黑體"/>
        <family val="2"/>
        <charset val="136"/>
      </rPr>
      <t>抗菌洗衣精補充包</t>
    </r>
    <r>
      <rPr>
        <sz val="11"/>
        <color theme="1"/>
        <rFont val="Arial Narrow"/>
        <family val="2"/>
      </rPr>
      <t xml:space="preserve">, </t>
    </r>
    <r>
      <rPr>
        <sz val="11"/>
        <color theme="1"/>
        <rFont val="微軟正黑體"/>
        <family val="2"/>
        <charset val="136"/>
      </rPr>
      <t>室內晾衣型</t>
    </r>
    <r>
      <rPr>
        <sz val="11"/>
        <color theme="1"/>
        <rFont val="Arial Narrow"/>
        <family val="2"/>
      </rPr>
      <t>, 1690g, 6</t>
    </r>
    <r>
      <rPr>
        <sz val="11"/>
        <color theme="1"/>
        <rFont val="微軟正黑體"/>
        <family val="2"/>
        <charset val="136"/>
      </rPr>
      <t>包</t>
    </r>
    <phoneticPr fontId="6" type="noConversion"/>
  </si>
  <si>
    <r>
      <t>ARIEL 4D</t>
    </r>
    <r>
      <rPr>
        <sz val="11"/>
        <color theme="1"/>
        <rFont val="微軟正黑體"/>
        <family val="2"/>
        <charset val="136"/>
      </rPr>
      <t>抗菌洗衣膠囊補充包</t>
    </r>
    <r>
      <rPr>
        <sz val="11"/>
        <color theme="1"/>
        <rFont val="Arial Narrow"/>
        <family val="2"/>
      </rPr>
      <t xml:space="preserve"> </t>
    </r>
    <r>
      <rPr>
        <sz val="11"/>
        <color theme="1"/>
        <rFont val="微軟正黑體"/>
        <family val="2"/>
        <charset val="136"/>
      </rPr>
      <t>室內晾衣型</t>
    </r>
    <r>
      <rPr>
        <sz val="11"/>
        <color theme="1"/>
        <rFont val="Arial Narrow"/>
        <family val="2"/>
      </rPr>
      <t>, 73</t>
    </r>
    <r>
      <rPr>
        <sz val="11"/>
        <color theme="1"/>
        <rFont val="微軟正黑體"/>
        <family val="2"/>
        <charset val="136"/>
      </rPr>
      <t>顆</t>
    </r>
    <r>
      <rPr>
        <sz val="11"/>
        <color theme="1"/>
        <rFont val="Arial Narrow"/>
        <family val="2"/>
      </rPr>
      <t>, 1</t>
    </r>
    <r>
      <rPr>
        <sz val="11"/>
        <color theme="1"/>
        <rFont val="微軟正黑體"/>
        <family val="2"/>
        <charset val="136"/>
      </rPr>
      <t>袋</t>
    </r>
    <phoneticPr fontId="6" type="noConversion"/>
  </si>
  <si>
    <t>清新幫1200W GIV, 一級幫700W</t>
    <phoneticPr fontId="6" type="noConversion"/>
  </si>
  <si>
    <r>
      <t xml:space="preserve">head &amp; shoulders </t>
    </r>
    <r>
      <rPr>
        <sz val="11"/>
        <rFont val="微軟正黑體"/>
        <family val="2"/>
        <charset val="136"/>
      </rPr>
      <t>海倫仙度絲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泡沫洗髮慕絲</t>
    </r>
    <r>
      <rPr>
        <sz val="11"/>
        <rFont val="Calibri"/>
        <family val="2"/>
      </rPr>
      <t xml:space="preserve">, </t>
    </r>
    <r>
      <rPr>
        <sz val="11"/>
        <rFont val="微軟正黑體"/>
        <family val="2"/>
        <charset val="136"/>
      </rPr>
      <t>控油蓬鬆型</t>
    </r>
    <r>
      <rPr>
        <sz val="11"/>
        <rFont val="Calibri"/>
        <family val="2"/>
      </rPr>
      <t xml:space="preserve">, </t>
    </r>
    <r>
      <rPr>
        <sz val="11"/>
        <rFont val="微軟正黑體"/>
        <family val="2"/>
        <charset val="136"/>
      </rPr>
      <t>清柚小蒼蘭</t>
    </r>
    <r>
      <rPr>
        <sz val="11"/>
        <rFont val="Calibri"/>
        <family val="2"/>
      </rPr>
      <t>, 360g, 1</t>
    </r>
    <r>
      <rPr>
        <sz val="11"/>
        <rFont val="微軟正黑體"/>
        <family val="2"/>
        <charset val="136"/>
      </rPr>
      <t>瓶</t>
    </r>
    <phoneticPr fontId="6" type="noConversion"/>
  </si>
  <si>
    <r>
      <t xml:space="preserve">head &amp; shoulders </t>
    </r>
    <r>
      <rPr>
        <sz val="11"/>
        <rFont val="微軟正黑體"/>
        <family val="2"/>
        <charset val="136"/>
      </rPr>
      <t>海倫仙度絲</t>
    </r>
    <r>
      <rPr>
        <sz val="11"/>
        <rFont val="Calibri"/>
        <family val="2"/>
      </rPr>
      <t xml:space="preserve"> </t>
    </r>
    <r>
      <rPr>
        <sz val="11"/>
        <rFont val="微軟正黑體"/>
        <family val="2"/>
        <charset val="136"/>
      </rPr>
      <t>泡沫洗髮慕絲</t>
    </r>
    <r>
      <rPr>
        <sz val="11"/>
        <rFont val="Calibri"/>
        <family val="2"/>
      </rPr>
      <t xml:space="preserve">, </t>
    </r>
    <r>
      <rPr>
        <sz val="11"/>
        <rFont val="微軟正黑體"/>
        <family val="2"/>
        <charset val="136"/>
      </rPr>
      <t>淨爽止癢型</t>
    </r>
    <r>
      <rPr>
        <sz val="11"/>
        <rFont val="Calibri"/>
        <family val="2"/>
      </rPr>
      <t xml:space="preserve">, </t>
    </r>
    <r>
      <rPr>
        <sz val="11"/>
        <rFont val="微軟正黑體"/>
        <family val="2"/>
        <charset val="136"/>
      </rPr>
      <t>雪松清茶</t>
    </r>
    <r>
      <rPr>
        <sz val="11"/>
        <rFont val="Calibri"/>
        <family val="2"/>
      </rPr>
      <t>, 360g, 1</t>
    </r>
    <r>
      <rPr>
        <sz val="11"/>
        <rFont val="微軟正黑體"/>
        <family val="2"/>
        <charset val="136"/>
      </rPr>
      <t>瓶</t>
    </r>
    <phoneticPr fontId="6" type="noConversion"/>
  </si>
  <si>
    <t>9/4交貨</t>
    <phoneticPr fontId="6" type="noConversion"/>
  </si>
  <si>
    <t>9/5交貨</t>
    <phoneticPr fontId="6" type="noConversion"/>
  </si>
  <si>
    <t>9/8交貨</t>
    <phoneticPr fontId="6" type="noConversion"/>
  </si>
  <si>
    <t>9/9交貨</t>
    <phoneticPr fontId="6" type="noConversion"/>
  </si>
  <si>
    <t>9/10交貨</t>
    <phoneticPr fontId="6" type="noConversion"/>
  </si>
  <si>
    <r>
      <t>REBATE</t>
    </r>
    <r>
      <rPr>
        <sz val="11"/>
        <color theme="1"/>
        <rFont val="新細明體"/>
        <family val="2"/>
      </rPr>
      <t>目標</t>
    </r>
    <phoneticPr fontId="6" type="noConversion"/>
  </si>
  <si>
    <t>DIFF</t>
    <phoneticPr fontId="6" type="noConversion"/>
  </si>
  <si>
    <t>目前庫存天數</t>
    <phoneticPr fontId="6" type="noConversion"/>
  </si>
  <si>
    <t>停產</t>
    <phoneticPr fontId="6" type="noConversion"/>
  </si>
  <si>
    <t>PG剩餘
可供貨量(CS)</t>
    <phoneticPr fontId="6" type="noConversion"/>
  </si>
  <si>
    <t>目前庫存數量</t>
    <phoneticPr fontId="6" type="noConversion"/>
  </si>
  <si>
    <t>9/11交貨</t>
    <phoneticPr fontId="6" type="noConversion"/>
  </si>
  <si>
    <t>不可超打</t>
    <phoneticPr fontId="6" type="noConversion"/>
  </si>
  <si>
    <t>不可超打</t>
    <phoneticPr fontId="6" type="noConversion"/>
  </si>
  <si>
    <t>庫存水位低 請協助開單</t>
    <phoneticPr fontId="6" type="noConversion"/>
  </si>
  <si>
    <t>9月包/箱合計最多300箱</t>
    <phoneticPr fontId="6" type="noConversion"/>
  </si>
  <si>
    <t>停產</t>
    <phoneticPr fontId="6" type="noConversion"/>
  </si>
  <si>
    <t>9/21交貨</t>
    <phoneticPr fontId="6" type="noConversion"/>
  </si>
  <si>
    <t>到9月底庫存天數</t>
    <phoneticPr fontId="6" type="noConversion"/>
  </si>
  <si>
    <t>9/17交貨</t>
    <phoneticPr fontId="6" type="noConversion"/>
  </si>
  <si>
    <t>9/18交貨
竹運出</t>
    <phoneticPr fontId="6" type="noConversion"/>
  </si>
  <si>
    <t>目前在途</t>
    <phoneticPr fontId="6" type="noConversion"/>
  </si>
  <si>
    <t>特規出清品,竹運出</t>
    <phoneticPr fontId="6" type="noConversion"/>
  </si>
  <si>
    <r>
      <rPr>
        <sz val="11"/>
        <color theme="1"/>
        <rFont val="微軟正黑體"/>
        <family val="2"/>
        <charset val="136"/>
      </rPr>
      <t>剩下的量是</t>
    </r>
    <r>
      <rPr>
        <sz val="11"/>
        <color theme="1"/>
        <rFont val="Arial Narrow"/>
        <family val="2"/>
      </rPr>
      <t>0</t>
    </r>
    <r>
      <rPr>
        <sz val="11"/>
        <color theme="1"/>
        <rFont val="微軟正黑體"/>
        <family val="2"/>
        <charset val="136"/>
      </rPr>
      <t>元成本贈品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</si>
</sst>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_(* #,##0.00_);_(* \(#,##0.00\);_(* &quot;-&quot;??_);_(@_)"/>
    <numFmt numFmtId="177" formatCode="0_);[Red]\(0\)"/>
    <numFmt numFmtId="178" formatCode="_-* #,##0_-;\-* #,##0_-;_-* &quot;-&quot;??_-;_-@_-"/>
    <numFmt numFmtId="179" formatCode="_(* #,##0_);_(* \(#,##0\);_(* &quot;-&quot;??_);_(@_)"/>
  </numFmts>
  <fonts count="35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Arial Narrow"/>
      <family val="2"/>
    </font>
    <font>
      <sz val="11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  <font>
      <sz val="11"/>
      <color rgb="FF000000"/>
      <name val="Arial Narrow"/>
      <family val="2"/>
    </font>
    <font>
      <sz val="11"/>
      <color rgb="FF000000"/>
      <name val="新細明體"/>
      <family val="1"/>
      <charset val="136"/>
    </font>
    <font>
      <sz val="11"/>
      <color rgb="FFFF0000"/>
      <name val="Arial Narrow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name val="細明體"/>
      <family val="3"/>
      <charset val="136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1"/>
      <name val="微軟正黑體"/>
      <family val="2"/>
      <charset val="136"/>
    </font>
    <font>
      <sz val="1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1"/>
      <name val="Microsoft JhengHei Light"/>
      <family val="2"/>
      <charset val="136"/>
    </font>
    <font>
      <sz val="11"/>
      <color rgb="FF000000"/>
      <name val="Calibri"/>
      <family val="2"/>
    </font>
    <font>
      <sz val="11"/>
      <color rgb="FF000000"/>
      <name val="Microsoft JhengHei Light"/>
      <family val="2"/>
      <charset val="136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1"/>
      <color rgb="FFFF0000"/>
      <name val="新細明體"/>
      <family val="1"/>
      <charset val="136"/>
      <scheme val="minor"/>
    </font>
    <font>
      <sz val="11"/>
      <color indexed="8"/>
      <name val="微軟正黑體"/>
      <family val="2"/>
    </font>
    <font>
      <sz val="11"/>
      <color theme="1"/>
      <name val="Arial Narrow"/>
      <family val="2"/>
      <charset val="136"/>
    </font>
    <font>
      <sz val="11"/>
      <color theme="1"/>
      <name val="新細明體"/>
      <family val="2"/>
    </font>
    <font>
      <sz val="10"/>
      <color theme="1"/>
      <name val="Times New Roman"/>
      <family val="1"/>
    </font>
    <font>
      <sz val="11"/>
      <color rgb="FF000000"/>
      <name val="Microsoft JhengHei U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76" fontId="3" fillId="0" borderId="0" applyFont="0" applyFill="0" applyBorder="0" applyAlignment="0" applyProtection="0"/>
    <xf numFmtId="0" fontId="3" fillId="2" borderId="1" applyNumberFormat="0" applyFont="0" applyAlignment="0" applyProtection="0"/>
    <xf numFmtId="43" fontId="2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43" fontId="1" fillId="0" borderId="0" applyFont="0" applyFill="0" applyBorder="0" applyAlignment="0" applyProtection="0">
      <alignment vertical="center"/>
    </xf>
  </cellStyleXfs>
  <cellXfs count="274">
    <xf numFmtId="0" fontId="0" fillId="0" borderId="0" xfId="0"/>
    <xf numFmtId="0" fontId="4" fillId="0" borderId="2" xfId="0" applyFont="1" applyBorder="1" applyAlignment="1">
      <alignment horizontal="center"/>
    </xf>
    <xf numFmtId="177" fontId="4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3" fontId="4" fillId="0" borderId="2" xfId="0" applyNumberFormat="1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177" fontId="4" fillId="3" borderId="2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/>
    </xf>
    <xf numFmtId="3" fontId="4" fillId="3" borderId="2" xfId="0" applyNumberFormat="1" applyFont="1" applyFill="1" applyBorder="1" applyAlignment="1">
      <alignment horizontal="center" vertical="center"/>
    </xf>
    <xf numFmtId="0" fontId="4" fillId="2" borderId="3" xfId="2" applyFont="1" applyBorder="1" applyAlignment="1">
      <alignment horizontal="center" vertical="center"/>
    </xf>
    <xf numFmtId="0" fontId="4" fillId="2" borderId="4" xfId="2" applyFont="1" applyBorder="1" applyAlignment="1">
      <alignment horizontal="center" vertical="center"/>
    </xf>
    <xf numFmtId="177" fontId="4" fillId="2" borderId="4" xfId="2" applyNumberFormat="1" applyFont="1" applyBorder="1" applyAlignment="1">
      <alignment horizontal="center" vertical="center"/>
    </xf>
    <xf numFmtId="1" fontId="4" fillId="2" borderId="4" xfId="2" applyNumberFormat="1" applyFont="1" applyBorder="1" applyAlignment="1">
      <alignment horizontal="center" vertical="center"/>
    </xf>
    <xf numFmtId="177" fontId="4" fillId="2" borderId="4" xfId="2" applyNumberFormat="1" applyFont="1" applyBorder="1" applyAlignment="1">
      <alignment horizontal="left" vertical="center"/>
    </xf>
    <xf numFmtId="178" fontId="4" fillId="2" borderId="4" xfId="2" applyNumberFormat="1" applyFont="1" applyBorder="1" applyAlignment="1">
      <alignment horizontal="center" vertical="center"/>
    </xf>
    <xf numFmtId="0" fontId="0" fillId="2" borderId="4" xfId="2" applyFont="1" applyBorder="1"/>
    <xf numFmtId="0" fontId="0" fillId="2" borderId="5" xfId="2" applyFont="1" applyBorder="1"/>
    <xf numFmtId="178" fontId="4" fillId="0" borderId="6" xfId="1" applyNumberFormat="1" applyFont="1" applyFill="1" applyBorder="1" applyAlignment="1">
      <alignment horizontal="center"/>
    </xf>
    <xf numFmtId="178" fontId="4" fillId="3" borderId="6" xfId="1" applyNumberFormat="1" applyFont="1" applyFill="1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0" fillId="0" borderId="2" xfId="0" applyNumberFormat="1" applyBorder="1"/>
    <xf numFmtId="1" fontId="0" fillId="0" borderId="0" xfId="0" applyNumberFormat="1"/>
    <xf numFmtId="1" fontId="0" fillId="4" borderId="4" xfId="2" applyNumberFormat="1" applyFont="1" applyFill="1" applyBorder="1"/>
    <xf numFmtId="1" fontId="0" fillId="4" borderId="5" xfId="2" applyNumberFormat="1" applyFont="1" applyFill="1" applyBorder="1"/>
    <xf numFmtId="1" fontId="7" fillId="0" borderId="2" xfId="0" applyNumberFormat="1" applyFont="1" applyBorder="1"/>
    <xf numFmtId="1" fontId="0" fillId="0" borderId="2" xfId="0" applyNumberFormat="1" applyFont="1" applyBorder="1"/>
    <xf numFmtId="178" fontId="4" fillId="0" borderId="2" xfId="1" applyNumberFormat="1" applyFont="1" applyFill="1" applyBorder="1" applyAlignment="1">
      <alignment horizontal="center"/>
    </xf>
    <xf numFmtId="0" fontId="0" fillId="0" borderId="2" xfId="0" applyBorder="1"/>
    <xf numFmtId="0" fontId="7" fillId="0" borderId="2" xfId="0" applyFont="1" applyBorder="1"/>
    <xf numFmtId="0" fontId="10" fillId="3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177" fontId="4" fillId="0" borderId="2" xfId="0" applyNumberFormat="1" applyFont="1" applyFill="1" applyBorder="1" applyAlignment="1">
      <alignment horizontal="center"/>
    </xf>
    <xf numFmtId="1" fontId="4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1" fontId="0" fillId="0" borderId="2" xfId="0" applyNumberForma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1" fontId="0" fillId="0" borderId="2" xfId="0" applyNumberFormat="1" applyFill="1" applyBorder="1"/>
    <xf numFmtId="0" fontId="0" fillId="0" borderId="2" xfId="0" applyFill="1" applyBorder="1"/>
    <xf numFmtId="0" fontId="0" fillId="0" borderId="0" xfId="0" applyFill="1"/>
    <xf numFmtId="0" fontId="5" fillId="3" borderId="2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9" xfId="0" applyFont="1" applyFill="1" applyBorder="1" applyAlignment="1"/>
    <xf numFmtId="0" fontId="11" fillId="0" borderId="2" xfId="0" applyFont="1" applyBorder="1"/>
    <xf numFmtId="177" fontId="11" fillId="0" borderId="2" xfId="0" applyNumberFormat="1" applyFont="1" applyBorder="1"/>
    <xf numFmtId="0" fontId="12" fillId="4" borderId="2" xfId="0" applyFont="1" applyFill="1" applyBorder="1" applyAlignment="1">
      <alignment horizontal="center" vertical="center" wrapText="1"/>
    </xf>
    <xf numFmtId="0" fontId="0" fillId="5" borderId="0" xfId="0" applyFill="1"/>
    <xf numFmtId="1" fontId="5" fillId="2" borderId="4" xfId="2" applyNumberFormat="1" applyFont="1" applyBorder="1" applyAlignment="1">
      <alignment horizontal="center" vertical="center"/>
    </xf>
    <xf numFmtId="1" fontId="0" fillId="3" borderId="2" xfId="0" applyNumberFormat="1" applyFill="1" applyBorder="1"/>
    <xf numFmtId="0" fontId="0" fillId="3" borderId="2" xfId="0" applyFill="1" applyBorder="1"/>
    <xf numFmtId="0" fontId="0" fillId="3" borderId="0" xfId="0" applyFill="1"/>
    <xf numFmtId="1" fontId="7" fillId="3" borderId="2" xfId="0" applyNumberFormat="1" applyFont="1" applyFill="1" applyBorder="1"/>
    <xf numFmtId="0" fontId="11" fillId="0" borderId="10" xfId="0" applyFont="1" applyBorder="1" applyAlignment="1">
      <alignment horizontal="center"/>
    </xf>
    <xf numFmtId="0" fontId="11" fillId="0" borderId="10" xfId="0" applyFont="1" applyBorder="1"/>
    <xf numFmtId="178" fontId="11" fillId="0" borderId="11" xfId="0" applyNumberFormat="1" applyFont="1" applyBorder="1"/>
    <xf numFmtId="178" fontId="11" fillId="0" borderId="12" xfId="0" applyNumberFormat="1" applyFont="1" applyBorder="1"/>
    <xf numFmtId="178" fontId="11" fillId="0" borderId="13" xfId="3" applyNumberFormat="1" applyFont="1" applyBorder="1">
      <alignment vertical="center"/>
    </xf>
    <xf numFmtId="178" fontId="11" fillId="0" borderId="11" xfId="3" applyNumberFormat="1" applyFont="1" applyBorder="1" applyAlignment="1"/>
    <xf numFmtId="178" fontId="11" fillId="0" borderId="12" xfId="3" applyNumberFormat="1" applyFont="1" applyBorder="1" applyAlignment="1"/>
    <xf numFmtId="178" fontId="11" fillId="0" borderId="13" xfId="3" applyNumberFormat="1" applyFont="1" applyBorder="1" applyAlignment="1"/>
    <xf numFmtId="0" fontId="11" fillId="0" borderId="17" xfId="0" applyFont="1" applyBorder="1" applyAlignment="1">
      <alignment horizontal="center" vertical="center"/>
    </xf>
    <xf numFmtId="0" fontId="11" fillId="0" borderId="17" xfId="0" applyFont="1" applyBorder="1" applyAlignment="1">
      <alignment vertical="center"/>
    </xf>
    <xf numFmtId="0" fontId="11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78" fontId="11" fillId="0" borderId="2" xfId="3" applyNumberFormat="1" applyFont="1" applyBorder="1">
      <alignment vertical="center"/>
    </xf>
    <xf numFmtId="178" fontId="11" fillId="0" borderId="2" xfId="3" applyNumberFormat="1" applyFont="1" applyBorder="1" applyAlignment="1"/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178" fontId="11" fillId="0" borderId="9" xfId="3" applyNumberFormat="1" applyFont="1" applyBorder="1">
      <alignment vertical="center"/>
    </xf>
    <xf numFmtId="178" fontId="11" fillId="0" borderId="9" xfId="3" applyNumberFormat="1" applyFont="1" applyBorder="1" applyAlignment="1"/>
    <xf numFmtId="0" fontId="5" fillId="0" borderId="18" xfId="0" applyFont="1" applyFill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1" fillId="0" borderId="18" xfId="0" applyFont="1" applyBorder="1"/>
    <xf numFmtId="0" fontId="11" fillId="0" borderId="19" xfId="0" applyFont="1" applyBorder="1"/>
    <xf numFmtId="0" fontId="15" fillId="4" borderId="0" xfId="0" applyFont="1" applyFill="1" applyBorder="1" applyAlignment="1">
      <alignment horizontal="center" vertical="center" wrapText="1"/>
    </xf>
    <xf numFmtId="0" fontId="0" fillId="4" borderId="0" xfId="0" applyFill="1"/>
    <xf numFmtId="1" fontId="0" fillId="4" borderId="0" xfId="0" applyNumberFormat="1" applyFill="1"/>
    <xf numFmtId="179" fontId="0" fillId="0" borderId="2" xfId="1" applyNumberFormat="1" applyFont="1" applyBorder="1"/>
    <xf numFmtId="178" fontId="11" fillId="0" borderId="6" xfId="3" applyNumberFormat="1" applyFont="1" applyBorder="1">
      <alignment vertical="center"/>
    </xf>
    <xf numFmtId="178" fontId="11" fillId="0" borderId="20" xfId="3" applyNumberFormat="1" applyFont="1" applyBorder="1">
      <alignment vertical="center"/>
    </xf>
    <xf numFmtId="178" fontId="11" fillId="0" borderId="8" xfId="3" applyNumberFormat="1" applyFont="1" applyBorder="1">
      <alignment vertical="center"/>
    </xf>
    <xf numFmtId="178" fontId="11" fillId="0" borderId="21" xfId="3" applyNumberFormat="1" applyFont="1" applyBorder="1">
      <alignment vertical="center"/>
    </xf>
    <xf numFmtId="178" fontId="11" fillId="0" borderId="6" xfId="3" applyNumberFormat="1" applyFont="1" applyBorder="1" applyAlignment="1"/>
    <xf numFmtId="178" fontId="11" fillId="0" borderId="20" xfId="3" applyNumberFormat="1" applyFont="1" applyBorder="1" applyAlignment="1"/>
    <xf numFmtId="178" fontId="11" fillId="0" borderId="8" xfId="3" applyNumberFormat="1" applyFont="1" applyBorder="1" applyAlignment="1"/>
    <xf numFmtId="178" fontId="11" fillId="0" borderId="22" xfId="3" applyNumberFormat="1" applyFont="1" applyBorder="1" applyAlignment="1"/>
    <xf numFmtId="178" fontId="11" fillId="0" borderId="23" xfId="3" applyNumberFormat="1" applyFont="1" applyBorder="1" applyAlignment="1"/>
    <xf numFmtId="178" fontId="4" fillId="3" borderId="2" xfId="1" applyNumberFormat="1" applyFont="1" applyFill="1" applyBorder="1" applyAlignment="1">
      <alignment horizontal="center"/>
    </xf>
    <xf numFmtId="0" fontId="11" fillId="3" borderId="2" xfId="0" applyFont="1" applyFill="1" applyBorder="1"/>
    <xf numFmtId="177" fontId="11" fillId="3" borderId="2" xfId="0" applyNumberFormat="1" applyFont="1" applyFill="1" applyBorder="1"/>
    <xf numFmtId="0" fontId="11" fillId="0" borderId="2" xfId="0" applyFont="1" applyBorder="1" applyAlignment="1">
      <alignment vertical="center" wrapText="1"/>
    </xf>
    <xf numFmtId="1" fontId="10" fillId="0" borderId="2" xfId="0" applyNumberFormat="1" applyFont="1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6" borderId="25" xfId="0" applyFont="1" applyFill="1" applyBorder="1" applyAlignment="1">
      <alignment horizontal="center" wrapText="1"/>
    </xf>
    <xf numFmtId="0" fontId="16" fillId="6" borderId="26" xfId="0" applyFont="1" applyFill="1" applyBorder="1" applyAlignment="1">
      <alignment horizontal="center" wrapText="1"/>
    </xf>
    <xf numFmtId="0" fontId="17" fillId="6" borderId="27" xfId="0" applyFont="1" applyFill="1" applyBorder="1" applyAlignment="1">
      <alignment wrapText="1"/>
    </xf>
    <xf numFmtId="3" fontId="18" fillId="0" borderId="28" xfId="0" applyNumberFormat="1" applyFont="1" applyBorder="1" applyAlignment="1">
      <alignment horizontal="right" wrapText="1"/>
    </xf>
    <xf numFmtId="0" fontId="18" fillId="0" borderId="28" xfId="0" applyFont="1" applyBorder="1" applyAlignment="1">
      <alignment wrapText="1"/>
    </xf>
    <xf numFmtId="3" fontId="18" fillId="6" borderId="28" xfId="0" applyNumberFormat="1" applyFont="1" applyFill="1" applyBorder="1" applyAlignment="1">
      <alignment horizontal="right" wrapText="1"/>
    </xf>
    <xf numFmtId="0" fontId="18" fillId="6" borderId="28" xfId="0" applyFont="1" applyFill="1" applyBorder="1" applyAlignment="1">
      <alignment wrapText="1"/>
    </xf>
    <xf numFmtId="0" fontId="0" fillId="0" borderId="2" xfId="0" applyFont="1" applyBorder="1" applyAlignment="1">
      <alignment horizontal="center"/>
    </xf>
    <xf numFmtId="0" fontId="0" fillId="0" borderId="0" xfId="0" applyBorder="1"/>
    <xf numFmtId="1" fontId="7" fillId="0" borderId="0" xfId="0" applyNumberFormat="1" applyFont="1" applyBorder="1"/>
    <xf numFmtId="177" fontId="11" fillId="0" borderId="2" xfId="0" applyNumberFormat="1" applyFont="1" applyFill="1" applyBorder="1" applyAlignment="1">
      <alignment horizontal="center"/>
    </xf>
    <xf numFmtId="0" fontId="20" fillId="0" borderId="2" xfId="0" applyFont="1" applyFill="1" applyBorder="1" applyAlignment="1">
      <alignment horizontal="left"/>
    </xf>
    <xf numFmtId="0" fontId="0" fillId="4" borderId="2" xfId="0" applyFill="1" applyBorder="1"/>
    <xf numFmtId="179" fontId="0" fillId="0" borderId="0" xfId="1" applyNumberFormat="1" applyFont="1" applyFill="1" applyBorder="1"/>
    <xf numFmtId="179" fontId="0" fillId="0" borderId="0" xfId="0" applyNumberFormat="1" applyFill="1"/>
    <xf numFmtId="0" fontId="3" fillId="2" borderId="4" xfId="2" applyFont="1" applyBorder="1"/>
    <xf numFmtId="1" fontId="21" fillId="0" borderId="2" xfId="0" applyNumberFormat="1" applyFont="1" applyBorder="1" applyAlignment="1">
      <alignment horizontal="center" vertical="center"/>
    </xf>
    <xf numFmtId="0" fontId="21" fillId="4" borderId="0" xfId="0" applyFont="1" applyFill="1"/>
    <xf numFmtId="0" fontId="21" fillId="0" borderId="0" xfId="0" applyFont="1"/>
    <xf numFmtId="0" fontId="15" fillId="7" borderId="0" xfId="0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3" fontId="4" fillId="0" borderId="0" xfId="0" applyNumberFormat="1" applyFont="1" applyBorder="1" applyAlignment="1">
      <alignment horizontal="center" vertical="center"/>
    </xf>
    <xf numFmtId="177" fontId="20" fillId="0" borderId="2" xfId="4" applyNumberFormat="1" applyFont="1" applyBorder="1" applyAlignment="1">
      <alignment vertical="center"/>
    </xf>
    <xf numFmtId="177" fontId="20" fillId="0" borderId="6" xfId="4" applyNumberFormat="1" applyFont="1" applyBorder="1" applyAlignment="1">
      <alignment vertical="center"/>
    </xf>
    <xf numFmtId="177" fontId="20" fillId="0" borderId="29" xfId="4" applyNumberFormat="1" applyFont="1" applyBorder="1" applyAlignment="1">
      <alignment horizontal="center" vertical="center"/>
    </xf>
    <xf numFmtId="177" fontId="20" fillId="0" borderId="29" xfId="4" applyNumberFormat="1" applyFont="1" applyBorder="1" applyAlignment="1">
      <alignment vertical="center"/>
    </xf>
    <xf numFmtId="177" fontId="24" fillId="0" borderId="2" xfId="4" applyNumberFormat="1" applyFont="1" applyFill="1" applyBorder="1" applyAlignment="1">
      <alignment vertical="center"/>
    </xf>
    <xf numFmtId="179" fontId="0" fillId="4" borderId="0" xfId="1" applyNumberFormat="1" applyFont="1" applyFill="1"/>
    <xf numFmtId="177" fontId="10" fillId="0" borderId="2" xfId="0" applyNumberFormat="1" applyFont="1" applyFill="1" applyBorder="1" applyAlignment="1">
      <alignment horizontal="center"/>
    </xf>
    <xf numFmtId="0" fontId="26" fillId="0" borderId="10" xfId="0" applyFont="1" applyBorder="1" applyAlignment="1">
      <alignment vertical="center"/>
    </xf>
    <xf numFmtId="0" fontId="27" fillId="0" borderId="13" xfId="0" applyFont="1" applyBorder="1" applyAlignment="1">
      <alignment horizontal="center" vertical="center" wrapText="1"/>
    </xf>
    <xf numFmtId="0" fontId="24" fillId="0" borderId="13" xfId="0" applyFont="1" applyBorder="1" applyAlignment="1">
      <alignment vertical="center"/>
    </xf>
    <xf numFmtId="0" fontId="24" fillId="0" borderId="30" xfId="0" applyFont="1" applyBorder="1" applyAlignment="1">
      <alignment vertical="center"/>
    </xf>
    <xf numFmtId="0" fontId="24" fillId="0" borderId="31" xfId="0" applyFont="1" applyBorder="1" applyAlignment="1">
      <alignment vertical="center"/>
    </xf>
    <xf numFmtId="0" fontId="24" fillId="0" borderId="31" xfId="0" applyFont="1" applyBorder="1" applyAlignment="1">
      <alignment horizontal="right" vertical="center"/>
    </xf>
    <xf numFmtId="177" fontId="10" fillId="0" borderId="2" xfId="0" applyNumberFormat="1" applyFont="1" applyBorder="1" applyAlignment="1">
      <alignment horizontal="center"/>
    </xf>
    <xf numFmtId="177" fontId="4" fillId="8" borderId="2" xfId="0" applyNumberFormat="1" applyFont="1" applyFill="1" applyBorder="1" applyAlignment="1">
      <alignment horizontal="center"/>
    </xf>
    <xf numFmtId="178" fontId="4" fillId="8" borderId="6" xfId="1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1" fontId="4" fillId="8" borderId="2" xfId="0" applyNumberFormat="1" applyFont="1" applyFill="1" applyBorder="1" applyAlignment="1">
      <alignment horizontal="center"/>
    </xf>
    <xf numFmtId="0" fontId="4" fillId="8" borderId="2" xfId="0" applyFont="1" applyFill="1" applyBorder="1" applyAlignment="1">
      <alignment horizontal="left"/>
    </xf>
    <xf numFmtId="3" fontId="4" fillId="8" borderId="2" xfId="0" applyNumberFormat="1" applyFont="1" applyFill="1" applyBorder="1" applyAlignment="1">
      <alignment horizontal="center" vertical="center"/>
    </xf>
    <xf numFmtId="1" fontId="0" fillId="8" borderId="2" xfId="0" applyNumberFormat="1" applyFill="1" applyBorder="1"/>
    <xf numFmtId="0" fontId="0" fillId="8" borderId="2" xfId="0" applyFill="1" applyBorder="1"/>
    <xf numFmtId="179" fontId="0" fillId="8" borderId="2" xfId="1" applyNumberFormat="1" applyFont="1" applyFill="1" applyBorder="1"/>
    <xf numFmtId="0" fontId="0" fillId="8" borderId="0" xfId="0" applyFill="1"/>
    <xf numFmtId="0" fontId="5" fillId="8" borderId="2" xfId="0" applyFont="1" applyFill="1" applyBorder="1" applyAlignment="1">
      <alignment horizontal="center"/>
    </xf>
    <xf numFmtId="0" fontId="0" fillId="4" borderId="0" xfId="0" applyFill="1" applyAlignment="1">
      <alignment wrapText="1"/>
    </xf>
    <xf numFmtId="0" fontId="0" fillId="4" borderId="2" xfId="0" applyFill="1" applyBorder="1" applyAlignment="1">
      <alignment wrapText="1"/>
    </xf>
    <xf numFmtId="43" fontId="0" fillId="0" borderId="0" xfId="0" applyNumberFormat="1"/>
    <xf numFmtId="177" fontId="27" fillId="0" borderId="13" xfId="0" applyNumberFormat="1" applyFont="1" applyBorder="1" applyAlignment="1">
      <alignment horizontal="center" vertical="center" wrapText="1"/>
    </xf>
    <xf numFmtId="177" fontId="24" fillId="0" borderId="31" xfId="0" applyNumberFormat="1" applyFont="1" applyBorder="1" applyAlignment="1">
      <alignment horizontal="center" vertical="center"/>
    </xf>
    <xf numFmtId="177" fontId="0" fillId="0" borderId="0" xfId="0" applyNumberFormat="1"/>
    <xf numFmtId="177" fontId="4" fillId="9" borderId="9" xfId="0" applyNumberFormat="1" applyFont="1" applyFill="1" applyBorder="1" applyAlignment="1">
      <alignment horizontal="center"/>
    </xf>
    <xf numFmtId="178" fontId="4" fillId="9" borderId="8" xfId="1" applyNumberFormat="1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1" fontId="4" fillId="9" borderId="9" xfId="0" applyNumberFormat="1" applyFont="1" applyFill="1" applyBorder="1" applyAlignment="1">
      <alignment horizontal="center"/>
    </xf>
    <xf numFmtId="1" fontId="4" fillId="9" borderId="2" xfId="0" applyNumberFormat="1" applyFont="1" applyFill="1" applyBorder="1" applyAlignment="1">
      <alignment horizontal="center"/>
    </xf>
    <xf numFmtId="0" fontId="4" fillId="9" borderId="9" xfId="0" applyFont="1" applyFill="1" applyBorder="1" applyAlignment="1">
      <alignment horizontal="left"/>
    </xf>
    <xf numFmtId="3" fontId="4" fillId="9" borderId="9" xfId="0" applyNumberFormat="1" applyFont="1" applyFill="1" applyBorder="1" applyAlignment="1">
      <alignment horizontal="center" vertical="center"/>
    </xf>
    <xf numFmtId="3" fontId="4" fillId="9" borderId="2" xfId="0" applyNumberFormat="1" applyFont="1" applyFill="1" applyBorder="1" applyAlignment="1">
      <alignment horizontal="center" vertical="center"/>
    </xf>
    <xf numFmtId="1" fontId="0" fillId="9" borderId="2" xfId="0" applyNumberFormat="1" applyFill="1" applyBorder="1"/>
    <xf numFmtId="0" fontId="0" fillId="9" borderId="2" xfId="0" applyFill="1" applyBorder="1"/>
    <xf numFmtId="179" fontId="0" fillId="9" borderId="2" xfId="1" applyNumberFormat="1" applyFont="1" applyFill="1" applyBorder="1"/>
    <xf numFmtId="0" fontId="0" fillId="9" borderId="0" xfId="0" applyFill="1"/>
    <xf numFmtId="177" fontId="4" fillId="9" borderId="2" xfId="0" applyNumberFormat="1" applyFont="1" applyFill="1" applyBorder="1" applyAlignment="1">
      <alignment horizontal="center"/>
    </xf>
    <xf numFmtId="178" fontId="4" fillId="9" borderId="6" xfId="1" applyNumberFormat="1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left"/>
    </xf>
    <xf numFmtId="1" fontId="28" fillId="0" borderId="2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78" fontId="0" fillId="0" borderId="0" xfId="0" applyNumberFormat="1"/>
    <xf numFmtId="0" fontId="4" fillId="10" borderId="2" xfId="0" applyFont="1" applyFill="1" applyBorder="1" applyAlignment="1">
      <alignment horizontal="left"/>
    </xf>
    <xf numFmtId="0" fontId="0" fillId="10" borderId="2" xfId="0" applyFill="1" applyBorder="1"/>
    <xf numFmtId="0" fontId="0" fillId="4" borderId="0" xfId="0" applyFill="1" applyBorder="1" applyAlignment="1">
      <alignment wrapText="1"/>
    </xf>
    <xf numFmtId="177" fontId="4" fillId="4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5" fillId="11" borderId="2" xfId="0" applyFont="1" applyFill="1" applyBorder="1" applyAlignment="1">
      <alignment horizontal="center"/>
    </xf>
    <xf numFmtId="177" fontId="0" fillId="0" borderId="2" xfId="0" applyNumberFormat="1" applyBorder="1"/>
    <xf numFmtId="3" fontId="4" fillId="4" borderId="2" xfId="0" applyNumberFormat="1" applyFont="1" applyFill="1" applyBorder="1" applyAlignment="1">
      <alignment horizontal="center" vertical="center"/>
    </xf>
    <xf numFmtId="178" fontId="18" fillId="0" borderId="28" xfId="0" applyNumberFormat="1" applyFont="1" applyBorder="1" applyAlignment="1">
      <alignment wrapText="1"/>
    </xf>
    <xf numFmtId="178" fontId="18" fillId="6" borderId="28" xfId="0" applyNumberFormat="1" applyFont="1" applyFill="1" applyBorder="1" applyAlignment="1">
      <alignment wrapText="1"/>
    </xf>
    <xf numFmtId="177" fontId="29" fillId="0" borderId="2" xfId="5" applyNumberFormat="1" applyFont="1" applyBorder="1" applyAlignment="1">
      <alignment vertical="center"/>
    </xf>
    <xf numFmtId="177" fontId="29" fillId="0" borderId="2" xfId="5" applyNumberFormat="1" applyFont="1" applyFill="1" applyBorder="1" applyAlignment="1">
      <alignment horizontal="right" vertical="center"/>
    </xf>
    <xf numFmtId="0" fontId="20" fillId="0" borderId="0" xfId="0" applyFont="1" applyFill="1"/>
    <xf numFmtId="177" fontId="11" fillId="0" borderId="0" xfId="0" applyNumberFormat="1" applyFont="1"/>
    <xf numFmtId="0" fontId="5" fillId="0" borderId="15" xfId="0" applyFont="1" applyBorder="1" applyAlignment="1">
      <alignment vertical="center" wrapText="1"/>
    </xf>
    <xf numFmtId="178" fontId="11" fillId="0" borderId="7" xfId="3" applyNumberFormat="1" applyFont="1" applyBorder="1">
      <alignment vertical="center"/>
    </xf>
    <xf numFmtId="178" fontId="11" fillId="0" borderId="32" xfId="3" applyNumberFormat="1" applyFont="1" applyBorder="1">
      <alignment vertical="center"/>
    </xf>
    <xf numFmtId="178" fontId="11" fillId="0" borderId="29" xfId="3" applyNumberFormat="1" applyFont="1" applyBorder="1" applyAlignment="1"/>
    <xf numFmtId="178" fontId="11" fillId="0" borderId="33" xfId="3" applyNumberFormat="1" applyFont="1" applyBorder="1" applyAlignment="1"/>
    <xf numFmtId="178" fontId="11" fillId="0" borderId="11" xfId="3" applyNumberFormat="1" applyFont="1" applyBorder="1">
      <alignment vertical="center"/>
    </xf>
    <xf numFmtId="1" fontId="21" fillId="8" borderId="2" xfId="0" applyNumberFormat="1" applyFont="1" applyFill="1" applyBorder="1" applyAlignment="1">
      <alignment horizontal="center" vertical="center"/>
    </xf>
    <xf numFmtId="1" fontId="0" fillId="8" borderId="2" xfId="0" applyNumberFormat="1" applyFill="1" applyBorder="1" applyAlignment="1">
      <alignment horizontal="center" vertical="center"/>
    </xf>
    <xf numFmtId="1" fontId="0" fillId="8" borderId="7" xfId="0" applyNumberFormat="1" applyFill="1" applyBorder="1" applyAlignment="1">
      <alignment horizontal="center" vertical="center"/>
    </xf>
    <xf numFmtId="1" fontId="0" fillId="8" borderId="2" xfId="0" applyNumberFormat="1" applyFont="1" applyFill="1" applyBorder="1"/>
    <xf numFmtId="179" fontId="0" fillId="8" borderId="0" xfId="1" applyNumberFormat="1" applyFont="1" applyFill="1" applyBorder="1"/>
    <xf numFmtId="3" fontId="10" fillId="8" borderId="2" xfId="0" applyNumberFormat="1" applyFont="1" applyFill="1" applyBorder="1" applyAlignment="1">
      <alignment horizontal="center" vertical="center"/>
    </xf>
    <xf numFmtId="1" fontId="7" fillId="8" borderId="2" xfId="0" applyNumberFormat="1" applyFont="1" applyFill="1" applyBorder="1"/>
    <xf numFmtId="179" fontId="0" fillId="0" borderId="0" xfId="1" applyNumberFormat="1" applyFont="1" applyBorder="1"/>
    <xf numFmtId="178" fontId="0" fillId="0" borderId="20" xfId="0" applyNumberFormat="1" applyBorder="1"/>
    <xf numFmtId="178" fontId="0" fillId="0" borderId="24" xfId="0" applyNumberFormat="1" applyBorder="1"/>
    <xf numFmtId="0" fontId="5" fillId="9" borderId="2" xfId="0" applyFont="1" applyFill="1" applyBorder="1" applyAlignment="1">
      <alignment horizontal="center"/>
    </xf>
    <xf numFmtId="1" fontId="21" fillId="9" borderId="2" xfId="0" applyNumberFormat="1" applyFont="1" applyFill="1" applyBorder="1" applyAlignment="1">
      <alignment horizontal="center" vertical="center"/>
    </xf>
    <xf numFmtId="1" fontId="0" fillId="9" borderId="2" xfId="0" applyNumberFormat="1" applyFill="1" applyBorder="1" applyAlignment="1">
      <alignment horizontal="center" vertical="center"/>
    </xf>
    <xf numFmtId="1" fontId="0" fillId="9" borderId="7" xfId="0" applyNumberFormat="1" applyFill="1" applyBorder="1" applyAlignment="1">
      <alignment horizontal="center" vertical="center"/>
    </xf>
    <xf numFmtId="1" fontId="7" fillId="9" borderId="2" xfId="0" applyNumberFormat="1" applyFont="1" applyFill="1" applyBorder="1"/>
    <xf numFmtId="179" fontId="0" fillId="9" borderId="0" xfId="1" applyNumberFormat="1" applyFont="1" applyFill="1" applyBorder="1"/>
    <xf numFmtId="0" fontId="30" fillId="0" borderId="2" xfId="0" applyFont="1" applyBorder="1" applyAlignment="1">
      <alignment horizontal="center"/>
    </xf>
    <xf numFmtId="1" fontId="7" fillId="0" borderId="2" xfId="0" applyNumberFormat="1" applyFont="1" applyFill="1" applyBorder="1" applyAlignment="1">
      <alignment horizontal="center" vertical="center"/>
    </xf>
    <xf numFmtId="1" fontId="7" fillId="3" borderId="2" xfId="0" applyNumberFormat="1" applyFont="1" applyFill="1" applyBorder="1" applyAlignment="1">
      <alignment horizontal="center" vertical="center"/>
    </xf>
    <xf numFmtId="177" fontId="20" fillId="0" borderId="8" xfId="0" applyNumberFormat="1" applyFont="1" applyFill="1" applyBorder="1" applyAlignment="1">
      <alignment vertical="center"/>
    </xf>
    <xf numFmtId="178" fontId="4" fillId="0" borderId="9" xfId="1" applyNumberFormat="1" applyFont="1" applyFill="1" applyBorder="1" applyAlignment="1">
      <alignment horizontal="center"/>
    </xf>
    <xf numFmtId="177" fontId="20" fillId="0" borderId="9" xfId="4" applyNumberFormat="1" applyFont="1" applyBorder="1" applyAlignment="1">
      <alignment vertical="center"/>
    </xf>
    <xf numFmtId="177" fontId="20" fillId="0" borderId="33" xfId="0" applyNumberFormat="1" applyFont="1" applyFill="1" applyBorder="1" applyAlignment="1">
      <alignment horizontal="center" vertical="center"/>
    </xf>
    <xf numFmtId="177" fontId="20" fillId="0" borderId="33" xfId="0" applyNumberFormat="1" applyFont="1" applyFill="1" applyBorder="1" applyAlignment="1">
      <alignment vertical="center"/>
    </xf>
    <xf numFmtId="177" fontId="20" fillId="0" borderId="9" xfId="0" applyNumberFormat="1" applyFont="1" applyFill="1" applyBorder="1" applyAlignment="1">
      <alignment vertical="center"/>
    </xf>
    <xf numFmtId="177" fontId="24" fillId="0" borderId="9" xfId="0" applyNumberFormat="1" applyFont="1" applyFill="1" applyBorder="1" applyAlignment="1">
      <alignment vertical="center"/>
    </xf>
    <xf numFmtId="0" fontId="4" fillId="0" borderId="9" xfId="0" applyFont="1" applyBorder="1" applyAlignment="1">
      <alignment horizontal="center"/>
    </xf>
    <xf numFmtId="3" fontId="4" fillId="0" borderId="9" xfId="0" applyNumberFormat="1" applyFont="1" applyBorder="1" applyAlignment="1">
      <alignment horizontal="center" vertical="center"/>
    </xf>
    <xf numFmtId="1" fontId="21" fillId="0" borderId="9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0" fillId="0" borderId="9" xfId="0" applyBorder="1"/>
    <xf numFmtId="1" fontId="0" fillId="0" borderId="9" xfId="0" applyNumberFormat="1" applyFont="1" applyBorder="1"/>
    <xf numFmtId="179" fontId="0" fillId="0" borderId="9" xfId="1" applyNumberFormat="1" applyFont="1" applyBorder="1"/>
    <xf numFmtId="0" fontId="20" fillId="0" borderId="2" xfId="0" applyFont="1" applyBorder="1"/>
    <xf numFmtId="178" fontId="11" fillId="0" borderId="2" xfId="6" applyNumberFormat="1" applyFont="1" applyFill="1" applyBorder="1" applyAlignment="1"/>
    <xf numFmtId="177" fontId="11" fillId="0" borderId="2" xfId="0" applyNumberFormat="1" applyFont="1" applyBorder="1" applyAlignment="1">
      <alignment vertical="center"/>
    </xf>
    <xf numFmtId="177" fontId="11" fillId="0" borderId="9" xfId="0" applyNumberFormat="1" applyFont="1" applyBorder="1"/>
    <xf numFmtId="0" fontId="11" fillId="0" borderId="9" xfId="0" applyFont="1" applyBorder="1"/>
    <xf numFmtId="0" fontId="20" fillId="0" borderId="9" xfId="0" applyFont="1" applyBorder="1"/>
    <xf numFmtId="178" fontId="11" fillId="0" borderId="9" xfId="6" applyNumberFormat="1" applyFont="1" applyFill="1" applyBorder="1" applyAlignment="1"/>
    <xf numFmtId="1" fontId="7" fillId="0" borderId="9" xfId="0" applyNumberFormat="1" applyFont="1" applyBorder="1"/>
    <xf numFmtId="178" fontId="0" fillId="0" borderId="0" xfId="0" applyNumberFormat="1" applyBorder="1"/>
    <xf numFmtId="0" fontId="11" fillId="0" borderId="0" xfId="0" applyFont="1" applyFill="1" applyBorder="1" applyAlignment="1">
      <alignment vertical="center" wrapText="1"/>
    </xf>
    <xf numFmtId="0" fontId="11" fillId="4" borderId="0" xfId="0" applyFont="1" applyFill="1" applyBorder="1" applyAlignment="1">
      <alignment vertical="center" wrapText="1"/>
    </xf>
    <xf numFmtId="3" fontId="33" fillId="0" borderId="0" xfId="0" applyNumberFormat="1" applyFont="1" applyAlignment="1">
      <alignment horizontal="right" vertical="center"/>
    </xf>
    <xf numFmtId="0" fontId="32" fillId="0" borderId="0" xfId="0" applyFont="1"/>
    <xf numFmtId="178" fontId="7" fillId="0" borderId="0" xfId="0" applyNumberFormat="1" applyFont="1" applyBorder="1"/>
    <xf numFmtId="1" fontId="0" fillId="11" borderId="2" xfId="0" applyNumberFormat="1" applyFont="1" applyFill="1" applyBorder="1"/>
    <xf numFmtId="177" fontId="11" fillId="9" borderId="2" xfId="0" applyNumberFormat="1" applyFont="1" applyFill="1" applyBorder="1"/>
    <xf numFmtId="178" fontId="4" fillId="9" borderId="2" xfId="1" applyNumberFormat="1" applyFont="1" applyFill="1" applyBorder="1" applyAlignment="1">
      <alignment horizontal="center"/>
    </xf>
    <xf numFmtId="0" fontId="11" fillId="9" borderId="2" xfId="0" applyFont="1" applyFill="1" applyBorder="1"/>
    <xf numFmtId="0" fontId="20" fillId="9" borderId="2" xfId="0" applyFont="1" applyFill="1" applyBorder="1"/>
    <xf numFmtId="1" fontId="0" fillId="11" borderId="2" xfId="0" applyNumberFormat="1" applyFill="1" applyBorder="1" applyAlignment="1">
      <alignment horizontal="center" vertical="center"/>
    </xf>
    <xf numFmtId="0" fontId="0" fillId="5" borderId="0" xfId="0" applyFill="1" applyAlignment="1">
      <alignment wrapText="1"/>
    </xf>
    <xf numFmtId="178" fontId="0" fillId="0" borderId="0" xfId="0" applyNumberFormat="1" applyFont="1" applyBorder="1"/>
    <xf numFmtId="1" fontId="0" fillId="11" borderId="7" xfId="0" applyNumberFormat="1" applyFill="1" applyBorder="1" applyAlignment="1">
      <alignment horizontal="center" vertical="center"/>
    </xf>
    <xf numFmtId="1" fontId="0" fillId="11" borderId="9" xfId="0" applyNumberFormat="1" applyFill="1" applyBorder="1" applyAlignment="1">
      <alignment horizontal="center" vertical="center"/>
    </xf>
    <xf numFmtId="1" fontId="28" fillId="8" borderId="2" xfId="0" applyNumberFormat="1" applyFont="1" applyFill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" fontId="0" fillId="0" borderId="7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0" fillId="11" borderId="2" xfId="0" applyFill="1" applyBorder="1"/>
    <xf numFmtId="1" fontId="21" fillId="11" borderId="2" xfId="0" applyNumberFormat="1" applyFont="1" applyFill="1" applyBorder="1" applyAlignment="1">
      <alignment horizontal="center" vertical="center"/>
    </xf>
    <xf numFmtId="178" fontId="34" fillId="0" borderId="12" xfId="3" applyNumberFormat="1" applyFont="1" applyBorder="1" applyAlignment="1"/>
    <xf numFmtId="177" fontId="4" fillId="12" borderId="2" xfId="0" applyNumberFormat="1" applyFont="1" applyFill="1" applyBorder="1" applyAlignment="1">
      <alignment horizontal="center"/>
    </xf>
    <xf numFmtId="178" fontId="4" fillId="12" borderId="6" xfId="1" applyNumberFormat="1" applyFont="1" applyFill="1" applyBorder="1" applyAlignment="1">
      <alignment horizontal="center"/>
    </xf>
    <xf numFmtId="0" fontId="4" fillId="12" borderId="2" xfId="0" applyFont="1" applyFill="1" applyBorder="1" applyAlignment="1">
      <alignment horizontal="center"/>
    </xf>
    <xf numFmtId="1" fontId="4" fillId="12" borderId="2" xfId="0" applyNumberFormat="1" applyFont="1" applyFill="1" applyBorder="1" applyAlignment="1">
      <alignment horizontal="center"/>
    </xf>
    <xf numFmtId="0" fontId="4" fillId="12" borderId="2" xfId="0" applyFont="1" applyFill="1" applyBorder="1" applyAlignment="1">
      <alignment horizontal="left"/>
    </xf>
    <xf numFmtId="0" fontId="5" fillId="12" borderId="2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left"/>
    </xf>
    <xf numFmtId="3" fontId="0" fillId="0" borderId="0" xfId="0" applyNumberFormat="1" applyFill="1"/>
    <xf numFmtId="177" fontId="4" fillId="11" borderId="2" xfId="0" applyNumberFormat="1" applyFont="1" applyFill="1" applyBorder="1" applyAlignment="1">
      <alignment horizontal="center"/>
    </xf>
    <xf numFmtId="0" fontId="0" fillId="5" borderId="2" xfId="0" applyFill="1" applyBorder="1"/>
    <xf numFmtId="1" fontId="4" fillId="13" borderId="2" xfId="0" applyNumberFormat="1" applyFont="1" applyFill="1" applyBorder="1" applyAlignment="1">
      <alignment horizontal="left"/>
    </xf>
    <xf numFmtId="0" fontId="15" fillId="14" borderId="0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/>
    </xf>
    <xf numFmtId="0" fontId="30" fillId="11" borderId="2" xfId="0" applyFont="1" applyFill="1" applyBorder="1" applyAlignment="1">
      <alignment horizontal="center"/>
    </xf>
    <xf numFmtId="0" fontId="11" fillId="0" borderId="18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/>
    </xf>
    <xf numFmtId="0" fontId="11" fillId="0" borderId="19" xfId="0" applyFont="1" applyBorder="1" applyAlignment="1">
      <alignment horizontal="center"/>
    </xf>
  </cellXfs>
  <cellStyles count="7">
    <cellStyle name="一般" xfId="0" builtinId="0"/>
    <cellStyle name="一般 2 2 2" xfId="5" xr:uid="{D27FB57C-C6EF-4D5F-8A03-5DED80A14A5E}"/>
    <cellStyle name="一般 7" xfId="4" xr:uid="{2F70FC53-08CD-44E6-957E-7301E86D4521}"/>
    <cellStyle name="千分位" xfId="1" builtinId="3"/>
    <cellStyle name="千分位 2" xfId="3" xr:uid="{840DD957-5FC0-4578-BEF1-B732F00BBB51}"/>
    <cellStyle name="千分位 5" xfId="6" xr:uid="{41C65FBD-EDF4-413A-9C4A-597A31E6C0C2}"/>
    <cellStyle name="備註" xfId="2" builtinId="10"/>
  </cellStyles>
  <dxfs count="142"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463549</xdr:colOff>
      <xdr:row>245</xdr:row>
      <xdr:rowOff>52916</xdr:rowOff>
    </xdr:from>
    <xdr:to>
      <xdr:col>28</xdr:col>
      <xdr:colOff>736600</xdr:colOff>
      <xdr:row>271</xdr:row>
      <xdr:rowOff>168399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EB0DCDC7-4036-4DFB-B0E1-8EFAC2597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8549" y="4212166"/>
          <a:ext cx="16476134" cy="4793316"/>
        </a:xfrm>
        <a:prstGeom prst="rect">
          <a:avLst/>
        </a:prstGeom>
      </xdr:spPr>
    </xdr:pic>
    <xdr:clientData/>
  </xdr:twoCellAnchor>
  <xdr:twoCellAnchor editAs="oneCell">
    <xdr:from>
      <xdr:col>45</xdr:col>
      <xdr:colOff>571500</xdr:colOff>
      <xdr:row>255</xdr:row>
      <xdr:rowOff>86958</xdr:rowOff>
    </xdr:from>
    <xdr:to>
      <xdr:col>54</xdr:col>
      <xdr:colOff>698499</xdr:colOff>
      <xdr:row>276</xdr:row>
      <xdr:rowOff>57542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39AA489E-6DC6-43EF-B28B-EE4A7FD2B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939500" y="48706791"/>
          <a:ext cx="6889749" cy="3748834"/>
        </a:xfrm>
        <a:prstGeom prst="rect">
          <a:avLst/>
        </a:prstGeom>
      </xdr:spPr>
    </xdr:pic>
    <xdr:clientData/>
  </xdr:twoCellAnchor>
  <xdr:twoCellAnchor editAs="oneCell">
    <xdr:from>
      <xdr:col>41</xdr:col>
      <xdr:colOff>1</xdr:colOff>
      <xdr:row>250</xdr:row>
      <xdr:rowOff>0</xdr:rowOff>
    </xdr:from>
    <xdr:to>
      <xdr:col>47</xdr:col>
      <xdr:colOff>502350</xdr:colOff>
      <xdr:row>255</xdr:row>
      <xdr:rowOff>24471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7B426CB-62CF-4B34-B5B2-2A0147300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62334" y="2010833"/>
          <a:ext cx="5010849" cy="924054"/>
        </a:xfrm>
        <a:prstGeom prst="rect">
          <a:avLst/>
        </a:prstGeom>
      </xdr:spPr>
    </xdr:pic>
    <xdr:clientData/>
  </xdr:twoCellAnchor>
  <xdr:twoCellAnchor editAs="oneCell">
    <xdr:from>
      <xdr:col>6</xdr:col>
      <xdr:colOff>1578818</xdr:colOff>
      <xdr:row>245</xdr:row>
      <xdr:rowOff>74083</xdr:rowOff>
    </xdr:from>
    <xdr:to>
      <xdr:col>12</xdr:col>
      <xdr:colOff>372439</xdr:colOff>
      <xdr:row>270</xdr:row>
      <xdr:rowOff>67070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FE485023-20FD-45E1-9EE4-8D2997D6C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44151" y="4233333"/>
          <a:ext cx="7810621" cy="44909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6</xdr:col>
      <xdr:colOff>170731</xdr:colOff>
      <xdr:row>31</xdr:row>
      <xdr:rowOff>18564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3F2E6E3-7A06-425C-A529-F1F7CE375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800" y="1898650"/>
          <a:ext cx="5752381" cy="388571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gie.weng\Downloads\FHC_Coupang%20PG%20InBound%20Demand%20before083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032;&#22686;&#36039;&#26009;&#22846;%20(3)/Coupang%20PG%202026_SOND_FCST_0901%20to%20YFS_&#27927;&#2113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542;&#20689;/3.&#34892;&#37559;&#33287;&#22294;&#25991;&#32032;&#26448;/&#37239;&#28558;&#22577;&#20729;/&#37325;&#35201;&#27284;&#26696;/Coupang%20x%20PG%20&#32317;&#34920;(&#24235;&#23384;&amp;&#37559;&#21806;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31.&#20195;&#25805;&#38283;&#30332;/P&amp;G%20&#23542;&#20689;/&#20729;&#26684;&#26412;/&#37239;&#28558;&#22577;&#20729;/&#37325;&#35201;&#27284;&#26696;/Coupang%20x%20PG%20&#32317;&#34920;(&#24235;&#23384;&amp;&#37559;&#21806;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oupang%20PG%20InBound%20Demand%20before0930_&#27704;&#35920;&#22238;&#35206;_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31.&#20195;&#25805;&#38283;&#30332;/P&amp;G%20&#23542;&#20689;/&#20729;&#26684;&#26412;/&#37239;&#28558;&#22577;&#20729;/&#26032;&#22686;&#36039;&#26009;&#22846;/NEW/2026%20AMJ%20Coupang%20x%20PG%20actual%20sell%20thru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gie.weng\Downloads\202609%20Coupang%20supply%20check_MSTG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gie.weng\Downloads\&#35079;&#26412;%20Coupang%20PG%20InBound%20Demand%20before0831(3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542;&#20689;/3.&#34892;&#37559;&#33287;&#22294;&#25991;&#32032;&#26448;/&#37239;&#28558;&#22577;&#20729;/To%20YFY__Coupang%20Master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2"/>
      <sheetName val="Demand inbond in Aug"/>
    </sheetNames>
    <sheetDataSet>
      <sheetData sheetId="0"/>
      <sheetData sheetId="1">
        <row r="3">
          <cell r="C3"/>
          <cell r="D3"/>
          <cell r="E3"/>
          <cell r="F3"/>
          <cell r="G3"/>
          <cell r="H3">
            <v>65628.32950369842</v>
          </cell>
          <cell r="J3"/>
        </row>
        <row r="4">
          <cell r="C4" t="str">
            <v>Bardcode</v>
          </cell>
          <cell r="D4" t="str">
            <v>PGCODE</v>
          </cell>
          <cell r="E4" t="str">
            <v>是否停產 If DC</v>
          </cell>
          <cell r="F4" t="str">
            <v>SKU Name</v>
          </cell>
          <cell r="G4" t="str">
            <v>cpgs</v>
          </cell>
          <cell r="H4" t="str">
            <v>8月總下單需求(pcs)</v>
          </cell>
          <cell r="I4" t="str">
            <v>先前Supply</v>
          </cell>
          <cell r="J4" t="str">
            <v>Latest Supply in Aug.</v>
          </cell>
        </row>
        <row r="5">
          <cell r="C5">
            <v>6903148182383</v>
          </cell>
          <cell r="D5"/>
          <cell r="E5" t="str">
            <v>N</v>
          </cell>
          <cell r="F5" t="str">
            <v>whisper 好自在 台灣公司貨 隱型透氣護墊, 自然無香, 40片, 1包</v>
          </cell>
          <cell r="G5">
            <v>40</v>
          </cell>
          <cell r="H5">
            <v>498.7058823529411</v>
          </cell>
          <cell r="I5"/>
          <cell r="J5"/>
        </row>
        <row r="6">
          <cell r="C6">
            <v>6903148182680</v>
          </cell>
          <cell r="D6"/>
          <cell r="E6" t="str">
            <v>N</v>
          </cell>
          <cell r="F6" t="str">
            <v>whisper 好自在 台灣公司貨 隱型乾爽護墊, 自然無香, 40片, 1包</v>
          </cell>
          <cell r="G6">
            <v>40</v>
          </cell>
          <cell r="H6">
            <v>223.20000000000002</v>
          </cell>
          <cell r="I6"/>
          <cell r="J6"/>
        </row>
        <row r="7">
          <cell r="C7">
            <v>6903148182406</v>
          </cell>
          <cell r="D7"/>
          <cell r="E7" t="str">
            <v>N</v>
          </cell>
          <cell r="F7" t="str">
            <v>好自在隱型清新護墊 淡香 40片,1包</v>
          </cell>
          <cell r="G7">
            <v>40</v>
          </cell>
          <cell r="H7">
            <v>499.20000000000005</v>
          </cell>
          <cell r="I7"/>
          <cell r="J7"/>
        </row>
        <row r="8">
          <cell r="C8">
            <v>4987176122919</v>
          </cell>
          <cell r="D8"/>
          <cell r="E8" t="str">
            <v>N</v>
          </cell>
          <cell r="F8" t="str">
            <v>whisper 好自在 台灣公司貨 熊抱安睡36cm量多夜用(10片X2),1組</v>
          </cell>
          <cell r="G8">
            <v>115</v>
          </cell>
          <cell r="H8">
            <v>294</v>
          </cell>
          <cell r="I8"/>
          <cell r="J8"/>
        </row>
        <row r="9">
          <cell r="C9">
            <v>4987176122933</v>
          </cell>
          <cell r="D9"/>
          <cell r="E9" t="str">
            <v>N</v>
          </cell>
          <cell r="F9" t="str">
            <v>whisper 好自在 台灣公司貨 熊抱安睡425mm量多夜用衛生棉, 7片,2包,1組</v>
          </cell>
          <cell r="G9">
            <v>120</v>
          </cell>
          <cell r="H9">
            <v>719.97428476738048</v>
          </cell>
          <cell r="I9"/>
          <cell r="J9"/>
        </row>
        <row r="10">
          <cell r="C10">
            <v>4987176122865</v>
          </cell>
          <cell r="D10"/>
          <cell r="E10" t="str">
            <v>N</v>
          </cell>
          <cell r="F10" t="str">
            <v>whisper 好自在 熊抱安睡42.5cm 量多夜用,7片,1包</v>
          </cell>
          <cell r="G10">
            <v>57</v>
          </cell>
          <cell r="H10">
            <v>277.25</v>
          </cell>
          <cell r="I10"/>
          <cell r="J10"/>
        </row>
        <row r="11">
          <cell r="C11">
            <v>4987176122858</v>
          </cell>
          <cell r="D11"/>
          <cell r="E11" t="str">
            <v>N</v>
          </cell>
          <cell r="F11" t="str">
            <v>whisper 好自在 台灣公司貨 熊抱安睡36cm量多夜用10片, 1包</v>
          </cell>
          <cell r="G11">
            <v>60</v>
          </cell>
          <cell r="H11">
            <v>197.8235294117647</v>
          </cell>
          <cell r="I11"/>
          <cell r="J11"/>
        </row>
        <row r="12">
          <cell r="C12">
            <v>6903148302712</v>
          </cell>
          <cell r="D12"/>
          <cell r="E12" t="str">
            <v>Y</v>
          </cell>
          <cell r="F12" t="str">
            <v>whisper 好自在 台灣公司貨 無痕安心褲, 均碼, 2件, 1包</v>
          </cell>
          <cell r="G12">
            <v>66</v>
          </cell>
          <cell r="H12">
            <v>0</v>
          </cell>
          <cell r="I12"/>
          <cell r="J12"/>
        </row>
        <row r="13">
          <cell r="C13">
            <v>4987176179258</v>
          </cell>
          <cell r="D13"/>
          <cell r="E13" t="str">
            <v>N</v>
          </cell>
          <cell r="F13" t="str">
            <v>whisper 好自在 台灣公司貨 INFINITY液體衛生棉 超長夜用 34cm, 10片, 夜用型, 1盒</v>
          </cell>
          <cell r="G13">
            <v>82</v>
          </cell>
          <cell r="H13">
            <v>3752.4762210775052</v>
          </cell>
          <cell r="I13"/>
          <cell r="J13"/>
        </row>
        <row r="14">
          <cell r="C14">
            <v>4987176177858</v>
          </cell>
          <cell r="D14"/>
          <cell r="E14" t="str">
            <v>N</v>
          </cell>
          <cell r="F14" t="str">
            <v>whisper 好自在 Radiant清新淨味 液體衛生棉/巾 棉柔表層 量多超薄 日用型, 27cm, 9片, 1盒</v>
          </cell>
          <cell r="G14">
            <v>89</v>
          </cell>
          <cell r="H14">
            <v>2798.0373241845446</v>
          </cell>
          <cell r="I14"/>
          <cell r="J14"/>
        </row>
        <row r="15">
          <cell r="C15">
            <v>4987176177865</v>
          </cell>
          <cell r="D15"/>
          <cell r="E15" t="str">
            <v>N</v>
          </cell>
          <cell r="F15" t="str">
            <v>whisper 好自在 台灣公司貨 液體衛生棉清新淨味 31.7cm, 1包, 9片, 一般</v>
          </cell>
          <cell r="G15">
            <v>89</v>
          </cell>
          <cell r="H15">
            <v>1886.6850795097937</v>
          </cell>
          <cell r="I15"/>
          <cell r="J15"/>
        </row>
        <row r="16">
          <cell r="C16">
            <v>4987176177841</v>
          </cell>
          <cell r="D16"/>
          <cell r="E16" t="str">
            <v>N</v>
          </cell>
          <cell r="F16" t="str">
            <v>whisper 好自在 台灣公司貨 液體衛生棉清新淨味 24cm, 1包, 9片, 一般</v>
          </cell>
          <cell r="G16">
            <v>89</v>
          </cell>
          <cell r="H16">
            <v>2717.9274666979104</v>
          </cell>
          <cell r="I16"/>
          <cell r="J16"/>
        </row>
        <row r="17">
          <cell r="C17">
            <v>4987176219985</v>
          </cell>
          <cell r="D17"/>
          <cell r="E17" t="str">
            <v>Y</v>
          </cell>
          <cell r="F17" t="str">
            <v>whisper 好自在 熊抱安睡褲XL, 24包, 2片, 內褲型</v>
          </cell>
          <cell r="G17"/>
          <cell r="H17">
            <v>0</v>
          </cell>
          <cell r="I17"/>
          <cell r="J17"/>
        </row>
        <row r="18">
          <cell r="C18">
            <v>6903148356999</v>
          </cell>
          <cell r="D18"/>
          <cell r="E18" t="str">
            <v>N</v>
          </cell>
          <cell r="F18" t="str">
            <v>whisper 好自在 台灣公司貨 Air Dry 雲枕瞬吸衛生棉 日用量大, 28cm, 10片, 1包</v>
          </cell>
          <cell r="G18">
            <v>54</v>
          </cell>
          <cell r="H18">
            <v>453.60000000000019</v>
          </cell>
          <cell r="I18"/>
          <cell r="J18"/>
        </row>
        <row r="19">
          <cell r="C19">
            <v>6903148138182</v>
          </cell>
          <cell r="D19"/>
          <cell r="E19" t="str">
            <v>N</v>
          </cell>
          <cell r="F19" t="str">
            <v>whisper 好自在 台灣公司貨 Air Dry 雲枕瞬吸衛生棉 日用, 24cm, 10片, 1包</v>
          </cell>
          <cell r="G19">
            <v>54</v>
          </cell>
          <cell r="H19">
            <v>0</v>
          </cell>
          <cell r="I19"/>
          <cell r="J19"/>
        </row>
        <row r="20">
          <cell r="C20">
            <v>6903148308752</v>
          </cell>
          <cell r="D20"/>
          <cell r="E20" t="str">
            <v>N</v>
          </cell>
          <cell r="F20" t="str">
            <v>whisper 好自在 台灣公司貨 Air Dry 雲枕瞬吸衛生棉 日用輕量型, 18cm , 12片, 1包</v>
          </cell>
          <cell r="G20">
            <v>47</v>
          </cell>
          <cell r="H20">
            <v>1512.349090909091</v>
          </cell>
          <cell r="I20"/>
          <cell r="J20"/>
        </row>
        <row r="21">
          <cell r="C21">
            <v>6903148356982</v>
          </cell>
          <cell r="D21"/>
          <cell r="E21" t="str">
            <v>N</v>
          </cell>
          <cell r="F21" t="str">
            <v>whisper 好自在 台灣公司貨 Air Dry 雲枕瞬吸衛生棉 日用量大加長, 32cm, 8片, 1包</v>
          </cell>
          <cell r="G21">
            <v>54</v>
          </cell>
          <cell r="H21">
            <v>741.5200000000001</v>
          </cell>
          <cell r="I21"/>
          <cell r="J21"/>
        </row>
        <row r="22">
          <cell r="C22">
            <v>6903148357033</v>
          </cell>
          <cell r="D22"/>
          <cell r="E22" t="str">
            <v>N</v>
          </cell>
          <cell r="F22" t="str">
            <v>whisper 好自在 台灣公司貨 Air Dry Fresh 草本健康衛生棉 日用量大, 28cm, 10片, 1包</v>
          </cell>
          <cell r="G22">
            <v>26</v>
          </cell>
          <cell r="H22">
            <v>198</v>
          </cell>
          <cell r="I22"/>
          <cell r="J22"/>
        </row>
        <row r="23">
          <cell r="C23">
            <v>6903148357026</v>
          </cell>
          <cell r="D23"/>
          <cell r="E23" t="str">
            <v>N</v>
          </cell>
          <cell r="F23" t="str">
            <v>whisper 好自在 台灣公司貨 Air Dry Fresh 草本健康衛生棉 量大加長, 32cm, 8片, 1包</v>
          </cell>
          <cell r="G23">
            <v>26</v>
          </cell>
          <cell r="H23">
            <v>259.2</v>
          </cell>
          <cell r="I23"/>
          <cell r="J23"/>
        </row>
        <row r="24">
          <cell r="C24">
            <v>6903148357019</v>
          </cell>
          <cell r="D24"/>
          <cell r="E24" t="str">
            <v>N</v>
          </cell>
          <cell r="F24" t="str">
            <v>whisper 好自在 台灣公司貨 Air Dry Fresh 草本健康衛生棉 日用普通, 24cm, 10片, 1包</v>
          </cell>
          <cell r="G24">
            <v>54</v>
          </cell>
          <cell r="H24">
            <v>0</v>
          </cell>
          <cell r="I24"/>
          <cell r="J24"/>
        </row>
        <row r="25">
          <cell r="C25">
            <v>6903148300770</v>
          </cell>
          <cell r="D25"/>
          <cell r="E25" t="str">
            <v>N</v>
          </cell>
          <cell r="F25" t="str">
            <v>whisper 好自在 台灣公司貨 Air Dry Fresh 純棉衛生棉 日用輕量型, 18cm, 12片, 1包</v>
          </cell>
          <cell r="G25">
            <v>22</v>
          </cell>
          <cell r="H25">
            <v>494.88399999999996</v>
          </cell>
          <cell r="I25"/>
          <cell r="J25"/>
        </row>
        <row r="26">
          <cell r="C26">
            <v>4987176301017</v>
          </cell>
          <cell r="D26"/>
          <cell r="E26" t="str">
            <v>N</v>
          </cell>
          <cell r="F26" t="str">
            <v>whisper 好自在 台灣公司貨 Air Dry 雲枕瞬吸衛生棉 日用量大加長, 32cm, 16片, 1袋</v>
          </cell>
          <cell r="G26">
            <v>95</v>
          </cell>
          <cell r="H26">
            <v>362.7</v>
          </cell>
          <cell r="I26"/>
          <cell r="J26"/>
        </row>
        <row r="27">
          <cell r="C27">
            <v>6903148304761</v>
          </cell>
          <cell r="D27"/>
          <cell r="E27" t="str">
            <v>N</v>
          </cell>
          <cell r="F27" t="str">
            <v>whisper 好自在 台灣公司貨 Air Dry 雲枕瞬吸衛生棉 日用, 24cm, 20片, 1袋</v>
          </cell>
          <cell r="G27">
            <v>95</v>
          </cell>
          <cell r="H27">
            <v>1216.9374924634185</v>
          </cell>
          <cell r="I27"/>
          <cell r="J27"/>
        </row>
        <row r="28">
          <cell r="C28">
            <v>6903148357002</v>
          </cell>
          <cell r="D28"/>
          <cell r="E28" t="str">
            <v>N</v>
          </cell>
          <cell r="F28" t="str">
            <v>whisper 好自在 台灣公司貨 Air Dry Fresh 草本健康衛生棉 日用量大, 28cm, 20片, 1袋</v>
          </cell>
          <cell r="G28">
            <v>95</v>
          </cell>
          <cell r="H28">
            <v>472.5</v>
          </cell>
          <cell r="I28"/>
          <cell r="J28"/>
        </row>
        <row r="29">
          <cell r="C29">
            <v>4987176301024</v>
          </cell>
          <cell r="D29"/>
          <cell r="E29" t="str">
            <v>N</v>
          </cell>
          <cell r="F29" t="str">
            <v>whisper 好自在 台灣公司貨 Air Dry Fresh 草本健康衛生棉 量大加長, 32cm, 16片, 1袋</v>
          </cell>
          <cell r="G29">
            <v>46</v>
          </cell>
          <cell r="H29">
            <v>114.75</v>
          </cell>
          <cell r="I29"/>
          <cell r="J29"/>
        </row>
        <row r="30">
          <cell r="C30">
            <v>6903148354582</v>
          </cell>
          <cell r="D30"/>
          <cell r="E30" t="str">
            <v>N</v>
          </cell>
          <cell r="F30" t="str">
            <v>whisper 好自在 台灣公司貨 Air Dry 雲枕瞬吸衛生棉 日用量大, 28cm, 20片, 1袋</v>
          </cell>
          <cell r="G30">
            <v>95</v>
          </cell>
          <cell r="H30">
            <v>1251.5817089814882</v>
          </cell>
          <cell r="I30"/>
          <cell r="J30"/>
        </row>
        <row r="31">
          <cell r="C31">
            <v>6903148357040</v>
          </cell>
          <cell r="D31"/>
          <cell r="E31" t="str">
            <v>N</v>
          </cell>
          <cell r="F31" t="str">
            <v>whisper 好自在 台灣公司貨 Air Dry Fresh 草本健康衛生棉 日用普通, 24cm, 20片, 1袋</v>
          </cell>
          <cell r="G31">
            <v>95</v>
          </cell>
          <cell r="H31">
            <v>341.20666666666665</v>
          </cell>
          <cell r="I31"/>
          <cell r="J31"/>
        </row>
        <row r="32">
          <cell r="C32">
            <v>4987176343703</v>
          </cell>
          <cell r="D32"/>
          <cell r="E32" t="str">
            <v>N</v>
          </cell>
          <cell r="F32" t="str">
            <v>PANTENE 潘婷 原廠公司貨 潤髮精華素 強韌防斷, 650g, 1個</v>
          </cell>
          <cell r="G32">
            <v>159</v>
          </cell>
          <cell r="H32">
            <v>483.59999999999997</v>
          </cell>
          <cell r="I32"/>
          <cell r="J32"/>
        </row>
        <row r="33">
          <cell r="C33">
            <v>4987176343727</v>
          </cell>
          <cell r="D33"/>
          <cell r="E33" t="str">
            <v>N</v>
          </cell>
          <cell r="F33" t="str">
            <v>PANTENE 潘婷 原廠公司貨 護潤髮精華素 乳液修護, 650g, 1個</v>
          </cell>
          <cell r="G33">
            <v>159</v>
          </cell>
          <cell r="H33">
            <v>1192.8800000000001</v>
          </cell>
          <cell r="I33"/>
          <cell r="J33"/>
        </row>
        <row r="34">
          <cell r="C34">
            <v>4987176343697</v>
          </cell>
          <cell r="D34"/>
          <cell r="E34" t="str">
            <v>N</v>
          </cell>
          <cell r="F34" t="str">
            <v>PANTENE 潘婷 原廠公司貨 潤髮精華素 絲質順滑, 650g, 1個</v>
          </cell>
          <cell r="G34">
            <v>159</v>
          </cell>
          <cell r="H34">
            <v>1803.828</v>
          </cell>
          <cell r="I34"/>
          <cell r="J34"/>
        </row>
        <row r="35">
          <cell r="C35">
            <v>4987176343628</v>
          </cell>
          <cell r="D35"/>
          <cell r="E35" t="str">
            <v>N</v>
          </cell>
          <cell r="F35" t="str">
            <v>PANTENE 潘婷 原廠公司貨 潤髮精華素 乳液修護, 400g, 1個</v>
          </cell>
          <cell r="G35">
            <v>99</v>
          </cell>
          <cell r="H35">
            <v>1192.6319999999998</v>
          </cell>
          <cell r="I35"/>
          <cell r="J35"/>
        </row>
        <row r="36">
          <cell r="C36">
            <v>4987176343918</v>
          </cell>
          <cell r="D36"/>
          <cell r="E36" t="str">
            <v>N</v>
          </cell>
          <cell r="F36" t="str">
            <v>PANTENE 潘婷 原廠公司貨 潤髮精華素 盈潤光澤, 650g, 1個</v>
          </cell>
          <cell r="G36">
            <v>159</v>
          </cell>
          <cell r="H36">
            <v>413.16800000000001</v>
          </cell>
          <cell r="I36"/>
          <cell r="J36"/>
        </row>
        <row r="37">
          <cell r="C37">
            <v>4987176343680</v>
          </cell>
          <cell r="D37"/>
          <cell r="E37" t="str">
            <v>N</v>
          </cell>
          <cell r="F37" t="str">
            <v>PANTENE 潘婷 原廠公司貨 洗髮露 乳液修護, 650g, 1個</v>
          </cell>
          <cell r="G37">
            <v>159</v>
          </cell>
          <cell r="H37">
            <v>284.70400000000001</v>
          </cell>
          <cell r="I37"/>
          <cell r="J37"/>
        </row>
        <row r="38">
          <cell r="C38">
            <v>4987176343710</v>
          </cell>
          <cell r="D38"/>
          <cell r="E38" t="str">
            <v>N</v>
          </cell>
          <cell r="F38" t="str">
            <v>PANTENE 潘婷 原廠公司貨 洗髮露 強韌防斷, 650g, 1個</v>
          </cell>
          <cell r="G38">
            <v>159</v>
          </cell>
          <cell r="H38">
            <v>422.34399999999999</v>
          </cell>
          <cell r="I38"/>
          <cell r="J38"/>
        </row>
        <row r="39">
          <cell r="C39">
            <v>4987176343741</v>
          </cell>
          <cell r="D39"/>
          <cell r="E39" t="str">
            <v>N</v>
          </cell>
          <cell r="F39" t="str">
            <v>PANTENE 潘婷 原廠公司貨 洗髮露 絲質順滑, 650g, 1個</v>
          </cell>
          <cell r="G39">
            <v>159</v>
          </cell>
          <cell r="H39">
            <v>2295.4879999999998</v>
          </cell>
          <cell r="I39"/>
          <cell r="J39"/>
        </row>
        <row r="40">
          <cell r="C40">
            <v>4987176343734</v>
          </cell>
          <cell r="D40"/>
          <cell r="E40" t="str">
            <v>N</v>
          </cell>
          <cell r="F40" t="str">
            <v>PANTENE 潘婷 原廠公司貨 洗髮露 染燙修護, 650g, 1個</v>
          </cell>
          <cell r="G40">
            <v>159</v>
          </cell>
          <cell r="H40">
            <v>722.17600000000004</v>
          </cell>
          <cell r="I40"/>
          <cell r="J40"/>
        </row>
        <row r="41">
          <cell r="C41">
            <v>4987176343673</v>
          </cell>
          <cell r="D41"/>
          <cell r="E41" t="str">
            <v>N</v>
          </cell>
          <cell r="F41" t="str">
            <v>PANTENE 潘婷 原廠公司貨 洗髮露 盈潤光澤, 650g, 1個</v>
          </cell>
          <cell r="G41">
            <v>159</v>
          </cell>
          <cell r="H41">
            <v>356.25200000000001</v>
          </cell>
          <cell r="I41"/>
          <cell r="J41"/>
        </row>
        <row r="42">
          <cell r="C42">
            <v>4987176343659</v>
          </cell>
          <cell r="D42"/>
          <cell r="E42" t="str">
            <v>N</v>
          </cell>
          <cell r="F42" t="str">
            <v>PANTENE 潘婷 原廠公司貨 去屑洗髮露 乳液修護, 650g, 1個</v>
          </cell>
          <cell r="G42">
            <v>159</v>
          </cell>
          <cell r="H42">
            <v>346.58000000000004</v>
          </cell>
          <cell r="I42"/>
          <cell r="J42"/>
        </row>
        <row r="43">
          <cell r="C43">
            <v>4987176343925</v>
          </cell>
          <cell r="D43"/>
          <cell r="E43" t="str">
            <v>N</v>
          </cell>
          <cell r="F43" t="str">
            <v>PANTENE 潘婷 原廠公司貨 洗髮露 垂順直髮, 650g, 1個</v>
          </cell>
          <cell r="G43">
            <v>159</v>
          </cell>
          <cell r="H43">
            <v>336.78399999999993</v>
          </cell>
          <cell r="I43"/>
          <cell r="J43"/>
        </row>
        <row r="44">
          <cell r="C44">
            <v>4987176354044</v>
          </cell>
          <cell r="D44"/>
          <cell r="E44" t="str">
            <v>N</v>
          </cell>
          <cell r="F44" t="str">
            <v>PANTENE 潘婷 原廠公司貨 乳液修護洗髮乳 + 3 MINUTE MIRACLE多效護髮精華70ml, 650g, 1套</v>
          </cell>
          <cell r="G44">
            <v>185</v>
          </cell>
          <cell r="H44">
            <v>484.34399999999999</v>
          </cell>
          <cell r="I44"/>
          <cell r="J44"/>
        </row>
        <row r="45">
          <cell r="C45">
            <v>6903148345023</v>
          </cell>
          <cell r="D45"/>
          <cell r="E45" t="str">
            <v>N</v>
          </cell>
          <cell r="F45" t="str">
            <v>whisper 好自在 經典款 液體衛生棉, 量大加長型 29.5cm, 夜用, 9片, 1個</v>
          </cell>
          <cell r="G45">
            <v>74</v>
          </cell>
          <cell r="H45">
            <v>180</v>
          </cell>
          <cell r="I45"/>
          <cell r="J45"/>
        </row>
        <row r="46">
          <cell r="C46">
            <v>4987176084378</v>
          </cell>
          <cell r="D46"/>
          <cell r="E46" t="str">
            <v>N</v>
          </cell>
          <cell r="F46" t="str">
            <v>whisper 好自在 熊抱安睡褲 L, 夜用, 8片, 1個</v>
          </cell>
          <cell r="G46">
            <v>177</v>
          </cell>
          <cell r="H46">
            <v>258.54871044962562</v>
          </cell>
          <cell r="I46"/>
          <cell r="J46"/>
        </row>
        <row r="47">
          <cell r="C47">
            <v>4987176166739</v>
          </cell>
          <cell r="D47"/>
          <cell r="E47" t="str">
            <v>N</v>
          </cell>
          <cell r="F47" t="str">
            <v>whisper 好自在 熊抱安睡褲 M, 夜用, 8片, 1個</v>
          </cell>
          <cell r="G47">
            <v>177</v>
          </cell>
          <cell r="H47">
            <v>452.61693839253883</v>
          </cell>
          <cell r="I47"/>
          <cell r="J47"/>
        </row>
        <row r="48">
          <cell r="C48">
            <v>4987176214720</v>
          </cell>
          <cell r="D48"/>
          <cell r="E48" t="str">
            <v>N</v>
          </cell>
          <cell r="F48" t="str">
            <v>whisper 好自在 熊抱安睡褲 XL, 夜用, 8片, 1個</v>
          </cell>
          <cell r="G48">
            <v>177</v>
          </cell>
          <cell r="H48">
            <v>3667.9176773349986</v>
          </cell>
          <cell r="I48"/>
          <cell r="J48"/>
        </row>
        <row r="49">
          <cell r="C49">
            <v>6903148224090</v>
          </cell>
          <cell r="D49"/>
          <cell r="E49" t="str">
            <v>N</v>
          </cell>
          <cell r="F49" t="str">
            <v>whisper 好自在 經典款 液體衛生棉 量多日用型 27cm, 日用, 16片, 1個</v>
          </cell>
          <cell r="G49">
            <v>131</v>
          </cell>
          <cell r="H49">
            <v>3330.7741493123758</v>
          </cell>
          <cell r="I49"/>
          <cell r="J49"/>
        </row>
        <row r="50">
          <cell r="C50">
            <v>6903148224106</v>
          </cell>
          <cell r="D50"/>
          <cell r="E50" t="str">
            <v>N</v>
          </cell>
          <cell r="F50" t="str">
            <v>whisper 好自在 經典款 液體衛生棉 日用型 24cm 日用, 18片, 1個</v>
          </cell>
          <cell r="G50">
            <v>147</v>
          </cell>
          <cell r="H50">
            <v>1336.6704</v>
          </cell>
          <cell r="I50"/>
          <cell r="J50"/>
        </row>
        <row r="51">
          <cell r="C51">
            <v>6903148352700</v>
          </cell>
          <cell r="D51"/>
          <cell r="E51" t="str">
            <v>N</v>
          </cell>
          <cell r="F51" t="str">
            <v>whisper 好自在 無痕奢柔褲 內褲型, M~L, 3片, 1個</v>
          </cell>
          <cell r="G51">
            <v>78</v>
          </cell>
          <cell r="H51">
            <v>316.00000000000006</v>
          </cell>
          <cell r="I51"/>
          <cell r="J51"/>
        </row>
        <row r="52">
          <cell r="C52">
            <v>6903148355947</v>
          </cell>
          <cell r="D52"/>
          <cell r="E52" t="str">
            <v>N</v>
          </cell>
          <cell r="F52" t="str">
            <v>whisper 好自在 無痕奢柔褲 內褲型, XL, 3片, 1個</v>
          </cell>
          <cell r="G52">
            <v>78</v>
          </cell>
          <cell r="H52">
            <v>613.80000000000041</v>
          </cell>
          <cell r="I52"/>
          <cell r="J52"/>
        </row>
        <row r="53">
          <cell r="C53">
            <v>6903148355954</v>
          </cell>
          <cell r="D53"/>
          <cell r="E53" t="str">
            <v>N</v>
          </cell>
          <cell r="F53" t="str">
            <v>whisper 好自在 無痕早安褲 內褲型, M~L, 3片, 1個</v>
          </cell>
          <cell r="G53">
            <v>78</v>
          </cell>
          <cell r="H53">
            <v>366.30000000000007</v>
          </cell>
          <cell r="I53"/>
          <cell r="J53"/>
        </row>
        <row r="54">
          <cell r="C54">
            <v>4987176372178</v>
          </cell>
          <cell r="D54"/>
          <cell r="E54" t="str">
            <v>N</v>
          </cell>
          <cell r="F54" t="str">
            <v>whisper 好自在 熊抱安睡褲 內褲型, L, 44片, 1套</v>
          </cell>
          <cell r="G54">
            <v>895</v>
          </cell>
          <cell r="H54">
            <v>138.73946666666666</v>
          </cell>
          <cell r="I54"/>
          <cell r="J54"/>
        </row>
        <row r="55">
          <cell r="C55">
            <v>4987176372314</v>
          </cell>
          <cell r="D55"/>
          <cell r="E55" t="str">
            <v>y</v>
          </cell>
          <cell r="F55" t="str">
            <v>whisper 好自在 無痕早安褲 內褲型, M~L, 3片, 11包</v>
          </cell>
          <cell r="G55">
            <v>853</v>
          </cell>
          <cell r="H55">
            <v>96.720000000000013</v>
          </cell>
          <cell r="I55"/>
          <cell r="J55"/>
        </row>
        <row r="56">
          <cell r="C56">
            <v>4987176372222</v>
          </cell>
          <cell r="D56"/>
          <cell r="E56" t="str">
            <v>N</v>
          </cell>
          <cell r="F56" t="str">
            <v>whisper 好自在 無痕早安褲 內褲型, M~L, 3片, 6包</v>
          </cell>
          <cell r="G56">
            <v>465</v>
          </cell>
          <cell r="H56">
            <v>0</v>
          </cell>
          <cell r="I56"/>
          <cell r="J56"/>
        </row>
        <row r="57">
          <cell r="C57">
            <v>4987176372161</v>
          </cell>
          <cell r="D57"/>
          <cell r="E57" t="str">
            <v>y</v>
          </cell>
          <cell r="F57" t="str">
            <v>whisper 好自在 無痕奢柔褲 內褲型, M~L, 3片, 11包</v>
          </cell>
          <cell r="G57">
            <v>853</v>
          </cell>
          <cell r="H57">
            <v>128.95999999999998</v>
          </cell>
          <cell r="I57"/>
          <cell r="J57"/>
        </row>
        <row r="58">
          <cell r="C58">
            <v>4987176372192</v>
          </cell>
          <cell r="D58"/>
          <cell r="E58" t="str">
            <v>N</v>
          </cell>
          <cell r="F58" t="str">
            <v>whisper 好自在 無痕奢柔褲 內褲型, M~L, 3片, 6包</v>
          </cell>
          <cell r="G58">
            <v>465</v>
          </cell>
          <cell r="H58">
            <v>4.9599999999999795</v>
          </cell>
          <cell r="I58"/>
          <cell r="J58"/>
        </row>
        <row r="59">
          <cell r="C59">
            <v>4987176372291</v>
          </cell>
          <cell r="D59"/>
          <cell r="E59" t="str">
            <v>y</v>
          </cell>
          <cell r="F59" t="str">
            <v>whisper 好自在 無痕奢柔褲 內褲型, XL, 3片, 11包</v>
          </cell>
          <cell r="G59">
            <v>853</v>
          </cell>
          <cell r="H59">
            <v>128.95999999999998</v>
          </cell>
          <cell r="I59"/>
          <cell r="J59"/>
        </row>
        <row r="60">
          <cell r="C60">
            <v>4987176372130</v>
          </cell>
          <cell r="D60"/>
          <cell r="E60" t="str">
            <v>N</v>
          </cell>
          <cell r="F60" t="str">
            <v>whisper 好自在 無痕奢柔褲 內褲型, XL, 3片, 6包</v>
          </cell>
          <cell r="G60">
            <v>465</v>
          </cell>
          <cell r="H60">
            <v>0</v>
          </cell>
          <cell r="I60"/>
          <cell r="J60"/>
        </row>
        <row r="61">
          <cell r="C61">
            <v>4987176372307</v>
          </cell>
          <cell r="D61"/>
          <cell r="E61" t="str">
            <v>N</v>
          </cell>
          <cell r="F61" t="str">
            <v>whisper 好自在 熊抱安睡褲 L, 夜用, 8片, 3包</v>
          </cell>
          <cell r="G61">
            <v>495</v>
          </cell>
          <cell r="H61">
            <v>1135.2616567060363</v>
          </cell>
          <cell r="I61"/>
          <cell r="J61"/>
        </row>
        <row r="62">
          <cell r="C62">
            <v>4987176372062</v>
          </cell>
          <cell r="D62"/>
          <cell r="E62" t="str">
            <v>N</v>
          </cell>
          <cell r="F62" t="str">
            <v>whisper 好自在 熊抱安睡褲 M, 夜用, 8片, 3包</v>
          </cell>
          <cell r="G62">
            <v>495</v>
          </cell>
          <cell r="H62">
            <v>250.46362423345056</v>
          </cell>
          <cell r="I62"/>
          <cell r="J62"/>
        </row>
        <row r="63">
          <cell r="C63">
            <v>4987176372321</v>
          </cell>
          <cell r="D63"/>
          <cell r="E63" t="str">
            <v>N</v>
          </cell>
          <cell r="F63" t="str">
            <v>whisper 好自在 熊抱安睡褲 XL, 夜用, 8片, 3包</v>
          </cell>
          <cell r="G63">
            <v>495</v>
          </cell>
          <cell r="H63">
            <v>1845.1868656233416</v>
          </cell>
          <cell r="I63"/>
          <cell r="J63"/>
        </row>
        <row r="64">
          <cell r="C64">
            <v>4987176372239</v>
          </cell>
          <cell r="D64"/>
          <cell r="E64" t="str">
            <v>N</v>
          </cell>
          <cell r="F64" t="str">
            <v>[DS]whisper 好自在 台灣公司貨 Air Dry Fresh 純棉衛生棉 日用輕量型, 18cm, 12片, 12包</v>
          </cell>
          <cell r="G64">
            <v>495</v>
          </cell>
          <cell r="H64">
            <v>26.150222222222222</v>
          </cell>
          <cell r="I64"/>
          <cell r="J64"/>
        </row>
        <row r="65">
          <cell r="C65">
            <v>4987176369383</v>
          </cell>
          <cell r="D65"/>
          <cell r="E65" t="str">
            <v>N</v>
          </cell>
          <cell r="F65" t="str">
            <v>[DS]whisper 好自在 台灣公司貨 Air Dry Fresh 純棉衛生棉 日用輕量型, 18cm, 12片, 22包</v>
          </cell>
          <cell r="G65">
            <v>449</v>
          </cell>
          <cell r="H65">
            <v>16.119999999999997</v>
          </cell>
          <cell r="I65"/>
          <cell r="J65"/>
        </row>
        <row r="66">
          <cell r="C66">
            <v>4987176372116</v>
          </cell>
          <cell r="D66"/>
          <cell r="E66" t="str">
            <v>N</v>
          </cell>
          <cell r="F66" t="str">
            <v>whisper 好自在 AirDry 雲枕瞬吸量大組 20片 5包 + 12片 2包, 28cm + 18cm, 124片, 1套</v>
          </cell>
          <cell r="G66">
            <v>495</v>
          </cell>
          <cell r="H66">
            <v>16.119999999999997</v>
          </cell>
          <cell r="I66"/>
          <cell r="J66"/>
        </row>
        <row r="67">
          <cell r="C67">
            <v>4987176372208</v>
          </cell>
          <cell r="D67"/>
          <cell r="E67" t="str">
            <v>N</v>
          </cell>
          <cell r="F67" t="str">
            <v>whisper 好自在 AirDry 雲枕瞬吸普通組 20片 5包 + 12片 2包, 24cm + 18cm, 124片, 1套</v>
          </cell>
          <cell r="G67">
            <v>495</v>
          </cell>
          <cell r="H67">
            <v>16.119999999999997</v>
          </cell>
          <cell r="I67"/>
          <cell r="J67"/>
        </row>
        <row r="68">
          <cell r="C68">
            <v>4987176372253</v>
          </cell>
          <cell r="D68"/>
          <cell r="E68" t="str">
            <v>y</v>
          </cell>
          <cell r="F68" t="str">
            <v>whisper 好自在 熊抱安睡褲 內褲型, M, 44片, 1套</v>
          </cell>
          <cell r="G68">
            <v>895</v>
          </cell>
          <cell r="H68">
            <v>89.412266666666682</v>
          </cell>
          <cell r="I68"/>
          <cell r="J68"/>
        </row>
        <row r="69">
          <cell r="C69">
            <v>4987176372277</v>
          </cell>
          <cell r="D69"/>
          <cell r="E69" t="str">
            <v>y</v>
          </cell>
          <cell r="F69" t="str">
            <v>whisper 好自在 熊抱安睡褲 內褲型, XL, 44片, 1套</v>
          </cell>
          <cell r="G69">
            <v>895</v>
          </cell>
          <cell r="H69">
            <v>366.78373333333337</v>
          </cell>
          <cell r="I69"/>
          <cell r="J69"/>
        </row>
        <row r="70">
          <cell r="C70">
            <v>4987176372123</v>
          </cell>
          <cell r="D70"/>
          <cell r="E70" t="str">
            <v>N</v>
          </cell>
          <cell r="F70" t="str">
            <v>whisper 好自在 液體衛生棉 18片 7包 + 清新淨味液體衛生棉 9片 4包, 24cm, 162片, 1套</v>
          </cell>
          <cell r="G70">
            <v>1330</v>
          </cell>
          <cell r="H70">
            <v>16.119999999999997</v>
          </cell>
          <cell r="I70"/>
          <cell r="J70"/>
        </row>
        <row r="71">
          <cell r="C71">
            <v>4987176372246</v>
          </cell>
          <cell r="D71"/>
          <cell r="E71" t="str">
            <v>N</v>
          </cell>
          <cell r="F71" t="str">
            <v>whisper 好自在 液體衛生棉 16片 2包 + 清新淨味液體衛生棉 9片 2包, 27cm, 50片, 1套</v>
          </cell>
          <cell r="G71">
            <v>435</v>
          </cell>
          <cell r="H71">
            <v>16.119999999999997</v>
          </cell>
          <cell r="I71"/>
          <cell r="J71"/>
        </row>
        <row r="72">
          <cell r="C72">
            <v>4987176369345</v>
          </cell>
          <cell r="D72"/>
          <cell r="E72" t="str">
            <v>N</v>
          </cell>
          <cell r="F72" t="str">
            <v>whisper 好自在 AirDry 雲枕瞬吸普通組 20片 9包 + 12片 3包, 24cm + 18cm, 216片, 1套</v>
          </cell>
          <cell r="G72">
            <v>449</v>
          </cell>
          <cell r="H72">
            <v>5.4</v>
          </cell>
          <cell r="I72"/>
          <cell r="J72"/>
        </row>
        <row r="73">
          <cell r="C73">
            <v>4987176372154</v>
          </cell>
          <cell r="D73"/>
          <cell r="E73" t="str">
            <v>N</v>
          </cell>
          <cell r="F73" t="str">
            <v>whisper 好自在 液體衛生棉 16片 5包 + 清新淨味液體衛生棉 9片 3包, 27cm, 107片, 1套</v>
          </cell>
          <cell r="G73">
            <v>883</v>
          </cell>
          <cell r="H73">
            <v>47.666666666666671</v>
          </cell>
          <cell r="I73"/>
          <cell r="J73"/>
        </row>
        <row r="74">
          <cell r="C74">
            <v>4987176372109</v>
          </cell>
          <cell r="D74"/>
          <cell r="E74" t="str">
            <v>N</v>
          </cell>
          <cell r="F74" t="str">
            <v>whisper 好自在 液體衛生棉 18片 2包 + 清新淨味液體衛生棉 9片 2包, 24cm, 54片, 1套</v>
          </cell>
          <cell r="G74">
            <v>435</v>
          </cell>
          <cell r="H74">
            <v>16.119999999999997</v>
          </cell>
          <cell r="I74"/>
          <cell r="J74"/>
        </row>
        <row r="75">
          <cell r="C75">
            <v>4987176372079</v>
          </cell>
          <cell r="D75"/>
          <cell r="E75" t="str">
            <v>N</v>
          </cell>
          <cell r="F75" t="str">
            <v>whisper 好自在 液體衛生棉 9片 9包 + 清新淨味液體衛生棉 9片 3包, 29.5cm + 31.7cm, 108片, 1套</v>
          </cell>
          <cell r="G75">
            <v>883</v>
          </cell>
          <cell r="H75">
            <v>0</v>
          </cell>
          <cell r="I75"/>
          <cell r="J75"/>
        </row>
        <row r="76">
          <cell r="C76">
            <v>4987176372260</v>
          </cell>
          <cell r="D76"/>
          <cell r="E76" t="str">
            <v>N</v>
          </cell>
          <cell r="F76" t="str">
            <v>whisper 好自在 液體衛生棉 9片 4包 + 清新淨味液體衛生棉 9片 2包, 29.5cm + 31.7cm, 54片, 1套</v>
          </cell>
          <cell r="G76">
            <v>435</v>
          </cell>
          <cell r="H76">
            <v>16.119999999999997</v>
          </cell>
          <cell r="I76"/>
          <cell r="J76"/>
        </row>
        <row r="77">
          <cell r="C77">
            <v>4987176372086</v>
          </cell>
          <cell r="D77"/>
          <cell r="E77" t="str">
            <v>N</v>
          </cell>
          <cell r="F77" t="str">
            <v>whisper 好自在 液體衛生棉 10片 9包 + 清新淨味液體衛生棉 9片 2包, 34cm + 31.7cm, 108片, 1套</v>
          </cell>
          <cell r="G77">
            <v>883</v>
          </cell>
          <cell r="H77">
            <v>184.79999999999993</v>
          </cell>
          <cell r="I77"/>
          <cell r="J77"/>
        </row>
        <row r="78">
          <cell r="C78">
            <v>4987176372215</v>
          </cell>
          <cell r="D78"/>
          <cell r="E78" t="str">
            <v>N</v>
          </cell>
          <cell r="F78" t="str">
            <v>whisper 好自在 液體衛生棉 10片 3包 + 清新淨味液體衛生棉 9片 2包, 34cm + 31.7cm, 48片, 1套</v>
          </cell>
          <cell r="G78">
            <v>435</v>
          </cell>
          <cell r="H78">
            <v>16.119999999999997</v>
          </cell>
          <cell r="I78"/>
          <cell r="J78"/>
        </row>
        <row r="79">
          <cell r="C79">
            <v>4987176372055</v>
          </cell>
          <cell r="D79"/>
          <cell r="E79" t="str">
            <v>N</v>
          </cell>
          <cell r="F79" t="str">
            <v>whisper 好自在 液體衛生棉 9片 14包 + 清新淨味液體衛生棉 9片 4包, 29.5cm + 31.7cm, 162片, 1套</v>
          </cell>
          <cell r="G79">
            <v>1330</v>
          </cell>
          <cell r="H79">
            <v>16.119999999999997</v>
          </cell>
          <cell r="I79"/>
          <cell r="J79"/>
        </row>
        <row r="80">
          <cell r="C80">
            <v>4987176372284</v>
          </cell>
          <cell r="D80"/>
          <cell r="E80" t="str">
            <v>N</v>
          </cell>
          <cell r="F80" t="str">
            <v>whisper 好自在 液體衛生棉 18片 5包 + 清新淨味液體衛生棉 9片 2包, 24cm, 108片, 1套</v>
          </cell>
          <cell r="G80">
            <v>883</v>
          </cell>
          <cell r="H80">
            <v>74.200000000000131</v>
          </cell>
          <cell r="I80"/>
          <cell r="J80"/>
        </row>
        <row r="81">
          <cell r="C81">
            <v>4987176372048</v>
          </cell>
          <cell r="D81"/>
          <cell r="E81" t="str">
            <v>N</v>
          </cell>
          <cell r="F81" t="str">
            <v>whisper 好自在 液體衛生棉 10片 12包 + 清新淨味液體衛生棉 9片 4包, 34cm + 31.7cm, 156片, 1套</v>
          </cell>
          <cell r="G81">
            <v>1330</v>
          </cell>
          <cell r="H81">
            <v>16.119999999999997</v>
          </cell>
          <cell r="I81"/>
          <cell r="J81"/>
        </row>
        <row r="82">
          <cell r="C82">
            <v>4987176372147</v>
          </cell>
          <cell r="D82"/>
          <cell r="E82" t="str">
            <v>N</v>
          </cell>
          <cell r="F82" t="str">
            <v>whisper 好自在 液體衛生棉 16片 8包 + 清新淨味液體衛生棉 9片 4包, 27cm, 164片, 1套</v>
          </cell>
          <cell r="G82">
            <v>1330</v>
          </cell>
          <cell r="H82">
            <v>16.119999999999997</v>
          </cell>
          <cell r="I82"/>
          <cell r="J82"/>
        </row>
        <row r="83">
          <cell r="C83">
            <v>4987176369352</v>
          </cell>
          <cell r="D83"/>
          <cell r="E83" t="str">
            <v>N</v>
          </cell>
          <cell r="F83" t="str">
            <v>whisper 好自在 AirDry 雲枕瞬吸量大組 20片 9包 + 12片 3包, 28cm +18cm, 216片, 1套</v>
          </cell>
          <cell r="G83">
            <v>449</v>
          </cell>
          <cell r="H83">
            <v>5.4</v>
          </cell>
          <cell r="I83"/>
          <cell r="J83"/>
        </row>
        <row r="84">
          <cell r="C84">
            <v>4987176372185</v>
          </cell>
          <cell r="D84"/>
          <cell r="E84" t="str">
            <v>N</v>
          </cell>
          <cell r="F84" t="str">
            <v>whisper 好自在 AirDry Fresh 草本健康普通組 20片 5包 + 12片 2包, 24cm + 18cm, 124片, 1套</v>
          </cell>
          <cell r="G84">
            <v>495</v>
          </cell>
          <cell r="H84">
            <v>16.119999999999997</v>
          </cell>
          <cell r="I84"/>
          <cell r="J84"/>
        </row>
        <row r="85">
          <cell r="C85">
            <v>4987176369376</v>
          </cell>
          <cell r="D85"/>
          <cell r="E85" t="str">
            <v>N</v>
          </cell>
          <cell r="F85" t="str">
            <v>whisper 好自在 AirDry Fresh 草本健康量大組 20片 9包 + 12片 3包, 28cm + 18cm, 216片, 1套</v>
          </cell>
          <cell r="G85">
            <v>449</v>
          </cell>
          <cell r="H85">
            <v>16.119999999999997</v>
          </cell>
          <cell r="I85"/>
          <cell r="J85"/>
        </row>
        <row r="86">
          <cell r="C86">
            <v>4987176325662</v>
          </cell>
          <cell r="D86"/>
          <cell r="E86" t="str">
            <v>N</v>
          </cell>
          <cell r="F86" t="str">
            <v>whisper 好自在 AirDry 雲枕瞬吸量大組 10片+ 12片, 28cm + 18cm, 22片, 1套</v>
          </cell>
          <cell r="G86">
            <v>36</v>
          </cell>
          <cell r="H86">
            <v>0</v>
          </cell>
          <cell r="I86"/>
          <cell r="J86"/>
        </row>
        <row r="87">
          <cell r="C87">
            <v>4987176325655</v>
          </cell>
          <cell r="D87"/>
          <cell r="E87" t="str">
            <v>N</v>
          </cell>
          <cell r="F87" t="str">
            <v>whisper 好自在 AirDry Fresh 草本健康量大組 10片 + 12片, 28cm + 18m, 22片, 1套</v>
          </cell>
          <cell r="G87">
            <v>36</v>
          </cell>
          <cell r="H87">
            <v>16.119999999999997</v>
          </cell>
          <cell r="I87"/>
          <cell r="J87"/>
        </row>
        <row r="88">
          <cell r="C88">
            <v>4987176369369</v>
          </cell>
          <cell r="D88"/>
          <cell r="E88" t="str">
            <v>N</v>
          </cell>
          <cell r="F88" t="str">
            <v>whisper 好自在 AirDry Fresh 草本健康普通組 20片 9包 + 12片 3包, 24cm + 18cm, 216片, 1套</v>
          </cell>
          <cell r="G88">
            <v>449</v>
          </cell>
          <cell r="H88">
            <v>16.119999999999997</v>
          </cell>
          <cell r="I88"/>
          <cell r="J88"/>
        </row>
        <row r="89">
          <cell r="C89">
            <v>4987176372093</v>
          </cell>
          <cell r="D89"/>
          <cell r="E89" t="str">
            <v>N</v>
          </cell>
          <cell r="F89" t="str">
            <v>whisper 好自在 AirDry Fresh 草本健康量大組 20片 5包 + 12片 2包, 28cm + 18cm, 124片, 1套</v>
          </cell>
          <cell r="G89">
            <v>495</v>
          </cell>
          <cell r="H89">
            <v>16.119999999999997</v>
          </cell>
          <cell r="I89"/>
          <cell r="J89"/>
        </row>
        <row r="90">
          <cell r="C90">
            <v>6903148355923</v>
          </cell>
          <cell r="D90"/>
          <cell r="E90" t="str">
            <v>N</v>
          </cell>
          <cell r="F90" t="str">
            <v>whisper 好自在 無痕早安褲, 內褲型, XL, 3片, 1包</v>
          </cell>
          <cell r="G90">
            <v>78</v>
          </cell>
          <cell r="H90">
            <v>374.4</v>
          </cell>
          <cell r="I90"/>
          <cell r="J90"/>
        </row>
        <row r="91">
          <cell r="C91">
            <v>14987176340921</v>
          </cell>
          <cell r="D91">
            <v>80863069</v>
          </cell>
          <cell r="E91" t="str">
            <v>N</v>
          </cell>
          <cell r="F91" t="str">
            <v>[箱裝]ARIEL 抗菌洗衣精補充包, 自然微香型, 1690g, 6包</v>
          </cell>
          <cell r="G91">
            <v>1158</v>
          </cell>
          <cell r="H91">
            <v>48.360000000000007</v>
          </cell>
          <cell r="I91" t="str">
            <v>Not Found</v>
          </cell>
          <cell r="J91"/>
        </row>
        <row r="92">
          <cell r="C92">
            <v>4987176340924</v>
          </cell>
          <cell r="D92">
            <v>80863069</v>
          </cell>
          <cell r="E92" t="str">
            <v>N</v>
          </cell>
          <cell r="F92" t="str">
            <v>ARIEL 抗菌洗衣精補充 自然微香型, 1690g, 1個</v>
          </cell>
          <cell r="G92">
            <v>193</v>
          </cell>
          <cell r="H92">
            <v>2177.8119999999999</v>
          </cell>
          <cell r="I92">
            <v>0</v>
          </cell>
          <cell r="J92">
            <v>142.29</v>
          </cell>
        </row>
        <row r="93">
          <cell r="C93">
            <v>4902430798631</v>
          </cell>
          <cell r="D93"/>
          <cell r="E93" t="str">
            <v>N</v>
          </cell>
          <cell r="F93" t="str">
            <v>PeRT 飛柔 柔順茉莉香氛洗髮露, 530g, 1瓶</v>
          </cell>
          <cell r="G93">
            <v>150</v>
          </cell>
          <cell r="H93">
            <v>209.55999999999997</v>
          </cell>
          <cell r="I93">
            <v>0</v>
          </cell>
          <cell r="J93"/>
        </row>
        <row r="94">
          <cell r="C94">
            <v>4987176040589</v>
          </cell>
          <cell r="D94"/>
          <cell r="E94" t="str">
            <v>N</v>
          </cell>
          <cell r="F94" t="str">
            <v>Pert 飛柔 免沖洗瞬效護髮精華滋養修護 按壓瓶 380g, 1瓶</v>
          </cell>
          <cell r="G94">
            <v>173</v>
          </cell>
          <cell r="H94">
            <v>516.90882952707227</v>
          </cell>
          <cell r="I94">
            <v>0</v>
          </cell>
          <cell r="J94"/>
        </row>
        <row r="95">
          <cell r="C95">
            <v>4987176151322</v>
          </cell>
          <cell r="D95"/>
          <cell r="E95" t="str">
            <v>N</v>
          </cell>
          <cell r="F95" t="str">
            <v>PERT 飛柔 免沖洗瞬效護髮精華, 清爽修護, 380g, 1瓶</v>
          </cell>
          <cell r="G95">
            <v>170</v>
          </cell>
          <cell r="H95">
            <v>297</v>
          </cell>
          <cell r="I95">
            <v>0</v>
          </cell>
          <cell r="J95"/>
        </row>
        <row r="96">
          <cell r="C96">
            <v>4987176149978</v>
          </cell>
          <cell r="D96"/>
          <cell r="E96" t="str">
            <v>N</v>
          </cell>
          <cell r="F96" t="str">
            <v>PERT 飛柔 精萃潤養洗髮露, 750g, 1瓶</v>
          </cell>
          <cell r="G96">
            <v>113</v>
          </cell>
          <cell r="H96">
            <v>1202.5519999999999</v>
          </cell>
          <cell r="I96">
            <v>0</v>
          </cell>
          <cell r="J96"/>
        </row>
        <row r="97">
          <cell r="C97">
            <v>4987176150004</v>
          </cell>
          <cell r="D97"/>
          <cell r="E97" t="str">
            <v>N</v>
          </cell>
          <cell r="F97" t="str">
            <v>PERT 飛柔 人參萃取修護洗髮露, 750g, 1瓶</v>
          </cell>
          <cell r="G97">
            <v>113</v>
          </cell>
          <cell r="H97">
            <v>317.56399999999996</v>
          </cell>
          <cell r="I97">
            <v>0</v>
          </cell>
          <cell r="J97"/>
        </row>
        <row r="98">
          <cell r="C98">
            <v>4987176149954</v>
          </cell>
          <cell r="D98"/>
          <cell r="E98" t="str">
            <v>N</v>
          </cell>
          <cell r="F98" t="str">
            <v>PERT 飛柔 洗髮露, 滋潤去屑, 750g, 1瓶</v>
          </cell>
          <cell r="G98">
            <v>113</v>
          </cell>
          <cell r="H98">
            <v>1503.9960000000001</v>
          </cell>
          <cell r="I98">
            <v>0</v>
          </cell>
          <cell r="J98"/>
        </row>
        <row r="99">
          <cell r="C99">
            <v>4987176149916</v>
          </cell>
          <cell r="D99"/>
          <cell r="E99" t="str">
            <v>N</v>
          </cell>
          <cell r="F99" t="str">
            <v>PERT 飛柔 洗髮露, 控油止癢, 750g, 1瓶</v>
          </cell>
          <cell r="G99">
            <v>113</v>
          </cell>
          <cell r="H99">
            <v>3369.0800000000004</v>
          </cell>
          <cell r="I99">
            <v>0</v>
          </cell>
          <cell r="J99"/>
        </row>
        <row r="100">
          <cell r="C100">
            <v>4987176150028</v>
          </cell>
          <cell r="D100"/>
          <cell r="E100" t="str">
            <v>N</v>
          </cell>
          <cell r="F100" t="str">
            <v>PERT 飛柔 潤髮乳, 滋潤去屑, 750g, 1瓶</v>
          </cell>
          <cell r="G100">
            <v>113</v>
          </cell>
          <cell r="H100">
            <v>257.91999999999996</v>
          </cell>
          <cell r="I100">
            <v>0</v>
          </cell>
          <cell r="J100"/>
        </row>
        <row r="101">
          <cell r="C101">
            <v>4987176150042</v>
          </cell>
          <cell r="D101"/>
          <cell r="E101" t="str">
            <v>N</v>
          </cell>
          <cell r="F101" t="str">
            <v>PERT 飛柔 修護潤髮乳, 人參萃取, 750g, 1瓶</v>
          </cell>
          <cell r="G101">
            <v>113</v>
          </cell>
          <cell r="H101">
            <v>225.68000000000004</v>
          </cell>
          <cell r="I101">
            <v>0</v>
          </cell>
          <cell r="J101"/>
        </row>
        <row r="102">
          <cell r="C102">
            <v>4987176150035</v>
          </cell>
          <cell r="D102"/>
          <cell r="E102" t="str">
            <v>N</v>
          </cell>
          <cell r="F102" t="str">
            <v>PERT 飛柔 精萃潤養潤髮乳 750g, 1瓶</v>
          </cell>
          <cell r="G102">
            <v>113</v>
          </cell>
          <cell r="H102">
            <v>673.81599999999992</v>
          </cell>
          <cell r="I102">
            <v>0</v>
          </cell>
          <cell r="J102"/>
        </row>
        <row r="103">
          <cell r="C103">
            <v>4987176149923</v>
          </cell>
          <cell r="D103"/>
          <cell r="E103" t="str">
            <v>N</v>
          </cell>
          <cell r="F103" t="str">
            <v>PERT 飛柔 控油止癢洗髮露, 400g, 1瓶</v>
          </cell>
          <cell r="G103">
            <v>70</v>
          </cell>
          <cell r="H103">
            <v>377.20799999999997</v>
          </cell>
          <cell r="I103">
            <v>0</v>
          </cell>
          <cell r="J103"/>
        </row>
        <row r="104">
          <cell r="C104">
            <v>4987176334008</v>
          </cell>
          <cell r="D104"/>
          <cell r="E104" t="str">
            <v>N</v>
          </cell>
          <cell r="F104" t="str">
            <v>PeRT 飛柔 蓬鬆去屑洗髮露組, 1000g, 1組</v>
          </cell>
          <cell r="G104">
            <v>170</v>
          </cell>
          <cell r="H104">
            <v>172.48400000000001</v>
          </cell>
          <cell r="I104">
            <v>0</v>
          </cell>
          <cell r="J104"/>
        </row>
        <row r="105">
          <cell r="C105">
            <v>4987176297464</v>
          </cell>
          <cell r="D105"/>
          <cell r="E105" t="str">
            <v>N</v>
          </cell>
          <cell r="F105" t="str">
            <v>PeRT 飛柔 蓬鬆去屑洗髮露, 600g, 1瓶</v>
          </cell>
          <cell r="G105">
            <v>108</v>
          </cell>
          <cell r="H105">
            <v>161.20000000000002</v>
          </cell>
          <cell r="I105">
            <v>0</v>
          </cell>
          <cell r="J105"/>
        </row>
        <row r="106">
          <cell r="C106">
            <v>4987176297600</v>
          </cell>
          <cell r="D106"/>
          <cell r="E106" t="str">
            <v>N</v>
          </cell>
          <cell r="F106" t="str">
            <v>PeRT 飛柔 蓬鬆去屑洗髮露, 400g, 1瓶</v>
          </cell>
          <cell r="G106">
            <v>82</v>
          </cell>
          <cell r="H106">
            <v>75.763999999999996</v>
          </cell>
          <cell r="I106">
            <v>0</v>
          </cell>
          <cell r="J106"/>
        </row>
        <row r="107">
          <cell r="C107">
            <v>4987176333995</v>
          </cell>
          <cell r="D107"/>
          <cell r="E107" t="str">
            <v>N</v>
          </cell>
          <cell r="F107" t="str">
            <v>PeRT 飛柔 控油去屑洗髮露組 600g + 400g, 1kg, 1組</v>
          </cell>
          <cell r="G107">
            <v>170</v>
          </cell>
          <cell r="H107">
            <v>156.364</v>
          </cell>
          <cell r="I107">
            <v>0</v>
          </cell>
          <cell r="J107"/>
        </row>
        <row r="108">
          <cell r="C108">
            <v>4987176297495</v>
          </cell>
          <cell r="D108"/>
          <cell r="E108" t="str">
            <v>N</v>
          </cell>
          <cell r="F108" t="str">
            <v>PeRT 飛柔 控油去屑洗髮露, 600g, 1瓶</v>
          </cell>
          <cell r="G108">
            <v>108</v>
          </cell>
          <cell r="H108">
            <v>602.88800000000003</v>
          </cell>
          <cell r="I108">
            <v>0</v>
          </cell>
          <cell r="J108"/>
        </row>
        <row r="109">
          <cell r="C109">
            <v>4987176297648</v>
          </cell>
          <cell r="D109"/>
          <cell r="E109" t="str">
            <v>N</v>
          </cell>
          <cell r="F109" t="str">
            <v>PeRT 飛柔 控油去屑洗髮露, 400g, 1瓶</v>
          </cell>
          <cell r="G109">
            <v>82</v>
          </cell>
          <cell r="H109">
            <v>19.344000000000001</v>
          </cell>
          <cell r="I109">
            <v>0</v>
          </cell>
          <cell r="J109"/>
        </row>
        <row r="110">
          <cell r="C110">
            <v>4902430732949</v>
          </cell>
          <cell r="D110"/>
          <cell r="E110" t="str">
            <v>N</v>
          </cell>
          <cell r="F110" t="str">
            <v>PANTENE 潘婷 3 MINUTE MIRACLE燙染護髮精華, 180ml, 1條</v>
          </cell>
          <cell r="G110">
            <v>137</v>
          </cell>
          <cell r="H110">
            <v>831.79199999999992</v>
          </cell>
          <cell r="I110">
            <v>0</v>
          </cell>
          <cell r="J110"/>
        </row>
        <row r="111">
          <cell r="C111">
            <v>4902430825801</v>
          </cell>
          <cell r="D111"/>
          <cell r="E111" t="str">
            <v>N</v>
          </cell>
          <cell r="F111" t="str">
            <v>PANTENE 潘婷 miracles奇蹟系列 煥活根源洗髮露, 500ml, 1瓶</v>
          </cell>
          <cell r="G111">
            <v>234</v>
          </cell>
          <cell r="H111">
            <v>164.9499026571078</v>
          </cell>
          <cell r="I111">
            <v>0</v>
          </cell>
          <cell r="J111"/>
        </row>
        <row r="112">
          <cell r="C112">
            <v>4902430716505</v>
          </cell>
          <cell r="D112"/>
          <cell r="E112" t="str">
            <v>N</v>
          </cell>
          <cell r="F112" t="str">
            <v>PANTENE 潘婷 3分鐘奇蹟護髮精華, 多效損傷修護, 180ml, 1條</v>
          </cell>
          <cell r="G112">
            <v>133</v>
          </cell>
          <cell r="H112">
            <v>3546.3999999999996</v>
          </cell>
          <cell r="I112">
            <v>0</v>
          </cell>
          <cell r="J112"/>
        </row>
        <row r="113">
          <cell r="C113">
            <v>4902430720038</v>
          </cell>
          <cell r="D113"/>
          <cell r="E113" t="str">
            <v>N</v>
          </cell>
          <cell r="F113" t="str">
            <v>PANTENE 潘婷 3 MINUTE MIRACLE乳液護髮精華, 180ml, 1條</v>
          </cell>
          <cell r="G113">
            <v>140</v>
          </cell>
          <cell r="H113">
            <v>926.90000000000009</v>
          </cell>
          <cell r="I113">
            <v>0</v>
          </cell>
          <cell r="J113"/>
        </row>
        <row r="114">
          <cell r="C114">
            <v>4902430558174</v>
          </cell>
          <cell r="D114"/>
          <cell r="E114" t="str">
            <v>N</v>
          </cell>
          <cell r="F114" t="str">
            <v>PANTENE 潘婷 強韌頭髮減少斷裂潤髮精華素, 700g, 1瓶</v>
          </cell>
          <cell r="G114">
            <v>158</v>
          </cell>
          <cell r="H114">
            <v>0</v>
          </cell>
          <cell r="I114">
            <v>0</v>
          </cell>
          <cell r="J114"/>
        </row>
        <row r="115">
          <cell r="C115">
            <v>4902430558143</v>
          </cell>
          <cell r="D115"/>
          <cell r="E115" t="str">
            <v>N</v>
          </cell>
          <cell r="F115" t="str">
            <v>PANTENE 潘婷 乳液修護潤髮精華素, 700g, 1瓶</v>
          </cell>
          <cell r="G115">
            <v>158</v>
          </cell>
          <cell r="H115">
            <v>0</v>
          </cell>
          <cell r="I115">
            <v>0</v>
          </cell>
          <cell r="J115"/>
        </row>
        <row r="116">
          <cell r="C116">
            <v>4902430825856</v>
          </cell>
          <cell r="D116"/>
          <cell r="E116" t="str">
            <v>N</v>
          </cell>
          <cell r="F116" t="str">
            <v>PANTENE 潘婷 miracles奇蹟系列 煥活根源護髮素, 500g, 1瓶</v>
          </cell>
          <cell r="G116">
            <v>234</v>
          </cell>
          <cell r="H116">
            <v>934.95999999999981</v>
          </cell>
          <cell r="I116">
            <v>0</v>
          </cell>
          <cell r="J116"/>
        </row>
        <row r="117">
          <cell r="C117">
            <v>4902430558075</v>
          </cell>
          <cell r="D117"/>
          <cell r="E117" t="str">
            <v>N</v>
          </cell>
          <cell r="F117" t="str">
            <v>PANTENE 潘婷 乳液修護去屑洗髮乳, 700g, 1瓶</v>
          </cell>
          <cell r="G117">
            <v>158</v>
          </cell>
          <cell r="H117">
            <v>322.40000000000003</v>
          </cell>
          <cell r="I117">
            <v>0</v>
          </cell>
          <cell r="J117"/>
        </row>
        <row r="118">
          <cell r="C118">
            <v>4902430694995</v>
          </cell>
          <cell r="D118"/>
          <cell r="E118" t="str">
            <v>N</v>
          </cell>
          <cell r="F118" t="str">
            <v>PANTENE 潘婷 台灣公司貨 3分鐘奇蹟多效護髮精華, 70ml, 1條</v>
          </cell>
          <cell r="G118">
            <v>48</v>
          </cell>
          <cell r="H118">
            <v>639.96399999999994</v>
          </cell>
          <cell r="I118">
            <v>0</v>
          </cell>
          <cell r="J118"/>
        </row>
        <row r="119">
          <cell r="C119">
            <v>4902430732932</v>
          </cell>
          <cell r="D119"/>
          <cell r="E119" t="str">
            <v>N</v>
          </cell>
          <cell r="F119" t="str">
            <v>PANTENE 潘婷 台灣公司貨 3 MINUTE MIRACLE水潤護髮精華180ml</v>
          </cell>
          <cell r="G119">
            <v>134</v>
          </cell>
          <cell r="H119">
            <v>664.14399999999989</v>
          </cell>
          <cell r="I119">
            <v>0</v>
          </cell>
          <cell r="J119"/>
        </row>
        <row r="120">
          <cell r="C120">
            <v>4902430900614</v>
          </cell>
          <cell r="D120"/>
          <cell r="E120" t="str">
            <v>N</v>
          </cell>
          <cell r="F120" t="str">
            <v>PANTENE 潘婷 miracles 奇蹟系列柔亮護色護髮精華素, 500g, 1瓶</v>
          </cell>
          <cell r="G120">
            <v>234</v>
          </cell>
          <cell r="H120">
            <v>297</v>
          </cell>
          <cell r="I120">
            <v>0</v>
          </cell>
          <cell r="J120"/>
        </row>
        <row r="121">
          <cell r="C121">
            <v>4902430768566</v>
          </cell>
          <cell r="D121"/>
          <cell r="E121" t="str">
            <v>N</v>
          </cell>
          <cell r="F121" t="str">
            <v>PANTENE 潘婷 水潤滋養洗髮乳, 700g, 1瓶</v>
          </cell>
          <cell r="G121">
            <v>158</v>
          </cell>
          <cell r="H121">
            <v>264.36799999999999</v>
          </cell>
          <cell r="I121">
            <v>0</v>
          </cell>
          <cell r="J121"/>
        </row>
        <row r="122">
          <cell r="C122">
            <v>4902430900591</v>
          </cell>
          <cell r="D122"/>
          <cell r="E122" t="str">
            <v>N</v>
          </cell>
          <cell r="F122" t="str">
            <v>PANTENE 潘婷 miracles奇蹟系列 柔亮護色洗髮露, 500ml, 1瓶</v>
          </cell>
          <cell r="G122">
            <v>234</v>
          </cell>
          <cell r="H122">
            <v>1025.2319999999997</v>
          </cell>
          <cell r="I122">
            <v>0</v>
          </cell>
          <cell r="J122"/>
        </row>
        <row r="123">
          <cell r="C123">
            <v>4987176154026</v>
          </cell>
          <cell r="D123"/>
          <cell r="E123" t="str">
            <v>N</v>
          </cell>
          <cell r="F123" t="str">
            <v>PANTENE 潘婷 台灣公司貨 全新升級 爆水精華系列 爆水膠囊髮膜 Pro-V高濃保濕髮膜, 密集修護, 12ml, 8個, 1盒</v>
          </cell>
          <cell r="G123">
            <v>207</v>
          </cell>
          <cell r="H123">
            <v>4108.9880000000003</v>
          </cell>
          <cell r="I123">
            <v>0</v>
          </cell>
          <cell r="J123"/>
        </row>
        <row r="124">
          <cell r="C124">
            <v>4987176153999</v>
          </cell>
          <cell r="D124"/>
          <cell r="E124" t="str">
            <v>N</v>
          </cell>
          <cell r="F124" t="str">
            <v>PANTENE 潘婷 台灣公司貨 PRO-V水潤洗髮露 強韌防斷型 強韌爆水修護, 530ml, 1瓶</v>
          </cell>
          <cell r="G124">
            <v>233</v>
          </cell>
          <cell r="H124">
            <v>480.37599999999998</v>
          </cell>
          <cell r="I124">
            <v>0</v>
          </cell>
          <cell r="J124"/>
        </row>
        <row r="125">
          <cell r="C125">
            <v>4987176153975</v>
          </cell>
          <cell r="D125"/>
          <cell r="E125" t="str">
            <v>N</v>
          </cell>
          <cell r="F125" t="str">
            <v>PANTENE 潘婷 原廠公司貨 PRO-V水潤洗髮露 水潤修護型 玻尿酸精華 蓬鬆水養, 530g, 1瓶</v>
          </cell>
          <cell r="G125">
            <v>233</v>
          </cell>
          <cell r="H125">
            <v>681.87599999999998</v>
          </cell>
          <cell r="I125">
            <v>0</v>
          </cell>
          <cell r="J125"/>
        </row>
        <row r="126">
          <cell r="C126">
            <v>4987176154019</v>
          </cell>
          <cell r="D126"/>
          <cell r="E126" t="str">
            <v>N</v>
          </cell>
          <cell r="F126" t="str">
            <v>PANTENE 潘婷 原廠公司貨 全新升級 爆水精華系列 爆水膠囊髮膜 Pro-V高濃保濕髮膜, 水潤修護, 12ml, 8個, 1個</v>
          </cell>
          <cell r="G126">
            <v>207</v>
          </cell>
          <cell r="H126">
            <v>1537.8480000000002</v>
          </cell>
          <cell r="I126">
            <v>0</v>
          </cell>
          <cell r="J126"/>
        </row>
        <row r="127">
          <cell r="C127">
            <v>4987176153982</v>
          </cell>
          <cell r="D127"/>
          <cell r="E127" t="str">
            <v>N</v>
          </cell>
          <cell r="F127" t="str">
            <v>PANTENE 潘婷 原廠公司貨 PRO-V水潤洗髮露 密集修護型, 530g, 1瓶</v>
          </cell>
          <cell r="G127">
            <v>233</v>
          </cell>
          <cell r="H127">
            <v>557.75199999999995</v>
          </cell>
          <cell r="I127">
            <v>0</v>
          </cell>
          <cell r="J127"/>
        </row>
        <row r="128">
          <cell r="C128">
            <v>4987176154040</v>
          </cell>
          <cell r="D128"/>
          <cell r="E128" t="str">
            <v>N</v>
          </cell>
          <cell r="F128" t="str">
            <v>PANTENE 潘婷 原廠公司貨 爆水精華系列 爆水膠囊髮膜 Pro-V高濃保濕髮膜, 強韌防斷, 12ml, 8個</v>
          </cell>
          <cell r="G128">
            <v>207</v>
          </cell>
          <cell r="H128">
            <v>3773.692</v>
          </cell>
          <cell r="I128">
            <v>0</v>
          </cell>
          <cell r="J128"/>
        </row>
        <row r="129">
          <cell r="C129">
            <v>4987176106346</v>
          </cell>
          <cell r="D129"/>
          <cell r="E129" t="str">
            <v>N</v>
          </cell>
          <cell r="F129" t="str">
            <v>PANTENE 潘婷 黑亮修護洗髮乳, 700g, 1瓶</v>
          </cell>
          <cell r="G129">
            <v>158</v>
          </cell>
          <cell r="H129">
            <v>330.46</v>
          </cell>
          <cell r="I129">
            <v>0</v>
          </cell>
          <cell r="J129"/>
        </row>
        <row r="130">
          <cell r="C130">
            <v>4902430558129</v>
          </cell>
          <cell r="D130"/>
          <cell r="E130" t="str">
            <v>N</v>
          </cell>
          <cell r="F130" t="str">
            <v>PANTENE 潘婷 垂順直髮洗髮乳, 700g, 1瓶</v>
          </cell>
          <cell r="G130">
            <v>158</v>
          </cell>
          <cell r="H130">
            <v>0</v>
          </cell>
          <cell r="I130">
            <v>0</v>
          </cell>
          <cell r="J130"/>
        </row>
        <row r="131">
          <cell r="C131">
            <v>4987176106353</v>
          </cell>
          <cell r="D131"/>
          <cell r="E131" t="str">
            <v>N</v>
          </cell>
          <cell r="F131" t="str">
            <v>PANTENE 潘婷 黑亮修護潤髮精華素 700g, 1瓶</v>
          </cell>
          <cell r="G131">
            <v>158</v>
          </cell>
          <cell r="H131">
            <v>0</v>
          </cell>
          <cell r="I131">
            <v>0</v>
          </cell>
          <cell r="J131"/>
        </row>
        <row r="132">
          <cell r="C132">
            <v>4987176275851</v>
          </cell>
          <cell r="D132"/>
          <cell r="E132" t="str">
            <v>N</v>
          </cell>
          <cell r="F132" t="str">
            <v>PANTENE 潘婷 台灣公司貨 爆水精華系列 爆水膠囊髮膜 Pro-V 高濃保濕髮膜 密集修護型, 36ml, 1盒</v>
          </cell>
          <cell r="G132">
            <v>98</v>
          </cell>
          <cell r="H132">
            <v>480.37599999999998</v>
          </cell>
          <cell r="I132">
            <v>0</v>
          </cell>
          <cell r="J132"/>
        </row>
        <row r="133">
          <cell r="C133">
            <v>4987176281616</v>
          </cell>
          <cell r="D133"/>
          <cell r="E133" t="str">
            <v>N</v>
          </cell>
          <cell r="F133" t="str">
            <v>PANTENE 潘婷 台灣公司貨 Abundance防斷護髮精華素, 200ml, 1條</v>
          </cell>
          <cell r="G133">
            <v>272</v>
          </cell>
          <cell r="H133">
            <v>143.46799999999999</v>
          </cell>
          <cell r="I133">
            <v>0</v>
          </cell>
          <cell r="J133"/>
        </row>
        <row r="134">
          <cell r="C134">
            <v>4987176281593</v>
          </cell>
          <cell r="D134"/>
          <cell r="E134" t="str">
            <v>N</v>
          </cell>
          <cell r="F134" t="str">
            <v>PANTENE 潘婷 台灣公司貨 Abundance豐盈洗髮露, 290g, 1瓶</v>
          </cell>
          <cell r="G134">
            <v>272</v>
          </cell>
          <cell r="H134">
            <v>106.39200000000001</v>
          </cell>
          <cell r="I134">
            <v>0</v>
          </cell>
          <cell r="J134"/>
        </row>
        <row r="135">
          <cell r="C135">
            <v>14987176232868</v>
          </cell>
          <cell r="D135"/>
          <cell r="E135" t="str">
            <v>N</v>
          </cell>
          <cell r="F135" t="str">
            <v>[箱裝]Pampers 幫寶適 原廠公司貨 CP值之選清新幫紙尿褲/尿布, 黏貼型, L, 9-14kg, 184片</v>
          </cell>
          <cell r="G135">
            <v>1231</v>
          </cell>
          <cell r="H135">
            <v>318.85714285714289</v>
          </cell>
          <cell r="I135">
            <v>0</v>
          </cell>
          <cell r="J135"/>
        </row>
        <row r="136">
          <cell r="C136">
            <v>14987176232851</v>
          </cell>
          <cell r="D136"/>
          <cell r="E136" t="str">
            <v>N</v>
          </cell>
          <cell r="F136" t="str">
            <v>[箱裝]Pampers 幫寶適 原廠公司貨 CP值之選清新幫紙尿褲/尿布, 黏貼型, XL, 12~17kg, 152片, 1箱</v>
          </cell>
          <cell r="G136">
            <v>1231</v>
          </cell>
          <cell r="H136">
            <v>715.30449607577236</v>
          </cell>
          <cell r="I136">
            <v>59</v>
          </cell>
          <cell r="J136"/>
        </row>
        <row r="137">
          <cell r="C137">
            <v>14987176232875</v>
          </cell>
          <cell r="D137"/>
          <cell r="E137" t="str">
            <v>N</v>
          </cell>
          <cell r="F137" t="str">
            <v>[箱裝]Pampers 幫寶適 原廠公司貨 CP值之選清新幫拉拉褲/尿布, XXL, 15kg以上, 104片</v>
          </cell>
          <cell r="G137">
            <v>1175</v>
          </cell>
          <cell r="H137">
            <v>1707.2172072451117</v>
          </cell>
          <cell r="I137">
            <v>962</v>
          </cell>
          <cell r="J137"/>
        </row>
        <row r="138">
          <cell r="C138">
            <v>14987176232882</v>
          </cell>
          <cell r="D138"/>
          <cell r="E138" t="str">
            <v>N</v>
          </cell>
          <cell r="F138" t="str">
            <v>[箱裝]Pampers 幫寶適 原廠公司貨 CP值之選清新幫拉拉褲/尿布, L, 9-14kg, 168片</v>
          </cell>
          <cell r="G138">
            <v>1175</v>
          </cell>
          <cell r="H138">
            <v>1091.2458965843559</v>
          </cell>
          <cell r="I138">
            <v>0</v>
          </cell>
          <cell r="J138"/>
        </row>
        <row r="139">
          <cell r="C139">
            <v>14987176232844</v>
          </cell>
          <cell r="D139"/>
          <cell r="E139" t="str">
            <v>N</v>
          </cell>
          <cell r="F139" t="str">
            <v>[箱裝]Pampers 幫寶適 原廠公司貨 CP值之選清新幫拉拉褲/尿布, XXXL, 17kg以上, 88片</v>
          </cell>
          <cell r="G139">
            <v>1175</v>
          </cell>
          <cell r="H139">
            <v>620.57634584088476</v>
          </cell>
          <cell r="I139">
            <v>0</v>
          </cell>
          <cell r="J139"/>
        </row>
        <row r="140">
          <cell r="C140">
            <v>14987176232899</v>
          </cell>
          <cell r="D140"/>
          <cell r="E140" t="str">
            <v>N</v>
          </cell>
          <cell r="F140" t="str">
            <v>[箱裝]Pampers 幫寶適 原廠公司貨 CP值之選清新幫拉拉褲/尿布, XL, 12-17kg, 152片</v>
          </cell>
          <cell r="G140">
            <v>1175</v>
          </cell>
          <cell r="H140">
            <v>3295.1373684341625</v>
          </cell>
          <cell r="I140">
            <v>1534</v>
          </cell>
          <cell r="J140"/>
        </row>
        <row r="141">
          <cell r="C141">
            <v>16903148358105</v>
          </cell>
          <cell r="D141"/>
          <cell r="E141" t="str">
            <v>Y</v>
          </cell>
          <cell r="F141" t="str">
            <v>[箱裝]Pampers 幫寶適 原廠公司貨 史上最強一級幫黏貼型護膚尿布/紙尿褲, S, 4~8kg, 224片_夏日遠離紅屁屁 (極上守護)</v>
          </cell>
          <cell r="G141">
            <v>1318</v>
          </cell>
          <cell r="H141">
            <v>0</v>
          </cell>
          <cell r="I141">
            <v>0</v>
          </cell>
          <cell r="J141"/>
        </row>
        <row r="142">
          <cell r="C142">
            <v>16903148358068</v>
          </cell>
          <cell r="D142"/>
          <cell r="E142" t="str">
            <v>N</v>
          </cell>
          <cell r="F142" t="str">
            <v>[箱裝]Pampers 幫寶適 原廠公司貨 史上最強一級幫黏貼型護膚尿布/紙尿褲, M, 6~11kg, 156片_夏日遠離紅屁屁 (極上守護)</v>
          </cell>
          <cell r="G142">
            <v>1097</v>
          </cell>
          <cell r="H142">
            <v>290.16000000000003</v>
          </cell>
          <cell r="I142">
            <v>0</v>
          </cell>
          <cell r="J142"/>
        </row>
        <row r="143">
          <cell r="C143">
            <v>16903148358006</v>
          </cell>
          <cell r="D143"/>
          <cell r="E143" t="str">
            <v>N</v>
          </cell>
          <cell r="F143" t="str">
            <v>[箱裝]Pampers 幫寶適 原廠公司貨 史上最強一級幫黏貼型護膚尿布/紙尿褲, NB, 5kg以下, 256片_夏日遠離紅屁屁 (極上守護)</v>
          </cell>
          <cell r="G143">
            <v>1318</v>
          </cell>
          <cell r="H143">
            <v>217.61999999999998</v>
          </cell>
          <cell r="I143">
            <v>0</v>
          </cell>
          <cell r="J143"/>
        </row>
        <row r="144">
          <cell r="C144">
            <v>14987176287011</v>
          </cell>
          <cell r="D144"/>
          <cell r="E144" t="str">
            <v>Y</v>
          </cell>
          <cell r="F144" t="str">
            <v>Pampers 幫寶適 原廠公司貨 史上最強一級幫紙尿褲/尿布禮盒/彌月禮盒組(黏貼型尿布-S 56片+M 108片+拉拉褲M 4片), 168片, 1盒_(極上守護)</v>
          </cell>
          <cell r="G144">
            <v>1111</v>
          </cell>
          <cell r="H144">
            <v>486.82399999999996</v>
          </cell>
          <cell r="I144">
            <v>0</v>
          </cell>
          <cell r="J144"/>
        </row>
        <row r="145">
          <cell r="C145">
            <v>14987176287004</v>
          </cell>
          <cell r="D145"/>
          <cell r="E145" t="str">
            <v>N</v>
          </cell>
          <cell r="F145" t="str">
            <v>[箱裝]Pampers 幫寶適 原廠公司貨 史上最強一級幫紙尿褲/尿布禮盒/彌月禮盒組(黏貼型尿布-NB 32片+S112片), 144片, 1盒_(極上守護)</v>
          </cell>
          <cell r="G145">
            <v>806</v>
          </cell>
          <cell r="H145">
            <v>754.28888671628465</v>
          </cell>
          <cell r="I145">
            <v>0</v>
          </cell>
          <cell r="J145"/>
        </row>
        <row r="146">
          <cell r="C146">
            <v>6903148358221</v>
          </cell>
          <cell r="D146"/>
          <cell r="E146" t="str">
            <v>Y</v>
          </cell>
          <cell r="F146" t="str">
            <v>[箱裝]Pampers 幫寶適 原廠公司貨 史上最強一級幫散熱拉拉褲/尿布/褲型, M, 6~11kg, 152片_(極上守護)</v>
          </cell>
          <cell r="G146">
            <v>1056</v>
          </cell>
          <cell r="H146">
            <v>0</v>
          </cell>
          <cell r="I146">
            <v>0</v>
          </cell>
          <cell r="J146"/>
        </row>
        <row r="147">
          <cell r="C147">
            <v>6903148358153</v>
          </cell>
          <cell r="D147"/>
          <cell r="E147" t="str">
            <v>Y</v>
          </cell>
          <cell r="F147" t="str">
            <v>[箱裝]Pampers 幫寶適 原廠公司貨 史上最強一級幫散熱拉拉褲/尿布/褲型, L+, 10~15kg, 102片_(極上守護)</v>
          </cell>
          <cell r="G147">
            <v>1056</v>
          </cell>
          <cell r="H147">
            <v>0</v>
          </cell>
          <cell r="I147">
            <v>0</v>
          </cell>
          <cell r="J147"/>
        </row>
        <row r="148">
          <cell r="C148">
            <v>14987176337075</v>
          </cell>
          <cell r="D148"/>
          <cell r="E148" t="str">
            <v>N</v>
          </cell>
          <cell r="F148" t="str">
            <v>[箱裝]Pampers 幫寶適 原廠公司貨 清新幫褲型尿布, M, 6~11kg, 200片</v>
          </cell>
          <cell r="G148">
            <v>1175</v>
          </cell>
          <cell r="H148">
            <v>173.19696530964774</v>
          </cell>
          <cell r="I148">
            <v>127</v>
          </cell>
          <cell r="J148"/>
        </row>
        <row r="149">
          <cell r="C149">
            <v>14987176337099</v>
          </cell>
          <cell r="D149"/>
          <cell r="E149" t="str">
            <v>N</v>
          </cell>
          <cell r="F149" t="str">
            <v>[箱裝]Pampers 幫寶適 原廠公司貨 清新幫黏貼型尿布, S, 4~8kg, 264片</v>
          </cell>
          <cell r="G149">
            <v>1231</v>
          </cell>
          <cell r="H149">
            <v>251.21102973156039</v>
          </cell>
          <cell r="I149">
            <v>160</v>
          </cell>
          <cell r="J149"/>
        </row>
        <row r="150">
          <cell r="C150">
            <v>14987176337082</v>
          </cell>
          <cell r="D150"/>
          <cell r="E150" t="str">
            <v>N</v>
          </cell>
          <cell r="F150" t="str">
            <v>[箱裝]Pampers 幫寶適 原廠公司貨 清新幫黏貼型尿布, M, 6~11kg, 216片</v>
          </cell>
          <cell r="G150">
            <v>1231</v>
          </cell>
          <cell r="H150">
            <v>214.74847836638065</v>
          </cell>
          <cell r="I150">
            <v>114</v>
          </cell>
          <cell r="J150"/>
        </row>
        <row r="151">
          <cell r="C151">
            <v>4987176337092</v>
          </cell>
          <cell r="D151"/>
          <cell r="E151" t="str">
            <v>N</v>
          </cell>
          <cell r="F151" t="str">
            <v>Pampers 幫寶適 原廠公司貨 清新幫黏貼型紙尿褲/尿布, S, 4~8kg, 66片</v>
          </cell>
          <cell r="G151">
            <v>307.8</v>
          </cell>
          <cell r="H151">
            <v>347.55866087736177</v>
          </cell>
          <cell r="I151">
            <v>160</v>
          </cell>
          <cell r="J151"/>
        </row>
        <row r="152">
          <cell r="C152">
            <v>4987176337085</v>
          </cell>
          <cell r="D152"/>
          <cell r="E152" t="str">
            <v>N</v>
          </cell>
          <cell r="F152" t="str">
            <v>Pampers 幫寶適 原廠公司貨 清新幫黏貼型紙尿褲/尿布, M, 6~11kg, 54片</v>
          </cell>
          <cell r="G152">
            <v>339</v>
          </cell>
          <cell r="H152">
            <v>258.58466606303466</v>
          </cell>
          <cell r="I152">
            <v>114</v>
          </cell>
          <cell r="J152"/>
        </row>
        <row r="153">
          <cell r="C153">
            <v>4987176337078</v>
          </cell>
          <cell r="D153"/>
          <cell r="E153" t="str">
            <v>N</v>
          </cell>
          <cell r="F153" t="str">
            <v>Pampers 幫寶適 原廠公司貨 清新幫拉拉褲/褲型尿布, M, 6~11kg, 50片</v>
          </cell>
          <cell r="G153">
            <v>323</v>
          </cell>
          <cell r="H153">
            <v>260.64811236651548</v>
          </cell>
          <cell r="I153">
            <v>127</v>
          </cell>
          <cell r="J153"/>
        </row>
        <row r="154">
          <cell r="C154">
            <v>4987176232861</v>
          </cell>
          <cell r="D154"/>
          <cell r="E154" t="str">
            <v>N</v>
          </cell>
          <cell r="F154" t="str">
            <v>Pampers 幫寶適 原廠公司貨 清新幫黏貼型紙尿褲/尿布, L, 9~14kg, 46片</v>
          </cell>
          <cell r="G154">
            <v>339</v>
          </cell>
          <cell r="H154">
            <v>380.16314479880344</v>
          </cell>
          <cell r="I154">
            <v>34</v>
          </cell>
          <cell r="J154"/>
        </row>
        <row r="155">
          <cell r="C155">
            <v>4987176232885</v>
          </cell>
          <cell r="D155"/>
          <cell r="E155" t="str">
            <v>N</v>
          </cell>
          <cell r="F155" t="str">
            <v>Pampers 幫寶適 原廠公司貨 清新幫拉拉褲/褲型尿布, L, 9~14kg, 42片</v>
          </cell>
          <cell r="G155">
            <v>323</v>
          </cell>
          <cell r="H155">
            <v>694.22323461295105</v>
          </cell>
          <cell r="I155">
            <v>0</v>
          </cell>
          <cell r="J155"/>
        </row>
        <row r="156">
          <cell r="C156">
            <v>4987176232854</v>
          </cell>
          <cell r="D156"/>
          <cell r="E156" t="str">
            <v>N</v>
          </cell>
          <cell r="F156" t="str">
            <v>Pampers 幫寶適 原廠公司貨 清新幫黏貼型紙尿褲/尿布, XL, 12~17kg, 38片</v>
          </cell>
          <cell r="G156">
            <v>339</v>
          </cell>
          <cell r="H156">
            <v>302.73720692471625</v>
          </cell>
          <cell r="I156">
            <v>42</v>
          </cell>
          <cell r="J156"/>
        </row>
        <row r="157">
          <cell r="C157">
            <v>4987176232892</v>
          </cell>
          <cell r="D157"/>
          <cell r="E157" t="str">
            <v>N</v>
          </cell>
          <cell r="F157" t="str">
            <v>Pampers 幫寶適 原廠公司貨 清新幫拉拉褲/褲型尿布, XL, 12~17kg, 38片</v>
          </cell>
          <cell r="G157">
            <v>323</v>
          </cell>
          <cell r="H157">
            <v>1513.5406102455672</v>
          </cell>
          <cell r="I157">
            <v>0</v>
          </cell>
          <cell r="J157"/>
        </row>
        <row r="158">
          <cell r="C158">
            <v>4987176232878</v>
          </cell>
          <cell r="D158"/>
          <cell r="E158" t="str">
            <v>N</v>
          </cell>
          <cell r="F158" t="str">
            <v>Pampers 幫寶適 原廠公司貨 清新幫拉拉褲/褲型尿布, XXL, 15kg, 26片</v>
          </cell>
          <cell r="G158">
            <v>323</v>
          </cell>
          <cell r="H158">
            <v>128.90799999999996</v>
          </cell>
          <cell r="I158">
            <v>53</v>
          </cell>
          <cell r="J158"/>
        </row>
        <row r="159">
          <cell r="C159">
            <v>4987176232847</v>
          </cell>
          <cell r="D159"/>
          <cell r="E159" t="str">
            <v>N</v>
          </cell>
          <cell r="F159" t="str">
            <v>Pampers 幫寶適 原廠公司貨 清新幫拉拉褲/褲型尿布, XXXL, 17kg, 22片</v>
          </cell>
          <cell r="G159">
            <v>294</v>
          </cell>
          <cell r="H159">
            <v>37.616</v>
          </cell>
          <cell r="I159">
            <v>0</v>
          </cell>
          <cell r="J159"/>
        </row>
        <row r="160">
          <cell r="C160">
            <v>6903148358023</v>
          </cell>
          <cell r="D160"/>
          <cell r="E160" t="str">
            <v>N</v>
          </cell>
          <cell r="F160" t="str">
            <v>[箱裝]Pampers 幫寶適 極上守護 一級幫 紙尿褲/尿布 12~17kg, 特大碼 (XL), 99片</v>
          </cell>
          <cell r="G160">
            <v>1079</v>
          </cell>
          <cell r="H160">
            <v>2917.4269090909092</v>
          </cell>
          <cell r="I160" t="str">
            <v>Not Found</v>
          </cell>
          <cell r="J160"/>
        </row>
        <row r="161">
          <cell r="C161">
            <v>6903148358085</v>
          </cell>
          <cell r="D161"/>
          <cell r="E161" t="str">
            <v>N</v>
          </cell>
          <cell r="F161" t="str">
            <v>[箱裝]Pampers 幫寶適 極上守護 一級幫 紙尿褲/尿布 6~11kg, 中碼 (M), 152片</v>
          </cell>
          <cell r="G161">
            <v>1079</v>
          </cell>
          <cell r="H161">
            <v>2963.068105263158</v>
          </cell>
          <cell r="I161" t="str">
            <v>Not Found</v>
          </cell>
          <cell r="J161"/>
        </row>
        <row r="162">
          <cell r="C162">
            <v>6903148358306</v>
          </cell>
          <cell r="D162"/>
          <cell r="E162" t="str">
            <v>N</v>
          </cell>
          <cell r="F162" t="str">
            <v>[箱裝]Pampers 幫寶適 極上守護 一級幫 褲型拉拉褲 12~17kg, 特大碼 (XL), 90片</v>
          </cell>
          <cell r="G162">
            <v>1056</v>
          </cell>
          <cell r="H162">
            <v>5402.7792000000009</v>
          </cell>
          <cell r="I162" t="str">
            <v>Not Found</v>
          </cell>
          <cell r="J162"/>
        </row>
        <row r="163">
          <cell r="C163">
            <v>6903148358078</v>
          </cell>
          <cell r="D163"/>
          <cell r="E163" t="str">
            <v>N</v>
          </cell>
          <cell r="F163" t="str">
            <v>[箱裝]Pampers 幫寶適 極上守護 一級幫 紙尿褲/尿布 9~14kg, 大碼 (L), 124片</v>
          </cell>
          <cell r="G163">
            <v>1079</v>
          </cell>
          <cell r="H163">
            <v>2833.1160000000004</v>
          </cell>
          <cell r="I163" t="str">
            <v>Not Found</v>
          </cell>
          <cell r="J163"/>
        </row>
        <row r="164">
          <cell r="C164">
            <v>6903148358276</v>
          </cell>
          <cell r="D164"/>
          <cell r="E164" t="str">
            <v>N</v>
          </cell>
          <cell r="F164" t="str">
            <v>[箱裝]Pampers 幫寶適 極上守護 一級幫 褲型拉拉褲 9~14kg, 大碼 (L), 117片</v>
          </cell>
          <cell r="G164">
            <v>1056</v>
          </cell>
          <cell r="H164">
            <v>3095.3706666666667</v>
          </cell>
          <cell r="I164" t="str">
            <v>Not Found</v>
          </cell>
          <cell r="J164"/>
        </row>
        <row r="165">
          <cell r="C165">
            <v>6903148358290</v>
          </cell>
          <cell r="D165"/>
          <cell r="E165" t="str">
            <v>N</v>
          </cell>
          <cell r="F165" t="str">
            <v>[箱裝]Pampers 幫寶適 極上守護 一級幫 褲型拉拉褲 15kg以上, 超大碼 (2XL), 70片</v>
          </cell>
          <cell r="G165">
            <v>1056</v>
          </cell>
          <cell r="H165">
            <v>2827.9085714285716</v>
          </cell>
          <cell r="I165" t="str">
            <v>Not Found</v>
          </cell>
          <cell r="J165"/>
        </row>
        <row r="166">
          <cell r="C166">
            <v>4987176386694</v>
          </cell>
          <cell r="D166"/>
          <cell r="E166" t="str">
            <v>N</v>
          </cell>
          <cell r="F166" t="str">
            <v>[箱裝]Pampers 幫寶適 原廠公司貨 史上最強一級幫散熱拉拉褲/尿布/褲型, L+, 10~15kg, 102片_夏日遠離紅屁屁 (極上守護)</v>
          </cell>
          <cell r="G166">
            <v>1232</v>
          </cell>
          <cell r="H166">
            <v>4012.268</v>
          </cell>
          <cell r="I166" t="str">
            <v>Not Found</v>
          </cell>
          <cell r="J166"/>
        </row>
        <row r="167">
          <cell r="C167">
            <v>4987176386724</v>
          </cell>
          <cell r="D167"/>
          <cell r="E167" t="str">
            <v>N</v>
          </cell>
          <cell r="F167" t="str">
            <v>[箱裝]Pampers 幫寶適 原廠公司貨 史上最強一級幫散熱拉拉褲/尿布/褲型, M, 6~11kg, 150片_夏日遠離紅屁屁 (極上守護)</v>
          </cell>
          <cell r="G167">
            <v>1232</v>
          </cell>
          <cell r="H167">
            <v>2073.0320000000002</v>
          </cell>
          <cell r="I167" t="str">
            <v>Not Found</v>
          </cell>
          <cell r="J167"/>
        </row>
        <row r="168">
          <cell r="C168">
            <v>4987176386793</v>
          </cell>
          <cell r="D168"/>
          <cell r="E168" t="str">
            <v>N</v>
          </cell>
          <cell r="F168" t="str">
            <v>[箱裝]Pampers 幫寶適 原廠公司貨 史上最強一級幫散熱拉拉褲/尿布/褲型, XXXL, 17kg以上, 78片_夏日遠離紅屁屁 (極上守護)</v>
          </cell>
          <cell r="G168">
            <v>1232</v>
          </cell>
          <cell r="H168">
            <v>468</v>
          </cell>
          <cell r="I168" t="str">
            <v>Not Found</v>
          </cell>
          <cell r="J168"/>
        </row>
        <row r="169">
          <cell r="C169">
            <v>4987176386762</v>
          </cell>
          <cell r="D169"/>
          <cell r="E169" t="str">
            <v>N</v>
          </cell>
          <cell r="F169" t="str">
            <v>[箱裝]Pampers 幫寶適 原廠公司貨 史上最強一級幫黏貼型護膚尿布/紙尿褲, S, 4~8kg, 198片_夏日遠離紅屁屁 (極上守護)</v>
          </cell>
          <cell r="G169">
            <v>1232</v>
          </cell>
          <cell r="H169">
            <v>702</v>
          </cell>
          <cell r="I169" t="str">
            <v>Not Found</v>
          </cell>
          <cell r="J169"/>
        </row>
        <row r="170">
          <cell r="C170">
            <v>3014260814854</v>
          </cell>
          <cell r="D170"/>
          <cell r="E170" t="str">
            <v>N</v>
          </cell>
          <cell r="F170" t="str">
            <v>Oral-B 歐樂B 薄荷微蠟牙線, 50m, 2入, 1組</v>
          </cell>
          <cell r="G170">
            <v>57</v>
          </cell>
          <cell r="H170">
            <v>7852.0519999999997</v>
          </cell>
          <cell r="I170">
            <v>0</v>
          </cell>
          <cell r="J170"/>
        </row>
        <row r="171">
          <cell r="C171">
            <v>3014260814847</v>
          </cell>
          <cell r="D171"/>
          <cell r="E171" t="str">
            <v>N</v>
          </cell>
          <cell r="F171" t="str">
            <v>Oral-B 歐樂B 無蠟牙線, 50m, 2入, 1組</v>
          </cell>
          <cell r="G171">
            <v>58</v>
          </cell>
          <cell r="H171">
            <v>4642.5600000000004</v>
          </cell>
          <cell r="I171">
            <v>0</v>
          </cell>
          <cell r="J171"/>
        </row>
        <row r="172">
          <cell r="C172">
            <v>4902430826846</v>
          </cell>
          <cell r="D172"/>
          <cell r="E172" t="str">
            <v>N</v>
          </cell>
          <cell r="F172" t="str">
            <v>Oral-B 歐樂B 抗敏護齦牙膏 極速抗敏, 海洋薄荷, 90g, 1條</v>
          </cell>
          <cell r="G172">
            <v>99</v>
          </cell>
          <cell r="H172">
            <v>899.49599999999998</v>
          </cell>
          <cell r="I172">
            <v>0</v>
          </cell>
          <cell r="J172"/>
        </row>
        <row r="173">
          <cell r="C173">
            <v>4902430826815</v>
          </cell>
          <cell r="D173"/>
          <cell r="E173" t="str">
            <v>N</v>
          </cell>
          <cell r="F173" t="str">
            <v>Oral-B 歐樂B 抗敏護齦牙膏 專業修護, 森林薄荷, 90g, 1條</v>
          </cell>
          <cell r="G173">
            <v>99</v>
          </cell>
          <cell r="H173">
            <v>235.35199999999995</v>
          </cell>
          <cell r="I173">
            <v>0</v>
          </cell>
          <cell r="J173"/>
        </row>
        <row r="174">
          <cell r="C174">
            <v>4902430789646</v>
          </cell>
          <cell r="D174"/>
          <cell r="E174" t="str">
            <v>N</v>
          </cell>
          <cell r="F174" t="str">
            <v>Oral-B 深層潔淨牙線, 清涼潔淨, 40m, 1個</v>
          </cell>
          <cell r="G174">
            <v>68</v>
          </cell>
          <cell r="H174">
            <v>2603.38</v>
          </cell>
          <cell r="I174">
            <v>0</v>
          </cell>
          <cell r="J174"/>
        </row>
        <row r="175">
          <cell r="C175">
            <v>4902430789639</v>
          </cell>
          <cell r="D175"/>
          <cell r="E175" t="str">
            <v>N</v>
          </cell>
          <cell r="F175" t="str">
            <v>Oral-B 舒適深潔牙線, 清新薄荷, 40m, 1個</v>
          </cell>
          <cell r="G175">
            <v>65</v>
          </cell>
          <cell r="H175">
            <v>6630.155999999999</v>
          </cell>
          <cell r="I175">
            <v>0</v>
          </cell>
          <cell r="J175"/>
        </row>
        <row r="176">
          <cell r="C176">
            <v>4902430056496</v>
          </cell>
          <cell r="D176"/>
          <cell r="E176" t="str">
            <v>N</v>
          </cell>
          <cell r="F176" t="str">
            <v>OLAY 歐蕾 活膚菁華霜, 50g, 1罐</v>
          </cell>
          <cell r="G176">
            <v>264</v>
          </cell>
          <cell r="H176">
            <v>315.952</v>
          </cell>
          <cell r="I176">
            <v>0</v>
          </cell>
          <cell r="J176"/>
        </row>
        <row r="177">
          <cell r="C177">
            <v>4902430396059</v>
          </cell>
          <cell r="D177"/>
          <cell r="E177" t="str">
            <v>N</v>
          </cell>
          <cell r="F177" t="str">
            <v>OLAY 歐蕾 多元修護霜無香料配方, 50g , 1入</v>
          </cell>
          <cell r="G177">
            <v>365</v>
          </cell>
          <cell r="H177">
            <v>222.45599999999999</v>
          </cell>
          <cell r="I177">
            <v>0</v>
          </cell>
          <cell r="J177"/>
        </row>
        <row r="178">
          <cell r="C178">
            <v>4902430509695</v>
          </cell>
          <cell r="D178"/>
          <cell r="E178" t="str">
            <v>N</v>
          </cell>
          <cell r="F178" t="str">
            <v>OLAY 歐蕾 長效保濕凝露, 50g, 1罐</v>
          </cell>
          <cell r="G178">
            <v>196</v>
          </cell>
          <cell r="H178">
            <v>261.14400000000001</v>
          </cell>
          <cell r="I178">
            <v>0</v>
          </cell>
          <cell r="J178"/>
        </row>
        <row r="179">
          <cell r="C179">
            <v>4902430396073</v>
          </cell>
          <cell r="D179"/>
          <cell r="E179" t="str">
            <v>N</v>
          </cell>
          <cell r="F179" t="str">
            <v>OLAY 歐蕾 多元修護日霜, 50g, 1罐</v>
          </cell>
          <cell r="G179">
            <v>355</v>
          </cell>
          <cell r="H179">
            <v>279.41599999999994</v>
          </cell>
          <cell r="I179">
            <v>0</v>
          </cell>
          <cell r="J179"/>
        </row>
        <row r="180">
          <cell r="C180">
            <v>9300618556502</v>
          </cell>
          <cell r="D180"/>
          <cell r="E180" t="str">
            <v>N</v>
          </cell>
          <cell r="F180" t="str">
            <v>OLAY 歐蕾 滋潤保濕乳液, 150ml, 1瓶</v>
          </cell>
          <cell r="G180">
            <v>176</v>
          </cell>
          <cell r="H180">
            <v>214.30799999999994</v>
          </cell>
          <cell r="I180">
            <v>0</v>
          </cell>
          <cell r="J180"/>
        </row>
        <row r="181">
          <cell r="C181">
            <v>4902430396066</v>
          </cell>
          <cell r="D181"/>
          <cell r="E181" t="str">
            <v>N</v>
          </cell>
          <cell r="F181" t="str">
            <v>OLAY 歐蕾 多元修護晚霜(6066), 50g, 1罐</v>
          </cell>
          <cell r="G181">
            <v>355</v>
          </cell>
          <cell r="H181">
            <v>165.32400000000001</v>
          </cell>
          <cell r="I181">
            <v>0</v>
          </cell>
          <cell r="J181"/>
        </row>
        <row r="182">
          <cell r="C182">
            <v>4987176106438</v>
          </cell>
          <cell r="D182"/>
          <cell r="E182" t="str">
            <v>N</v>
          </cell>
          <cell r="F182" t="str">
            <v>OLAY 歐蕾水感透白光曜精華水, 150ml, 1瓶</v>
          </cell>
          <cell r="G182">
            <v>502</v>
          </cell>
          <cell r="H182">
            <v>116.24800000000002</v>
          </cell>
          <cell r="I182">
            <v>0</v>
          </cell>
          <cell r="J182"/>
        </row>
        <row r="183">
          <cell r="C183">
            <v>4987176161734</v>
          </cell>
          <cell r="D183"/>
          <cell r="E183" t="str">
            <v>N</v>
          </cell>
          <cell r="F183" t="str">
            <v>OLAY 歐蕾 滋潤緊緻優惠組 護膚霜50g+護膚霜14g*2+精華水18ml*2, 1組</v>
          </cell>
          <cell r="G183">
            <v>565</v>
          </cell>
          <cell r="H183">
            <v>183.768</v>
          </cell>
          <cell r="I183">
            <v>0</v>
          </cell>
          <cell r="J183"/>
        </row>
        <row r="184">
          <cell r="C184">
            <v>4987176146700</v>
          </cell>
          <cell r="D184"/>
          <cell r="E184" t="str">
            <v>N</v>
          </cell>
          <cell r="F184" t="str">
            <v>OLAY 歐蕾 台灣公司貨 多效防曬日霜優惠組, 1組</v>
          </cell>
          <cell r="G184">
            <v>726</v>
          </cell>
          <cell r="H184">
            <v>45.496000000000009</v>
          </cell>
          <cell r="I184">
            <v>0</v>
          </cell>
          <cell r="J184"/>
        </row>
        <row r="185">
          <cell r="C185">
            <v>4987176250353</v>
          </cell>
          <cell r="D185"/>
          <cell r="E185" t="str">
            <v>N</v>
          </cell>
          <cell r="F185" t="str">
            <v>OLAY 歐蕾 台灣公司貨 水感透白面膜, 5片, 1盒</v>
          </cell>
          <cell r="G185">
            <v>263</v>
          </cell>
          <cell r="H185">
            <v>378.82</v>
          </cell>
          <cell r="I185">
            <v>0</v>
          </cell>
          <cell r="J185"/>
        </row>
        <row r="186">
          <cell r="C186">
            <v>4987176190734</v>
          </cell>
          <cell r="D186"/>
          <cell r="E186" t="str">
            <v>Y</v>
          </cell>
          <cell r="F186" t="str">
            <v>OLAY 歐蕾 台灣公司貨 抗皺保濕面膜, 5片, 1盒</v>
          </cell>
          <cell r="G186">
            <v>264</v>
          </cell>
          <cell r="H186">
            <v>0</v>
          </cell>
          <cell r="I186">
            <v>0</v>
          </cell>
          <cell r="J186"/>
        </row>
        <row r="187">
          <cell r="C187">
            <v>4987176271624</v>
          </cell>
          <cell r="D187"/>
          <cell r="E187" t="str">
            <v>N</v>
          </cell>
          <cell r="F187" t="str">
            <v>OLAY 歐蕾 台灣公司貨 滋潤保溼霜, 100g, 1罐</v>
          </cell>
          <cell r="G187">
            <v>220</v>
          </cell>
          <cell r="H187">
            <v>63.944000000000031</v>
          </cell>
          <cell r="I187">
            <v>0</v>
          </cell>
          <cell r="J187"/>
        </row>
        <row r="188">
          <cell r="C188">
            <v>4987176271617</v>
          </cell>
          <cell r="D188"/>
          <cell r="E188" t="str">
            <v>N</v>
          </cell>
          <cell r="F188" t="str">
            <v>OLAY 歐蕾 台灣公司貨 滋潤保濕霜 無添加色素香料, 100g, 1罐</v>
          </cell>
          <cell r="G188">
            <v>220</v>
          </cell>
          <cell r="H188">
            <v>97.795999999999992</v>
          </cell>
          <cell r="I188">
            <v>0</v>
          </cell>
          <cell r="J188"/>
        </row>
        <row r="189">
          <cell r="C189">
            <v>4987176357526</v>
          </cell>
          <cell r="D189"/>
          <cell r="E189" t="str">
            <v>N</v>
          </cell>
          <cell r="F189" t="str">
            <v>OLAY 歐蕾 台灣公司貨 胜肽專研密集奢護面膜, 5片, 1盒</v>
          </cell>
          <cell r="G189">
            <v>280</v>
          </cell>
          <cell r="H189">
            <v>187.2</v>
          </cell>
          <cell r="I189" t="str">
            <v>Not Found</v>
          </cell>
          <cell r="J189"/>
        </row>
        <row r="190">
          <cell r="C190">
            <v>4987176314789</v>
          </cell>
          <cell r="E190" t="str">
            <v>Y</v>
          </cell>
          <cell r="F190" t="str">
            <v>Lenor 蘭諾 衣物芳香豆 甜柔麝香 補充包, 440ml, 1包</v>
          </cell>
          <cell r="G190">
            <v>136</v>
          </cell>
          <cell r="H190">
            <v>0</v>
          </cell>
          <cell r="I190">
            <v>0</v>
          </cell>
          <cell r="J190"/>
        </row>
        <row r="191">
          <cell r="C191">
            <v>4987176274892</v>
          </cell>
          <cell r="D191">
            <v>80815407</v>
          </cell>
          <cell r="E191" t="str">
            <v>N</v>
          </cell>
          <cell r="F191" t="str">
            <v>Lenor 蘭諾 衣物芳香豆 淨白純棉, 470ml, 1瓶</v>
          </cell>
          <cell r="G191">
            <v>166</v>
          </cell>
          <cell r="H191">
            <v>1080.04</v>
          </cell>
          <cell r="I191">
            <v>0</v>
          </cell>
          <cell r="J191">
            <v>50</v>
          </cell>
        </row>
        <row r="192">
          <cell r="C192">
            <v>4987176337160</v>
          </cell>
          <cell r="D192">
            <v>80820259</v>
          </cell>
          <cell r="E192" t="str">
            <v>N</v>
          </cell>
          <cell r="F192" t="str">
            <v>ARIEL 4D抗菌洗衣膠囊補充包 室內晾衣型, 30個裝, 1套</v>
          </cell>
          <cell r="G192">
            <v>208</v>
          </cell>
          <cell r="H192">
            <v>4393.9435318109881</v>
          </cell>
          <cell r="I192">
            <v>219.9</v>
          </cell>
          <cell r="J192">
            <v>293.33333333333337</v>
          </cell>
        </row>
        <row r="193">
          <cell r="C193">
            <v>4987176340900</v>
          </cell>
          <cell r="D193">
            <v>80863067</v>
          </cell>
          <cell r="E193" t="str">
            <v>N</v>
          </cell>
          <cell r="F193" t="str">
            <v>ARIEL 抗菌洗衣精補充 抗菌去漬型, 1690g, 1個</v>
          </cell>
          <cell r="G193">
            <v>193</v>
          </cell>
          <cell r="H193">
            <v>6170.6108297018664</v>
          </cell>
          <cell r="I193">
            <v>0</v>
          </cell>
          <cell r="J193">
            <v>648.20999999999992</v>
          </cell>
        </row>
        <row r="194">
          <cell r="C194">
            <v>4987176373939</v>
          </cell>
          <cell r="D194">
            <v>80890585</v>
          </cell>
          <cell r="E194" t="str">
            <v>N</v>
          </cell>
          <cell r="F194" t="str">
            <v>Lenor 蘭諾 衣物芳香豆 雪松梔子花 補充包, 900ml, 1個</v>
          </cell>
          <cell r="G194">
            <v>272</v>
          </cell>
          <cell r="H194">
            <v>1611.0735566410699</v>
          </cell>
          <cell r="I194" t="str">
            <v>Not Found</v>
          </cell>
          <cell r="J194" t="str">
            <v>Not Found</v>
          </cell>
        </row>
        <row r="195">
          <cell r="C195">
            <v>4987176337153</v>
          </cell>
          <cell r="D195">
            <v>80820263</v>
          </cell>
          <cell r="E195" t="str">
            <v>N</v>
          </cell>
          <cell r="F195" t="str">
            <v>ARIEL 4D抗菌洗衣膠囊補充包 抗菌去漬型, 30個裝, 1套</v>
          </cell>
          <cell r="G195">
            <v>208</v>
          </cell>
          <cell r="H195">
            <v>6823.0476728085923</v>
          </cell>
          <cell r="I195">
            <v>366.5</v>
          </cell>
          <cell r="J195">
            <v>366.66666666666669</v>
          </cell>
        </row>
        <row r="196">
          <cell r="C196">
            <v>4987176373892</v>
          </cell>
          <cell r="D196">
            <v>80890581</v>
          </cell>
          <cell r="E196" t="str">
            <v>N</v>
          </cell>
          <cell r="F196" t="str">
            <v>Lenor 蘭諾 衣物芳香豆 甜柔麝香 補充包, 900ml, 1個</v>
          </cell>
          <cell r="G196">
            <v>272</v>
          </cell>
          <cell r="H196">
            <v>802.49258363415993</v>
          </cell>
          <cell r="I196" t="str">
            <v>Not Found</v>
          </cell>
          <cell r="J196" t="str">
            <v>Not Found</v>
          </cell>
        </row>
        <row r="197">
          <cell r="C197">
            <v>4987176373908</v>
          </cell>
          <cell r="D197">
            <v>80890582</v>
          </cell>
          <cell r="E197" t="str">
            <v>N</v>
          </cell>
          <cell r="F197" t="str">
            <v>Lenor 蘭諾 衣物芳香豆 淨白純棉 補充包, 940ml, 1個</v>
          </cell>
          <cell r="G197">
            <v>272</v>
          </cell>
          <cell r="H197">
            <v>147.94776316504999</v>
          </cell>
          <cell r="I197" t="str">
            <v>Not Found</v>
          </cell>
          <cell r="J197" t="str">
            <v>Not Found</v>
          </cell>
        </row>
        <row r="198">
          <cell r="C198">
            <v>4987176373854</v>
          </cell>
          <cell r="D198">
            <v>80890577</v>
          </cell>
          <cell r="E198" t="str">
            <v>N</v>
          </cell>
          <cell r="F198" t="str">
            <v>Lenor 蘭諾 衣物芳香豆 春暖晨露 補充包, 940ml, 1個</v>
          </cell>
          <cell r="G198">
            <v>272</v>
          </cell>
          <cell r="H198">
            <v>273.51061319671203</v>
          </cell>
          <cell r="I198" t="str">
            <v>Not Found</v>
          </cell>
          <cell r="J198" t="str">
            <v>Not Found</v>
          </cell>
        </row>
        <row r="199">
          <cell r="C199">
            <v>4987176405289</v>
          </cell>
          <cell r="E199" t="str">
            <v>N</v>
          </cell>
          <cell r="F199" t="str">
            <v>ARIEL 4D抗菌洗衣膠囊補充包 抗菌去漬型, 80顆, 1袋</v>
          </cell>
          <cell r="G199">
            <v>447</v>
          </cell>
          <cell r="H199">
            <v>3602.6760583989476</v>
          </cell>
          <cell r="I199">
            <v>1200</v>
          </cell>
          <cell r="J199">
            <v>1200</v>
          </cell>
        </row>
        <row r="200">
          <cell r="C200">
            <v>4987176314796</v>
          </cell>
          <cell r="E200" t="str">
            <v>Y</v>
          </cell>
          <cell r="F200" t="str">
            <v>Lenor 蘭諾 衣物芳香豆 清晨草木 補充包, 440ml, 1包</v>
          </cell>
          <cell r="G200">
            <v>136</v>
          </cell>
          <cell r="H200">
            <v>0</v>
          </cell>
          <cell r="I200">
            <v>0</v>
          </cell>
          <cell r="J200" t="str">
            <v>PO</v>
          </cell>
        </row>
        <row r="201">
          <cell r="C201">
            <v>14987176340907</v>
          </cell>
          <cell r="D201">
            <v>80863067</v>
          </cell>
          <cell r="E201" t="str">
            <v>N</v>
          </cell>
          <cell r="F201" t="str">
            <v>[箱裝]ARIEL 抗菌洗衣精補充包, 抗菌去漬型, 1690g, 6包</v>
          </cell>
          <cell r="G201">
            <v>1158</v>
          </cell>
          <cell r="H201">
            <v>172</v>
          </cell>
          <cell r="I201" t="str">
            <v>Not Found</v>
          </cell>
          <cell r="J201"/>
        </row>
        <row r="202">
          <cell r="C202">
            <v>4987176340856</v>
          </cell>
          <cell r="D202">
            <v>80863061</v>
          </cell>
          <cell r="E202" t="str">
            <v>N</v>
          </cell>
          <cell r="F202" t="str">
            <v>ARIEL 抗菌洗衣精補充 室內晾衣型, 1690g, 1個</v>
          </cell>
          <cell r="G202">
            <v>193</v>
          </cell>
          <cell r="H202">
            <v>7040.2991387390475</v>
          </cell>
          <cell r="I202">
            <v>0</v>
          </cell>
          <cell r="J202">
            <v>790.5</v>
          </cell>
        </row>
        <row r="203">
          <cell r="C203">
            <v>14987176340853</v>
          </cell>
          <cell r="D203">
            <v>80863061</v>
          </cell>
          <cell r="E203" t="str">
            <v>N</v>
          </cell>
          <cell r="F203" t="str">
            <v>[箱裝]ARIEL 抗菌洗衣精補充包, 室內晾衣型, 1690g, 6包</v>
          </cell>
          <cell r="G203">
            <v>1158</v>
          </cell>
          <cell r="H203">
            <v>576.63170061698531</v>
          </cell>
          <cell r="I203" t="str">
            <v>Not Found</v>
          </cell>
          <cell r="J203"/>
        </row>
        <row r="204">
          <cell r="C204"/>
          <cell r="D204"/>
          <cell r="E204" t="str">
            <v>N</v>
          </cell>
          <cell r="F204" t="str">
            <v>BOLD原廠公司貨 四合一洗衣膠囊 清淨花香, 31顆 ,1袋</v>
          </cell>
          <cell r="G204" t="str">
            <v>TBC</v>
          </cell>
          <cell r="H204">
            <v>187.2</v>
          </cell>
          <cell r="I204" t="str">
            <v>Not Found</v>
          </cell>
          <cell r="J204">
            <v>300</v>
          </cell>
        </row>
        <row r="205">
          <cell r="C205">
            <v>4987176373861</v>
          </cell>
          <cell r="D205">
            <v>80890578</v>
          </cell>
          <cell r="E205" t="str">
            <v>N</v>
          </cell>
          <cell r="F205" t="str">
            <v>Lenor 蘭諾 衣物芳香豆 清晨草木 補充包, 900ml, 1個</v>
          </cell>
          <cell r="G205">
            <v>272</v>
          </cell>
          <cell r="H205">
            <v>2049.8630663728763</v>
          </cell>
          <cell r="I205" t="str">
            <v>Not Found</v>
          </cell>
          <cell r="J205">
            <v>257</v>
          </cell>
        </row>
        <row r="206">
          <cell r="C206">
            <v>4987176340894</v>
          </cell>
          <cell r="D206">
            <v>80864486</v>
          </cell>
          <cell r="E206" t="str">
            <v>N</v>
          </cell>
          <cell r="F206" t="str">
            <v>ARIEL 原廠公司貨 抗菌洗衣精, 抗菌去漬型, 1.9kg , 1瓶</v>
          </cell>
          <cell r="G206">
            <v>202</v>
          </cell>
          <cell r="H206">
            <v>2406.8571428571427</v>
          </cell>
          <cell r="I206" t="str">
            <v>Not Found</v>
          </cell>
          <cell r="J206"/>
        </row>
        <row r="207">
          <cell r="C207">
            <v>4987176373885</v>
          </cell>
          <cell r="D207">
            <v>80890580</v>
          </cell>
          <cell r="E207" t="str">
            <v>N</v>
          </cell>
          <cell r="F207" t="str">
            <v>Lenor 蘭諾 衣物芳香豆 運動衣物抗臭 補充包, 880ml, 1個</v>
          </cell>
          <cell r="G207">
            <v>272</v>
          </cell>
          <cell r="H207">
            <v>2269.760963743543</v>
          </cell>
          <cell r="I207" t="str">
            <v>Not Found</v>
          </cell>
          <cell r="J207"/>
        </row>
        <row r="208">
          <cell r="C208">
            <v>4987176314765</v>
          </cell>
          <cell r="E208" t="str">
            <v>Y</v>
          </cell>
          <cell r="F208" t="str">
            <v>Lenor 蘭諾 衣物芳香豆 青檸紫羅蘭 補充包, 440ml, 1包</v>
          </cell>
          <cell r="G208">
            <v>136</v>
          </cell>
          <cell r="H208">
            <v>0</v>
          </cell>
          <cell r="I208">
            <v>0</v>
          </cell>
          <cell r="J208"/>
        </row>
        <row r="209">
          <cell r="C209">
            <v>4987176340870</v>
          </cell>
          <cell r="D209">
            <v>80863063</v>
          </cell>
          <cell r="E209" t="str">
            <v>N</v>
          </cell>
          <cell r="F209" t="str">
            <v>ARIEL 抗菌洗衣精補充 高效除蟎, 1690g, 1個</v>
          </cell>
          <cell r="G209">
            <v>193</v>
          </cell>
          <cell r="H209">
            <v>806.19910504006498</v>
          </cell>
          <cell r="I209">
            <v>0</v>
          </cell>
          <cell r="J209"/>
        </row>
        <row r="210">
          <cell r="C210">
            <v>4987176337146</v>
          </cell>
          <cell r="E210" t="str">
            <v>N</v>
          </cell>
          <cell r="F210" t="str">
            <v>ARIEL 4D抗菌洗衣膠囊補充包 自然微香型, 30個裝, 1套</v>
          </cell>
          <cell r="G210">
            <v>208</v>
          </cell>
          <cell r="H210">
            <v>179.05263157894737</v>
          </cell>
          <cell r="I210">
            <v>146.6</v>
          </cell>
          <cell r="J210"/>
        </row>
        <row r="211">
          <cell r="C211">
            <v>4987176314802</v>
          </cell>
          <cell r="E211" t="str">
            <v>Y</v>
          </cell>
          <cell r="F211" t="str">
            <v>Lenor 蘭諾 衣物芳香豆 甜花石榴香 補充包, 440ml, 1包</v>
          </cell>
          <cell r="G211">
            <v>136</v>
          </cell>
          <cell r="H211">
            <v>0</v>
          </cell>
          <cell r="I211">
            <v>0</v>
          </cell>
          <cell r="J211"/>
        </row>
        <row r="212">
          <cell r="C212">
            <v>4987176373922</v>
          </cell>
          <cell r="D212"/>
          <cell r="E212" t="str">
            <v>N</v>
          </cell>
          <cell r="F212" t="str">
            <v>Lenor 蘭諾 衣物芳香豆 甜花石榴香 補充包, 900ml, 1個</v>
          </cell>
          <cell r="G212">
            <v>272</v>
          </cell>
          <cell r="H212">
            <v>628</v>
          </cell>
          <cell r="I212" t="str">
            <v>Not Found</v>
          </cell>
          <cell r="J212"/>
        </row>
        <row r="213">
          <cell r="C213">
            <v>4987176373878</v>
          </cell>
          <cell r="D213"/>
          <cell r="E213" t="str">
            <v>N</v>
          </cell>
          <cell r="F213" t="str">
            <v>Lenor 蘭諾 衣物芳香豆 青檸紫羅蘭 補充包, 900ml, 1個</v>
          </cell>
          <cell r="G213">
            <v>272</v>
          </cell>
          <cell r="H213">
            <v>286.00000000000006</v>
          </cell>
          <cell r="I213" t="str">
            <v>Not Found</v>
          </cell>
          <cell r="J213"/>
        </row>
        <row r="214">
          <cell r="C214">
            <v>30772121009</v>
          </cell>
          <cell r="E214" t="str">
            <v>Y</v>
          </cell>
          <cell r="F214" t="str">
            <v>Tide 汰漬 台灣公司貨 2倍超濃縮洗衣精, 3.9L, 1桶</v>
          </cell>
          <cell r="G214">
            <v>564</v>
          </cell>
          <cell r="H214">
            <v>0</v>
          </cell>
          <cell r="I214">
            <v>96</v>
          </cell>
          <cell r="J214"/>
        </row>
        <row r="215">
          <cell r="C215">
            <v>4987176274915</v>
          </cell>
          <cell r="E215" t="str">
            <v>Y</v>
          </cell>
          <cell r="F215" t="str">
            <v>Lenor 蘭諾 衣物芳香豆 淨白純棉, 455ml, 1包</v>
          </cell>
          <cell r="G215">
            <v>138</v>
          </cell>
          <cell r="H215">
            <v>0</v>
          </cell>
          <cell r="I215">
            <v>0</v>
          </cell>
          <cell r="J215"/>
        </row>
        <row r="216">
          <cell r="C216">
            <v>4987176373915</v>
          </cell>
          <cell r="D216"/>
          <cell r="E216" t="str">
            <v>N</v>
          </cell>
          <cell r="F216" t="str">
            <v>Lenor 蘭諾 衣物芳香豆 潮濕天氣抗臭 補充包, 880ml, 1個</v>
          </cell>
          <cell r="G216">
            <v>272</v>
          </cell>
          <cell r="H216">
            <v>683.61223630149971</v>
          </cell>
          <cell r="I216" t="str">
            <v>Not Found</v>
          </cell>
          <cell r="J216"/>
        </row>
        <row r="217">
          <cell r="C217">
            <v>4987176092724</v>
          </cell>
          <cell r="D217"/>
          <cell r="E217" t="str">
            <v>N</v>
          </cell>
          <cell r="F217" t="str">
            <v>head &amp; shoulders 海倫仙度絲 台灣公司貨 科研去屑洗髮露, 去油淨透, 300g, 1瓶</v>
          </cell>
          <cell r="G217">
            <v>213</v>
          </cell>
          <cell r="H217">
            <v>926.90000000000009</v>
          </cell>
          <cell r="I217">
            <v>0</v>
          </cell>
          <cell r="J217"/>
        </row>
        <row r="218">
          <cell r="C218">
            <v>4987176092731</v>
          </cell>
          <cell r="D218"/>
          <cell r="E218" t="str">
            <v>N</v>
          </cell>
          <cell r="F218" t="str">
            <v>head &amp; shoulders 海倫仙度絲 科研去屑洗髮露, 瞬效止癢, 300g, 1瓶</v>
          </cell>
          <cell r="G218">
            <v>213</v>
          </cell>
          <cell r="H218">
            <v>2363.192</v>
          </cell>
          <cell r="I218">
            <v>0</v>
          </cell>
          <cell r="J218"/>
        </row>
        <row r="219">
          <cell r="C219">
            <v>4987176273024</v>
          </cell>
          <cell r="D219"/>
          <cell r="E219" t="str">
            <v>N</v>
          </cell>
          <cell r="F219" t="str">
            <v>head&amp;shoulders 海倫仙度絲 去屑護理洗髮露, 淨爽止癢, 650g, 1瓶</v>
          </cell>
          <cell r="G219">
            <v>210</v>
          </cell>
          <cell r="H219">
            <v>2126.2280000000001</v>
          </cell>
          <cell r="I219">
            <v>0</v>
          </cell>
          <cell r="J219"/>
        </row>
        <row r="220">
          <cell r="C220">
            <v>4902430699525</v>
          </cell>
          <cell r="D220"/>
          <cell r="E220" t="str">
            <v>N</v>
          </cell>
          <cell r="F220" t="str">
            <v>head&amp;shoulders 海倫仙度絲 去屑洗髮乳 絲滑柔順, 1kg + 200g, 1組</v>
          </cell>
          <cell r="G220">
            <v>241</v>
          </cell>
          <cell r="H220">
            <v>75.763999999999996</v>
          </cell>
          <cell r="I220">
            <v>0</v>
          </cell>
          <cell r="J220"/>
        </row>
        <row r="221">
          <cell r="C221">
            <v>4987176222978</v>
          </cell>
          <cell r="D221"/>
          <cell r="E221" t="str">
            <v>N</v>
          </cell>
          <cell r="F221" t="str">
            <v>head&amp;shoulders 海倫仙度絲 台灣公司貨 去屑頭皮護理洗髮露 保水舒緩型, 650g, 1瓶</v>
          </cell>
          <cell r="G221">
            <v>210</v>
          </cell>
          <cell r="H221">
            <v>831.79199999999992</v>
          </cell>
          <cell r="I221">
            <v>0</v>
          </cell>
          <cell r="J221"/>
        </row>
        <row r="222">
          <cell r="C222">
            <v>4987176222961</v>
          </cell>
          <cell r="D222"/>
          <cell r="E222" t="str">
            <v>N</v>
          </cell>
          <cell r="F222" t="str">
            <v>head&amp;shoulders 海倫仙度絲 台灣公司貨 去屑頭皮護理洗髮露 控油蓬鬆型, 650g, 1瓶</v>
          </cell>
          <cell r="G222">
            <v>210</v>
          </cell>
          <cell r="H222">
            <v>3261.076</v>
          </cell>
          <cell r="I222">
            <v>0</v>
          </cell>
          <cell r="J222"/>
        </row>
        <row r="223">
          <cell r="C223">
            <v>4987176291561</v>
          </cell>
          <cell r="D223"/>
          <cell r="E223" t="str">
            <v>N</v>
          </cell>
          <cell r="F223" t="str">
            <v>head&amp;shoulders 海倫仙度絲 原廠公司貨 去屑頭皮護理洗髮露 淨爽止癢型, 350g, 1瓶</v>
          </cell>
          <cell r="G223">
            <v>146</v>
          </cell>
          <cell r="H223">
            <v>1307.3320000000001</v>
          </cell>
          <cell r="I223">
            <v>0</v>
          </cell>
          <cell r="J223"/>
        </row>
        <row r="224">
          <cell r="C224">
            <v>4987176291554</v>
          </cell>
          <cell r="D224"/>
          <cell r="E224" t="str">
            <v>N</v>
          </cell>
          <cell r="F224" t="str">
            <v>head&amp;shoulders 海倫仙度絲 原廠公司貨 去屑頭皮護理洗髮露 控油蓬鬆型, 350g, 1瓶</v>
          </cell>
          <cell r="G224">
            <v>146</v>
          </cell>
          <cell r="H224">
            <v>641.57600000000014</v>
          </cell>
          <cell r="I224">
            <v>0</v>
          </cell>
          <cell r="J224"/>
        </row>
        <row r="225">
          <cell r="C225">
            <v>4987176331823</v>
          </cell>
          <cell r="D225"/>
          <cell r="E225" t="str">
            <v>N</v>
          </cell>
          <cell r="F225" t="str">
            <v>head&amp;shoulders 海倫仙度絲 公司貨 2025 360度新升級 去屑洗髮露 強根韌髮, 680g, 1個</v>
          </cell>
          <cell r="G225">
            <v>199</v>
          </cell>
          <cell r="H225">
            <v>130.572</v>
          </cell>
          <cell r="I225">
            <v>0</v>
          </cell>
          <cell r="J225"/>
        </row>
        <row r="226">
          <cell r="C226">
            <v>4987176311047</v>
          </cell>
          <cell r="D226"/>
          <cell r="E226" t="str">
            <v>N</v>
          </cell>
          <cell r="F226" t="str">
            <v>head&amp;shoulders 海倫仙度絲 公司貨 2025 360度新升級 去屑洗髮露 海洋清新, 680g, 1個</v>
          </cell>
          <cell r="G226">
            <v>199</v>
          </cell>
          <cell r="H226">
            <v>949.46799999999996</v>
          </cell>
          <cell r="I226">
            <v>0</v>
          </cell>
          <cell r="J226"/>
        </row>
        <row r="227">
          <cell r="C227">
            <v>4987176311122</v>
          </cell>
          <cell r="D227"/>
          <cell r="E227" t="str">
            <v>N</v>
          </cell>
          <cell r="F227" t="str">
            <v>head&amp;shoulders 海倫仙度絲 公司貨 2025 360度新升級 舒緩去屑洗髮露 朝曦橙花, 680g, 1個</v>
          </cell>
          <cell r="G227">
            <v>199</v>
          </cell>
          <cell r="H227">
            <v>222.45599999999999</v>
          </cell>
          <cell r="I227">
            <v>0</v>
          </cell>
          <cell r="J227"/>
        </row>
        <row r="228">
          <cell r="C228">
            <v>4987176311191</v>
          </cell>
          <cell r="D228"/>
          <cell r="E228" t="str">
            <v>N</v>
          </cell>
          <cell r="F228" t="str">
            <v>head&amp;shoulders 海倫仙度絲 公司貨 男用 2025 360度新升級 去屑洗髮露 健髮強韌, 680g, 1個</v>
          </cell>
          <cell r="G228">
            <v>199</v>
          </cell>
          <cell r="H228">
            <v>183.768</v>
          </cell>
          <cell r="I228">
            <v>0</v>
          </cell>
          <cell r="J228"/>
        </row>
        <row r="229">
          <cell r="C229">
            <v>4987176311085</v>
          </cell>
          <cell r="D229"/>
          <cell r="E229" t="str">
            <v>N</v>
          </cell>
          <cell r="F229" t="str">
            <v>head&amp;shoulders 海倫仙度絲 公司貨 男用 2025 360度新升級 去屑洗髮露 淨爽控油, 680g, 1個</v>
          </cell>
          <cell r="G229">
            <v>199</v>
          </cell>
          <cell r="H229">
            <v>143.46799999999999</v>
          </cell>
          <cell r="I229">
            <v>0</v>
          </cell>
          <cell r="J229"/>
        </row>
        <row r="230">
          <cell r="C230">
            <v>4902430661898</v>
          </cell>
          <cell r="D230"/>
          <cell r="E230" t="str">
            <v>N</v>
          </cell>
          <cell r="F230" t="str">
            <v>HAIR RECIPE 髪的食譜 蘋果生薑防斷修護洗髮露, 530ml, 1瓶</v>
          </cell>
          <cell r="G230">
            <v>257</v>
          </cell>
          <cell r="H230">
            <v>580.32000000000005</v>
          </cell>
          <cell r="I230">
            <v>0</v>
          </cell>
          <cell r="J230"/>
        </row>
        <row r="231">
          <cell r="C231">
            <v>4902430586177</v>
          </cell>
          <cell r="D231"/>
          <cell r="E231" t="str">
            <v>N</v>
          </cell>
          <cell r="F231" t="str">
            <v>HAIR RECIPE 髮的食譜 清爽豐盈洗髮露, 奇異果無花果, 530ml, 1瓶</v>
          </cell>
          <cell r="G231">
            <v>257</v>
          </cell>
          <cell r="H231">
            <v>4536.1679999999997</v>
          </cell>
          <cell r="I231">
            <v>0</v>
          </cell>
          <cell r="J231"/>
        </row>
        <row r="232">
          <cell r="C232">
            <v>4902430659567</v>
          </cell>
          <cell r="D232"/>
          <cell r="E232" t="str">
            <v>N</v>
          </cell>
          <cell r="F232" t="str">
            <v>HAIR RECIPE 髪的料理 蘋果生薑防斷修護潤髮乳, 530g, 1瓶</v>
          </cell>
          <cell r="G232">
            <v>257</v>
          </cell>
          <cell r="H232">
            <v>290.16000000000003</v>
          </cell>
          <cell r="I232">
            <v>0</v>
          </cell>
          <cell r="J232"/>
        </row>
        <row r="233">
          <cell r="C233">
            <v>4902430587983</v>
          </cell>
          <cell r="D233"/>
          <cell r="E233" t="str">
            <v>N</v>
          </cell>
          <cell r="F233" t="str">
            <v>HAIR RECIPE 髪的料理 奇異果無花果清爽豐盈潤髮乳, 530g, 1瓶</v>
          </cell>
          <cell r="G233">
            <v>257</v>
          </cell>
          <cell r="H233">
            <v>1512.0559999999998</v>
          </cell>
          <cell r="I233">
            <v>0</v>
          </cell>
          <cell r="J233"/>
        </row>
        <row r="234">
          <cell r="C234">
            <v>4987176074010</v>
          </cell>
          <cell r="D234"/>
          <cell r="E234" t="str">
            <v>N</v>
          </cell>
          <cell r="F234" t="str">
            <v>HAIR RECIPE 髮的食譜 水潤亮澤潤髮乳, 蜂蜜石榴, 530g, 1瓶</v>
          </cell>
          <cell r="G234">
            <v>257</v>
          </cell>
          <cell r="H234">
            <v>667.36799999999994</v>
          </cell>
          <cell r="I234">
            <v>0</v>
          </cell>
          <cell r="J234"/>
        </row>
        <row r="235">
          <cell r="C235">
            <v>4987176074003</v>
          </cell>
          <cell r="D235"/>
          <cell r="E235" t="str">
            <v>N</v>
          </cell>
          <cell r="F235" t="str">
            <v>HAIR RECIPE 髮的食譜 水潤亮澤洗髮露, 蜂蜜石榴, 530ml, 1瓶</v>
          </cell>
          <cell r="G235">
            <v>257</v>
          </cell>
          <cell r="H235">
            <v>965.58799999999997</v>
          </cell>
          <cell r="I235">
            <v>0</v>
          </cell>
          <cell r="J235"/>
        </row>
        <row r="236">
          <cell r="C236">
            <v>4987176064004</v>
          </cell>
          <cell r="D236"/>
          <cell r="E236" t="str">
            <v>N</v>
          </cell>
          <cell r="F236" t="str">
            <v>HAIR RECIPE 髮的食譜 米糠溫養豐盈洗髮露, 檸檬青檸, 350ml, 1瓶</v>
          </cell>
          <cell r="G236">
            <v>402</v>
          </cell>
          <cell r="H236">
            <v>1689.376</v>
          </cell>
          <cell r="I236">
            <v>0</v>
          </cell>
          <cell r="J236"/>
        </row>
        <row r="237">
          <cell r="C237">
            <v>4987176064028</v>
          </cell>
          <cell r="D237"/>
          <cell r="E237" t="str">
            <v>N</v>
          </cell>
          <cell r="F237" t="str">
            <v>HAIR RECIPE 髮的食譜米糠溫養豐盈護髮精華素, 檸檬青檸香氛, 350g, 1瓶</v>
          </cell>
          <cell r="G237">
            <v>402</v>
          </cell>
          <cell r="H237">
            <v>427.18000000000006</v>
          </cell>
          <cell r="I237">
            <v>0</v>
          </cell>
          <cell r="J237"/>
        </row>
        <row r="238">
          <cell r="C238">
            <v>4987176063960</v>
          </cell>
          <cell r="D238"/>
          <cell r="E238" t="str">
            <v>N</v>
          </cell>
          <cell r="F238" t="str">
            <v>HAIR RECIPE 髮的食譜米糠溫養修護護髮精華素, 檸檬生薑, 350ml, 1瓶</v>
          </cell>
          <cell r="G238">
            <v>402</v>
          </cell>
          <cell r="H238">
            <v>314.33999999999997</v>
          </cell>
          <cell r="I238">
            <v>0</v>
          </cell>
          <cell r="J238"/>
        </row>
        <row r="239">
          <cell r="C239">
            <v>4987176063953</v>
          </cell>
          <cell r="D239"/>
          <cell r="E239" t="str">
            <v>N</v>
          </cell>
          <cell r="F239" t="str">
            <v>HAIR RECIPE 髮的食譜 米糠溫養修護洗髮露 生薑檸檬香氛, 350ml, 1瓶</v>
          </cell>
          <cell r="G239">
            <v>402</v>
          </cell>
          <cell r="H239">
            <v>652.86</v>
          </cell>
          <cell r="I239">
            <v>0</v>
          </cell>
          <cell r="J239"/>
        </row>
        <row r="240">
          <cell r="C240">
            <v>4987176186317</v>
          </cell>
          <cell r="D240"/>
          <cell r="E240" t="str">
            <v>N</v>
          </cell>
          <cell r="F240" t="str">
            <v>HAIR RECIPE 髮的食譜綠茶柚子淨油保濕水感洗髮露, 1瓶, 530ml</v>
          </cell>
          <cell r="G240">
            <v>257</v>
          </cell>
          <cell r="H240">
            <v>6989.6319999999987</v>
          </cell>
          <cell r="I240">
            <v>0</v>
          </cell>
          <cell r="J240"/>
        </row>
        <row r="241">
          <cell r="C241">
            <v>4987176186300</v>
          </cell>
          <cell r="D241"/>
          <cell r="E241" t="str">
            <v>N</v>
          </cell>
          <cell r="F241" t="str">
            <v>HAIR RECIPE 髮的食譜頭皮頭髮精華髮膜 6個, 1盒, 12ml</v>
          </cell>
          <cell r="G241">
            <v>189</v>
          </cell>
          <cell r="H241">
            <v>1536.2360000000001</v>
          </cell>
          <cell r="I241">
            <v>0</v>
          </cell>
          <cell r="J241"/>
        </row>
        <row r="242">
          <cell r="C242">
            <v>4987176276605</v>
          </cell>
          <cell r="D242"/>
          <cell r="E242" t="str">
            <v>N</v>
          </cell>
          <cell r="F242" t="str">
            <v>HAIR RECIPE 髪的食譜 原廠公司貨 生薑清茶防斷豐盈洗髮露, 530ml, 1瓶</v>
          </cell>
          <cell r="G242">
            <v>257</v>
          </cell>
          <cell r="H242">
            <v>2437.3439999999996</v>
          </cell>
          <cell r="I242">
            <v>0</v>
          </cell>
          <cell r="J242"/>
        </row>
        <row r="243">
          <cell r="C243">
            <v>4987176309655</v>
          </cell>
          <cell r="D243"/>
          <cell r="E243" t="str">
            <v>N</v>
          </cell>
          <cell r="F243" t="str">
            <v>HAIR RECIPE 髮的食譜 綠茶柚子清爽保濕洗髮露, 280ml, 1瓶</v>
          </cell>
          <cell r="G243">
            <v>135</v>
          </cell>
          <cell r="H243">
            <v>1097.7719999999999</v>
          </cell>
          <cell r="I243">
            <v>0</v>
          </cell>
          <cell r="J243"/>
        </row>
        <row r="244">
          <cell r="C244">
            <v>4987176039569</v>
          </cell>
          <cell r="D244"/>
          <cell r="E244" t="str">
            <v>y</v>
          </cell>
          <cell r="F244" t="str">
            <v>Gillette 吉列 維納斯零瑕疵除毛刀 1刀架+2刀頭, 1組</v>
          </cell>
          <cell r="G244">
            <v>260</v>
          </cell>
          <cell r="H244">
            <v>78.988</v>
          </cell>
          <cell r="I244" t="str">
            <v>delist</v>
          </cell>
          <cell r="J244"/>
        </row>
        <row r="245">
          <cell r="C245">
            <v>4987176324023</v>
          </cell>
          <cell r="D245"/>
          <cell r="E245" t="str">
            <v>N</v>
          </cell>
          <cell r="F245" t="str">
            <v>Gillette 吉列 維納斯 敏感肌適用除毛刀, 1刀架+2刀頭, 1組</v>
          </cell>
          <cell r="G245">
            <v>289</v>
          </cell>
          <cell r="H245">
            <v>115.19999999999999</v>
          </cell>
          <cell r="I245" t="str">
            <v>Not Found</v>
          </cell>
          <cell r="J245"/>
        </row>
        <row r="246">
          <cell r="C246">
            <v>4987176039507</v>
          </cell>
          <cell r="D246"/>
          <cell r="E246" t="str">
            <v>N</v>
          </cell>
          <cell r="F246" t="str">
            <v>Gillette 吉列 維納斯 敏感肌適用除毛刀頭, 4個, 1盒</v>
          </cell>
          <cell r="G246">
            <v>428</v>
          </cell>
          <cell r="H246">
            <v>93.6</v>
          </cell>
          <cell r="I246" t="str">
            <v>Not Found</v>
          </cell>
          <cell r="J246"/>
        </row>
        <row r="247">
          <cell r="C247">
            <v>4987176176172</v>
          </cell>
          <cell r="D247"/>
          <cell r="E247" t="str">
            <v>N</v>
          </cell>
          <cell r="F247" t="str">
            <v>Gillette 吉列 Fusion鋒隱系列刮鬍刀頭, 4個, 1組</v>
          </cell>
          <cell r="G247">
            <v>323</v>
          </cell>
          <cell r="H247">
            <v>197.68267375697957</v>
          </cell>
          <cell r="I247" t="str">
            <v>delist</v>
          </cell>
          <cell r="J247"/>
        </row>
        <row r="248">
          <cell r="C248">
            <v>4987176169914</v>
          </cell>
          <cell r="D248"/>
          <cell r="E248" t="str">
            <v>N</v>
          </cell>
          <cell r="F248" t="str">
            <v>Gillette 吉列 台灣公司貨 Fusion鋒隱系列刮鬍刀頭, 8入,1組</v>
          </cell>
          <cell r="G248">
            <v>557</v>
          </cell>
          <cell r="H248">
            <v>525.51199999999994</v>
          </cell>
          <cell r="I248" t="str">
            <v>delist</v>
          </cell>
          <cell r="J248"/>
        </row>
        <row r="249">
          <cell r="C249">
            <v>4987176169921</v>
          </cell>
          <cell r="D249"/>
          <cell r="E249" t="str">
            <v>N</v>
          </cell>
          <cell r="F249" t="str">
            <v>Gillette 吉列 台灣公司貨 Fusion 鋒隱系列 刮鬍刀, 刀架*1+刀頭*2, 1組</v>
          </cell>
          <cell r="G249">
            <v>185</v>
          </cell>
          <cell r="H249">
            <v>281.35543885650759</v>
          </cell>
          <cell r="I249" t="str">
            <v>delist</v>
          </cell>
          <cell r="J249"/>
        </row>
        <row r="250">
          <cell r="C250">
            <v>4987176169952</v>
          </cell>
          <cell r="D250"/>
          <cell r="E250" t="str">
            <v>N</v>
          </cell>
          <cell r="F250" t="str">
            <v>Gillette 吉列 Proglide 無感系列 刮鬍刀, 刀架 + 刀頭 2個, 1盒</v>
          </cell>
          <cell r="G250">
            <v>228</v>
          </cell>
          <cell r="H250">
            <v>324</v>
          </cell>
          <cell r="I250" t="str">
            <v>delist</v>
          </cell>
          <cell r="J250"/>
        </row>
        <row r="251">
          <cell r="C251">
            <v>4987176169969</v>
          </cell>
          <cell r="D251"/>
          <cell r="E251" t="str">
            <v>N</v>
          </cell>
          <cell r="F251" t="str">
            <v>Gillette 吉列 Proshield鋒護系列刮鬍刀, 刀架*1+刀頭*2, 1組</v>
          </cell>
          <cell r="G251">
            <v>268</v>
          </cell>
          <cell r="H251">
            <v>187.2</v>
          </cell>
          <cell r="I251" t="str">
            <v>Not Found</v>
          </cell>
          <cell r="J251"/>
        </row>
        <row r="252">
          <cell r="C252">
            <v>4987176134608</v>
          </cell>
          <cell r="D252"/>
          <cell r="E252" t="str">
            <v>N</v>
          </cell>
          <cell r="F252" t="str">
            <v>Gillette 吉列 Labs 極光系列 刮鬍刀組, 刀架 + 刀頭 5個 + 刀座 + 旅行盒, 1組</v>
          </cell>
          <cell r="G252">
            <v>995</v>
          </cell>
          <cell r="H252">
            <v>89.29411764705884</v>
          </cell>
          <cell r="I252">
            <v>50</v>
          </cell>
          <cell r="J252"/>
        </row>
        <row r="253">
          <cell r="C253">
            <v>4987176134578</v>
          </cell>
          <cell r="D253"/>
          <cell r="E253" t="str">
            <v>N</v>
          </cell>
          <cell r="F253" t="str">
            <v>Gillette 吉列 Labs 極光系列 刮鬍刀組, 刀架 + 刀頭 2個 + 刀座, 1組</v>
          </cell>
          <cell r="G253">
            <v>580</v>
          </cell>
          <cell r="H253">
            <v>246.636</v>
          </cell>
          <cell r="I253">
            <v>0</v>
          </cell>
          <cell r="J253"/>
        </row>
        <row r="254">
          <cell r="C254">
            <v>4987176039545</v>
          </cell>
          <cell r="D254"/>
          <cell r="E254" t="str">
            <v>y</v>
          </cell>
          <cell r="F254" t="str">
            <v>Gillette 吉列 台灣公司貨 維納斯零瑕疵除毛刀頭, 4個, 1盒</v>
          </cell>
          <cell r="G254">
            <v>350</v>
          </cell>
          <cell r="H254">
            <v>49.972000000000016</v>
          </cell>
          <cell r="I254" t="str">
            <v>delist</v>
          </cell>
          <cell r="J254"/>
        </row>
        <row r="255">
          <cell r="C255">
            <v>4902430340526</v>
          </cell>
          <cell r="D255"/>
          <cell r="E255" t="str">
            <v>N</v>
          </cell>
          <cell r="F255" t="str">
            <v>Gillette 吉列 Mach3 Turbo 鋒速突破系列刮鬍刀頭, 4個, 1盒</v>
          </cell>
          <cell r="G255">
            <v>295</v>
          </cell>
          <cell r="H255">
            <v>49.972000000000016</v>
          </cell>
          <cell r="I255">
            <v>0</v>
          </cell>
          <cell r="J255"/>
        </row>
        <row r="256">
          <cell r="C256">
            <v>4902430341844</v>
          </cell>
          <cell r="D256"/>
          <cell r="E256" t="str">
            <v>N</v>
          </cell>
          <cell r="F256" t="str">
            <v>Gillette 吉列 台灣公司貨 Mach3 鋒速系列刮鬍刀頭, 4個, 1盒</v>
          </cell>
          <cell r="G256">
            <v>260</v>
          </cell>
          <cell r="H256">
            <v>36.300000000000018</v>
          </cell>
          <cell r="I256" t="str">
            <v>delist</v>
          </cell>
          <cell r="J256"/>
        </row>
        <row r="257">
          <cell r="C257">
            <v>4902430341820</v>
          </cell>
          <cell r="D257"/>
          <cell r="E257" t="str">
            <v>N</v>
          </cell>
          <cell r="F257" t="str">
            <v>Gillette 吉列 台灣公司貨 Mach3 鋒速系列刮鬍刀頭, 8個, 1盒</v>
          </cell>
          <cell r="G257">
            <v>435</v>
          </cell>
          <cell r="H257">
            <v>141.85599999999999</v>
          </cell>
          <cell r="I257">
            <v>0</v>
          </cell>
          <cell r="J257"/>
        </row>
        <row r="258">
          <cell r="C258">
            <v>4987176247681</v>
          </cell>
          <cell r="D258"/>
          <cell r="E258" t="str">
            <v>N</v>
          </cell>
          <cell r="F258" t="str">
            <v>Gillette 吉列 台灣公司貨 Mach3 Turbo 鋒速突破系列刮鬍刀組, 刀架+刀頭*2, 1盒</v>
          </cell>
          <cell r="G258">
            <v>180</v>
          </cell>
          <cell r="H258">
            <v>49.972000000000016</v>
          </cell>
          <cell r="I258">
            <v>0</v>
          </cell>
          <cell r="J258"/>
        </row>
        <row r="259">
          <cell r="C259">
            <v>4987176247674</v>
          </cell>
          <cell r="D259"/>
          <cell r="E259" t="str">
            <v>N</v>
          </cell>
          <cell r="F259" t="str">
            <v>Gillette 吉列 台灣公司貨 Mach3 鋒速系列刮鬍刀組, 刀架+刀頭*2, 1盒</v>
          </cell>
          <cell r="G259">
            <v>165</v>
          </cell>
          <cell r="H259">
            <v>114.45200000000001</v>
          </cell>
          <cell r="I259" t="str">
            <v>delist</v>
          </cell>
          <cell r="J259"/>
        </row>
        <row r="260">
          <cell r="C260">
            <v>4987176132185</v>
          </cell>
          <cell r="D260"/>
          <cell r="E260" t="str">
            <v>N</v>
          </cell>
          <cell r="F260" t="str">
            <v>Gillette 吉列 台灣公司貨 Labs 極光系列 刮鬍刀頭, 8個, 1盒</v>
          </cell>
          <cell r="G260">
            <v>920</v>
          </cell>
          <cell r="H260">
            <v>236.96400000000003</v>
          </cell>
          <cell r="I260">
            <v>0</v>
          </cell>
          <cell r="J260"/>
        </row>
        <row r="261">
          <cell r="C261">
            <v>4987176132178</v>
          </cell>
          <cell r="D261"/>
          <cell r="E261" t="str">
            <v>N</v>
          </cell>
          <cell r="F261" t="str">
            <v>Gillette 吉列 台灣公司貨 Labs 極光系列 刮鬍刀頭, 4個, 1盒</v>
          </cell>
          <cell r="G261">
            <v>610</v>
          </cell>
          <cell r="H261">
            <v>122.512</v>
          </cell>
          <cell r="I261">
            <v>0</v>
          </cell>
          <cell r="J261"/>
        </row>
        <row r="262">
          <cell r="C262">
            <v>4987176272768</v>
          </cell>
          <cell r="D262"/>
          <cell r="E262" t="str">
            <v>N</v>
          </cell>
          <cell r="F262" t="str">
            <v>Gillette 吉列 原廠公司貨 Proglide無感系列刮鬍刀頭, 1組, 4個</v>
          </cell>
          <cell r="G262">
            <v>470</v>
          </cell>
          <cell r="H262">
            <v>307.892</v>
          </cell>
          <cell r="I262">
            <v>0</v>
          </cell>
          <cell r="J262"/>
        </row>
        <row r="263">
          <cell r="C263">
            <v>4987176272799</v>
          </cell>
          <cell r="D263"/>
          <cell r="E263" t="str">
            <v>N</v>
          </cell>
          <cell r="F263" t="str">
            <v>Gillette 吉列 原廠公司貨 ProShield鋒護系列 刮鬍刀頭, 4個, 1組</v>
          </cell>
          <cell r="G263">
            <v>525</v>
          </cell>
          <cell r="H263">
            <v>315.952</v>
          </cell>
          <cell r="I263">
            <v>0</v>
          </cell>
          <cell r="J263"/>
        </row>
        <row r="264">
          <cell r="C264">
            <v>4987176294395</v>
          </cell>
          <cell r="D264"/>
          <cell r="E264" t="str">
            <v>N</v>
          </cell>
          <cell r="F264" t="str">
            <v>Gillette 吉列 台灣公司貨 刮鬍泡 清新檸檬, 333g, 1罐</v>
          </cell>
          <cell r="G264">
            <v>112</v>
          </cell>
          <cell r="H264">
            <v>872.0920000000001</v>
          </cell>
          <cell r="I264" t="str">
            <v>delist</v>
          </cell>
          <cell r="J264"/>
        </row>
        <row r="265">
          <cell r="C265">
            <v>4987176294388</v>
          </cell>
          <cell r="D265"/>
          <cell r="E265" t="str">
            <v>N</v>
          </cell>
          <cell r="F265" t="str">
            <v>Gillette 吉列 台灣公司貨 刮鬍泡 敏感肌適用, 333g, 1罐</v>
          </cell>
          <cell r="G265">
            <v>112</v>
          </cell>
          <cell r="H265">
            <v>1070.3679999999999</v>
          </cell>
          <cell r="I265" t="str">
            <v>delist</v>
          </cell>
          <cell r="J265"/>
        </row>
        <row r="266">
          <cell r="C266">
            <v>4987176048950</v>
          </cell>
          <cell r="D266"/>
          <cell r="E266" t="str">
            <v>N</v>
          </cell>
          <cell r="F266" t="str">
            <v>Gillette 吉列 台灣公司貨 刮鬍泡 冰涼清爽型, 245g, 1罐</v>
          </cell>
          <cell r="G266">
            <v>112</v>
          </cell>
          <cell r="H266">
            <v>383.65600000000001</v>
          </cell>
          <cell r="I266" t="str">
            <v>delist</v>
          </cell>
          <cell r="J266"/>
        </row>
        <row r="267">
          <cell r="C267">
            <v>4987176293374</v>
          </cell>
          <cell r="D267"/>
          <cell r="E267" t="str">
            <v>N</v>
          </cell>
          <cell r="F267" t="str">
            <v>Gillette 吉列 服貼滑順輕便刮鬍刀, 10支, 1包</v>
          </cell>
          <cell r="G267">
            <v>93</v>
          </cell>
          <cell r="H267">
            <v>604.5</v>
          </cell>
          <cell r="I267">
            <v>0</v>
          </cell>
          <cell r="J267"/>
        </row>
        <row r="268">
          <cell r="C268">
            <v>4987176274168</v>
          </cell>
          <cell r="D268"/>
          <cell r="E268" t="str">
            <v>N</v>
          </cell>
          <cell r="F268" t="str">
            <v>Gillette 吉列 SkinGuard 紳適系列刮鬍刀頭, 4個, 1組</v>
          </cell>
          <cell r="G268">
            <v>419</v>
          </cell>
          <cell r="H268">
            <v>0</v>
          </cell>
          <cell r="I268">
            <v>4</v>
          </cell>
          <cell r="J268"/>
        </row>
        <row r="269">
          <cell r="C269">
            <v>4987176030382</v>
          </cell>
          <cell r="D269"/>
          <cell r="E269" t="str">
            <v>N</v>
          </cell>
          <cell r="F269" t="str">
            <v>febreze 風倍清 台灣公司貨 浴廁用抗菌消臭防臭劑山谷微香, 6ml, 1入</v>
          </cell>
          <cell r="G269">
            <v>104</v>
          </cell>
          <cell r="H269">
            <v>0</v>
          </cell>
          <cell r="I269">
            <v>0</v>
          </cell>
          <cell r="J269"/>
        </row>
        <row r="270">
          <cell r="C270">
            <v>4902430363938</v>
          </cell>
          <cell r="D270"/>
          <cell r="E270" t="str">
            <v>N</v>
          </cell>
          <cell r="F270" t="str">
            <v>Febreze 風倍清 織物除菌消臭噴霧 綠茶清香 370ml,1瓶</v>
          </cell>
          <cell r="G270">
            <v>106</v>
          </cell>
          <cell r="H270">
            <v>1700.6599999999996</v>
          </cell>
          <cell r="I270">
            <v>0</v>
          </cell>
          <cell r="J270"/>
        </row>
        <row r="271">
          <cell r="C271">
            <v>4902430520294</v>
          </cell>
          <cell r="D271"/>
          <cell r="E271" t="str">
            <v>N</v>
          </cell>
          <cell r="F271" t="str">
            <v>Febreze 風倍清 織物除菌消臭噴霧 無香型,370ml, 1瓶</v>
          </cell>
          <cell r="G271">
            <v>106</v>
          </cell>
          <cell r="H271">
            <v>923.67599999999993</v>
          </cell>
          <cell r="I271">
            <v>0</v>
          </cell>
          <cell r="J271"/>
        </row>
        <row r="272">
          <cell r="C272">
            <v>4987176030344</v>
          </cell>
          <cell r="D272"/>
          <cell r="E272" t="str">
            <v>N</v>
          </cell>
          <cell r="F272" t="str">
            <v>Febreze 風倍清 浴廁用抗菌消臭防臭劑 清爽皂香, 6ml, 1入</v>
          </cell>
          <cell r="G272">
            <v>105</v>
          </cell>
          <cell r="H272">
            <v>0</v>
          </cell>
          <cell r="I272">
            <v>0</v>
          </cell>
          <cell r="J272"/>
        </row>
        <row r="273">
          <cell r="C273">
            <v>4902430910255</v>
          </cell>
          <cell r="D273"/>
          <cell r="E273" t="str">
            <v>N</v>
          </cell>
          <cell r="F273" t="str">
            <v>febreze 風倍清 織物除菌消臭噴霧 無香酒精+, 370ml, 1瓶</v>
          </cell>
          <cell r="G273">
            <v>106</v>
          </cell>
          <cell r="H273">
            <v>311.11599999999999</v>
          </cell>
          <cell r="I273">
            <v>0</v>
          </cell>
          <cell r="J273"/>
        </row>
        <row r="274">
          <cell r="C274">
            <v>4902430363921</v>
          </cell>
          <cell r="D274"/>
          <cell r="E274" t="str">
            <v>N</v>
          </cell>
          <cell r="F274" t="str">
            <v>febreze 風倍清 台灣公司貨 織物除菌消臭噴霧 高效除菌, 370ml, 1瓶</v>
          </cell>
          <cell r="G274">
            <v>106</v>
          </cell>
          <cell r="H274">
            <v>3415.8280000000009</v>
          </cell>
          <cell r="I274">
            <v>0</v>
          </cell>
          <cell r="J274"/>
        </row>
        <row r="275">
          <cell r="C275">
            <v>4902430955102</v>
          </cell>
          <cell r="D275"/>
          <cell r="E275" t="str">
            <v>N</v>
          </cell>
          <cell r="F275" t="str">
            <v>Febreze 風倍清 織物除菌消臭噴霧 補充包 ,綠茶清香, 320ml, 1包</v>
          </cell>
          <cell r="G275">
            <v>81</v>
          </cell>
          <cell r="H275">
            <v>1225.1199999999999</v>
          </cell>
          <cell r="I275">
            <v>0</v>
          </cell>
          <cell r="J275"/>
        </row>
        <row r="276">
          <cell r="C276">
            <v>4902430910279</v>
          </cell>
          <cell r="D276"/>
          <cell r="E276" t="str">
            <v>N</v>
          </cell>
          <cell r="F276" t="str">
            <v>febreze 風倍清 織物除菌消臭噴霧 補充包無香含酒精, 320ml, 1包</v>
          </cell>
          <cell r="G276">
            <v>81</v>
          </cell>
          <cell r="H276">
            <v>306.27999999999997</v>
          </cell>
          <cell r="I276">
            <v>0</v>
          </cell>
          <cell r="J276"/>
        </row>
        <row r="277">
          <cell r="C277">
            <v>4902430113205</v>
          </cell>
          <cell r="D277"/>
          <cell r="E277" t="str">
            <v>N</v>
          </cell>
          <cell r="F277" t="str">
            <v>febreze 風倍清 織物除菌消臭噴霧補充包, 高效除菌, 320ml, 1包</v>
          </cell>
          <cell r="G277">
            <v>81</v>
          </cell>
          <cell r="H277">
            <v>3773.692</v>
          </cell>
          <cell r="I277">
            <v>0</v>
          </cell>
          <cell r="J277"/>
        </row>
        <row r="278">
          <cell r="C278">
            <v>4987176030368</v>
          </cell>
          <cell r="D278"/>
          <cell r="E278" t="str">
            <v>N</v>
          </cell>
          <cell r="F278" t="str">
            <v>Febreze 風倍清 浴廁用抗菌消臭防臭劑 薄荷綠香,6ml 1入</v>
          </cell>
          <cell r="G278">
            <v>104</v>
          </cell>
          <cell r="H278">
            <v>0</v>
          </cell>
          <cell r="I278">
            <v>0</v>
          </cell>
          <cell r="J278"/>
        </row>
        <row r="279">
          <cell r="C279">
            <v>4987176030399</v>
          </cell>
          <cell r="D279"/>
          <cell r="E279" t="str">
            <v>N</v>
          </cell>
          <cell r="F279" t="str">
            <v>febreze 風倍清 台灣公司貨 浴廁用抗菌消臭防臭劑 山谷微香, 6ml, 2入,1組</v>
          </cell>
          <cell r="G279">
            <v>201</v>
          </cell>
          <cell r="H279">
            <v>1915.0560000000003</v>
          </cell>
          <cell r="I279">
            <v>0</v>
          </cell>
          <cell r="J279"/>
        </row>
        <row r="280">
          <cell r="C280">
            <v>4987176030351</v>
          </cell>
          <cell r="D280"/>
          <cell r="E280" t="str">
            <v>N</v>
          </cell>
          <cell r="F280" t="str">
            <v>febreze 風倍清 台灣公司貨 浴廁用抗菌消臭防臭劑, 清爽皂香, 6ml, 2入,1組</v>
          </cell>
          <cell r="G280">
            <v>196</v>
          </cell>
          <cell r="H280">
            <v>3675.36</v>
          </cell>
          <cell r="I280">
            <v>0</v>
          </cell>
          <cell r="J280"/>
        </row>
        <row r="281">
          <cell r="C281">
            <v>4987176030375</v>
          </cell>
          <cell r="D281"/>
          <cell r="E281" t="str">
            <v>N</v>
          </cell>
          <cell r="F281" t="str">
            <v>febreze 風倍清 台灣公司貨 浴廁用抗菌消臭防臭劑 薄荷綠香 6ml, 2入, 1組</v>
          </cell>
          <cell r="G281">
            <v>197</v>
          </cell>
          <cell r="H281">
            <v>1710.3320000000001</v>
          </cell>
          <cell r="I281">
            <v>0</v>
          </cell>
          <cell r="J281"/>
        </row>
        <row r="282">
          <cell r="C282">
            <v>4902430341479</v>
          </cell>
          <cell r="D282"/>
          <cell r="E282" t="str">
            <v>N</v>
          </cell>
          <cell r="F282" t="str">
            <v xml:space="preserve"> febreze 風倍清 台灣公司貨 Naturis天然織物噴霧, 大馬士革玫瑰&amp;天竺葵, 370ml, 1瓶</v>
          </cell>
          <cell r="G282">
            <v>135</v>
          </cell>
          <cell r="H282">
            <v>509.39199999999994</v>
          </cell>
          <cell r="I282">
            <v>0</v>
          </cell>
          <cell r="J282"/>
        </row>
        <row r="283">
          <cell r="C283">
            <v>4987176156570</v>
          </cell>
          <cell r="D283"/>
          <cell r="E283" t="str">
            <v>N</v>
          </cell>
          <cell r="F283" t="str">
            <v>febreze 風倍清  台灣公司貨  新包裝升級 浴廁用防霉防臭劑, 清新柑橘, 7ml, 1入</v>
          </cell>
          <cell r="G283">
            <v>118</v>
          </cell>
          <cell r="H283">
            <v>0</v>
          </cell>
          <cell r="I283">
            <v>0</v>
          </cell>
          <cell r="J283"/>
        </row>
        <row r="284">
          <cell r="C284">
            <v>4987176156587</v>
          </cell>
          <cell r="D284"/>
          <cell r="E284" t="str">
            <v>N</v>
          </cell>
          <cell r="F284" t="str">
            <v>febreze 風倍清 台灣公司貨 新包裝升級 浴廁用防霉防臭劑, 柔和花香, 7ml, 2入,1組</v>
          </cell>
          <cell r="G284">
            <v>224</v>
          </cell>
          <cell r="H284">
            <v>9710.6880000000001</v>
          </cell>
          <cell r="I284">
            <v>0</v>
          </cell>
          <cell r="J284"/>
        </row>
        <row r="285">
          <cell r="C285">
            <v>4987176156563</v>
          </cell>
          <cell r="D285"/>
          <cell r="E285" t="str">
            <v>N</v>
          </cell>
          <cell r="F285" t="str">
            <v>febreze 風倍清 台灣公司貨 新包裝升級 浴廁用防霉防臭劑, 柔和花香, 7ml, 1入</v>
          </cell>
          <cell r="G285">
            <v>126</v>
          </cell>
          <cell r="H285">
            <v>0</v>
          </cell>
          <cell r="I285">
            <v>0</v>
          </cell>
          <cell r="J285"/>
        </row>
        <row r="286">
          <cell r="C286">
            <v>4987176156594</v>
          </cell>
          <cell r="D286"/>
          <cell r="E286" t="str">
            <v>N</v>
          </cell>
          <cell r="F286" t="str">
            <v>febreze 風倍清 台灣公司貨 新包裝升級浴廁用防霉防臭劑, 清新柑橘, 7ml, 2入,1組</v>
          </cell>
          <cell r="G286">
            <v>224</v>
          </cell>
          <cell r="H286">
            <v>660.92</v>
          </cell>
          <cell r="I286">
            <v>0</v>
          </cell>
          <cell r="J286"/>
        </row>
        <row r="287">
          <cell r="C287">
            <v>4987176291929</v>
          </cell>
          <cell r="D287"/>
          <cell r="E287" t="str">
            <v>N</v>
          </cell>
          <cell r="F287" t="str">
            <v>febreze 風倍清 台灣公司貨 室內用抗菌消臭防臭劑 清爽皂香, 7ml, 1個</v>
          </cell>
          <cell r="G287">
            <v>132</v>
          </cell>
          <cell r="H287">
            <v>633.51599999999996</v>
          </cell>
          <cell r="I287">
            <v>0</v>
          </cell>
          <cell r="J287"/>
        </row>
        <row r="288">
          <cell r="C288">
            <v>4987176291936</v>
          </cell>
          <cell r="D288"/>
          <cell r="E288" t="str">
            <v>N</v>
          </cell>
          <cell r="F288" t="str">
            <v>febreze 風倍清 台灣公司貨 室內用抗菌消臭防臭劑 清新白茶, 7ml, 1個</v>
          </cell>
          <cell r="G288">
            <v>132</v>
          </cell>
          <cell r="H288">
            <v>1436.2919999999997</v>
          </cell>
          <cell r="I288">
            <v>0</v>
          </cell>
          <cell r="J288"/>
        </row>
        <row r="289">
          <cell r="C289">
            <v>889714000434</v>
          </cell>
          <cell r="D289"/>
          <cell r="E289" t="str">
            <v>N</v>
          </cell>
          <cell r="F289" t="str">
            <v>Crest 3D White 美白牙貼高效組 溫和型, 14次, 28片, 1盒</v>
          </cell>
          <cell r="G289">
            <v>503</v>
          </cell>
          <cell r="H289">
            <v>728.62400000000002</v>
          </cell>
          <cell r="I289">
            <v>0</v>
          </cell>
          <cell r="J289"/>
        </row>
        <row r="290">
          <cell r="C290">
            <v>4987176252227</v>
          </cell>
          <cell r="D290"/>
          <cell r="E290" t="str">
            <v>N</v>
          </cell>
          <cell r="F290" t="str">
            <v>Crest 台灣公司貨 香氛鎖白牙膏, 清新雪櫻, 120g, 1條</v>
          </cell>
          <cell r="G290">
            <v>91</v>
          </cell>
          <cell r="H290">
            <v>520.67600000000004</v>
          </cell>
          <cell r="I290">
            <v>0</v>
          </cell>
          <cell r="J290"/>
        </row>
        <row r="291">
          <cell r="C291">
            <v>4987176252210</v>
          </cell>
          <cell r="D291"/>
          <cell r="E291" t="str">
            <v>N</v>
          </cell>
          <cell r="F291" t="str">
            <v>Crest 台灣公司貨 香氛鎖白牙膏 海洋薄荷, 120g, 1條</v>
          </cell>
          <cell r="G291">
            <v>91</v>
          </cell>
          <cell r="H291">
            <v>838.2399999999999</v>
          </cell>
          <cell r="I291">
            <v>0</v>
          </cell>
          <cell r="J291"/>
        </row>
        <row r="292">
          <cell r="C292">
            <v>4987176139429</v>
          </cell>
          <cell r="D292"/>
          <cell r="E292" t="str">
            <v>N</v>
          </cell>
          <cell r="F292" t="str">
            <v>Crest 香氛鎖白牙膏 岡山夢白桃, 120g, 1條</v>
          </cell>
          <cell r="G292">
            <v>87</v>
          </cell>
          <cell r="H292">
            <v>2293.8759999999997</v>
          </cell>
          <cell r="I292">
            <v>0</v>
          </cell>
          <cell r="J292"/>
        </row>
        <row r="293">
          <cell r="C293">
            <v>4987176139436</v>
          </cell>
          <cell r="D293"/>
          <cell r="E293" t="str">
            <v>N</v>
          </cell>
          <cell r="F293" t="str">
            <v>Crest 原廠公司貨 香氛鎖白牙膏 清柚白茶,120g, 1條</v>
          </cell>
          <cell r="G293">
            <v>91</v>
          </cell>
          <cell r="H293">
            <v>2285.8160000000003</v>
          </cell>
          <cell r="I293">
            <v>0</v>
          </cell>
          <cell r="J293"/>
        </row>
        <row r="294">
          <cell r="C294">
            <v>4987176191557</v>
          </cell>
          <cell r="D294"/>
          <cell r="E294" t="str">
            <v>N</v>
          </cell>
          <cell r="F294" t="str">
            <v>Crest 極致鑽白牙膏 鑽感薄荷, 110g, 1條</v>
          </cell>
          <cell r="G294">
            <v>85</v>
          </cell>
          <cell r="H294">
            <v>1768.3640000000003</v>
          </cell>
          <cell r="I294">
            <v>0</v>
          </cell>
          <cell r="J294"/>
        </row>
        <row r="295">
          <cell r="C295">
            <v>4987176191540</v>
          </cell>
          <cell r="D295"/>
          <cell r="E295" t="str">
            <v>N</v>
          </cell>
          <cell r="F295" t="str">
            <v>Crest 原廠公司貨 極致鑽白牙膏 鑽亮炫白, 110g, 1條</v>
          </cell>
          <cell r="G295">
            <v>85</v>
          </cell>
          <cell r="H295">
            <v>16755.127999999997</v>
          </cell>
          <cell r="I295">
            <v>0</v>
          </cell>
          <cell r="J295"/>
        </row>
        <row r="296">
          <cell r="C296">
            <v>24987176191551</v>
          </cell>
          <cell r="D296"/>
          <cell r="E296" t="str">
            <v>N</v>
          </cell>
          <cell r="F296" t="str">
            <v xml:space="preserve">Crest 台灣公司貨 極致鑽白牙膏 鑽感薄荷, 110g, 6條 </v>
          </cell>
          <cell r="G296">
            <v>510</v>
          </cell>
          <cell r="H296">
            <v>599.6640000000001</v>
          </cell>
          <cell r="I296">
            <v>0</v>
          </cell>
          <cell r="J296"/>
        </row>
        <row r="297">
          <cell r="C297">
            <v>24987176191544</v>
          </cell>
          <cell r="D297"/>
          <cell r="E297" t="str">
            <v>N</v>
          </cell>
          <cell r="F297" t="str">
            <v xml:space="preserve">Crest 台灣公司貨 極致鑽白牙膏 鑽亮炫白, 110g, 6條 </v>
          </cell>
          <cell r="G297">
            <v>508</v>
          </cell>
          <cell r="H297">
            <v>780.20799999999997</v>
          </cell>
          <cell r="I297">
            <v>0</v>
          </cell>
          <cell r="J297"/>
        </row>
        <row r="298">
          <cell r="C298">
            <v>4987176191564</v>
          </cell>
          <cell r="D298"/>
          <cell r="E298" t="str">
            <v>N</v>
          </cell>
          <cell r="F298" t="str">
            <v>Crest 台灣公司貨 極致鑽白牙膏 亮白防蛀, 110g, 1條</v>
          </cell>
          <cell r="G298">
            <v>85</v>
          </cell>
          <cell r="H298">
            <v>5895.0840000000007</v>
          </cell>
          <cell r="I298">
            <v>0</v>
          </cell>
          <cell r="J298"/>
        </row>
        <row r="299">
          <cell r="C299">
            <v>24987176191568</v>
          </cell>
          <cell r="D299"/>
          <cell r="E299" t="str">
            <v>N</v>
          </cell>
          <cell r="F299" t="str">
            <v xml:space="preserve">Crest 台灣公司貨 極致鑽白牙膏 亮白防蛀, 110g, 6條 </v>
          </cell>
          <cell r="G299">
            <v>516</v>
          </cell>
          <cell r="H299">
            <v>272.42800000000005</v>
          </cell>
          <cell r="I299">
            <v>0</v>
          </cell>
          <cell r="J299"/>
        </row>
        <row r="300">
          <cell r="C300">
            <v>4987176376893</v>
          </cell>
          <cell r="D300"/>
          <cell r="E300" t="str">
            <v>N</v>
          </cell>
          <cell r="F300" t="str">
            <v>Crest 多效淨白牙膏 清新茉莉, 120g, 1條</v>
          </cell>
          <cell r="G300">
            <v>57</v>
          </cell>
          <cell r="H300">
            <v>187.2</v>
          </cell>
          <cell r="I300" t="str">
            <v>Not Found</v>
          </cell>
          <cell r="J300"/>
        </row>
        <row r="301">
          <cell r="C301">
            <v>44987176376891</v>
          </cell>
          <cell r="D301"/>
          <cell r="E301" t="str">
            <v>N</v>
          </cell>
          <cell r="F301" t="str">
            <v>Crest 多效淨白牙膏 清新茉莉, 120g, 6條</v>
          </cell>
          <cell r="G301">
            <v>342</v>
          </cell>
          <cell r="H301">
            <v>93.6</v>
          </cell>
          <cell r="I301" t="str">
            <v>Not Found</v>
          </cell>
          <cell r="J301"/>
        </row>
        <row r="302">
          <cell r="C302">
            <v>4987176376879</v>
          </cell>
          <cell r="D302"/>
          <cell r="E302" t="str">
            <v>N</v>
          </cell>
          <cell r="F302" t="str">
            <v>Crest 多效淨白牙膏 檸檬青茶, 120g , 1條</v>
          </cell>
          <cell r="G302">
            <v>57</v>
          </cell>
          <cell r="H302">
            <v>187.2</v>
          </cell>
          <cell r="I302" t="str">
            <v>Not Found</v>
          </cell>
          <cell r="J302"/>
        </row>
        <row r="303">
          <cell r="C303">
            <v>44987176376877</v>
          </cell>
          <cell r="D303"/>
          <cell r="E303" t="str">
            <v>N</v>
          </cell>
          <cell r="F303" t="str">
            <v>Crest 多效淨白牙膏 檸檬青茶, 120g, 6條</v>
          </cell>
          <cell r="G303">
            <v>342</v>
          </cell>
          <cell r="H303">
            <v>93.6</v>
          </cell>
          <cell r="I303" t="str">
            <v>Not Found</v>
          </cell>
          <cell r="J303"/>
        </row>
        <row r="304">
          <cell r="C304">
            <v>4987176376886</v>
          </cell>
          <cell r="D304"/>
          <cell r="E304" t="str">
            <v>N</v>
          </cell>
          <cell r="F304" t="str">
            <v>Crest 多效淨白牙膏 清爽薄荷, 120g , 1條</v>
          </cell>
          <cell r="G304">
            <v>57</v>
          </cell>
          <cell r="H304">
            <v>187.2</v>
          </cell>
          <cell r="I304" t="str">
            <v>Not Found</v>
          </cell>
          <cell r="J304"/>
        </row>
        <row r="305">
          <cell r="C305">
            <v>44987176376884</v>
          </cell>
          <cell r="D305"/>
          <cell r="E305" t="str">
            <v>N</v>
          </cell>
          <cell r="F305" t="str">
            <v>Crest 多效淨白牙膏 清爽薄荷, 120g, 6條</v>
          </cell>
          <cell r="G305">
            <v>342</v>
          </cell>
          <cell r="H305">
            <v>93.6</v>
          </cell>
          <cell r="I305" t="str">
            <v>Not Found</v>
          </cell>
          <cell r="J305"/>
        </row>
        <row r="306">
          <cell r="C306">
            <v>14987176340877</v>
          </cell>
          <cell r="D306"/>
          <cell r="E306" t="str">
            <v>N</v>
          </cell>
          <cell r="F306" t="str">
            <v>[箱裝]ARIEL 抗菌洗衣精補充包, 高效除螨, 1690g, 6包</v>
          </cell>
          <cell r="G306">
            <v>1158</v>
          </cell>
          <cell r="H306">
            <v>103.09090909090909</v>
          </cell>
          <cell r="I306" t="str">
            <v>Not Found</v>
          </cell>
          <cell r="J306"/>
        </row>
        <row r="307">
          <cell r="C307">
            <v>4987176340863</v>
          </cell>
          <cell r="E307" t="str">
            <v>N</v>
          </cell>
          <cell r="F307" t="str">
            <v>ARIEL 原廠公司貨 抗菌洗衣精, 室內晾衣型, 1.9kg , 1瓶</v>
          </cell>
          <cell r="G307">
            <v>202</v>
          </cell>
          <cell r="H307">
            <v>5.4</v>
          </cell>
          <cell r="I307" t="str">
            <v>Not Found</v>
          </cell>
          <cell r="J307"/>
        </row>
        <row r="308">
          <cell r="C308">
            <v>4987176393326</v>
          </cell>
          <cell r="D308"/>
          <cell r="E308" t="str">
            <v>N</v>
          </cell>
          <cell r="F308" t="str">
            <v>Tide 汰漬 台灣公司貨 2倍超濃縮洗衣精, 3.69L, 1桶</v>
          </cell>
          <cell r="G308">
            <v>564</v>
          </cell>
          <cell r="H308">
            <v>428.79200000000003</v>
          </cell>
          <cell r="I308" t="str">
            <v>Not Found</v>
          </cell>
          <cell r="J308"/>
        </row>
        <row r="309">
          <cell r="C309">
            <v>4987176274922</v>
          </cell>
          <cell r="E309" t="str">
            <v>Y</v>
          </cell>
          <cell r="F309" t="str">
            <v>Lenor 蘭諾 衣物芳香豆 春暖晨露, 455ml, 1包</v>
          </cell>
          <cell r="G309">
            <v>138</v>
          </cell>
          <cell r="H309">
            <v>0</v>
          </cell>
          <cell r="I309">
            <v>0</v>
          </cell>
          <cell r="J309"/>
        </row>
        <row r="310">
          <cell r="C310">
            <v>4987176274908</v>
          </cell>
          <cell r="D310">
            <v>80815408</v>
          </cell>
          <cell r="E310" t="str">
            <v>N</v>
          </cell>
          <cell r="F310" t="str">
            <v>Lenor 蘭諾 衣物芳香豆 春暖晨露, 470ml, 1瓶</v>
          </cell>
          <cell r="G310">
            <v>166</v>
          </cell>
          <cell r="H310">
            <v>398.16399999999999</v>
          </cell>
          <cell r="I310">
            <v>0</v>
          </cell>
          <cell r="J310"/>
        </row>
        <row r="311">
          <cell r="C311">
            <v>4987176314772</v>
          </cell>
          <cell r="E311" t="str">
            <v>Y</v>
          </cell>
          <cell r="F311" t="str">
            <v>Lenor 蘭諾 衣物芳香豆 雪松梔子花 補充包, 440ml, 1包</v>
          </cell>
          <cell r="G311">
            <v>136</v>
          </cell>
          <cell r="H311">
            <v>0</v>
          </cell>
          <cell r="I311">
            <v>0</v>
          </cell>
          <cell r="J311"/>
        </row>
        <row r="312">
          <cell r="C312">
            <v>4987176314277</v>
          </cell>
          <cell r="D312">
            <v>80841892</v>
          </cell>
          <cell r="E312" t="str">
            <v>N</v>
          </cell>
          <cell r="F312" t="str">
            <v>Lenor 蘭諾 衣物芳香豆 甜柔麝香, 450ml, 1瓶</v>
          </cell>
          <cell r="G312">
            <v>174</v>
          </cell>
          <cell r="H312">
            <v>931.73599999999999</v>
          </cell>
          <cell r="I312">
            <v>0</v>
          </cell>
          <cell r="J312"/>
        </row>
        <row r="313">
          <cell r="C313">
            <v>4987176314338</v>
          </cell>
          <cell r="D313">
            <v>80841899</v>
          </cell>
          <cell r="E313" t="str">
            <v>N</v>
          </cell>
          <cell r="F313" t="str">
            <v>Lenor 蘭諾 衣物芳香豆 甜花石榴香, 450ml, 1瓶</v>
          </cell>
          <cell r="G313">
            <v>174</v>
          </cell>
          <cell r="H313">
            <v>2168.1400000000003</v>
          </cell>
          <cell r="I313">
            <v>0</v>
          </cell>
          <cell r="J313"/>
        </row>
        <row r="314">
          <cell r="C314">
            <v>4987176314413</v>
          </cell>
          <cell r="D314">
            <v>80841907</v>
          </cell>
          <cell r="E314" t="str">
            <v>N</v>
          </cell>
          <cell r="F314" t="str">
            <v>Lenor 蘭諾 衣物芳香豆 青檸紫羅蘭, 450ml, 1瓶</v>
          </cell>
          <cell r="G314">
            <v>174</v>
          </cell>
          <cell r="H314">
            <v>438.464</v>
          </cell>
          <cell r="I314">
            <v>0</v>
          </cell>
          <cell r="J314"/>
        </row>
        <row r="315">
          <cell r="C315">
            <v>4987176314406</v>
          </cell>
          <cell r="D315">
            <v>80841906</v>
          </cell>
          <cell r="E315" t="str">
            <v>N</v>
          </cell>
          <cell r="F315" t="str">
            <v>Lenor 蘭諾 衣物芳香豆 清晨草木, 450ml, 1瓶</v>
          </cell>
          <cell r="G315">
            <v>174</v>
          </cell>
          <cell r="H315">
            <v>702.83199999999988</v>
          </cell>
          <cell r="I315">
            <v>0</v>
          </cell>
          <cell r="J315"/>
        </row>
        <row r="316">
          <cell r="C316">
            <v>4987176314222</v>
          </cell>
          <cell r="D316">
            <v>80841888</v>
          </cell>
          <cell r="E316" t="str">
            <v>N</v>
          </cell>
          <cell r="F316" t="str">
            <v>Lenor 蘭諾 衣物芳香豆 雪松梔子花, 450ml, 1瓶</v>
          </cell>
          <cell r="G316">
            <v>174</v>
          </cell>
          <cell r="H316">
            <v>2350.2960000000003</v>
          </cell>
          <cell r="I316">
            <v>0</v>
          </cell>
          <cell r="J316"/>
        </row>
        <row r="317">
          <cell r="C317">
            <v>4987176314253</v>
          </cell>
          <cell r="D317">
            <v>80841891</v>
          </cell>
          <cell r="E317" t="str">
            <v>N</v>
          </cell>
          <cell r="F317" t="str">
            <v>Lenor 蘭諾 衣物芳香豆 潮濕天氣抗臭, 440ml, 1瓶</v>
          </cell>
          <cell r="G317">
            <v>174</v>
          </cell>
          <cell r="H317">
            <v>401.38799999999998</v>
          </cell>
          <cell r="I317">
            <v>0</v>
          </cell>
          <cell r="J317"/>
        </row>
        <row r="318">
          <cell r="C318">
            <v>4987176314291</v>
          </cell>
          <cell r="E318" t="str">
            <v>Y</v>
          </cell>
          <cell r="F318" t="str">
            <v>Lenor 蘭諾 衣物芳香豆 潮濕天氣抗臭 補充包, 430ml, 1包</v>
          </cell>
          <cell r="G318">
            <v>140</v>
          </cell>
          <cell r="H318">
            <v>0</v>
          </cell>
          <cell r="I318">
            <v>0</v>
          </cell>
          <cell r="J318"/>
        </row>
        <row r="319">
          <cell r="C319">
            <v>4987176314284</v>
          </cell>
          <cell r="D319">
            <v>80841894</v>
          </cell>
          <cell r="E319" t="str">
            <v>N</v>
          </cell>
          <cell r="F319" t="str">
            <v>Lenor 蘭諾 衣物芳香豆 運動衣物抗臭, 440ml, 1瓶</v>
          </cell>
          <cell r="G319">
            <v>174</v>
          </cell>
          <cell r="H319">
            <v>844.68799999999999</v>
          </cell>
          <cell r="I319">
            <v>0</v>
          </cell>
          <cell r="J319"/>
        </row>
        <row r="320">
          <cell r="C320">
            <v>4987176314369</v>
          </cell>
          <cell r="E320" t="str">
            <v>Y</v>
          </cell>
          <cell r="F320" t="str">
            <v>Lenor 蘭諾 衣物芳香豆 運動衣物抗臭 補充包, 430ml, 1包</v>
          </cell>
          <cell r="G320">
            <v>140</v>
          </cell>
          <cell r="H320">
            <v>0</v>
          </cell>
          <cell r="I320">
            <v>0</v>
          </cell>
          <cell r="J320"/>
        </row>
        <row r="321">
          <cell r="C321">
            <v>4987176339928</v>
          </cell>
          <cell r="E321" t="str">
            <v>Y</v>
          </cell>
          <cell r="F321" t="str">
            <v>Bold 原廠公司貨 四合一洗衣膠囊 清淨花香, 57個裝, 1套</v>
          </cell>
          <cell r="G321">
            <v>368</v>
          </cell>
          <cell r="H321">
            <v>0</v>
          </cell>
          <cell r="I321">
            <v>0</v>
          </cell>
          <cell r="J321"/>
        </row>
        <row r="322">
          <cell r="C322">
            <v>4987176339898</v>
          </cell>
          <cell r="D322"/>
          <cell r="E322" t="str">
            <v>N</v>
          </cell>
          <cell r="F322" t="str">
            <v>BOLD原廠公司貨 四合一洗衣膠囊 淡雅花香, 31顆 ,1袋</v>
          </cell>
          <cell r="G322" t="str">
            <v>TBC</v>
          </cell>
          <cell r="H322">
            <v>140.4</v>
          </cell>
          <cell r="I322" t="str">
            <v>Not Found</v>
          </cell>
          <cell r="J322"/>
        </row>
        <row r="323">
          <cell r="C323">
            <v>4987176247728</v>
          </cell>
          <cell r="E323" t="str">
            <v>Y</v>
          </cell>
          <cell r="F323" t="str">
            <v>ARIEL 抗菌抗臭洗衣精補充包, 室內晾衣型, 1030g, 1包</v>
          </cell>
          <cell r="G323">
            <v>112</v>
          </cell>
          <cell r="H323">
            <v>0</v>
          </cell>
          <cell r="I323">
            <v>0</v>
          </cell>
          <cell r="J323"/>
        </row>
        <row r="324">
          <cell r="C324">
            <v>4987176247711</v>
          </cell>
          <cell r="E324" t="str">
            <v>Y</v>
          </cell>
          <cell r="F324" t="str">
            <v>ARIEL 抗菌抗臭洗衣精補充包, 抗菌去漬型, 1030g, 1包</v>
          </cell>
          <cell r="G324">
            <v>112</v>
          </cell>
          <cell r="H324">
            <v>0</v>
          </cell>
          <cell r="I324">
            <v>0</v>
          </cell>
          <cell r="J324"/>
        </row>
        <row r="325">
          <cell r="C325">
            <v>4987176340917</v>
          </cell>
          <cell r="D325">
            <v>80870022</v>
          </cell>
          <cell r="E325" t="str">
            <v>N</v>
          </cell>
          <cell r="F325" t="str">
            <v>ARIEL 抗菌洗衣精 抗菌去漬型, 800g, 1個</v>
          </cell>
          <cell r="G325">
            <v>122</v>
          </cell>
          <cell r="H325">
            <v>3462.576</v>
          </cell>
          <cell r="I325">
            <v>0</v>
          </cell>
          <cell r="J325"/>
        </row>
        <row r="326">
          <cell r="C326">
            <v>4987176340887</v>
          </cell>
          <cell r="D326">
            <v>80834744</v>
          </cell>
          <cell r="E326" t="str">
            <v>N</v>
          </cell>
          <cell r="F326" t="str">
            <v>ARIEL 抗菌洗衣精 自然微香型, 800g, 1個</v>
          </cell>
          <cell r="G326">
            <v>122</v>
          </cell>
          <cell r="H326">
            <v>914.00399999999991</v>
          </cell>
          <cell r="I326">
            <v>0</v>
          </cell>
          <cell r="J326"/>
        </row>
        <row r="327">
          <cell r="C327">
            <v>4987176340931</v>
          </cell>
          <cell r="D327">
            <v>80870021</v>
          </cell>
          <cell r="E327" t="str">
            <v>N</v>
          </cell>
          <cell r="F327" t="str">
            <v>ARIEL 抗菌洗衣精 室內晾衣型, 800g, 1瓶</v>
          </cell>
          <cell r="G327">
            <v>122</v>
          </cell>
          <cell r="H327">
            <v>5782.2439999999997</v>
          </cell>
          <cell r="I327">
            <v>0</v>
          </cell>
          <cell r="J327"/>
        </row>
        <row r="328">
          <cell r="C328">
            <v>4987176340948</v>
          </cell>
          <cell r="D328">
            <v>80835222</v>
          </cell>
          <cell r="E328" t="str">
            <v>N</v>
          </cell>
          <cell r="F328" t="str">
            <v>ARIEL 抗菌洗衣精 高效除蟎, 800g, 1個</v>
          </cell>
          <cell r="G328">
            <v>122</v>
          </cell>
          <cell r="H328">
            <v>2139.1240000000003</v>
          </cell>
          <cell r="I328">
            <v>0</v>
          </cell>
          <cell r="J328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ND"/>
      <sheetName val="Sheet2"/>
      <sheetName val="SOND Summary"/>
      <sheetName val="Data for PV"/>
      <sheetName val="PV table"/>
    </sheetNames>
    <sheetDataSet>
      <sheetData sheetId="0"/>
      <sheetData sheetId="1"/>
      <sheetData sheetId="2"/>
      <sheetData sheetId="3">
        <row r="2">
          <cell r="H2" t="str">
            <v>Buying</v>
          </cell>
          <cell r="I2" t="str">
            <v>Buying</v>
          </cell>
          <cell r="J2" t="str">
            <v>Buying</v>
          </cell>
          <cell r="K2" t="str">
            <v>Buying</v>
          </cell>
        </row>
        <row r="3">
          <cell r="C3"/>
          <cell r="D3"/>
          <cell r="E3"/>
          <cell r="F3"/>
          <cell r="G3" t="str">
            <v>Unit</v>
          </cell>
          <cell r="H3"/>
          <cell r="I3"/>
          <cell r="J3"/>
          <cell r="K3"/>
        </row>
        <row r="4">
          <cell r="B4" t="str">
            <v>PGcode</v>
          </cell>
          <cell r="C4" t="str">
            <v>SKU Name</v>
          </cell>
          <cell r="D4" t="str">
            <v>Product Form</v>
          </cell>
          <cell r="E4" t="str">
            <v>cpgs2</v>
          </cell>
          <cell r="F4" t="str">
            <v>GIV</v>
          </cell>
          <cell r="G4" t="str">
            <v>Note</v>
          </cell>
          <cell r="H4" t="str">
            <v>Demand S(CS)</v>
          </cell>
          <cell r="I4" t="str">
            <v>Demand O(CS)</v>
          </cell>
          <cell r="J4" t="str">
            <v>Demand N(CS)</v>
          </cell>
          <cell r="K4" t="str">
            <v>Demand D(CS)</v>
          </cell>
          <cell r="L4" t="str">
            <v>S Supply(CS)</v>
          </cell>
        </row>
        <row r="5">
          <cell r="B5">
            <v>83936822</v>
          </cell>
          <cell r="C5" t="str">
            <v>ARIEL 4D抗菌洗衣膠囊73顆袋裝-抗菌去漬</v>
          </cell>
          <cell r="D5" t="str">
            <v>SUD</v>
          </cell>
          <cell r="E5">
            <v>1553.86</v>
          </cell>
          <cell r="F5">
            <v>1746.4</v>
          </cell>
          <cell r="G5"/>
          <cell r="H5"/>
          <cell r="I5"/>
          <cell r="J5"/>
          <cell r="K5"/>
          <cell r="L5">
            <v>1716</v>
          </cell>
        </row>
        <row r="6">
          <cell r="B6">
            <v>83939482</v>
          </cell>
          <cell r="C6" t="str">
            <v>ARIEL 4D抗菌洗衣膠囊73顆袋裝-室內晾衣</v>
          </cell>
          <cell r="D6" t="str">
            <v>SUD</v>
          </cell>
          <cell r="E6">
            <v>1553.86</v>
          </cell>
          <cell r="F6">
            <v>1746.4</v>
          </cell>
          <cell r="G6"/>
          <cell r="H6"/>
          <cell r="I6"/>
          <cell r="J6"/>
          <cell r="K6"/>
          <cell r="L6"/>
        </row>
        <row r="7">
          <cell r="B7">
            <v>80863067</v>
          </cell>
          <cell r="C7" t="str">
            <v>ARIEL 抗菌洗衣精補充 抗菌去漬型, 1690g, 1個</v>
          </cell>
          <cell r="D7" t="str">
            <v>Liquid</v>
          </cell>
          <cell r="E7">
            <v>193</v>
          </cell>
          <cell r="F7">
            <v>1283.4000000000001</v>
          </cell>
          <cell r="H7">
            <v>1942</v>
          </cell>
          <cell r="I7">
            <v>1942</v>
          </cell>
          <cell r="J7">
            <v>1942</v>
          </cell>
          <cell r="K7">
            <v>1469</v>
          </cell>
          <cell r="L7">
            <v>772.72727272727263</v>
          </cell>
        </row>
        <row r="8">
          <cell r="B8">
            <v>80863061</v>
          </cell>
          <cell r="C8" t="str">
            <v>ARIEL 抗菌洗衣精補充 室內晾衣型, 1690g, 1個</v>
          </cell>
          <cell r="D8" t="str">
            <v>Liquid</v>
          </cell>
          <cell r="E8">
            <v>193</v>
          </cell>
          <cell r="F8">
            <v>1283.4000000000001</v>
          </cell>
          <cell r="H8">
            <v>1908</v>
          </cell>
          <cell r="I8">
            <v>1908</v>
          </cell>
          <cell r="J8">
            <v>1908</v>
          </cell>
          <cell r="K8">
            <v>1367</v>
          </cell>
          <cell r="L8">
            <v>618.18181818181813</v>
          </cell>
        </row>
        <row r="9">
          <cell r="B9">
            <v>80859031</v>
          </cell>
          <cell r="C9" t="str">
            <v>ARIEL 4D抗菌洗衣膠囊補充包 抗菌去漬型, 30個裝, 1套</v>
          </cell>
          <cell r="D9" t="str">
            <v>SUD</v>
          </cell>
          <cell r="E9">
            <v>208</v>
          </cell>
          <cell r="F9">
            <v>2256.9</v>
          </cell>
          <cell r="H9">
            <v>840</v>
          </cell>
          <cell r="I9">
            <v>897</v>
          </cell>
          <cell r="J9">
            <v>897</v>
          </cell>
          <cell r="K9">
            <v>490</v>
          </cell>
          <cell r="L9"/>
        </row>
        <row r="10">
          <cell r="B10">
            <v>80788033</v>
          </cell>
          <cell r="C10" t="str">
            <v>ARIEL 抗菌抗臭洗衣精補充包, 抗菌去漬型, 1030g, 1包</v>
          </cell>
          <cell r="D10" t="str">
            <v>Liquid</v>
          </cell>
          <cell r="E10">
            <v>112</v>
          </cell>
          <cell r="F10">
            <v>955.7</v>
          </cell>
          <cell r="H10">
            <v>1082</v>
          </cell>
          <cell r="I10">
            <v>1082</v>
          </cell>
          <cell r="J10">
            <v>1082</v>
          </cell>
          <cell r="K10">
            <v>672</v>
          </cell>
          <cell r="L10"/>
        </row>
        <row r="11">
          <cell r="B11">
            <v>80788034</v>
          </cell>
          <cell r="C11" t="str">
            <v>ARIEL 抗菌抗臭洗衣精補充包, 室內晾衣型, 1030g, 1包</v>
          </cell>
          <cell r="D11" t="str">
            <v>Liquid</v>
          </cell>
          <cell r="E11">
            <v>112</v>
          </cell>
          <cell r="F11">
            <v>955.7</v>
          </cell>
          <cell r="H11">
            <v>888</v>
          </cell>
          <cell r="I11">
            <v>888</v>
          </cell>
          <cell r="J11">
            <v>888</v>
          </cell>
          <cell r="K11">
            <v>551</v>
          </cell>
          <cell r="L11"/>
        </row>
        <row r="12">
          <cell r="B12">
            <v>80859032</v>
          </cell>
          <cell r="C12" t="str">
            <v>ARIEL 4D抗菌洗衣膠囊補充包 室內晾衣型, 30個裝, 1套</v>
          </cell>
          <cell r="D12" t="str">
            <v>SUD</v>
          </cell>
          <cell r="E12">
            <v>208</v>
          </cell>
          <cell r="F12">
            <v>2256.9</v>
          </cell>
          <cell r="H12">
            <v>676</v>
          </cell>
          <cell r="I12">
            <v>676</v>
          </cell>
          <cell r="J12">
            <v>676</v>
          </cell>
          <cell r="K12">
            <v>483</v>
          </cell>
          <cell r="L12"/>
        </row>
        <row r="13">
          <cell r="B13">
            <v>80864483</v>
          </cell>
          <cell r="C13" t="str">
            <v>ARIEL 抗菌洗衣精 室內晾衣型, 800g, 1瓶</v>
          </cell>
          <cell r="D13" t="str">
            <v>Liquid</v>
          </cell>
          <cell r="E13">
            <v>122</v>
          </cell>
          <cell r="F13">
            <v>1620</v>
          </cell>
          <cell r="H13">
            <v>482</v>
          </cell>
          <cell r="I13">
            <v>482</v>
          </cell>
          <cell r="J13">
            <v>482</v>
          </cell>
          <cell r="K13">
            <v>299</v>
          </cell>
          <cell r="L13"/>
        </row>
        <row r="14">
          <cell r="B14">
            <v>83916087</v>
          </cell>
          <cell r="C14" t="str">
            <v>ARIEL 4D抗菌洗衣膠囊補充包 抗菌去漬型, 80顆, 1袋</v>
          </cell>
          <cell r="D14" t="str">
            <v>SUD</v>
          </cell>
          <cell r="E14">
            <v>447</v>
          </cell>
          <cell r="F14">
            <v>1952</v>
          </cell>
          <cell r="H14">
            <v>735</v>
          </cell>
          <cell r="I14">
            <v>1389</v>
          </cell>
          <cell r="J14">
            <v>1389</v>
          </cell>
          <cell r="K14">
            <v>926</v>
          </cell>
          <cell r="L14">
            <v>940</v>
          </cell>
        </row>
        <row r="15">
          <cell r="B15">
            <v>80864485</v>
          </cell>
          <cell r="C15" t="str">
            <v>ARIEL 抗菌洗衣精 抗菌去漬型, 800g, 1個</v>
          </cell>
          <cell r="D15" t="str">
            <v>Liquid</v>
          </cell>
          <cell r="E15">
            <v>122</v>
          </cell>
          <cell r="F15">
            <v>1620</v>
          </cell>
          <cell r="H15">
            <v>289</v>
          </cell>
          <cell r="I15">
            <v>289</v>
          </cell>
          <cell r="J15">
            <v>289</v>
          </cell>
          <cell r="K15">
            <v>179</v>
          </cell>
          <cell r="L15"/>
        </row>
        <row r="16">
          <cell r="B16">
            <v>80863069</v>
          </cell>
          <cell r="C16" t="str">
            <v>ARIEL 抗菌洗衣精補充 自然微香型, 1690g, 1個</v>
          </cell>
          <cell r="D16" t="str">
            <v>Liquid</v>
          </cell>
          <cell r="E16">
            <v>193</v>
          </cell>
          <cell r="F16">
            <v>1283.4000000000001</v>
          </cell>
          <cell r="H16">
            <v>303</v>
          </cell>
          <cell r="I16">
            <v>363</v>
          </cell>
          <cell r="J16">
            <v>363</v>
          </cell>
          <cell r="K16">
            <v>226</v>
          </cell>
          <cell r="L16">
            <v>154.54545454545453</v>
          </cell>
        </row>
        <row r="17">
          <cell r="B17">
            <v>80864480</v>
          </cell>
          <cell r="C17" t="str">
            <v>ARIEL 抗菌洗衣精 高效除蟎, 800g, 1個</v>
          </cell>
          <cell r="D17" t="str">
            <v>Liquid</v>
          </cell>
          <cell r="E17">
            <v>122</v>
          </cell>
          <cell r="F17">
            <v>1620</v>
          </cell>
          <cell r="H17">
            <v>179</v>
          </cell>
          <cell r="I17">
            <v>179</v>
          </cell>
          <cell r="J17">
            <v>179</v>
          </cell>
          <cell r="K17">
            <v>111</v>
          </cell>
          <cell r="L17"/>
        </row>
        <row r="18">
          <cell r="B18">
            <v>80863063</v>
          </cell>
          <cell r="C18" t="str">
            <v>ARIEL 抗菌洗衣精補充 高效除蟎, 1690g, 1個</v>
          </cell>
          <cell r="D18" t="str">
            <v>Liquid</v>
          </cell>
          <cell r="E18">
            <v>193</v>
          </cell>
          <cell r="F18">
            <v>1283.4000000000001</v>
          </cell>
          <cell r="H18">
            <v>173</v>
          </cell>
          <cell r="I18">
            <v>295</v>
          </cell>
          <cell r="J18">
            <v>295</v>
          </cell>
          <cell r="K18">
            <v>233</v>
          </cell>
          <cell r="L18">
            <v>772.72727272727263</v>
          </cell>
        </row>
        <row r="19">
          <cell r="B19">
            <v>80864486</v>
          </cell>
          <cell r="C19" t="str">
            <v>ARIEL 原廠公司貨 抗菌洗衣精, 抗菌去漬型, 1.9kg , 1瓶</v>
          </cell>
          <cell r="D19" t="str">
            <v>Liquid</v>
          </cell>
          <cell r="E19">
            <v>202</v>
          </cell>
          <cell r="F19">
            <v>1329.6</v>
          </cell>
          <cell r="H19">
            <v>247</v>
          </cell>
          <cell r="I19">
            <v>281</v>
          </cell>
          <cell r="J19">
            <v>281</v>
          </cell>
          <cell r="K19">
            <v>281</v>
          </cell>
          <cell r="L19"/>
        </row>
        <row r="20">
          <cell r="B20">
            <v>80864482</v>
          </cell>
          <cell r="C20" t="str">
            <v>ARIEL 抗菌洗衣精 自然微香型, 800g, 1個</v>
          </cell>
          <cell r="D20" t="str">
            <v>Liquid</v>
          </cell>
          <cell r="E20">
            <v>122</v>
          </cell>
          <cell r="F20">
            <v>1620</v>
          </cell>
          <cell r="H20">
            <v>77</v>
          </cell>
          <cell r="I20">
            <v>77</v>
          </cell>
          <cell r="J20">
            <v>77</v>
          </cell>
          <cell r="K20">
            <v>48</v>
          </cell>
          <cell r="L20"/>
        </row>
        <row r="21">
          <cell r="B21">
            <v>80863061</v>
          </cell>
          <cell r="C21" t="str">
            <v>[箱裝]ARIEL 抗菌洗衣精補充包, 室內晾衣型, 1690g, 6包</v>
          </cell>
          <cell r="D21" t="str">
            <v>Liquid</v>
          </cell>
          <cell r="E21">
            <v>1158</v>
          </cell>
          <cell r="F21">
            <v>1283.4000000000001</v>
          </cell>
          <cell r="H21">
            <v>578</v>
          </cell>
          <cell r="I21">
            <v>721</v>
          </cell>
          <cell r="J21">
            <v>721</v>
          </cell>
          <cell r="K21">
            <v>219</v>
          </cell>
          <cell r="L21"/>
        </row>
        <row r="22">
          <cell r="B22">
            <v>80859027</v>
          </cell>
          <cell r="C22" t="str">
            <v>ARIEL 4D抗菌洗衣膠囊補充包 自然微香型, 30個裝, 1套</v>
          </cell>
          <cell r="D22" t="str">
            <v>SUD</v>
          </cell>
          <cell r="E22">
            <v>208</v>
          </cell>
          <cell r="F22">
            <v>2256.9</v>
          </cell>
          <cell r="H22">
            <v>39</v>
          </cell>
          <cell r="I22">
            <v>39</v>
          </cell>
          <cell r="J22">
            <v>39</v>
          </cell>
          <cell r="K22">
            <v>39</v>
          </cell>
          <cell r="L22"/>
        </row>
        <row r="23">
          <cell r="B23">
            <v>80864488</v>
          </cell>
          <cell r="C23" t="str">
            <v>ARIEL 原廠公司貨 抗菌洗衣精, 室內晾衣型, 1.9kg , 1瓶</v>
          </cell>
          <cell r="D23" t="str">
            <v>Liquid</v>
          </cell>
          <cell r="E23">
            <v>202</v>
          </cell>
          <cell r="F23">
            <v>1329.6</v>
          </cell>
          <cell r="H23">
            <v>37</v>
          </cell>
          <cell r="I23">
            <v>51</v>
          </cell>
          <cell r="J23">
            <v>51</v>
          </cell>
          <cell r="K23">
            <v>51</v>
          </cell>
          <cell r="L23"/>
        </row>
        <row r="24">
          <cell r="B24">
            <v>80863067</v>
          </cell>
          <cell r="C24" t="str">
            <v>[箱裝]ARIEL 抗菌洗衣精補充包, 抗菌去漬型, 1690g, 6包</v>
          </cell>
          <cell r="D24" t="str">
            <v>Liquid</v>
          </cell>
          <cell r="E24">
            <v>1158</v>
          </cell>
          <cell r="F24">
            <v>1283.4000000000001</v>
          </cell>
          <cell r="H24">
            <v>221</v>
          </cell>
          <cell r="I24">
            <v>221</v>
          </cell>
          <cell r="J24">
            <v>221</v>
          </cell>
          <cell r="K24">
            <v>200</v>
          </cell>
          <cell r="L24"/>
        </row>
        <row r="25">
          <cell r="B25">
            <v>80863063</v>
          </cell>
          <cell r="C25" t="str">
            <v>[箱裝]ARIEL 抗菌洗衣精補充包, 高效除螨, 1690g, 6包</v>
          </cell>
          <cell r="D25" t="str">
            <v>Liquid</v>
          </cell>
          <cell r="E25">
            <v>1158</v>
          </cell>
          <cell r="F25">
            <v>1283.4000000000001</v>
          </cell>
          <cell r="H25">
            <v>0</v>
          </cell>
          <cell r="I25">
            <v>44</v>
          </cell>
          <cell r="J25">
            <v>104</v>
          </cell>
          <cell r="K25">
            <v>44</v>
          </cell>
          <cell r="L25"/>
        </row>
        <row r="26">
          <cell r="B26">
            <v>80863069</v>
          </cell>
          <cell r="C26" t="str">
            <v>[箱裝]ARIEL 抗菌洗衣精補充包, 自然微香型, 1690g, 6包</v>
          </cell>
          <cell r="D26" t="str">
            <v>Liquid</v>
          </cell>
          <cell r="E26">
            <v>1158</v>
          </cell>
          <cell r="F26">
            <v>1283.4000000000001</v>
          </cell>
          <cell r="H26">
            <v>49</v>
          </cell>
          <cell r="I26">
            <v>49</v>
          </cell>
          <cell r="J26">
            <v>49</v>
          </cell>
          <cell r="K26">
            <v>30</v>
          </cell>
          <cell r="L26"/>
        </row>
        <row r="27">
          <cell r="B27">
            <v>80861746</v>
          </cell>
          <cell r="C27" t="str">
            <v>Bold 原廠公司貨 四合一洗衣膠囊 清淨花香, 57個裝, 1套</v>
          </cell>
          <cell r="E27">
            <v>368</v>
          </cell>
          <cell r="F27"/>
          <cell r="G27" t="str">
            <v>停產</v>
          </cell>
          <cell r="H27" t="e">
            <v>#DIV/0!</v>
          </cell>
          <cell r="I27"/>
          <cell r="J27"/>
          <cell r="K27"/>
          <cell r="L27"/>
        </row>
        <row r="28">
          <cell r="B28">
            <v>80861747</v>
          </cell>
          <cell r="C28" t="str">
            <v>BOLD原廠公司貨 四合一洗衣膠囊 清淨花香, 31顆 ,1袋</v>
          </cell>
          <cell r="D28" t="str">
            <v>SUD</v>
          </cell>
          <cell r="E28">
            <v>200</v>
          </cell>
          <cell r="F28">
            <v>2183.5</v>
          </cell>
          <cell r="H28">
            <v>19</v>
          </cell>
          <cell r="I28">
            <v>19</v>
          </cell>
          <cell r="J28">
            <v>19</v>
          </cell>
          <cell r="K28">
            <v>19</v>
          </cell>
          <cell r="L28">
            <v>250</v>
          </cell>
        </row>
        <row r="29">
          <cell r="B29">
            <v>80861743</v>
          </cell>
          <cell r="C29" t="str">
            <v>BOLD原廠公司貨 四合一洗衣膠囊 淡雅花香, 31顆 ,1袋</v>
          </cell>
          <cell r="D29" t="str">
            <v>SUD</v>
          </cell>
          <cell r="E29">
            <v>200</v>
          </cell>
          <cell r="F29">
            <v>2183.5</v>
          </cell>
          <cell r="H29">
            <v>15</v>
          </cell>
          <cell r="I29">
            <v>15</v>
          </cell>
          <cell r="J29">
            <v>15</v>
          </cell>
          <cell r="K29">
            <v>15</v>
          </cell>
          <cell r="L29">
            <v>250</v>
          </cell>
        </row>
        <row r="30">
          <cell r="B30">
            <v>80726008</v>
          </cell>
          <cell r="C30" t="str">
            <v>febreze 風倍清 台灣公司貨 新包裝升級 浴廁用防霉防臭劑, 柔和花香, 7ml, 2入,1組</v>
          </cell>
          <cell r="D30" t="str">
            <v>CNE</v>
          </cell>
          <cell r="E30">
            <v>224</v>
          </cell>
          <cell r="F30">
            <v>3126.84</v>
          </cell>
          <cell r="H30">
            <v>810</v>
          </cell>
          <cell r="I30">
            <v>810</v>
          </cell>
          <cell r="J30">
            <v>810</v>
          </cell>
          <cell r="K30">
            <v>502</v>
          </cell>
          <cell r="L30">
            <v>350</v>
          </cell>
        </row>
        <row r="31">
          <cell r="B31">
            <v>83909891</v>
          </cell>
          <cell r="C31" t="str">
            <v>febreze 風倍清 織物除菌消臭噴霧補充包, 高效除菌, 320ml, 1包</v>
          </cell>
          <cell r="D31" t="str">
            <v>FR</v>
          </cell>
          <cell r="E31">
            <v>81</v>
          </cell>
          <cell r="F31">
            <v>2270.4</v>
          </cell>
          <cell r="H31">
            <v>158</v>
          </cell>
          <cell r="I31">
            <v>158</v>
          </cell>
          <cell r="J31">
            <v>158</v>
          </cell>
          <cell r="K31">
            <v>98</v>
          </cell>
          <cell r="L31">
            <v>150</v>
          </cell>
        </row>
        <row r="32">
          <cell r="B32">
            <v>80694936</v>
          </cell>
          <cell r="C32" t="str">
            <v>febreze 風倍清 台灣公司貨 浴廁用抗菌消臭防臭劑, 清爽皂香, 6ml, 2入,1組</v>
          </cell>
          <cell r="D32" t="str">
            <v>CNE</v>
          </cell>
          <cell r="E32">
            <v>196</v>
          </cell>
          <cell r="F32">
            <v>2734.8</v>
          </cell>
          <cell r="H32">
            <v>307</v>
          </cell>
          <cell r="I32">
            <v>307</v>
          </cell>
          <cell r="J32">
            <v>307</v>
          </cell>
          <cell r="K32">
            <v>190</v>
          </cell>
          <cell r="L32">
            <v>150</v>
          </cell>
        </row>
        <row r="33">
          <cell r="B33">
            <v>83909893</v>
          </cell>
          <cell r="C33" t="str">
            <v>febreze 風倍清 台灣公司貨 織物除菌消臭噴霧 高效除菌, 370ml, 1瓶</v>
          </cell>
          <cell r="D33" t="str">
            <v>FR</v>
          </cell>
          <cell r="E33">
            <v>106</v>
          </cell>
          <cell r="F33">
            <v>1486.8</v>
          </cell>
          <cell r="H33">
            <v>285</v>
          </cell>
          <cell r="I33">
            <v>285</v>
          </cell>
          <cell r="J33">
            <v>285</v>
          </cell>
          <cell r="K33">
            <v>177</v>
          </cell>
          <cell r="L33">
            <v>150</v>
          </cell>
        </row>
        <row r="34">
          <cell r="B34">
            <v>80694940</v>
          </cell>
          <cell r="C34" t="str">
            <v>febreze 風倍清 台灣公司貨 浴廁用抗菌消臭防臭劑 山谷微香, 6ml, 2入,1組</v>
          </cell>
          <cell r="D34" t="str">
            <v>CNE</v>
          </cell>
          <cell r="E34">
            <v>201</v>
          </cell>
          <cell r="F34">
            <v>2734.8</v>
          </cell>
          <cell r="H34">
            <v>160</v>
          </cell>
          <cell r="I34">
            <v>160</v>
          </cell>
          <cell r="J34">
            <v>160</v>
          </cell>
          <cell r="K34">
            <v>99</v>
          </cell>
          <cell r="L34">
            <v>100</v>
          </cell>
        </row>
        <row r="35">
          <cell r="B35">
            <v>80694938</v>
          </cell>
          <cell r="C35" t="str">
            <v>febreze 風倍清 台灣公司貨 浴廁用抗菌消臭防臭劑 薄荷綠香 6ml, 2入, 1組</v>
          </cell>
          <cell r="D35" t="str">
            <v>CNE</v>
          </cell>
          <cell r="E35">
            <v>197</v>
          </cell>
          <cell r="F35">
            <v>2734.8</v>
          </cell>
          <cell r="H35">
            <v>143</v>
          </cell>
          <cell r="I35">
            <v>143</v>
          </cell>
          <cell r="J35">
            <v>143</v>
          </cell>
          <cell r="K35">
            <v>89</v>
          </cell>
          <cell r="L35">
            <v>100</v>
          </cell>
        </row>
        <row r="36">
          <cell r="B36">
            <v>80727503</v>
          </cell>
          <cell r="C36" t="str">
            <v>Febreze 風倍清 織物除菌消臭噴霧 綠茶清香 370ml,1瓶</v>
          </cell>
          <cell r="D36" t="str">
            <v>FR</v>
          </cell>
          <cell r="E36">
            <v>106</v>
          </cell>
          <cell r="F36">
            <v>1486.8</v>
          </cell>
          <cell r="H36">
            <v>142</v>
          </cell>
          <cell r="I36">
            <v>142</v>
          </cell>
          <cell r="J36">
            <v>142</v>
          </cell>
          <cell r="K36">
            <v>88</v>
          </cell>
          <cell r="L36">
            <v>60</v>
          </cell>
        </row>
        <row r="37">
          <cell r="B37">
            <v>80829014</v>
          </cell>
          <cell r="C37" t="str">
            <v>febreze 風倍清 台灣公司貨 室內用抗菌消臭防臭劑 清新白茶, 7ml, 1個</v>
          </cell>
          <cell r="D37" t="str">
            <v>CNE</v>
          </cell>
          <cell r="E37">
            <v>132</v>
          </cell>
          <cell r="F37">
            <v>3285.6</v>
          </cell>
          <cell r="H37">
            <v>60</v>
          </cell>
          <cell r="I37">
            <v>60</v>
          </cell>
          <cell r="J37">
            <v>60</v>
          </cell>
          <cell r="K37">
            <v>38</v>
          </cell>
          <cell r="L37">
            <v>60</v>
          </cell>
        </row>
        <row r="38">
          <cell r="B38">
            <v>83909892</v>
          </cell>
          <cell r="C38" t="str">
            <v>Febreze 風倍清 織物除菌消臭噴霧 補充包 ,綠茶清香, 320ml, 1包</v>
          </cell>
          <cell r="D38" t="str">
            <v>FR</v>
          </cell>
          <cell r="E38">
            <v>81</v>
          </cell>
          <cell r="F38">
            <v>2270.4</v>
          </cell>
          <cell r="H38">
            <v>52</v>
          </cell>
          <cell r="I38">
            <v>52</v>
          </cell>
          <cell r="J38">
            <v>52</v>
          </cell>
          <cell r="K38">
            <v>32</v>
          </cell>
          <cell r="L38">
            <v>52</v>
          </cell>
        </row>
        <row r="39">
          <cell r="B39">
            <v>83909890</v>
          </cell>
          <cell r="C39" t="str">
            <v>Febreze 風倍清 織物除菌消臭噴霧 無香型,370ml, 1瓶</v>
          </cell>
          <cell r="D39" t="str">
            <v>FR</v>
          </cell>
          <cell r="E39">
            <v>106</v>
          </cell>
          <cell r="F39">
            <v>1486.8</v>
          </cell>
          <cell r="H39">
            <v>77</v>
          </cell>
          <cell r="I39">
            <v>77</v>
          </cell>
          <cell r="J39">
            <v>77</v>
          </cell>
          <cell r="K39">
            <v>48</v>
          </cell>
          <cell r="L39">
            <v>50</v>
          </cell>
        </row>
        <row r="40">
          <cell r="B40">
            <v>80726009</v>
          </cell>
          <cell r="C40" t="str">
            <v>febreze 風倍清 台灣公司貨 新包裝升級浴廁用防霉防臭劑, 清新柑橘, 7ml, 2入,1組</v>
          </cell>
          <cell r="D40" t="str">
            <v>CNE</v>
          </cell>
          <cell r="E40">
            <v>224</v>
          </cell>
          <cell r="F40">
            <v>3126.84</v>
          </cell>
          <cell r="H40">
            <v>56</v>
          </cell>
          <cell r="I40">
            <v>56</v>
          </cell>
          <cell r="J40">
            <v>56</v>
          </cell>
          <cell r="K40">
            <v>35</v>
          </cell>
          <cell r="L40">
            <v>56</v>
          </cell>
        </row>
        <row r="41">
          <cell r="B41">
            <v>80829013</v>
          </cell>
          <cell r="C41" t="str">
            <v>febreze 風倍清 台灣公司貨 室內用抗菌消臭防臭劑 清爽皂香, 7ml, 1個</v>
          </cell>
          <cell r="D41" t="str">
            <v>CNE</v>
          </cell>
          <cell r="E41">
            <v>132</v>
          </cell>
          <cell r="F41">
            <v>3285.6</v>
          </cell>
          <cell r="H41">
            <v>27</v>
          </cell>
          <cell r="I41">
            <v>27</v>
          </cell>
          <cell r="J41">
            <v>27</v>
          </cell>
          <cell r="K41">
            <v>17</v>
          </cell>
          <cell r="L41">
            <v>27</v>
          </cell>
        </row>
        <row r="42">
          <cell r="B42">
            <v>80745122</v>
          </cell>
          <cell r="C42" t="str">
            <v xml:space="preserve"> febreze 風倍清 台灣公司貨 Naturis天然織物噴霧, 大馬士革玫瑰&amp;天竺葵, 370ml, 1瓶</v>
          </cell>
          <cell r="D42" t="str">
            <v>FR</v>
          </cell>
          <cell r="E42">
            <v>135</v>
          </cell>
          <cell r="F42">
            <v>1884.3</v>
          </cell>
          <cell r="H42">
            <v>43</v>
          </cell>
          <cell r="I42">
            <v>43</v>
          </cell>
          <cell r="J42">
            <v>43</v>
          </cell>
          <cell r="K42">
            <v>27</v>
          </cell>
          <cell r="L42"/>
        </row>
        <row r="43">
          <cell r="B43">
            <v>80727505</v>
          </cell>
          <cell r="C43" t="str">
            <v>febreze 風倍清 織物除菌消臭噴霧 無香酒精+, 370ml, 1瓶</v>
          </cell>
          <cell r="D43" t="str">
            <v>FR</v>
          </cell>
          <cell r="E43">
            <v>106</v>
          </cell>
          <cell r="F43">
            <v>1486.8</v>
          </cell>
          <cell r="H43">
            <v>26</v>
          </cell>
          <cell r="I43">
            <v>26</v>
          </cell>
          <cell r="J43">
            <v>26</v>
          </cell>
          <cell r="K43">
            <v>17</v>
          </cell>
          <cell r="L43" t="str">
            <v>PO</v>
          </cell>
        </row>
        <row r="44">
          <cell r="B44">
            <v>80727509</v>
          </cell>
          <cell r="C44" t="str">
            <v>febreze 風倍清 織物除菌消臭噴霧 補充包無香含酒精, 320ml, 1包</v>
          </cell>
          <cell r="D44" t="str">
            <v>FR</v>
          </cell>
          <cell r="E44">
            <v>81</v>
          </cell>
          <cell r="F44">
            <v>2270.4</v>
          </cell>
          <cell r="H44">
            <v>13</v>
          </cell>
          <cell r="I44">
            <v>13</v>
          </cell>
          <cell r="J44">
            <v>13</v>
          </cell>
          <cell r="K44">
            <v>8</v>
          </cell>
          <cell r="L44"/>
        </row>
        <row r="45">
          <cell r="B45">
            <v>80726006</v>
          </cell>
          <cell r="C45" t="str">
            <v>febreze 風倍清 台灣公司貨 新包裝升級 浴廁用防霉防臭劑, 柔和花香, 7ml, 1入</v>
          </cell>
          <cell r="D45" t="str">
            <v>CNE</v>
          </cell>
          <cell r="E45">
            <v>126</v>
          </cell>
          <cell r="F45">
            <v>3285.6</v>
          </cell>
          <cell r="H45">
            <v>6</v>
          </cell>
          <cell r="I45">
            <v>6</v>
          </cell>
          <cell r="J45">
            <v>6</v>
          </cell>
          <cell r="K45">
            <v>6</v>
          </cell>
          <cell r="L45">
            <v>6</v>
          </cell>
        </row>
        <row r="46">
          <cell r="B46">
            <v>80694939</v>
          </cell>
          <cell r="C46" t="str">
            <v>febreze 風倍清 台灣公司貨 浴廁用抗菌消臭防臭劑山谷微香, 6ml, 1入</v>
          </cell>
          <cell r="D46" t="str">
            <v>CNE</v>
          </cell>
          <cell r="E46">
            <v>104</v>
          </cell>
          <cell r="F46">
            <v>2896.8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/>
        </row>
        <row r="47">
          <cell r="B47">
            <v>80694935</v>
          </cell>
          <cell r="C47" t="str">
            <v>Febreze 風倍清 浴廁用抗菌消臭防臭劑 清爽皂香, 6ml, 1入</v>
          </cell>
          <cell r="D47" t="str">
            <v>CNE</v>
          </cell>
          <cell r="E47">
            <v>105</v>
          </cell>
          <cell r="F47">
            <v>2896.8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/>
        </row>
        <row r="48">
          <cell r="B48">
            <v>80694937</v>
          </cell>
          <cell r="C48" t="str">
            <v>Febreze 風倍清 浴廁用抗菌消臭防臭劑 薄荷綠香,6ml 1入</v>
          </cell>
          <cell r="D48" t="str">
            <v>CNE</v>
          </cell>
          <cell r="E48">
            <v>104</v>
          </cell>
          <cell r="F48">
            <v>2896.8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/>
        </row>
        <row r="49">
          <cell r="B49">
            <v>80726007</v>
          </cell>
          <cell r="C49" t="str">
            <v>febreze 風倍清  台灣公司貨  新包裝升級 浴廁用防霉防臭劑, 清新柑橘, 7ml, 1入</v>
          </cell>
          <cell r="D49" t="str">
            <v>CNE</v>
          </cell>
          <cell r="E49">
            <v>118</v>
          </cell>
          <cell r="F49">
            <v>3285.6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/>
        </row>
        <row r="50">
          <cell r="B50">
            <v>80842257</v>
          </cell>
          <cell r="C50" t="str">
            <v>Lenor 蘭諾 衣物芳香豆 雪松梔子花 補充包, 440ml, 1包</v>
          </cell>
          <cell r="E50">
            <v>136</v>
          </cell>
          <cell r="F50"/>
          <cell r="G50" t="str">
            <v>停產</v>
          </cell>
          <cell r="H50" t="e">
            <v>#DIV/0!</v>
          </cell>
          <cell r="I50"/>
          <cell r="J50"/>
          <cell r="K50"/>
          <cell r="L50"/>
        </row>
        <row r="51">
          <cell r="B51">
            <v>80890585</v>
          </cell>
          <cell r="C51" t="str">
            <v>Lenor 蘭諾 衣物芳香豆 雪松梔子花 補充包, 900ml, 1個</v>
          </cell>
          <cell r="D51" t="str">
            <v>Beads</v>
          </cell>
          <cell r="E51">
            <v>272</v>
          </cell>
          <cell r="F51">
            <v>2310.4</v>
          </cell>
          <cell r="H51">
            <v>492</v>
          </cell>
          <cell r="I51">
            <v>492</v>
          </cell>
          <cell r="J51">
            <v>492</v>
          </cell>
          <cell r="K51">
            <v>745</v>
          </cell>
          <cell r="L51">
            <v>136.67425968109339</v>
          </cell>
        </row>
        <row r="52">
          <cell r="B52">
            <v>80842260</v>
          </cell>
          <cell r="C52" t="str">
            <v>Lenor 蘭諾 衣物芳香豆 甜花石榴香 補充包, 440ml, 1包</v>
          </cell>
          <cell r="E52">
            <v>136</v>
          </cell>
          <cell r="F52"/>
          <cell r="G52" t="str">
            <v>停產</v>
          </cell>
          <cell r="H52" t="e">
            <v>#DIV/0!</v>
          </cell>
          <cell r="I52"/>
          <cell r="J52"/>
          <cell r="K52"/>
          <cell r="L52"/>
        </row>
        <row r="53">
          <cell r="B53">
            <v>80842258</v>
          </cell>
          <cell r="C53" t="str">
            <v>Lenor 蘭諾 衣物芳香豆 甜柔麝香 補充包, 440ml, 1包</v>
          </cell>
          <cell r="E53">
            <v>136</v>
          </cell>
          <cell r="F53"/>
          <cell r="G53" t="str">
            <v>停產</v>
          </cell>
          <cell r="H53" t="e">
            <v>#DIV/0!</v>
          </cell>
          <cell r="I53"/>
          <cell r="J53"/>
          <cell r="K53"/>
          <cell r="L53"/>
        </row>
        <row r="54">
          <cell r="B54">
            <v>80841888</v>
          </cell>
          <cell r="C54" t="str">
            <v>Lenor 蘭諾 衣物芳香豆 雪松梔子花, 450ml, 1瓶</v>
          </cell>
          <cell r="D54" t="str">
            <v>Beads</v>
          </cell>
          <cell r="E54">
            <v>174</v>
          </cell>
          <cell r="F54">
            <v>1081.3</v>
          </cell>
          <cell r="H54">
            <v>392</v>
          </cell>
          <cell r="I54">
            <v>392</v>
          </cell>
          <cell r="J54">
            <v>392</v>
          </cell>
          <cell r="K54">
            <v>243</v>
          </cell>
          <cell r="L54">
            <v>203.5</v>
          </cell>
        </row>
        <row r="55">
          <cell r="B55">
            <v>80841899</v>
          </cell>
          <cell r="C55" t="str">
            <v>Lenor 蘭諾 衣物芳香豆 甜花石榴香, 450ml, 1瓶</v>
          </cell>
          <cell r="D55" t="str">
            <v>Beads</v>
          </cell>
          <cell r="E55">
            <v>174</v>
          </cell>
          <cell r="F55">
            <v>1081.3</v>
          </cell>
          <cell r="H55">
            <v>362</v>
          </cell>
          <cell r="I55">
            <v>362</v>
          </cell>
          <cell r="J55">
            <v>362</v>
          </cell>
          <cell r="K55">
            <v>225</v>
          </cell>
          <cell r="L55">
            <v>203.5</v>
          </cell>
        </row>
        <row r="56">
          <cell r="B56">
            <v>80890581</v>
          </cell>
          <cell r="C56" t="str">
            <v>Lenor 蘭諾 衣物芳香豆 甜柔麝香 補充包, 900ml, 1個</v>
          </cell>
          <cell r="D56" t="str">
            <v>Beads</v>
          </cell>
          <cell r="E56">
            <v>272</v>
          </cell>
          <cell r="F56">
            <v>2310.4</v>
          </cell>
          <cell r="H56">
            <v>261</v>
          </cell>
          <cell r="I56">
            <v>261</v>
          </cell>
          <cell r="J56">
            <v>261</v>
          </cell>
          <cell r="K56">
            <v>643</v>
          </cell>
          <cell r="L56">
            <v>130.97949886104783</v>
          </cell>
        </row>
        <row r="57">
          <cell r="B57">
            <v>80842259</v>
          </cell>
          <cell r="C57" t="str">
            <v>Lenor 蘭諾 衣物芳香豆 清晨草木 補充包, 440ml, 1包</v>
          </cell>
          <cell r="E57">
            <v>136</v>
          </cell>
          <cell r="F57"/>
          <cell r="G57" t="str">
            <v>停產</v>
          </cell>
          <cell r="H57" t="e">
            <v>#DIV/0!</v>
          </cell>
          <cell r="I57"/>
          <cell r="J57"/>
          <cell r="K57"/>
          <cell r="L57"/>
        </row>
        <row r="58">
          <cell r="B58">
            <v>80890580</v>
          </cell>
          <cell r="C58" t="str">
            <v>Lenor 蘭諾 衣物芳香豆 運動衣物抗臭 補充包, 880ml, 1個</v>
          </cell>
          <cell r="D58" t="str">
            <v>Beads</v>
          </cell>
          <cell r="E58">
            <v>272</v>
          </cell>
          <cell r="F58">
            <v>2310.4</v>
          </cell>
          <cell r="H58">
            <v>133</v>
          </cell>
          <cell r="I58">
            <v>199</v>
          </cell>
          <cell r="J58">
            <v>199</v>
          </cell>
          <cell r="K58">
            <v>351</v>
          </cell>
          <cell r="L58">
            <v>122.23515715948777</v>
          </cell>
        </row>
        <row r="59">
          <cell r="B59">
            <v>80890578</v>
          </cell>
          <cell r="C59" t="str">
            <v>Lenor 蘭諾 衣物芳香豆 清晨草木 補充包, 900ml, 1個</v>
          </cell>
          <cell r="D59" t="str">
            <v>Beads</v>
          </cell>
          <cell r="E59">
            <v>272</v>
          </cell>
          <cell r="F59">
            <v>2310.4</v>
          </cell>
          <cell r="H59">
            <v>74</v>
          </cell>
          <cell r="I59">
            <v>180</v>
          </cell>
          <cell r="J59">
            <v>180</v>
          </cell>
          <cell r="K59">
            <v>452</v>
          </cell>
          <cell r="L59">
            <v>125.28473804100227</v>
          </cell>
        </row>
        <row r="60">
          <cell r="B60">
            <v>80842256</v>
          </cell>
          <cell r="C60" t="str">
            <v>Lenor 蘭諾 衣物芳香豆 青檸紫羅蘭 補充包, 440ml, 1包</v>
          </cell>
          <cell r="E60">
            <v>136</v>
          </cell>
          <cell r="F60"/>
          <cell r="G60" t="str">
            <v>停產</v>
          </cell>
          <cell r="H60" t="e">
            <v>#DIV/0!</v>
          </cell>
          <cell r="I60"/>
          <cell r="J60"/>
          <cell r="K60"/>
          <cell r="L60"/>
        </row>
        <row r="61">
          <cell r="B61">
            <v>80890582</v>
          </cell>
          <cell r="C61" t="str">
            <v>Lenor 蘭諾 衣物芳香豆 淨白純棉 補充包, 940ml, 1個</v>
          </cell>
          <cell r="D61" t="str">
            <v>Beads</v>
          </cell>
          <cell r="E61">
            <v>272</v>
          </cell>
          <cell r="F61">
            <v>2310.4</v>
          </cell>
          <cell r="H61">
            <v>116</v>
          </cell>
          <cell r="I61">
            <v>139</v>
          </cell>
          <cell r="J61">
            <v>139</v>
          </cell>
          <cell r="K61">
            <v>61</v>
          </cell>
          <cell r="L61">
            <v>52.344601962922575</v>
          </cell>
        </row>
        <row r="62">
          <cell r="B62">
            <v>80815407</v>
          </cell>
          <cell r="C62" t="str">
            <v>Lenor 蘭諾 衣物芳香豆 淨白純棉, 470ml, 1瓶</v>
          </cell>
          <cell r="D62" t="str">
            <v>Beads</v>
          </cell>
          <cell r="E62">
            <v>166</v>
          </cell>
          <cell r="F62">
            <v>1081.3</v>
          </cell>
          <cell r="H62">
            <v>181</v>
          </cell>
          <cell r="I62">
            <v>181</v>
          </cell>
          <cell r="J62">
            <v>181</v>
          </cell>
          <cell r="K62">
            <v>112</v>
          </cell>
          <cell r="L62">
            <v>112.45</v>
          </cell>
        </row>
        <row r="63">
          <cell r="B63">
            <v>80841892</v>
          </cell>
          <cell r="C63" t="str">
            <v>Lenor 蘭諾 衣物芳香豆 甜柔麝香, 450ml, 1瓶</v>
          </cell>
          <cell r="D63" t="str">
            <v>Beads</v>
          </cell>
          <cell r="E63">
            <v>174</v>
          </cell>
          <cell r="F63">
            <v>1081.3</v>
          </cell>
          <cell r="H63">
            <v>156</v>
          </cell>
          <cell r="I63">
            <v>156</v>
          </cell>
          <cell r="J63">
            <v>156</v>
          </cell>
          <cell r="K63">
            <v>97</v>
          </cell>
          <cell r="L63">
            <v>203.5</v>
          </cell>
        </row>
        <row r="64">
          <cell r="B64">
            <v>80841894</v>
          </cell>
          <cell r="C64" t="str">
            <v>Lenor 蘭諾 衣物芳香豆 運動衣物抗臭, 440ml, 1瓶</v>
          </cell>
          <cell r="D64" t="str">
            <v>Beads</v>
          </cell>
          <cell r="E64">
            <v>174</v>
          </cell>
          <cell r="F64">
            <v>1081.3</v>
          </cell>
          <cell r="H64">
            <v>141</v>
          </cell>
          <cell r="I64">
            <v>141</v>
          </cell>
          <cell r="J64">
            <v>141</v>
          </cell>
          <cell r="K64">
            <v>88</v>
          </cell>
          <cell r="L64">
            <v>155.4</v>
          </cell>
        </row>
        <row r="65">
          <cell r="B65">
            <v>80841906</v>
          </cell>
          <cell r="C65" t="str">
            <v>Lenor 蘭諾 衣物芳香豆 清晨草木, 450ml, 1瓶</v>
          </cell>
          <cell r="D65" t="str">
            <v>Beads</v>
          </cell>
          <cell r="E65">
            <v>174</v>
          </cell>
          <cell r="F65">
            <v>1081.3</v>
          </cell>
          <cell r="H65">
            <v>118</v>
          </cell>
          <cell r="I65">
            <v>118</v>
          </cell>
          <cell r="J65">
            <v>118</v>
          </cell>
          <cell r="K65">
            <v>73</v>
          </cell>
          <cell r="L65">
            <v>203.5</v>
          </cell>
        </row>
        <row r="66">
          <cell r="B66">
            <v>80890583</v>
          </cell>
          <cell r="C66" t="str">
            <v>Lenor 蘭諾 衣物芳香豆 潮濕天氣抗臭 補充包, 880ml, 1個</v>
          </cell>
          <cell r="D66" t="str">
            <v>Beads</v>
          </cell>
          <cell r="E66">
            <v>272</v>
          </cell>
          <cell r="F66">
            <v>2310.4</v>
          </cell>
          <cell r="H66">
            <v>0</v>
          </cell>
          <cell r="I66">
            <v>0</v>
          </cell>
          <cell r="J66">
            <v>50</v>
          </cell>
          <cell r="K66">
            <v>232</v>
          </cell>
          <cell r="L66">
            <v>52.386495925494764</v>
          </cell>
        </row>
        <row r="67">
          <cell r="B67">
            <v>80890584</v>
          </cell>
          <cell r="C67" t="str">
            <v>Lenor 蘭諾 衣物芳香豆 甜花石榴香 補充包, 900ml, 1個</v>
          </cell>
          <cell r="D67" t="str">
            <v>Beads</v>
          </cell>
          <cell r="E67">
            <v>272</v>
          </cell>
          <cell r="F67">
            <v>2310.4</v>
          </cell>
          <cell r="H67">
            <v>31</v>
          </cell>
          <cell r="I67">
            <v>83</v>
          </cell>
          <cell r="J67">
            <v>83</v>
          </cell>
          <cell r="K67">
            <v>186</v>
          </cell>
          <cell r="L67">
            <v>102.50569476082003</v>
          </cell>
        </row>
        <row r="68">
          <cell r="B68">
            <v>80890577</v>
          </cell>
          <cell r="C68" t="str">
            <v>Lenor 蘭諾 衣物芳香豆 春暖晨露 補充包, 940ml, 1個</v>
          </cell>
          <cell r="D68" t="str">
            <v>Beads</v>
          </cell>
          <cell r="E68">
            <v>272</v>
          </cell>
          <cell r="F68">
            <v>2310.4</v>
          </cell>
          <cell r="H68">
            <v>51</v>
          </cell>
          <cell r="I68">
            <v>83</v>
          </cell>
          <cell r="J68">
            <v>83</v>
          </cell>
          <cell r="K68">
            <v>48</v>
          </cell>
          <cell r="L68">
            <v>34.896401308615047</v>
          </cell>
        </row>
        <row r="69">
          <cell r="B69">
            <v>80815409</v>
          </cell>
          <cell r="C69" t="str">
            <v>Lenor 蘭諾 衣物芳香豆 淨白純棉, 455ml, 1包</v>
          </cell>
          <cell r="D69" t="str">
            <v>Beads</v>
          </cell>
          <cell r="E69">
            <v>138</v>
          </cell>
          <cell r="F69"/>
          <cell r="G69" t="str">
            <v>停產</v>
          </cell>
          <cell r="H69" t="e">
            <v>#DIV/0!</v>
          </cell>
          <cell r="I69"/>
          <cell r="J69"/>
          <cell r="K69"/>
          <cell r="L69"/>
        </row>
        <row r="70">
          <cell r="B70">
            <v>80841907</v>
          </cell>
          <cell r="C70" t="str">
            <v>Lenor 蘭諾 衣物芳香豆 青檸紫羅蘭, 450ml, 1瓶</v>
          </cell>
          <cell r="D70" t="str">
            <v>Beads</v>
          </cell>
          <cell r="E70">
            <v>174</v>
          </cell>
          <cell r="F70">
            <v>1081.3</v>
          </cell>
          <cell r="H70">
            <v>74</v>
          </cell>
          <cell r="I70">
            <v>74</v>
          </cell>
          <cell r="J70">
            <v>74</v>
          </cell>
          <cell r="K70">
            <v>46</v>
          </cell>
          <cell r="L70">
            <v>111</v>
          </cell>
        </row>
        <row r="71">
          <cell r="B71">
            <v>80841891</v>
          </cell>
          <cell r="C71" t="str">
            <v>Lenor 蘭諾 衣物芳香豆 潮濕天氣抗臭, 440ml, 1瓶</v>
          </cell>
          <cell r="D71" t="str">
            <v>Beads</v>
          </cell>
          <cell r="E71">
            <v>174</v>
          </cell>
          <cell r="F71">
            <v>1081.3</v>
          </cell>
          <cell r="H71">
            <v>67</v>
          </cell>
          <cell r="I71">
            <v>67</v>
          </cell>
          <cell r="J71">
            <v>67</v>
          </cell>
          <cell r="K71">
            <v>42</v>
          </cell>
          <cell r="L71">
            <v>102.4</v>
          </cell>
        </row>
        <row r="72">
          <cell r="B72">
            <v>80815408</v>
          </cell>
          <cell r="C72" t="str">
            <v>Lenor 蘭諾 衣物芳香豆 春暖晨露, 470ml, 1瓶</v>
          </cell>
          <cell r="D72" t="str">
            <v>Beads</v>
          </cell>
          <cell r="E72">
            <v>166</v>
          </cell>
          <cell r="F72">
            <v>1081.3</v>
          </cell>
          <cell r="H72">
            <v>67</v>
          </cell>
          <cell r="I72">
            <v>67</v>
          </cell>
          <cell r="J72">
            <v>67</v>
          </cell>
          <cell r="K72">
            <v>42</v>
          </cell>
          <cell r="L72">
            <v>60.55</v>
          </cell>
        </row>
        <row r="73">
          <cell r="B73">
            <v>80890579</v>
          </cell>
          <cell r="C73" t="str">
            <v>Lenor 蘭諾 衣物芳香豆 青檸紫羅蘭 補充包, 900ml, 1個</v>
          </cell>
          <cell r="D73" t="str">
            <v>Beads</v>
          </cell>
          <cell r="E73">
            <v>272</v>
          </cell>
          <cell r="F73">
            <v>2310.4</v>
          </cell>
          <cell r="H73">
            <v>0</v>
          </cell>
          <cell r="I73">
            <v>28</v>
          </cell>
          <cell r="J73">
            <v>43</v>
          </cell>
          <cell r="K73">
            <v>165</v>
          </cell>
          <cell r="L73">
            <v>74.031890660592254</v>
          </cell>
        </row>
        <row r="74">
          <cell r="C74" t="str">
            <v>Lenor 蘭諾 衣物芳香豆 春暖晨露, 455ml, 1包</v>
          </cell>
          <cell r="E74">
            <v>138</v>
          </cell>
          <cell r="F74"/>
          <cell r="G74" t="str">
            <v>停產</v>
          </cell>
          <cell r="H74" t="e">
            <v>#DIV/0!</v>
          </cell>
          <cell r="I74"/>
          <cell r="J74"/>
        </row>
        <row r="75">
          <cell r="C75" t="str">
            <v>Lenor 蘭諾 衣物芳香豆 潮濕天氣抗臭 補充包, 430ml, 1包</v>
          </cell>
          <cell r="E75">
            <v>140</v>
          </cell>
          <cell r="F75"/>
          <cell r="G75" t="str">
            <v>停產</v>
          </cell>
          <cell r="H75" t="e">
            <v>#DIV/0!</v>
          </cell>
          <cell r="I75"/>
          <cell r="J75"/>
        </row>
        <row r="76">
          <cell r="C76" t="str">
            <v>Lenor 蘭諾 衣物芳香豆 運動衣物抗臭 補充包, 430ml, 1包</v>
          </cell>
          <cell r="E76">
            <v>140</v>
          </cell>
          <cell r="F76"/>
          <cell r="G76" t="str">
            <v>停產</v>
          </cell>
          <cell r="H76" t="e">
            <v>#DIV/0!</v>
          </cell>
          <cell r="I76"/>
          <cell r="J76"/>
        </row>
        <row r="77">
          <cell r="G77"/>
          <cell r="L77"/>
        </row>
      </sheetData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2404-Y2601_庫存&amp;銷售"/>
      <sheetName val="offtake &amp; sell thru"/>
      <sheetName val="Y2604-Y2608_庫存&amp;銷售"/>
      <sheetName val="工作表1 (2)"/>
      <sheetName val="工作表1"/>
    </sheetNames>
    <sheetDataSet>
      <sheetData sheetId="0" refreshError="1"/>
      <sheetData sheetId="1" refreshError="1"/>
      <sheetData sheetId="2">
        <row r="1">
          <cell r="A1" t="str">
            <v>skuid</v>
          </cell>
          <cell r="F1" t="str">
            <v>Bardcode</v>
          </cell>
          <cell r="G1" t="str">
            <v>永豐料號</v>
          </cell>
          <cell r="H1" t="str">
            <v>PGcode</v>
          </cell>
          <cell r="I1" t="str">
            <v>SKU Name</v>
          </cell>
          <cell r="J1" t="str">
            <v>箱入數</v>
          </cell>
          <cell r="K1" t="str">
            <v>Cost 含稅
(賣給酷澎成本)</v>
          </cell>
          <cell r="L1" t="str">
            <v>GIV</v>
          </cell>
          <cell r="M1" t="str">
            <v>NIV</v>
          </cell>
          <cell r="N1" t="str">
            <v>Y26 4月實際下單總箱數</v>
          </cell>
          <cell r="O1" t="str">
            <v>Y26 5月實際下單總箱數</v>
          </cell>
          <cell r="P1" t="str">
            <v>Y26 6月實際下單總箱數</v>
          </cell>
          <cell r="Q1" t="str">
            <v>Y26 7月實際下單總箱數</v>
          </cell>
          <cell r="R1" t="str">
            <v>Y26 8月實際下單總箱數</v>
          </cell>
          <cell r="S1" t="str">
            <v>Y26 9月目前下單總箱數(在途)</v>
          </cell>
          <cell r="T1" t="str">
            <v>Y26 10月目前下單總箱數</v>
          </cell>
          <cell r="U1" t="str">
            <v>Y26 11月目前下單總箱數</v>
          </cell>
          <cell r="V1" t="str">
            <v>Y26 12月目前下單總箱數</v>
          </cell>
          <cell r="W1" t="str">
            <v>Y26 4月實銷總箱數</v>
          </cell>
          <cell r="X1" t="str">
            <v>Y26 5月實銷總箱數</v>
          </cell>
          <cell r="Y1" t="str">
            <v>Y26 6月實銷總箱數</v>
          </cell>
          <cell r="Z1" t="str">
            <v>Y26 7月實銷總箱數</v>
          </cell>
          <cell r="AA1" t="str">
            <v>Y26 8月實銷總箱數</v>
          </cell>
          <cell r="AB1" t="str">
            <v>Y26 9/1-9/5實銷總箱數</v>
          </cell>
          <cell r="AC1" t="str">
            <v>Y26 10月實銷總箱數</v>
          </cell>
          <cell r="AD1" t="str">
            <v>Y26 11月實銷總箱數</v>
          </cell>
          <cell r="AE1" t="str">
            <v>Y26 12月實銷總箱數</v>
          </cell>
          <cell r="AF1" t="str">
            <v>Y26 4-Y26 9月 合計下單總箱數</v>
          </cell>
          <cell r="AG1" t="str">
            <v>Y26 4-Y26 9月合計實銷總箱數</v>
          </cell>
          <cell r="AH1" t="str">
            <v>9月TTL下單</v>
          </cell>
          <cell r="AI1" t="str">
            <v>再開多少箱</v>
          </cell>
          <cell r="AJ1" t="str">
            <v>目前剩餘庫存(箱)</v>
          </cell>
          <cell r="AK1" t="str">
            <v>目前剩餘庫金</v>
          </cell>
          <cell r="AL1" t="str">
            <v>目前庫存天數</v>
          </cell>
          <cell r="AM1" t="str">
            <v>預計到月底銷售總箱數</v>
          </cell>
          <cell r="AN1" t="str">
            <v>預計到9月底庫存天數</v>
          </cell>
        </row>
        <row r="2">
          <cell r="F2">
            <v>4987176405289</v>
          </cell>
          <cell r="G2">
            <v>4987176405289</v>
          </cell>
          <cell r="H2">
            <v>83916087</v>
          </cell>
          <cell r="I2" t="str">
            <v>ARIEL 原廠公司貨 4D抗菌洗衣膠囊補充包 抗菌去漬型, 80個裝, 1套</v>
          </cell>
          <cell r="J2">
            <v>4</v>
          </cell>
          <cell r="K2">
            <v>447</v>
          </cell>
          <cell r="L2">
            <v>1952</v>
          </cell>
          <cell r="M2">
            <v>1896.45</v>
          </cell>
          <cell r="N2">
            <v>0</v>
          </cell>
          <cell r="O2">
            <v>600</v>
          </cell>
          <cell r="P2">
            <v>285</v>
          </cell>
          <cell r="Q2">
            <v>426</v>
          </cell>
          <cell r="R2">
            <v>2425</v>
          </cell>
          <cell r="S2">
            <v>723</v>
          </cell>
          <cell r="X2">
            <v>145.75</v>
          </cell>
          <cell r="Y2">
            <v>297</v>
          </cell>
          <cell r="Z2">
            <v>416.25</v>
          </cell>
          <cell r="AA2">
            <v>1461.75</v>
          </cell>
          <cell r="AB2">
            <v>644</v>
          </cell>
          <cell r="AF2">
            <v>4459</v>
          </cell>
          <cell r="AG2">
            <v>2964.75</v>
          </cell>
          <cell r="AH2">
            <v>779</v>
          </cell>
          <cell r="AJ2">
            <v>1494.25</v>
          </cell>
          <cell r="AK2">
            <v>2916776</v>
          </cell>
          <cell r="AL2">
            <v>11.601319875776396</v>
          </cell>
          <cell r="AM2">
            <v>3992.8</v>
          </cell>
          <cell r="AN2">
            <v>-13.513449208575436</v>
          </cell>
        </row>
        <row r="3">
          <cell r="F3">
            <v>4987176337153</v>
          </cell>
          <cell r="G3">
            <v>4987176337153</v>
          </cell>
          <cell r="H3">
            <v>80820263</v>
          </cell>
          <cell r="I3" t="str">
            <v>ARIEL 原廠公司貨 4D抗菌洗衣膠囊補充包 抗菌去漬型, 30個裝, 1套</v>
          </cell>
          <cell r="J3">
            <v>10</v>
          </cell>
          <cell r="K3">
            <v>208</v>
          </cell>
          <cell r="L3">
            <v>2256.9</v>
          </cell>
          <cell r="M3">
            <v>2194.5</v>
          </cell>
          <cell r="N3">
            <v>220</v>
          </cell>
          <cell r="O3">
            <v>0</v>
          </cell>
          <cell r="P3">
            <v>500</v>
          </cell>
          <cell r="Q3">
            <v>291</v>
          </cell>
          <cell r="R3">
            <v>442</v>
          </cell>
          <cell r="S3">
            <v>367</v>
          </cell>
          <cell r="W3">
            <v>35</v>
          </cell>
          <cell r="X3">
            <v>188.99999999999997</v>
          </cell>
          <cell r="Y3">
            <v>53.2</v>
          </cell>
          <cell r="Z3">
            <v>396.8</v>
          </cell>
          <cell r="AA3">
            <v>472.29999999999995</v>
          </cell>
          <cell r="AB3">
            <v>77.5</v>
          </cell>
          <cell r="AF3">
            <v>1820</v>
          </cell>
          <cell r="AG3">
            <v>1223.8</v>
          </cell>
          <cell r="AH3">
            <v>367</v>
          </cell>
          <cell r="AJ3">
            <v>596.20000000000005</v>
          </cell>
          <cell r="AK3">
            <v>1345563.7800000003</v>
          </cell>
          <cell r="AL3">
            <v>38.464516129032262</v>
          </cell>
          <cell r="AM3">
            <v>480.5</v>
          </cell>
          <cell r="AN3">
            <v>12.062434963579609</v>
          </cell>
        </row>
        <row r="4">
          <cell r="F4">
            <v>4987176351142</v>
          </cell>
          <cell r="G4">
            <v>4987176351142</v>
          </cell>
          <cell r="H4">
            <v>80835976</v>
          </cell>
          <cell r="I4" t="str">
            <v>ARIEL 原廠公司貨 4D抗菌洗衣膠囊 抗菌去漬型, 11個裝, 1套</v>
          </cell>
          <cell r="J4">
            <v>6</v>
          </cell>
          <cell r="K4">
            <v>97</v>
          </cell>
          <cell r="L4">
            <v>655.8</v>
          </cell>
          <cell r="M4">
            <v>629.35</v>
          </cell>
          <cell r="N4">
            <v>0</v>
          </cell>
          <cell r="O4">
            <v>0</v>
          </cell>
          <cell r="P4">
            <v>99</v>
          </cell>
          <cell r="Y4">
            <v>0.5</v>
          </cell>
          <cell r="Z4">
            <v>5.1666666666666661</v>
          </cell>
          <cell r="AA4">
            <v>4.333333333333333</v>
          </cell>
          <cell r="AB4">
            <v>0.66666666666666663</v>
          </cell>
          <cell r="AF4">
            <v>99</v>
          </cell>
          <cell r="AG4">
            <v>10.666666666666666</v>
          </cell>
          <cell r="AH4" t="e">
            <v>#N/A</v>
          </cell>
          <cell r="AJ4">
            <v>88.333333333333329</v>
          </cell>
          <cell r="AK4">
            <v>57928.999999999993</v>
          </cell>
          <cell r="AL4">
            <v>662.5</v>
          </cell>
          <cell r="AM4">
            <v>4.1333333333333329</v>
          </cell>
          <cell r="AN4">
            <v>615.9677419354839</v>
          </cell>
        </row>
        <row r="5">
          <cell r="F5">
            <v>4987176351104</v>
          </cell>
          <cell r="G5">
            <v>4987176351104</v>
          </cell>
          <cell r="H5">
            <v>80835974</v>
          </cell>
          <cell r="I5" t="str">
            <v>ARIEL 原廠公司貨 4D抗菌洗衣膠囊 室內晾衣型, 11個裝, 1套</v>
          </cell>
          <cell r="J5">
            <v>6</v>
          </cell>
          <cell r="K5">
            <v>97</v>
          </cell>
          <cell r="L5">
            <v>655.8</v>
          </cell>
          <cell r="M5">
            <v>629.35</v>
          </cell>
          <cell r="N5">
            <v>0</v>
          </cell>
          <cell r="O5">
            <v>0</v>
          </cell>
          <cell r="P5">
            <v>0</v>
          </cell>
          <cell r="AF5">
            <v>0</v>
          </cell>
          <cell r="AG5">
            <v>0</v>
          </cell>
          <cell r="AH5" t="e">
            <v>#N/A</v>
          </cell>
          <cell r="AJ5">
            <v>0</v>
          </cell>
          <cell r="AK5">
            <v>0</v>
          </cell>
          <cell r="AL5" t="e">
            <v>#DIV/0!</v>
          </cell>
          <cell r="AM5">
            <v>0</v>
          </cell>
          <cell r="AN5" t="e">
            <v>#DIV/0!</v>
          </cell>
        </row>
        <row r="6">
          <cell r="F6">
            <v>24987176280781</v>
          </cell>
          <cell r="G6">
            <v>4987176337160</v>
          </cell>
          <cell r="I6" t="str">
            <v>[箱裝][DS]ARIEL 台灣公司貨 4D抗菌洗衣膠囊補充包 室內晾衣型, 30顆, 10袋</v>
          </cell>
          <cell r="J6">
            <v>1</v>
          </cell>
          <cell r="K6">
            <v>2080</v>
          </cell>
          <cell r="L6">
            <v>2256.9</v>
          </cell>
          <cell r="M6">
            <v>2194.5</v>
          </cell>
          <cell r="N6">
            <v>0</v>
          </cell>
          <cell r="O6">
            <v>0</v>
          </cell>
          <cell r="P6">
            <v>0</v>
          </cell>
          <cell r="AF6">
            <v>0</v>
          </cell>
          <cell r="AG6">
            <v>0</v>
          </cell>
          <cell r="AH6" t="e">
            <v>#N/A</v>
          </cell>
          <cell r="AJ6">
            <v>0</v>
          </cell>
          <cell r="AK6">
            <v>0</v>
          </cell>
          <cell r="AL6" t="e">
            <v>#DIV/0!</v>
          </cell>
          <cell r="AM6">
            <v>0</v>
          </cell>
          <cell r="AN6" t="e">
            <v>#DIV/0!</v>
          </cell>
        </row>
        <row r="7">
          <cell r="F7">
            <v>24987176280811</v>
          </cell>
          <cell r="G7">
            <v>4987176337153</v>
          </cell>
          <cell r="I7" t="str">
            <v>[箱裝]ARIEL 台灣公司貨 4D抗菌洗衣膠囊補充包 抗菌去漬型, 30顆, 10袋</v>
          </cell>
          <cell r="J7">
            <v>1</v>
          </cell>
          <cell r="K7">
            <v>2080</v>
          </cell>
          <cell r="L7">
            <v>2256.9</v>
          </cell>
          <cell r="M7">
            <v>2194.5</v>
          </cell>
          <cell r="N7">
            <v>0</v>
          </cell>
          <cell r="O7">
            <v>0</v>
          </cell>
          <cell r="P7">
            <v>0</v>
          </cell>
          <cell r="AF7">
            <v>0</v>
          </cell>
          <cell r="AG7">
            <v>0</v>
          </cell>
          <cell r="AH7" t="e">
            <v>#N/A</v>
          </cell>
          <cell r="AJ7">
            <v>0</v>
          </cell>
          <cell r="AK7">
            <v>0</v>
          </cell>
          <cell r="AL7" t="e">
            <v>#DIV/0!</v>
          </cell>
          <cell r="AM7">
            <v>0</v>
          </cell>
          <cell r="AN7" t="e">
            <v>#DIV/0!</v>
          </cell>
        </row>
        <row r="8">
          <cell r="F8">
            <v>4987176340887</v>
          </cell>
          <cell r="H8">
            <v>80834744</v>
          </cell>
          <cell r="I8" t="str">
            <v>ARIEL 原廠公司貨 抗菌洗衣精 自然微香型, 800g, 1個</v>
          </cell>
          <cell r="J8">
            <v>12</v>
          </cell>
          <cell r="K8">
            <v>122</v>
          </cell>
          <cell r="L8">
            <v>1620</v>
          </cell>
          <cell r="M8">
            <v>1571.9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AF8">
            <v>0</v>
          </cell>
          <cell r="AG8">
            <v>0</v>
          </cell>
          <cell r="AH8">
            <v>0</v>
          </cell>
          <cell r="AJ8">
            <v>0</v>
          </cell>
          <cell r="AK8">
            <v>0</v>
          </cell>
          <cell r="AL8" t="e">
            <v>#DIV/0!</v>
          </cell>
          <cell r="AM8">
            <v>0</v>
          </cell>
          <cell r="AN8" t="e">
            <v>#DIV/0!</v>
          </cell>
        </row>
        <row r="9">
          <cell r="F9">
            <v>14987176283808</v>
          </cell>
          <cell r="I9" t="str">
            <v>[箱裝]ARIEL 台灣公司貨 超濃縮 新升級 抗菌洗衣精, 自然微香型, 800g, 12瓶</v>
          </cell>
          <cell r="J9">
            <v>1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AF9">
            <v>0</v>
          </cell>
          <cell r="AG9">
            <v>0</v>
          </cell>
          <cell r="AH9" t="e">
            <v>#N/A</v>
          </cell>
          <cell r="AJ9">
            <v>0</v>
          </cell>
          <cell r="AK9">
            <v>0</v>
          </cell>
          <cell r="AL9" t="e">
            <v>#DIV/0!</v>
          </cell>
          <cell r="AM9">
            <v>0</v>
          </cell>
          <cell r="AN9" t="e">
            <v>#DIV/0!</v>
          </cell>
        </row>
        <row r="10">
          <cell r="F10">
            <v>4987176340948</v>
          </cell>
          <cell r="H10">
            <v>80835222</v>
          </cell>
          <cell r="I10" t="str">
            <v>ARIEL 原廠公司貨 抗菌洗衣精 高效除蟎, 800g, 1個</v>
          </cell>
          <cell r="J10">
            <v>12</v>
          </cell>
          <cell r="K10">
            <v>122</v>
          </cell>
          <cell r="L10">
            <v>1620</v>
          </cell>
          <cell r="M10">
            <v>1571.9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AF10">
            <v>0</v>
          </cell>
          <cell r="AG10">
            <v>0</v>
          </cell>
          <cell r="AH10">
            <v>0</v>
          </cell>
          <cell r="AJ10">
            <v>0</v>
          </cell>
          <cell r="AK10">
            <v>0</v>
          </cell>
          <cell r="AL10" t="e">
            <v>#DIV/0!</v>
          </cell>
          <cell r="AM10">
            <v>0</v>
          </cell>
          <cell r="AN10" t="e">
            <v>#DIV/0!</v>
          </cell>
        </row>
        <row r="11">
          <cell r="F11">
            <v>14987176283815</v>
          </cell>
          <cell r="I11" t="str">
            <v>[箱裝]ARIEL 台灣公司貨 超濃縮 新升級 抗菌洗衣精, 高效除螨, 800g, 12瓶</v>
          </cell>
          <cell r="J11">
            <v>1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AF11">
            <v>0</v>
          </cell>
          <cell r="AG11">
            <v>0</v>
          </cell>
          <cell r="AH11" t="e">
            <v>#N/A</v>
          </cell>
          <cell r="AJ11">
            <v>0</v>
          </cell>
          <cell r="AK11">
            <v>0</v>
          </cell>
          <cell r="AL11" t="e">
            <v>#DIV/0!</v>
          </cell>
          <cell r="AM11">
            <v>0</v>
          </cell>
          <cell r="AN11" t="e">
            <v>#DIV/0!</v>
          </cell>
        </row>
        <row r="12">
          <cell r="F12">
            <v>4987176247711</v>
          </cell>
          <cell r="H12">
            <v>80788033</v>
          </cell>
          <cell r="I12" t="str">
            <v>[DS]ARIEL 台灣公司貨 超濃縮 新升級 抗菌抗臭洗衣精補充包, 抗菌去漬型, 1030g, 1包</v>
          </cell>
          <cell r="J12">
            <v>8</v>
          </cell>
          <cell r="K12">
            <v>112</v>
          </cell>
          <cell r="L12">
            <v>955.7</v>
          </cell>
          <cell r="M12">
            <v>922.51199999999994</v>
          </cell>
          <cell r="N12">
            <v>0</v>
          </cell>
          <cell r="O12">
            <v>0</v>
          </cell>
          <cell r="P12">
            <v>0</v>
          </cell>
          <cell r="Y12">
            <v>2.25</v>
          </cell>
          <cell r="AF12">
            <v>0</v>
          </cell>
          <cell r="AG12">
            <v>2.25</v>
          </cell>
          <cell r="AH12" t="e">
            <v>#N/A</v>
          </cell>
          <cell r="AK12">
            <v>0</v>
          </cell>
          <cell r="AL12" t="e">
            <v>#DIV/0!</v>
          </cell>
          <cell r="AM12">
            <v>0</v>
          </cell>
          <cell r="AN12" t="e">
            <v>#DIV/0!</v>
          </cell>
        </row>
        <row r="13">
          <cell r="F13">
            <v>14987176247718</v>
          </cell>
          <cell r="I13" t="str">
            <v>[箱裝][DS]ARIEL 台灣公司貨 超濃縮 新升級 抗菌抗臭洗衣精補充包, 抗菌去漬型, 1030g, 8包</v>
          </cell>
          <cell r="J13">
            <v>1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AF13">
            <v>0</v>
          </cell>
          <cell r="AG13">
            <v>0</v>
          </cell>
          <cell r="AH13" t="e">
            <v>#N/A</v>
          </cell>
          <cell r="AJ13">
            <v>0</v>
          </cell>
          <cell r="AK13">
            <v>0</v>
          </cell>
          <cell r="AL13" t="e">
            <v>#DIV/0!</v>
          </cell>
          <cell r="AM13">
            <v>0</v>
          </cell>
          <cell r="AN13" t="e">
            <v>#DIV/0!</v>
          </cell>
        </row>
        <row r="14">
          <cell r="F14">
            <v>4987176247728</v>
          </cell>
          <cell r="H14">
            <v>80788034</v>
          </cell>
          <cell r="I14" t="str">
            <v>[DS]ARIEL 台灣公司貨 超濃縮 新升級 抗菌抗臭洗衣精補充包, 室內晾衣型, 1030g, 1包</v>
          </cell>
          <cell r="J14">
            <v>8</v>
          </cell>
          <cell r="K14">
            <v>112</v>
          </cell>
          <cell r="L14">
            <v>955.7</v>
          </cell>
          <cell r="M14">
            <v>922.51199999999994</v>
          </cell>
          <cell r="N14">
            <v>0</v>
          </cell>
          <cell r="O14">
            <v>0</v>
          </cell>
          <cell r="P14">
            <v>0</v>
          </cell>
          <cell r="AF14">
            <v>0</v>
          </cell>
          <cell r="AG14">
            <v>0</v>
          </cell>
          <cell r="AH14" t="e">
            <v>#N/A</v>
          </cell>
          <cell r="AJ14">
            <v>0</v>
          </cell>
          <cell r="AK14">
            <v>0</v>
          </cell>
          <cell r="AL14" t="e">
            <v>#DIV/0!</v>
          </cell>
          <cell r="AM14">
            <v>0</v>
          </cell>
          <cell r="AN14" t="e">
            <v>#DIV/0!</v>
          </cell>
        </row>
        <row r="15">
          <cell r="F15">
            <v>14987176247725</v>
          </cell>
          <cell r="I15" t="str">
            <v>[箱裝][DS]ARIEL 台灣公司貨 超濃縮 新升級 抗菌抗臭洗衣精補充包 室內晾衣型, 1030g, 8包</v>
          </cell>
          <cell r="J15">
            <v>1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AF15">
            <v>0</v>
          </cell>
          <cell r="AG15">
            <v>0</v>
          </cell>
          <cell r="AH15" t="e">
            <v>#N/A</v>
          </cell>
          <cell r="AJ15">
            <v>0</v>
          </cell>
          <cell r="AK15">
            <v>0</v>
          </cell>
          <cell r="AL15" t="e">
            <v>#DIV/0!</v>
          </cell>
          <cell r="AM15">
            <v>0</v>
          </cell>
          <cell r="AN15" t="e">
            <v>#DIV/0!</v>
          </cell>
        </row>
        <row r="16">
          <cell r="F16">
            <v>4987176340900</v>
          </cell>
          <cell r="G16">
            <v>4987176340900</v>
          </cell>
          <cell r="H16">
            <v>80863067</v>
          </cell>
          <cell r="I16" t="str">
            <v>ARIEL 原廠公司貨 抗菌洗衣精補充包 抗菌去漬型, 1690g, 1個</v>
          </cell>
          <cell r="J16">
            <v>6</v>
          </cell>
          <cell r="K16">
            <v>193</v>
          </cell>
          <cell r="L16">
            <v>1283.4000000000001</v>
          </cell>
          <cell r="M16">
            <v>1242.8599999999999</v>
          </cell>
          <cell r="N16">
            <v>0</v>
          </cell>
          <cell r="O16">
            <v>0</v>
          </cell>
          <cell r="P16">
            <v>340</v>
          </cell>
          <cell r="Q16">
            <v>802</v>
          </cell>
          <cell r="R16">
            <v>612</v>
          </cell>
          <cell r="S16">
            <v>0</v>
          </cell>
          <cell r="Y16">
            <v>62</v>
          </cell>
          <cell r="Z16">
            <v>738.33333333333326</v>
          </cell>
          <cell r="AA16">
            <v>854.5</v>
          </cell>
          <cell r="AB16">
            <v>79.5</v>
          </cell>
          <cell r="AF16">
            <v>1754</v>
          </cell>
          <cell r="AG16">
            <v>1734.3333333333333</v>
          </cell>
          <cell r="AH16">
            <v>773</v>
          </cell>
          <cell r="AJ16">
            <v>19.666666666666742</v>
          </cell>
          <cell r="AK16">
            <v>25240.200000000099</v>
          </cell>
          <cell r="AL16">
            <v>1.2368972746331286</v>
          </cell>
          <cell r="AM16">
            <v>492.90000000000003</v>
          </cell>
          <cell r="AN16">
            <v>23.083789815378385</v>
          </cell>
        </row>
        <row r="17">
          <cell r="F17">
            <v>14987176340907</v>
          </cell>
          <cell r="G17">
            <v>4987176340900</v>
          </cell>
          <cell r="H17">
            <v>80863067</v>
          </cell>
          <cell r="I17" t="str">
            <v>[箱裝]ARIEL 台灣公司貨 超濃縮 新升級 抗菌洗衣精補充包, 抗菌去漬型, 1690g, 6包</v>
          </cell>
          <cell r="J17">
            <v>1</v>
          </cell>
          <cell r="K17">
            <v>1158</v>
          </cell>
          <cell r="L17">
            <v>1283.4000000000001</v>
          </cell>
          <cell r="M17">
            <v>1242.8599999999999</v>
          </cell>
          <cell r="N17">
            <v>0</v>
          </cell>
          <cell r="P17">
            <v>60</v>
          </cell>
          <cell r="Q17">
            <v>84</v>
          </cell>
          <cell r="R17">
            <v>388</v>
          </cell>
          <cell r="Y17">
            <v>20</v>
          </cell>
          <cell r="Z17">
            <v>44</v>
          </cell>
          <cell r="AA17">
            <v>170</v>
          </cell>
          <cell r="AB17">
            <v>60</v>
          </cell>
          <cell r="AF17">
            <v>532</v>
          </cell>
          <cell r="AG17">
            <v>294</v>
          </cell>
          <cell r="AH17">
            <v>0</v>
          </cell>
          <cell r="AJ17">
            <v>238</v>
          </cell>
          <cell r="AK17">
            <v>305449.2</v>
          </cell>
          <cell r="AL17">
            <v>19.833333333333332</v>
          </cell>
          <cell r="AM17">
            <v>372</v>
          </cell>
          <cell r="AN17">
            <v>-5.967741935483871</v>
          </cell>
        </row>
        <row r="18">
          <cell r="F18">
            <v>4987176340856</v>
          </cell>
          <cell r="G18">
            <v>4987176340856</v>
          </cell>
          <cell r="H18">
            <v>80863061</v>
          </cell>
          <cell r="I18" t="str">
            <v>ARIEL 原廠公司貨 抗菌洗衣精補充包 室內晾衣型, 1690g, 1個</v>
          </cell>
          <cell r="J18">
            <v>6</v>
          </cell>
          <cell r="K18">
            <v>193</v>
          </cell>
          <cell r="L18">
            <v>1283.4000000000001</v>
          </cell>
          <cell r="M18">
            <v>1242.8599999999999</v>
          </cell>
          <cell r="N18">
            <v>0</v>
          </cell>
          <cell r="O18">
            <v>0</v>
          </cell>
          <cell r="P18">
            <v>1555</v>
          </cell>
          <cell r="Q18">
            <v>208</v>
          </cell>
          <cell r="R18">
            <v>834</v>
          </cell>
          <cell r="S18">
            <v>700</v>
          </cell>
          <cell r="Y18">
            <v>84</v>
          </cell>
          <cell r="Z18">
            <v>637.16666666666674</v>
          </cell>
          <cell r="AA18">
            <v>1595</v>
          </cell>
          <cell r="AB18">
            <v>335.66666666666669</v>
          </cell>
          <cell r="AF18">
            <v>3297</v>
          </cell>
          <cell r="AG18">
            <v>2651.8333333333335</v>
          </cell>
          <cell r="AH18">
            <v>700</v>
          </cell>
          <cell r="AJ18">
            <v>645.16666666666652</v>
          </cell>
          <cell r="AK18">
            <v>828006.89999999991</v>
          </cell>
          <cell r="AL18">
            <v>9.6102284011916552</v>
          </cell>
          <cell r="AM18">
            <v>2081.1333333333337</v>
          </cell>
          <cell r="AN18">
            <v>-15.861069289169377</v>
          </cell>
        </row>
        <row r="19">
          <cell r="F19">
            <v>14987176340853</v>
          </cell>
          <cell r="G19">
            <v>4987176340856</v>
          </cell>
          <cell r="H19">
            <v>80863061</v>
          </cell>
          <cell r="I19" t="str">
            <v>[箱裝][DS]ARIEL 台灣公司貨 超濃縮 新升級 抗菌洗衣精補充包, 室內晾衣型, 1690g, 6包</v>
          </cell>
          <cell r="J19">
            <v>1</v>
          </cell>
          <cell r="K19">
            <v>1158</v>
          </cell>
          <cell r="L19">
            <v>1283.4000000000001</v>
          </cell>
          <cell r="M19">
            <v>1242.8599999999999</v>
          </cell>
          <cell r="N19">
            <v>0</v>
          </cell>
          <cell r="P19">
            <v>445</v>
          </cell>
          <cell r="Q19">
            <v>158</v>
          </cell>
          <cell r="R19">
            <v>122</v>
          </cell>
          <cell r="Y19">
            <v>53</v>
          </cell>
          <cell r="Z19">
            <v>201</v>
          </cell>
          <cell r="AA19">
            <v>149</v>
          </cell>
          <cell r="AB19">
            <v>40</v>
          </cell>
          <cell r="AF19">
            <v>725</v>
          </cell>
          <cell r="AG19">
            <v>443</v>
          </cell>
          <cell r="AH19">
            <v>0</v>
          </cell>
          <cell r="AJ19">
            <v>282</v>
          </cell>
          <cell r="AK19">
            <v>361918.80000000005</v>
          </cell>
          <cell r="AL19">
            <v>35.25</v>
          </cell>
          <cell r="AM19">
            <v>248</v>
          </cell>
          <cell r="AN19">
            <v>8.9516129032258061</v>
          </cell>
        </row>
        <row r="20">
          <cell r="F20">
            <v>4987176340924</v>
          </cell>
          <cell r="G20">
            <v>4987176340924</v>
          </cell>
          <cell r="H20">
            <v>80863069</v>
          </cell>
          <cell r="I20" t="str">
            <v>ARIEL 原廠公司貨 抗菌洗衣精補充包 自然微香型, 1690g, 1個</v>
          </cell>
          <cell r="J20">
            <v>6</v>
          </cell>
          <cell r="K20">
            <v>193</v>
          </cell>
          <cell r="L20">
            <v>1283.4000000000001</v>
          </cell>
          <cell r="M20">
            <v>1242.8599999999999</v>
          </cell>
          <cell r="N20">
            <v>0</v>
          </cell>
          <cell r="O20">
            <v>0</v>
          </cell>
          <cell r="P20">
            <v>20</v>
          </cell>
          <cell r="Q20">
            <v>0</v>
          </cell>
          <cell r="R20">
            <v>142</v>
          </cell>
          <cell r="S20">
            <v>0</v>
          </cell>
          <cell r="Y20">
            <v>5.333333333333333</v>
          </cell>
          <cell r="Z20">
            <v>14.5</v>
          </cell>
          <cell r="AA20">
            <v>82</v>
          </cell>
          <cell r="AB20">
            <v>31.999999999999996</v>
          </cell>
          <cell r="AF20">
            <v>162</v>
          </cell>
          <cell r="AG20">
            <v>133.83333333333331</v>
          </cell>
          <cell r="AH20">
            <v>150</v>
          </cell>
          <cell r="AJ20">
            <v>28.166666666666686</v>
          </cell>
          <cell r="AK20">
            <v>36149.100000000028</v>
          </cell>
          <cell r="AL20">
            <v>4.4010416666666705</v>
          </cell>
          <cell r="AM20">
            <v>198.39999999999998</v>
          </cell>
          <cell r="AN20">
            <v>1.7792338709677484</v>
          </cell>
        </row>
        <row r="21">
          <cell r="F21">
            <v>14987176340921</v>
          </cell>
          <cell r="G21">
            <v>4987176340924</v>
          </cell>
          <cell r="H21">
            <v>80863069</v>
          </cell>
          <cell r="I21" t="str">
            <v>[DS][箱裝]ARIEL 台灣公司貨 超濃縮 新升級 抗菌洗衣精補充包, 自然微香型, 1690g, 6包</v>
          </cell>
          <cell r="J21">
            <v>1</v>
          </cell>
          <cell r="K21">
            <v>1158</v>
          </cell>
          <cell r="L21">
            <v>1283.4000000000001</v>
          </cell>
          <cell r="M21">
            <v>1242.8599999999999</v>
          </cell>
          <cell r="N21">
            <v>0</v>
          </cell>
          <cell r="P21">
            <v>10</v>
          </cell>
          <cell r="Q21">
            <v>0</v>
          </cell>
          <cell r="R21">
            <v>0</v>
          </cell>
          <cell r="Y21">
            <v>5</v>
          </cell>
          <cell r="Z21">
            <v>5</v>
          </cell>
          <cell r="AF21">
            <v>10</v>
          </cell>
          <cell r="AG21">
            <v>10</v>
          </cell>
          <cell r="AH21">
            <v>55</v>
          </cell>
          <cell r="AJ21">
            <v>0</v>
          </cell>
          <cell r="AK21">
            <v>0</v>
          </cell>
          <cell r="AL21" t="e">
            <v>#DIV/0!</v>
          </cell>
          <cell r="AM21">
            <v>0</v>
          </cell>
          <cell r="AN21" t="e">
            <v>#DIV/0!</v>
          </cell>
        </row>
        <row r="22">
          <cell r="F22">
            <v>14987176340877</v>
          </cell>
          <cell r="G22">
            <v>4987176340870</v>
          </cell>
          <cell r="H22">
            <v>80863063</v>
          </cell>
          <cell r="I22" t="str">
            <v>[箱裝]ARIEL 台灣公司貨 超濃縮 新升級 抗菌洗衣精補充包, 高效除螨, 1690g, 6包</v>
          </cell>
          <cell r="J22">
            <v>1</v>
          </cell>
          <cell r="K22">
            <v>1158</v>
          </cell>
          <cell r="L22">
            <v>1283.4000000000001</v>
          </cell>
          <cell r="M22">
            <v>1242.8599999999999</v>
          </cell>
          <cell r="N22">
            <v>0</v>
          </cell>
          <cell r="P22">
            <v>150</v>
          </cell>
          <cell r="Q22">
            <v>120</v>
          </cell>
          <cell r="R22">
            <v>0</v>
          </cell>
          <cell r="Y22">
            <v>19</v>
          </cell>
          <cell r="Z22">
            <v>19</v>
          </cell>
          <cell r="AA22">
            <v>27</v>
          </cell>
          <cell r="AB22">
            <v>13</v>
          </cell>
          <cell r="AF22">
            <v>270</v>
          </cell>
          <cell r="AG22">
            <v>78</v>
          </cell>
          <cell r="AH22">
            <v>0</v>
          </cell>
          <cell r="AJ22">
            <v>192</v>
          </cell>
          <cell r="AK22">
            <v>246412.80000000002</v>
          </cell>
          <cell r="AL22">
            <v>73.846153846153854</v>
          </cell>
          <cell r="AM22">
            <v>80.600000000000009</v>
          </cell>
          <cell r="AN22">
            <v>46.302729528535963</v>
          </cell>
        </row>
        <row r="23">
          <cell r="F23">
            <v>4987176340870</v>
          </cell>
          <cell r="G23">
            <v>4987176340870</v>
          </cell>
          <cell r="H23">
            <v>80863063</v>
          </cell>
          <cell r="I23" t="str">
            <v>ARIEL 原廠公司貨 抗菌洗衣精補充包 高效除蟎, 1690g, 1個</v>
          </cell>
          <cell r="J23">
            <v>6</v>
          </cell>
          <cell r="K23">
            <v>193</v>
          </cell>
          <cell r="L23">
            <v>1283.4000000000001</v>
          </cell>
          <cell r="M23">
            <v>1242.8599999999999</v>
          </cell>
          <cell r="N23">
            <v>0</v>
          </cell>
          <cell r="O23">
            <v>0</v>
          </cell>
          <cell r="P23">
            <v>349</v>
          </cell>
          <cell r="Q23">
            <v>170</v>
          </cell>
          <cell r="R23">
            <v>334</v>
          </cell>
          <cell r="S23">
            <v>0</v>
          </cell>
          <cell r="Y23">
            <v>5</v>
          </cell>
          <cell r="Z23">
            <v>153.66666666666666</v>
          </cell>
          <cell r="AA23">
            <v>207.66666666666669</v>
          </cell>
          <cell r="AB23">
            <v>38</v>
          </cell>
          <cell r="AF23">
            <v>853</v>
          </cell>
          <cell r="AG23">
            <v>404.33333333333337</v>
          </cell>
          <cell r="AH23">
            <v>294</v>
          </cell>
          <cell r="AJ23">
            <v>448.66666666666663</v>
          </cell>
          <cell r="AK23">
            <v>575818.80000000005</v>
          </cell>
          <cell r="AL23">
            <v>59.03508771929824</v>
          </cell>
          <cell r="AM23">
            <v>235.6</v>
          </cell>
          <cell r="AN23">
            <v>69.405772495755514</v>
          </cell>
        </row>
        <row r="24">
          <cell r="F24">
            <v>4987176337160</v>
          </cell>
          <cell r="G24">
            <v>4987176337160</v>
          </cell>
          <cell r="H24">
            <v>80820259</v>
          </cell>
          <cell r="I24" t="str">
            <v>ARIEL 原廠公司貨 4D抗菌洗衣膠囊補充包 室內晾衣型, 30個裝, 1套</v>
          </cell>
          <cell r="J24">
            <v>10</v>
          </cell>
          <cell r="K24">
            <v>208</v>
          </cell>
          <cell r="L24">
            <v>2256.9</v>
          </cell>
          <cell r="M24">
            <v>2194.5</v>
          </cell>
          <cell r="N24">
            <v>189</v>
          </cell>
          <cell r="O24">
            <v>144</v>
          </cell>
          <cell r="P24">
            <v>0</v>
          </cell>
          <cell r="Q24">
            <v>220</v>
          </cell>
          <cell r="R24">
            <v>293</v>
          </cell>
          <cell r="S24">
            <v>220</v>
          </cell>
          <cell r="W24">
            <v>32.6</v>
          </cell>
          <cell r="X24">
            <v>225.60000000000002</v>
          </cell>
          <cell r="Y24">
            <v>70.5</v>
          </cell>
          <cell r="Z24">
            <v>194.6</v>
          </cell>
          <cell r="AA24">
            <v>315.5</v>
          </cell>
          <cell r="AB24">
            <v>71.300000000000011</v>
          </cell>
          <cell r="AF24">
            <v>1066</v>
          </cell>
          <cell r="AG24">
            <v>910.10000000000014</v>
          </cell>
          <cell r="AH24">
            <v>220</v>
          </cell>
          <cell r="AJ24">
            <v>155.89999999999986</v>
          </cell>
          <cell r="AK24">
            <v>351850.70999999973</v>
          </cell>
          <cell r="AL24">
            <v>10.932678821879371</v>
          </cell>
          <cell r="AM24">
            <v>442.06000000000006</v>
          </cell>
          <cell r="AN24">
            <v>-14.581278559471572</v>
          </cell>
        </row>
        <row r="25">
          <cell r="F25">
            <v>4987176337146</v>
          </cell>
          <cell r="G25">
            <v>4987176337146</v>
          </cell>
          <cell r="H25">
            <v>80820265</v>
          </cell>
          <cell r="I25" t="str">
            <v>ARIEL 原廠公司貨 4D抗菌洗衣膠囊補充包 自然微香型, 30個裝, 1套</v>
          </cell>
          <cell r="J25">
            <v>10</v>
          </cell>
          <cell r="K25">
            <v>208</v>
          </cell>
          <cell r="L25">
            <v>2256.9</v>
          </cell>
          <cell r="M25">
            <v>2194.5</v>
          </cell>
          <cell r="N25">
            <v>0</v>
          </cell>
          <cell r="O25">
            <v>23</v>
          </cell>
          <cell r="P25">
            <v>0</v>
          </cell>
          <cell r="Q25">
            <v>12</v>
          </cell>
          <cell r="R25">
            <v>48</v>
          </cell>
          <cell r="S25">
            <v>38</v>
          </cell>
          <cell r="X25">
            <v>0.7</v>
          </cell>
          <cell r="Y25">
            <v>7.2</v>
          </cell>
          <cell r="Z25">
            <v>7.1</v>
          </cell>
          <cell r="AA25">
            <v>29.200000000000003</v>
          </cell>
          <cell r="AB25">
            <v>10.5</v>
          </cell>
          <cell r="AF25">
            <v>121</v>
          </cell>
          <cell r="AG25">
            <v>54.7</v>
          </cell>
          <cell r="AH25">
            <v>45</v>
          </cell>
          <cell r="AJ25">
            <v>66.3</v>
          </cell>
          <cell r="AK25">
            <v>149632.47</v>
          </cell>
          <cell r="AL25">
            <v>31.571428571428573</v>
          </cell>
          <cell r="AM25">
            <v>65.100000000000009</v>
          </cell>
          <cell r="AN25">
            <v>8.6175115207373203</v>
          </cell>
        </row>
        <row r="26">
          <cell r="F26">
            <v>4987176314352</v>
          </cell>
          <cell r="G26">
            <v>4987176314352</v>
          </cell>
          <cell r="H26">
            <v>80841901</v>
          </cell>
          <cell r="I26" t="str">
            <v>Lenor 蘭諾 衣物芳香豆 甜柔麝香 特大補充包, 1.3L, 1包</v>
          </cell>
          <cell r="J26">
            <v>6</v>
          </cell>
          <cell r="K26">
            <v>367</v>
          </cell>
          <cell r="L26">
            <v>2326.86</v>
          </cell>
          <cell r="M26">
            <v>2262.89</v>
          </cell>
          <cell r="N26">
            <v>230</v>
          </cell>
          <cell r="O26">
            <v>0</v>
          </cell>
          <cell r="P26">
            <v>0</v>
          </cell>
          <cell r="W26">
            <v>55.666666666666664</v>
          </cell>
          <cell r="X26">
            <v>157.16666666666669</v>
          </cell>
          <cell r="Y26">
            <v>16.5</v>
          </cell>
          <cell r="AF26">
            <v>230</v>
          </cell>
          <cell r="AG26">
            <v>229.33333333333334</v>
          </cell>
          <cell r="AH26" t="e">
            <v>#N/A</v>
          </cell>
          <cell r="AJ26">
            <v>0.66666666666665719</v>
          </cell>
          <cell r="AK26">
            <v>1551.239999999978</v>
          </cell>
          <cell r="AL26" t="e">
            <v>#DIV/0!</v>
          </cell>
          <cell r="AM26">
            <v>0</v>
          </cell>
          <cell r="AN26" t="e">
            <v>#DIV/0!</v>
          </cell>
        </row>
        <row r="27">
          <cell r="F27">
            <v>4987176314260</v>
          </cell>
          <cell r="G27">
            <v>4987176314260</v>
          </cell>
          <cell r="H27">
            <v>80841893</v>
          </cell>
          <cell r="I27" t="str">
            <v>Lenor 蘭諾 衣物芳香豆 清晨草木 特大補充包, 1.3L, 1包</v>
          </cell>
          <cell r="J27">
            <v>6</v>
          </cell>
          <cell r="K27">
            <v>367</v>
          </cell>
          <cell r="L27">
            <v>2326.86</v>
          </cell>
          <cell r="M27">
            <v>2262.89</v>
          </cell>
          <cell r="N27">
            <v>165</v>
          </cell>
          <cell r="O27">
            <v>0</v>
          </cell>
          <cell r="P27">
            <v>0</v>
          </cell>
          <cell r="W27">
            <v>24.333333333333332</v>
          </cell>
          <cell r="X27">
            <v>112.83333333333336</v>
          </cell>
          <cell r="Y27">
            <v>24.5</v>
          </cell>
          <cell r="AF27">
            <v>165</v>
          </cell>
          <cell r="AG27">
            <v>161.66666666666669</v>
          </cell>
          <cell r="AH27" t="e">
            <v>#N/A</v>
          </cell>
          <cell r="AJ27">
            <v>3.3333333333333144</v>
          </cell>
          <cell r="AK27">
            <v>7756.1999999999562</v>
          </cell>
          <cell r="AL27" t="e">
            <v>#DIV/0!</v>
          </cell>
          <cell r="AM27">
            <v>0</v>
          </cell>
          <cell r="AN27" t="e">
            <v>#DIV/0!</v>
          </cell>
        </row>
        <row r="28">
          <cell r="F28">
            <v>4987176314369</v>
          </cell>
          <cell r="G28">
            <v>4987176314369</v>
          </cell>
          <cell r="H28">
            <v>80841902</v>
          </cell>
          <cell r="I28" t="str">
            <v>Lenor 蘭諾 衣物抗菌芳香豆 運動衣物抗臭 補充包, 430ml, 1包</v>
          </cell>
          <cell r="J28">
            <v>10</v>
          </cell>
          <cell r="K28">
            <v>140</v>
          </cell>
          <cell r="L28">
            <v>1440.3</v>
          </cell>
          <cell r="M28">
            <v>1396.23</v>
          </cell>
          <cell r="N28">
            <v>41</v>
          </cell>
          <cell r="O28">
            <v>40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W28">
            <v>21</v>
          </cell>
          <cell r="X28">
            <v>56.400000000000006</v>
          </cell>
          <cell r="Y28">
            <v>-0.1</v>
          </cell>
          <cell r="AA28">
            <v>0</v>
          </cell>
          <cell r="AF28">
            <v>81</v>
          </cell>
          <cell r="AG28">
            <v>77.300000000000011</v>
          </cell>
          <cell r="AH28">
            <v>0</v>
          </cell>
          <cell r="AJ28">
            <v>3.6999999999999886</v>
          </cell>
          <cell r="AK28">
            <v>5329.1099999999833</v>
          </cell>
          <cell r="AL28" t="e">
            <v>#DIV/0!</v>
          </cell>
          <cell r="AM28">
            <v>0</v>
          </cell>
          <cell r="AN28" t="e">
            <v>#DIV/0!</v>
          </cell>
        </row>
        <row r="29">
          <cell r="F29">
            <v>4987176314789</v>
          </cell>
          <cell r="G29">
            <v>4987176314789</v>
          </cell>
          <cell r="H29">
            <v>80842258</v>
          </cell>
          <cell r="I29" t="str">
            <v>Lenor 蘭諾 衣物芳香豆 甜柔麝香 補充包, 440ml, 1包</v>
          </cell>
          <cell r="J29">
            <v>10</v>
          </cell>
          <cell r="K29">
            <v>136</v>
          </cell>
          <cell r="L29">
            <v>1440.3</v>
          </cell>
          <cell r="M29">
            <v>1396.23</v>
          </cell>
          <cell r="N29">
            <v>307</v>
          </cell>
          <cell r="O29">
            <v>46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W29">
            <v>29.700000000000003</v>
          </cell>
          <cell r="X29">
            <v>109.89999999999999</v>
          </cell>
          <cell r="Y29">
            <v>178.1</v>
          </cell>
          <cell r="Z29">
            <v>35.900000000000006</v>
          </cell>
          <cell r="AA29">
            <v>0.8</v>
          </cell>
          <cell r="AF29">
            <v>353</v>
          </cell>
          <cell r="AG29">
            <v>354.40000000000003</v>
          </cell>
          <cell r="AH29">
            <v>0</v>
          </cell>
          <cell r="AK29">
            <v>0</v>
          </cell>
          <cell r="AL29" t="e">
            <v>#DIV/0!</v>
          </cell>
          <cell r="AM29">
            <v>0</v>
          </cell>
          <cell r="AN29" t="e">
            <v>#DIV/0!</v>
          </cell>
        </row>
        <row r="30">
          <cell r="F30">
            <v>4987176314802</v>
          </cell>
          <cell r="G30">
            <v>4987176314802</v>
          </cell>
          <cell r="H30">
            <v>80842260</v>
          </cell>
          <cell r="I30" t="str">
            <v>Lenor 蘭諾 衣物芳香豆 甜花石榴香 補充包, 440ml, 1包</v>
          </cell>
          <cell r="J30">
            <v>10</v>
          </cell>
          <cell r="K30">
            <v>136</v>
          </cell>
          <cell r="L30">
            <v>1440.3</v>
          </cell>
          <cell r="M30">
            <v>1396.23</v>
          </cell>
          <cell r="N30">
            <v>294</v>
          </cell>
          <cell r="O30">
            <v>294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W30">
            <v>8.1999999999999993</v>
          </cell>
          <cell r="X30">
            <v>98.400000000000034</v>
          </cell>
          <cell r="Y30">
            <v>179.7</v>
          </cell>
          <cell r="Z30">
            <v>77.800000000000011</v>
          </cell>
          <cell r="AA30">
            <v>229</v>
          </cell>
          <cell r="AB30">
            <v>0.30000000000000004</v>
          </cell>
          <cell r="AF30">
            <v>588</v>
          </cell>
          <cell r="AG30">
            <v>593.4</v>
          </cell>
          <cell r="AH30">
            <v>0</v>
          </cell>
          <cell r="AK30">
            <v>0</v>
          </cell>
          <cell r="AL30">
            <v>0</v>
          </cell>
          <cell r="AM30">
            <v>1.8600000000000003</v>
          </cell>
          <cell r="AN30">
            <v>-112.25806451612959</v>
          </cell>
        </row>
        <row r="31">
          <cell r="F31">
            <v>4987176314772</v>
          </cell>
          <cell r="G31">
            <v>4987176314772</v>
          </cell>
          <cell r="H31">
            <v>80842257</v>
          </cell>
          <cell r="I31" t="str">
            <v>Lenor 蘭諾 衣物芳香豆 雪松梔子花 補充包, 440ml, 1包</v>
          </cell>
          <cell r="J31">
            <v>10</v>
          </cell>
          <cell r="K31">
            <v>136</v>
          </cell>
          <cell r="L31">
            <v>1440.3</v>
          </cell>
          <cell r="M31">
            <v>1396.23</v>
          </cell>
          <cell r="N31">
            <v>265</v>
          </cell>
          <cell r="O31">
            <v>141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W31">
            <v>38</v>
          </cell>
          <cell r="X31">
            <v>189</v>
          </cell>
          <cell r="Y31">
            <v>168.4</v>
          </cell>
          <cell r="Z31">
            <v>1</v>
          </cell>
          <cell r="AF31">
            <v>406</v>
          </cell>
          <cell r="AG31">
            <v>396.4</v>
          </cell>
          <cell r="AH31">
            <v>0</v>
          </cell>
          <cell r="AJ31">
            <v>9.6000000000000227</v>
          </cell>
          <cell r="AK31">
            <v>13826.880000000032</v>
          </cell>
          <cell r="AL31" t="e">
            <v>#DIV/0!</v>
          </cell>
          <cell r="AM31">
            <v>0</v>
          </cell>
          <cell r="AN31" t="e">
            <v>#DIV/0!</v>
          </cell>
        </row>
        <row r="32">
          <cell r="F32">
            <v>4987176314796</v>
          </cell>
          <cell r="G32">
            <v>4987176314796</v>
          </cell>
          <cell r="H32">
            <v>80842259</v>
          </cell>
          <cell r="I32" t="str">
            <v>Lenor 蘭諾 衣物芳香豆 清晨草木 補充包, 440ml, 1包</v>
          </cell>
          <cell r="J32">
            <v>10</v>
          </cell>
          <cell r="K32">
            <v>136</v>
          </cell>
          <cell r="L32">
            <v>1440.3</v>
          </cell>
          <cell r="M32">
            <v>1396.23</v>
          </cell>
          <cell r="N32">
            <v>233</v>
          </cell>
          <cell r="O32">
            <v>233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W32">
            <v>24.2</v>
          </cell>
          <cell r="X32">
            <v>89.3</v>
          </cell>
          <cell r="Y32">
            <v>154.5</v>
          </cell>
          <cell r="Z32">
            <v>81</v>
          </cell>
          <cell r="AA32">
            <v>45.3</v>
          </cell>
          <cell r="AB32">
            <v>24.5</v>
          </cell>
          <cell r="AF32">
            <v>466</v>
          </cell>
          <cell r="AG32">
            <v>418.8</v>
          </cell>
          <cell r="AH32">
            <v>0</v>
          </cell>
          <cell r="AJ32">
            <v>47.199999999999989</v>
          </cell>
          <cell r="AK32">
            <v>67982.159999999974</v>
          </cell>
          <cell r="AL32">
            <v>9.6326530612244881</v>
          </cell>
          <cell r="AM32">
            <v>151.9</v>
          </cell>
          <cell r="AN32">
            <v>-15.83936800526663</v>
          </cell>
        </row>
        <row r="33">
          <cell r="F33">
            <v>4987176314222</v>
          </cell>
          <cell r="G33">
            <v>4987176314222</v>
          </cell>
          <cell r="H33">
            <v>80841888</v>
          </cell>
          <cell r="I33" t="str">
            <v>Lenor 蘭諾 衣物芳香豆 雪松梔子花, 450ml, 1瓶</v>
          </cell>
          <cell r="J33">
            <v>6</v>
          </cell>
          <cell r="K33">
            <v>174</v>
          </cell>
          <cell r="L33">
            <v>1081.3</v>
          </cell>
          <cell r="M33">
            <v>1045.29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AA33">
            <v>1</v>
          </cell>
          <cell r="AF33">
            <v>0</v>
          </cell>
          <cell r="AG33">
            <v>1</v>
          </cell>
          <cell r="AH33">
            <v>0</v>
          </cell>
          <cell r="AK33">
            <v>0</v>
          </cell>
          <cell r="AL33" t="e">
            <v>#DIV/0!</v>
          </cell>
          <cell r="AM33">
            <v>0</v>
          </cell>
          <cell r="AN33" t="e">
            <v>#DIV/0!</v>
          </cell>
        </row>
        <row r="34">
          <cell r="F34">
            <v>4987176314338</v>
          </cell>
          <cell r="G34">
            <v>4987176314338</v>
          </cell>
          <cell r="H34">
            <v>80841899</v>
          </cell>
          <cell r="I34" t="str">
            <v>Lenor 蘭諾 衣物芳香豆 甜花石榴香, 450ml, 1瓶</v>
          </cell>
          <cell r="J34">
            <v>6</v>
          </cell>
          <cell r="K34">
            <v>174</v>
          </cell>
          <cell r="L34">
            <v>1081.3</v>
          </cell>
          <cell r="M34">
            <v>1045.29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AF34">
            <v>0</v>
          </cell>
          <cell r="AG34">
            <v>0</v>
          </cell>
          <cell r="AH34">
            <v>34</v>
          </cell>
          <cell r="AJ34">
            <v>0</v>
          </cell>
          <cell r="AK34">
            <v>0</v>
          </cell>
          <cell r="AL34" t="e">
            <v>#DIV/0!</v>
          </cell>
          <cell r="AM34">
            <v>0</v>
          </cell>
          <cell r="AN34" t="e">
            <v>#DIV/0!</v>
          </cell>
        </row>
        <row r="35">
          <cell r="F35">
            <v>4987176314253</v>
          </cell>
          <cell r="G35">
            <v>4987176314253</v>
          </cell>
          <cell r="H35">
            <v>80841891</v>
          </cell>
          <cell r="I35" t="str">
            <v>Lenor 蘭諾 衣物抗菌芳香豆 潮濕天氣抗臭, 440ml, 1瓶</v>
          </cell>
          <cell r="J35">
            <v>6</v>
          </cell>
          <cell r="K35">
            <v>174</v>
          </cell>
          <cell r="L35">
            <v>1081.3</v>
          </cell>
          <cell r="M35">
            <v>1045.29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66</v>
          </cell>
          <cell r="AF35">
            <v>66</v>
          </cell>
          <cell r="AG35">
            <v>0</v>
          </cell>
          <cell r="AH35">
            <v>66</v>
          </cell>
          <cell r="AJ35">
            <v>66</v>
          </cell>
          <cell r="AK35">
            <v>71365.8</v>
          </cell>
          <cell r="AL35" t="e">
            <v>#DIV/0!</v>
          </cell>
          <cell r="AM35">
            <v>0</v>
          </cell>
          <cell r="AN35" t="e">
            <v>#DIV/0!</v>
          </cell>
        </row>
        <row r="36">
          <cell r="F36">
            <v>4987176314291</v>
          </cell>
          <cell r="G36">
            <v>4987176314291</v>
          </cell>
          <cell r="H36">
            <v>80841895</v>
          </cell>
          <cell r="I36" t="str">
            <v>Lenor 蘭諾 衣物抗菌芳香豆 潮濕天氣抗臭 補充包, 430ml, 1包</v>
          </cell>
          <cell r="J36">
            <v>10</v>
          </cell>
          <cell r="K36">
            <v>140</v>
          </cell>
          <cell r="L36">
            <v>1440.3</v>
          </cell>
          <cell r="M36">
            <v>1396.23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Y36">
            <v>0.2</v>
          </cell>
          <cell r="AF36">
            <v>0</v>
          </cell>
          <cell r="AG36">
            <v>0.2</v>
          </cell>
          <cell r="AH36">
            <v>0</v>
          </cell>
          <cell r="AK36">
            <v>0</v>
          </cell>
          <cell r="AL36" t="e">
            <v>#DIV/0!</v>
          </cell>
          <cell r="AM36">
            <v>0</v>
          </cell>
          <cell r="AN36" t="e">
            <v>#DIV/0!</v>
          </cell>
        </row>
        <row r="37">
          <cell r="F37">
            <v>4987176314284</v>
          </cell>
          <cell r="G37">
            <v>4987176314284</v>
          </cell>
          <cell r="H37">
            <v>80841894</v>
          </cell>
          <cell r="I37" t="str">
            <v>Lenor 蘭諾 衣物抗菌芳香豆 運動衣物抗臭, 440ml, 1瓶</v>
          </cell>
          <cell r="J37">
            <v>6</v>
          </cell>
          <cell r="K37">
            <v>174</v>
          </cell>
          <cell r="L37">
            <v>1081.3</v>
          </cell>
          <cell r="M37">
            <v>1045.29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AF37">
            <v>0</v>
          </cell>
          <cell r="AG37">
            <v>0</v>
          </cell>
          <cell r="AH37">
            <v>23</v>
          </cell>
          <cell r="AJ37">
            <v>0</v>
          </cell>
          <cell r="AK37">
            <v>0</v>
          </cell>
          <cell r="AL37" t="e">
            <v>#DIV/0!</v>
          </cell>
          <cell r="AM37">
            <v>0</v>
          </cell>
          <cell r="AN37" t="e">
            <v>#DIV/0!</v>
          </cell>
        </row>
        <row r="38">
          <cell r="F38">
            <v>4987176314406</v>
          </cell>
          <cell r="G38">
            <v>4987176314406</v>
          </cell>
          <cell r="H38">
            <v>80841906</v>
          </cell>
          <cell r="I38" t="str">
            <v>Lenor 蘭諾 衣物芳香豆 清晨草木, 450ml, 1瓶</v>
          </cell>
          <cell r="J38">
            <v>6</v>
          </cell>
          <cell r="K38">
            <v>174</v>
          </cell>
          <cell r="L38">
            <v>1081.3</v>
          </cell>
          <cell r="M38">
            <v>1045.29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100</v>
          </cell>
          <cell r="Y38">
            <v>0.16666666666666666</v>
          </cell>
          <cell r="AF38">
            <v>100</v>
          </cell>
          <cell r="AG38">
            <v>0.16666666666666666</v>
          </cell>
          <cell r="AH38">
            <v>117</v>
          </cell>
          <cell r="AJ38">
            <v>99.833333333333329</v>
          </cell>
          <cell r="AK38">
            <v>107949.78333333333</v>
          </cell>
          <cell r="AL38" t="e">
            <v>#DIV/0!</v>
          </cell>
          <cell r="AM38">
            <v>0</v>
          </cell>
          <cell r="AN38" t="e">
            <v>#DIV/0!</v>
          </cell>
        </row>
        <row r="39">
          <cell r="F39">
            <v>4987176314413</v>
          </cell>
          <cell r="G39">
            <v>4987176314413</v>
          </cell>
          <cell r="H39">
            <v>80841907</v>
          </cell>
          <cell r="I39" t="str">
            <v>Lenor 蘭諾 衣物芳香豆 青檸紫羅蘭, 450ml, 1瓶</v>
          </cell>
          <cell r="J39">
            <v>6</v>
          </cell>
          <cell r="K39">
            <v>174</v>
          </cell>
          <cell r="L39">
            <v>1081.3</v>
          </cell>
          <cell r="M39">
            <v>1045.29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73</v>
          </cell>
          <cell r="AB39">
            <v>5.333333333333333</v>
          </cell>
          <cell r="AF39">
            <v>73</v>
          </cell>
          <cell r="AG39">
            <v>5.333333333333333</v>
          </cell>
          <cell r="AH39">
            <v>73</v>
          </cell>
          <cell r="AJ39">
            <v>67.666666666666671</v>
          </cell>
          <cell r="AK39">
            <v>73167.966666666674</v>
          </cell>
          <cell r="AL39">
            <v>63.437500000000007</v>
          </cell>
          <cell r="AM39">
            <v>33.066666666666663</v>
          </cell>
          <cell r="AN39">
            <v>36.229838709677431</v>
          </cell>
        </row>
        <row r="40">
          <cell r="F40">
            <v>4987176314277</v>
          </cell>
          <cell r="G40">
            <v>4987176314277</v>
          </cell>
          <cell r="H40">
            <v>80841892</v>
          </cell>
          <cell r="I40" t="str">
            <v>Lenor 蘭諾 衣物芳香豆 甜柔麝香, 450ml, 1瓶</v>
          </cell>
          <cell r="J40">
            <v>6</v>
          </cell>
          <cell r="K40">
            <v>174</v>
          </cell>
          <cell r="L40">
            <v>1081.3</v>
          </cell>
          <cell r="M40">
            <v>1045.29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AA40">
            <v>0.33333333333333331</v>
          </cell>
          <cell r="AF40">
            <v>0</v>
          </cell>
          <cell r="AG40">
            <v>0.33333333333333331</v>
          </cell>
          <cell r="AH40">
            <v>0</v>
          </cell>
          <cell r="AK40">
            <v>0</v>
          </cell>
          <cell r="AL40" t="e">
            <v>#DIV/0!</v>
          </cell>
          <cell r="AM40">
            <v>0</v>
          </cell>
          <cell r="AN40" t="e">
            <v>#DIV/0!</v>
          </cell>
        </row>
        <row r="41">
          <cell r="F41">
            <v>4987176274908</v>
          </cell>
          <cell r="G41">
            <v>4987176274908</v>
          </cell>
          <cell r="H41">
            <v>80815408</v>
          </cell>
          <cell r="I41" t="str">
            <v>[DS]Lenor 蘭諾 台灣公司貨 衣物芳香豆 春暖晨露, 470ml, 1瓶</v>
          </cell>
          <cell r="J41">
            <v>6</v>
          </cell>
          <cell r="K41">
            <v>166</v>
          </cell>
          <cell r="L41">
            <v>1081.3</v>
          </cell>
          <cell r="M41">
            <v>1045.29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AF41">
            <v>0</v>
          </cell>
          <cell r="AG41">
            <v>0</v>
          </cell>
          <cell r="AH41">
            <v>0</v>
          </cell>
          <cell r="AJ41">
            <v>0</v>
          </cell>
          <cell r="AK41">
            <v>0</v>
          </cell>
          <cell r="AL41" t="e">
            <v>#DIV/0!</v>
          </cell>
          <cell r="AM41">
            <v>0</v>
          </cell>
          <cell r="AN41" t="e">
            <v>#DIV/0!</v>
          </cell>
        </row>
        <row r="42">
          <cell r="F42">
            <v>4987176274939</v>
          </cell>
          <cell r="G42">
            <v>4987176274939</v>
          </cell>
          <cell r="H42">
            <v>80815411</v>
          </cell>
          <cell r="I42" t="str">
            <v>[DS]Lenor 蘭諾 台灣公司貨 衣物芳香豆 淨白純棉, 180ml, 1瓶</v>
          </cell>
          <cell r="J42">
            <v>6</v>
          </cell>
          <cell r="K42">
            <v>80</v>
          </cell>
          <cell r="L42">
            <v>444</v>
          </cell>
          <cell r="M42">
            <v>422.3</v>
          </cell>
          <cell r="N42">
            <v>0</v>
          </cell>
          <cell r="O42">
            <v>0</v>
          </cell>
          <cell r="P42">
            <v>0</v>
          </cell>
          <cell r="AF42">
            <v>0</v>
          </cell>
          <cell r="AG42">
            <v>0</v>
          </cell>
          <cell r="AH42" t="e">
            <v>#N/A</v>
          </cell>
          <cell r="AJ42">
            <v>0</v>
          </cell>
          <cell r="AK42">
            <v>0</v>
          </cell>
          <cell r="AL42" t="e">
            <v>#DIV/0!</v>
          </cell>
          <cell r="AM42">
            <v>0</v>
          </cell>
          <cell r="AN42" t="e">
            <v>#DIV/0!</v>
          </cell>
        </row>
        <row r="43">
          <cell r="F43">
            <v>4987176314390</v>
          </cell>
          <cell r="G43">
            <v>4987176314390</v>
          </cell>
          <cell r="H43">
            <v>80841905</v>
          </cell>
          <cell r="I43" t="str">
            <v>Lenor 蘭諾 衣物芳香豆 雪松梔子花 特大補充包, 1.3L, 1包</v>
          </cell>
          <cell r="J43">
            <v>6</v>
          </cell>
          <cell r="K43">
            <v>367</v>
          </cell>
          <cell r="L43">
            <v>2326.86</v>
          </cell>
          <cell r="M43">
            <v>2262.89</v>
          </cell>
          <cell r="N43">
            <v>0</v>
          </cell>
          <cell r="O43">
            <v>0</v>
          </cell>
          <cell r="P43">
            <v>0</v>
          </cell>
          <cell r="Y43">
            <v>0.16666666666666666</v>
          </cell>
          <cell r="AF43">
            <v>0</v>
          </cell>
          <cell r="AG43">
            <v>0.16666666666666666</v>
          </cell>
          <cell r="AH43" t="e">
            <v>#N/A</v>
          </cell>
          <cell r="AK43">
            <v>0</v>
          </cell>
          <cell r="AL43" t="e">
            <v>#DIV/0!</v>
          </cell>
          <cell r="AM43">
            <v>0</v>
          </cell>
          <cell r="AN43" t="e">
            <v>#DIV/0!</v>
          </cell>
        </row>
        <row r="44">
          <cell r="F44">
            <v>4987176314765</v>
          </cell>
          <cell r="G44">
            <v>4987176314765</v>
          </cell>
          <cell r="H44">
            <v>80842256</v>
          </cell>
          <cell r="I44" t="str">
            <v>Lenor 蘭諾 衣物芳香豆 青檸紫羅蘭 補充包, 440ml, 1包</v>
          </cell>
          <cell r="J44">
            <v>10</v>
          </cell>
          <cell r="K44">
            <v>136</v>
          </cell>
          <cell r="L44">
            <v>1440.3</v>
          </cell>
          <cell r="M44">
            <v>1396.23</v>
          </cell>
          <cell r="N44">
            <v>220</v>
          </cell>
          <cell r="O44">
            <v>220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W44">
            <v>19.7</v>
          </cell>
          <cell r="X44">
            <v>78.8</v>
          </cell>
          <cell r="Y44">
            <v>103.2</v>
          </cell>
          <cell r="Z44">
            <v>65.699999999999989</v>
          </cell>
          <cell r="AA44">
            <v>56.100000000000009</v>
          </cell>
          <cell r="AB44">
            <v>10.600000000000001</v>
          </cell>
          <cell r="AF44">
            <v>440</v>
          </cell>
          <cell r="AG44">
            <v>334.1</v>
          </cell>
          <cell r="AH44">
            <v>0</v>
          </cell>
          <cell r="AJ44">
            <v>105.89999999999998</v>
          </cell>
          <cell r="AK44">
            <v>152527.76999999996</v>
          </cell>
          <cell r="AL44">
            <v>49.952830188679236</v>
          </cell>
          <cell r="AM44">
            <v>65.72</v>
          </cell>
          <cell r="AN44">
            <v>23.180158247108935</v>
          </cell>
        </row>
        <row r="45">
          <cell r="F45">
            <v>4987176274922</v>
          </cell>
          <cell r="G45">
            <v>4987176274922</v>
          </cell>
          <cell r="H45">
            <v>80815410</v>
          </cell>
          <cell r="I45" t="str">
            <v>[DS]Lenor 蘭諾 台灣公司貨 衣物芳香豆補充包 春暖晨露, 455ml, 1包</v>
          </cell>
          <cell r="J45">
            <v>10</v>
          </cell>
          <cell r="K45">
            <v>138</v>
          </cell>
          <cell r="L45">
            <v>1440.3</v>
          </cell>
          <cell r="M45">
            <v>1396.23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AF45">
            <v>0</v>
          </cell>
          <cell r="AG45">
            <v>0</v>
          </cell>
          <cell r="AH45">
            <v>0</v>
          </cell>
          <cell r="AJ45">
            <v>0</v>
          </cell>
          <cell r="AK45">
            <v>0</v>
          </cell>
          <cell r="AL45" t="e">
            <v>#DIV/0!</v>
          </cell>
          <cell r="AM45">
            <v>0</v>
          </cell>
          <cell r="AN45" t="e">
            <v>#DIV/0!</v>
          </cell>
        </row>
        <row r="46">
          <cell r="F46">
            <v>4987176274915</v>
          </cell>
          <cell r="G46">
            <v>4987176274915</v>
          </cell>
          <cell r="H46">
            <v>80815409</v>
          </cell>
          <cell r="I46" t="str">
            <v>[DS]Lenor 蘭諾 台灣公司貨 衣物芳香豆補充包 淨白純棉, 455ml, 1包</v>
          </cell>
          <cell r="J46">
            <v>10</v>
          </cell>
          <cell r="K46">
            <v>138</v>
          </cell>
          <cell r="L46">
            <v>1440.3</v>
          </cell>
          <cell r="M46">
            <v>1396.23</v>
          </cell>
          <cell r="N46">
            <v>73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W46">
            <v>6.7</v>
          </cell>
          <cell r="X46">
            <v>43.300000000000004</v>
          </cell>
          <cell r="Y46">
            <v>21.4</v>
          </cell>
          <cell r="Z46">
            <v>0.4</v>
          </cell>
          <cell r="AF46">
            <v>73</v>
          </cell>
          <cell r="AG46">
            <v>71.800000000000011</v>
          </cell>
          <cell r="AH46">
            <v>0</v>
          </cell>
          <cell r="AJ46">
            <v>1.1999999999999886</v>
          </cell>
          <cell r="AK46">
            <v>1728.3599999999835</v>
          </cell>
          <cell r="AL46" t="e">
            <v>#DIV/0!</v>
          </cell>
          <cell r="AM46">
            <v>0</v>
          </cell>
          <cell r="AN46" t="e">
            <v>#DIV/0!</v>
          </cell>
        </row>
        <row r="47">
          <cell r="F47">
            <v>4987176274892</v>
          </cell>
          <cell r="G47">
            <v>4987176274892</v>
          </cell>
          <cell r="H47">
            <v>80815407</v>
          </cell>
          <cell r="I47" t="str">
            <v>[DS]Lenor 蘭諾 台灣公司貨 衣物芳香豆 淨白純棉, 470ml, 1瓶</v>
          </cell>
          <cell r="J47">
            <v>6</v>
          </cell>
          <cell r="K47">
            <v>166</v>
          </cell>
          <cell r="L47">
            <v>1081.3</v>
          </cell>
          <cell r="M47">
            <v>1045.29</v>
          </cell>
          <cell r="N47">
            <v>76</v>
          </cell>
          <cell r="O47">
            <v>76</v>
          </cell>
          <cell r="P47">
            <v>74</v>
          </cell>
          <cell r="Q47">
            <v>0</v>
          </cell>
          <cell r="R47">
            <v>50</v>
          </cell>
          <cell r="S47">
            <v>100</v>
          </cell>
          <cell r="W47">
            <v>16.5</v>
          </cell>
          <cell r="X47">
            <v>54.333333333333343</v>
          </cell>
          <cell r="Y47">
            <v>99.5</v>
          </cell>
          <cell r="Z47">
            <v>51</v>
          </cell>
          <cell r="AA47">
            <v>43.166666666666671</v>
          </cell>
          <cell r="AB47">
            <v>6.833333333333333</v>
          </cell>
          <cell r="AF47">
            <v>376</v>
          </cell>
          <cell r="AG47">
            <v>271.33333333333331</v>
          </cell>
          <cell r="AH47">
            <v>112</v>
          </cell>
          <cell r="AJ47">
            <v>104.66666666666669</v>
          </cell>
          <cell r="AK47">
            <v>113176.06666666668</v>
          </cell>
          <cell r="AL47">
            <v>76.585365853658544</v>
          </cell>
          <cell r="AM47">
            <v>42.366666666666667</v>
          </cell>
          <cell r="AN47">
            <v>57.450826121164432</v>
          </cell>
        </row>
        <row r="48">
          <cell r="F48">
            <v>4987176316158</v>
          </cell>
          <cell r="G48">
            <v>4987176316158</v>
          </cell>
          <cell r="H48">
            <v>80842984</v>
          </cell>
          <cell r="I48" t="str">
            <v>Lenor蘭諾 衣物芳香豆 淨白純棉, 260ml, 1瓶</v>
          </cell>
          <cell r="J48">
            <v>6</v>
          </cell>
          <cell r="K48">
            <v>105</v>
          </cell>
          <cell r="L48">
            <v>637.79999999999995</v>
          </cell>
          <cell r="M48">
            <v>611.75</v>
          </cell>
          <cell r="N48">
            <v>0</v>
          </cell>
          <cell r="O48">
            <v>0</v>
          </cell>
          <cell r="P48">
            <v>0</v>
          </cell>
          <cell r="AF48">
            <v>0</v>
          </cell>
          <cell r="AG48">
            <v>0</v>
          </cell>
          <cell r="AH48" t="e">
            <v>#N/A</v>
          </cell>
          <cell r="AJ48">
            <v>0</v>
          </cell>
          <cell r="AK48">
            <v>0</v>
          </cell>
          <cell r="AL48" t="e">
            <v>#DIV/0!</v>
          </cell>
          <cell r="AM48">
            <v>0</v>
          </cell>
          <cell r="AN48" t="e">
            <v>#DIV/0!</v>
          </cell>
        </row>
        <row r="49">
          <cell r="F49">
            <v>4987176314383</v>
          </cell>
          <cell r="G49">
            <v>4987176314383</v>
          </cell>
          <cell r="H49">
            <v>80841904</v>
          </cell>
          <cell r="I49" t="str">
            <v>Lenor 蘭諾 衣物芳香豆 雪松梔子花, 260ml, 1瓶</v>
          </cell>
          <cell r="J49">
            <v>6</v>
          </cell>
          <cell r="K49">
            <v>105</v>
          </cell>
          <cell r="L49">
            <v>637.79999999999995</v>
          </cell>
          <cell r="M49">
            <v>611.75</v>
          </cell>
          <cell r="N49">
            <v>0</v>
          </cell>
          <cell r="O49">
            <v>0</v>
          </cell>
          <cell r="P49">
            <v>0</v>
          </cell>
          <cell r="AF49">
            <v>0</v>
          </cell>
          <cell r="AG49">
            <v>0</v>
          </cell>
          <cell r="AH49" t="e">
            <v>#N/A</v>
          </cell>
          <cell r="AJ49">
            <v>0</v>
          </cell>
          <cell r="AK49">
            <v>0</v>
          </cell>
          <cell r="AL49" t="e">
            <v>#DIV/0!</v>
          </cell>
          <cell r="AM49">
            <v>0</v>
          </cell>
          <cell r="AN49" t="e">
            <v>#DIV/0!</v>
          </cell>
        </row>
        <row r="50">
          <cell r="F50">
            <v>4987176250353</v>
          </cell>
          <cell r="G50">
            <v>4987176250353</v>
          </cell>
          <cell r="H50">
            <v>80789608</v>
          </cell>
          <cell r="I50" t="str">
            <v>[DS]OLAY 歐蕾 台灣公司貨 水感透白面膜, 5片, 1盒</v>
          </cell>
          <cell r="J50">
            <v>6</v>
          </cell>
          <cell r="K50">
            <v>263</v>
          </cell>
          <cell r="L50">
            <v>1691.58</v>
          </cell>
          <cell r="M50">
            <v>1641.87</v>
          </cell>
          <cell r="N50">
            <v>0</v>
          </cell>
          <cell r="O50">
            <v>40</v>
          </cell>
          <cell r="P50">
            <v>0</v>
          </cell>
          <cell r="Q50">
            <v>0</v>
          </cell>
          <cell r="R50">
            <v>63</v>
          </cell>
          <cell r="S50">
            <v>44</v>
          </cell>
          <cell r="W50">
            <v>1.6666666666666665</v>
          </cell>
          <cell r="X50">
            <v>4.666666666666667</v>
          </cell>
          <cell r="Y50">
            <v>2.5</v>
          </cell>
          <cell r="Z50">
            <v>2.333333333333333</v>
          </cell>
          <cell r="AA50">
            <v>7.4999999999999991</v>
          </cell>
          <cell r="AB50">
            <v>1.1666666666666665</v>
          </cell>
          <cell r="AF50">
            <v>147</v>
          </cell>
          <cell r="AG50">
            <v>19.833333333333336</v>
          </cell>
          <cell r="AH50">
            <v>44</v>
          </cell>
          <cell r="AJ50">
            <v>127.16666666666666</v>
          </cell>
          <cell r="AK50">
            <v>215112.58999999997</v>
          </cell>
          <cell r="AL50">
            <v>545</v>
          </cell>
          <cell r="AM50">
            <v>7.2333333333333325</v>
          </cell>
          <cell r="AN50">
            <v>502.25806451612902</v>
          </cell>
        </row>
        <row r="51">
          <cell r="F51">
            <v>4987176190734</v>
          </cell>
          <cell r="G51">
            <v>4987176190734</v>
          </cell>
          <cell r="H51">
            <v>80765769</v>
          </cell>
          <cell r="I51" t="str">
            <v>[DS]OLAY 歐蕾 台灣公司貨 抗皺保濕面膜, 5片, 1盒</v>
          </cell>
          <cell r="J51">
            <v>12</v>
          </cell>
          <cell r="K51">
            <v>264</v>
          </cell>
          <cell r="L51">
            <v>3383.16</v>
          </cell>
          <cell r="M51">
            <v>3295.48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AB51">
            <v>8.3333333333333329E-2</v>
          </cell>
          <cell r="AF51">
            <v>0</v>
          </cell>
          <cell r="AG51">
            <v>8.3333333333333329E-2</v>
          </cell>
          <cell r="AH51">
            <v>0</v>
          </cell>
          <cell r="AK51">
            <v>0</v>
          </cell>
          <cell r="AL51">
            <v>0</v>
          </cell>
          <cell r="AM51">
            <v>0.51666666666666661</v>
          </cell>
          <cell r="AN51">
            <v>-30</v>
          </cell>
        </row>
        <row r="52">
          <cell r="F52">
            <v>4987176271617</v>
          </cell>
          <cell r="G52">
            <v>4987176271617</v>
          </cell>
          <cell r="H52">
            <v>80813813</v>
          </cell>
          <cell r="I52" t="str">
            <v>OLAY 歐蕾 台灣公司貨 滋潤保濕霜 無添加色素香料, 100g, 1罐</v>
          </cell>
          <cell r="J52">
            <v>6</v>
          </cell>
          <cell r="K52">
            <v>220</v>
          </cell>
          <cell r="L52">
            <v>1458.4</v>
          </cell>
          <cell r="M52">
            <v>1413.93</v>
          </cell>
          <cell r="N52">
            <v>4</v>
          </cell>
          <cell r="O52">
            <v>4</v>
          </cell>
          <cell r="P52">
            <v>4</v>
          </cell>
          <cell r="Q52">
            <v>6</v>
          </cell>
          <cell r="R52">
            <v>31</v>
          </cell>
          <cell r="S52">
            <v>0</v>
          </cell>
          <cell r="W52">
            <v>1.5</v>
          </cell>
          <cell r="X52">
            <v>2.333333333333333</v>
          </cell>
          <cell r="Y52">
            <v>4</v>
          </cell>
          <cell r="Z52">
            <v>3.666666666666667</v>
          </cell>
          <cell r="AA52">
            <v>5.333333333333333</v>
          </cell>
          <cell r="AB52">
            <v>1.8333333333333335</v>
          </cell>
          <cell r="AF52">
            <v>49</v>
          </cell>
          <cell r="AG52">
            <v>18.666666666666664</v>
          </cell>
          <cell r="AH52">
            <v>1</v>
          </cell>
          <cell r="AJ52">
            <v>30.333333333333336</v>
          </cell>
          <cell r="AK52">
            <v>44238.133333333339</v>
          </cell>
          <cell r="AL52">
            <v>82.727272727272734</v>
          </cell>
          <cell r="AM52">
            <v>11.366666666666667</v>
          </cell>
          <cell r="AN52">
            <v>57.536656891495603</v>
          </cell>
        </row>
        <row r="53">
          <cell r="F53">
            <v>4987176271624</v>
          </cell>
          <cell r="G53">
            <v>4987176271624</v>
          </cell>
          <cell r="H53">
            <v>80813812</v>
          </cell>
          <cell r="I53" t="str">
            <v>OLAY 歐蕾 台灣公司貨 滋潤保溼霜, 100g, 1罐</v>
          </cell>
          <cell r="J53">
            <v>6</v>
          </cell>
          <cell r="K53">
            <v>220</v>
          </cell>
          <cell r="L53">
            <v>1458.4</v>
          </cell>
          <cell r="M53">
            <v>1413.93</v>
          </cell>
          <cell r="N53">
            <v>9</v>
          </cell>
          <cell r="O53">
            <v>9</v>
          </cell>
          <cell r="P53">
            <v>16</v>
          </cell>
          <cell r="Q53">
            <v>6</v>
          </cell>
          <cell r="R53">
            <v>11</v>
          </cell>
          <cell r="S53">
            <v>0</v>
          </cell>
          <cell r="W53">
            <v>1.6666666666666667</v>
          </cell>
          <cell r="X53">
            <v>13.16666666666667</v>
          </cell>
          <cell r="Y53">
            <v>3.8333333333333335</v>
          </cell>
          <cell r="Z53">
            <v>10.666666666666666</v>
          </cell>
          <cell r="AA53">
            <v>15.333333333333336</v>
          </cell>
          <cell r="AB53">
            <v>2.5</v>
          </cell>
          <cell r="AF53">
            <v>51</v>
          </cell>
          <cell r="AG53">
            <v>47.166666666666671</v>
          </cell>
          <cell r="AH53">
            <v>3</v>
          </cell>
          <cell r="AI53">
            <v>15</v>
          </cell>
          <cell r="AJ53">
            <v>3.8333333333333286</v>
          </cell>
          <cell r="AK53">
            <v>5590.5333333333265</v>
          </cell>
          <cell r="AL53">
            <v>7.6666666666666581</v>
          </cell>
          <cell r="AM53">
            <v>15.5</v>
          </cell>
          <cell r="AN53">
            <v>-11.935483870967751</v>
          </cell>
        </row>
        <row r="54">
          <cell r="F54">
            <v>4902430056519</v>
          </cell>
          <cell r="G54">
            <v>4902430056519</v>
          </cell>
          <cell r="H54">
            <v>82330060</v>
          </cell>
          <cell r="I54" t="str">
            <v>[DS]OLAY 歐蕾 滋潤保濕乳液, 150ml, 1瓶</v>
          </cell>
          <cell r="J54">
            <v>6</v>
          </cell>
          <cell r="K54">
            <v>176</v>
          </cell>
          <cell r="L54">
            <v>1192</v>
          </cell>
          <cell r="M54">
            <v>1153.509</v>
          </cell>
          <cell r="N54">
            <v>17</v>
          </cell>
          <cell r="O54">
            <v>17</v>
          </cell>
          <cell r="P54">
            <v>17</v>
          </cell>
          <cell r="W54">
            <v>1.8333333333333333</v>
          </cell>
          <cell r="X54">
            <v>9.6666666666666679</v>
          </cell>
          <cell r="Y54">
            <v>4.666666666666667</v>
          </cell>
          <cell r="Z54">
            <v>6.166666666666667</v>
          </cell>
          <cell r="AA54">
            <v>10.833333333333334</v>
          </cell>
          <cell r="AB54">
            <v>0.66666666666666663</v>
          </cell>
          <cell r="AF54">
            <v>51</v>
          </cell>
          <cell r="AG54">
            <v>33.833333333333336</v>
          </cell>
          <cell r="AH54" t="e">
            <v>#N/A</v>
          </cell>
          <cell r="AJ54">
            <v>17.166666666666664</v>
          </cell>
          <cell r="AK54">
            <v>20462.666666666664</v>
          </cell>
          <cell r="AL54">
            <v>128.74999999999997</v>
          </cell>
          <cell r="AM54">
            <v>4.1333333333333329</v>
          </cell>
          <cell r="AN54">
            <v>99.43548387096773</v>
          </cell>
        </row>
        <row r="55">
          <cell r="F55">
            <v>4902430509695</v>
          </cell>
          <cell r="G55">
            <v>4902430509695</v>
          </cell>
          <cell r="H55">
            <v>82330058</v>
          </cell>
          <cell r="I55" t="str">
            <v>[DS]OLAY 歐蕾 長效保濕凝露, 50g, 1罐</v>
          </cell>
          <cell r="J55">
            <v>12</v>
          </cell>
          <cell r="K55">
            <v>196</v>
          </cell>
          <cell r="L55">
            <v>2570.6799999999998</v>
          </cell>
          <cell r="M55">
            <v>2501.2376340000001</v>
          </cell>
          <cell r="N55">
            <v>13</v>
          </cell>
          <cell r="O55">
            <v>13</v>
          </cell>
          <cell r="P55">
            <v>13</v>
          </cell>
          <cell r="Q55">
            <v>0</v>
          </cell>
          <cell r="R55">
            <v>25</v>
          </cell>
          <cell r="S55">
            <v>10</v>
          </cell>
          <cell r="W55">
            <v>1.0833333333333333</v>
          </cell>
          <cell r="X55">
            <v>9.4166666666666661</v>
          </cell>
          <cell r="Y55">
            <v>5.583333333333333</v>
          </cell>
          <cell r="Z55">
            <v>6.4166666666666661</v>
          </cell>
          <cell r="AA55">
            <v>5.1666666666666661</v>
          </cell>
          <cell r="AB55">
            <v>1.75</v>
          </cell>
          <cell r="AF55">
            <v>74</v>
          </cell>
          <cell r="AG55">
            <v>29.416666666666664</v>
          </cell>
          <cell r="AH55">
            <v>10</v>
          </cell>
          <cell r="AJ55">
            <v>44.583333333333336</v>
          </cell>
          <cell r="AK55">
            <v>114609.48333333334</v>
          </cell>
          <cell r="AL55">
            <v>127.38095238095238</v>
          </cell>
          <cell r="AM55">
            <v>10.85</v>
          </cell>
          <cell r="AN55">
            <v>98.110599078341011</v>
          </cell>
        </row>
        <row r="56">
          <cell r="F56">
            <v>9300618556502</v>
          </cell>
          <cell r="G56">
            <v>9300618556502</v>
          </cell>
          <cell r="H56">
            <v>82330061</v>
          </cell>
          <cell r="I56" t="str">
            <v>[DS]OLAY 歐蕾 滋潤保濕乳液, 150ml, 1瓶</v>
          </cell>
          <cell r="J56">
            <v>6</v>
          </cell>
          <cell r="K56">
            <v>176</v>
          </cell>
          <cell r="L56">
            <v>1192</v>
          </cell>
          <cell r="M56">
            <v>1153.509</v>
          </cell>
          <cell r="N56">
            <v>27</v>
          </cell>
          <cell r="O56">
            <v>27</v>
          </cell>
          <cell r="P56">
            <v>27</v>
          </cell>
          <cell r="Q56">
            <v>16</v>
          </cell>
          <cell r="R56">
            <v>40</v>
          </cell>
          <cell r="S56">
            <v>0</v>
          </cell>
          <cell r="W56">
            <v>6.666666666666667</v>
          </cell>
          <cell r="X56">
            <v>28</v>
          </cell>
          <cell r="Y56">
            <v>18.333333333333332</v>
          </cell>
          <cell r="Z56">
            <v>17</v>
          </cell>
          <cell r="AA56">
            <v>16</v>
          </cell>
          <cell r="AB56">
            <v>5.3333333333333339</v>
          </cell>
          <cell r="AF56">
            <v>137</v>
          </cell>
          <cell r="AG56">
            <v>91.333333333333329</v>
          </cell>
          <cell r="AH56">
            <v>0</v>
          </cell>
          <cell r="AJ56">
            <v>45.666666666666671</v>
          </cell>
          <cell r="AK56">
            <v>54434.666666666672</v>
          </cell>
          <cell r="AL56">
            <v>42.8125</v>
          </cell>
          <cell r="AM56">
            <v>33.06666666666667</v>
          </cell>
          <cell r="AN56">
            <v>16.27016129032258</v>
          </cell>
        </row>
        <row r="57">
          <cell r="F57">
            <v>4902430396059</v>
          </cell>
          <cell r="G57">
            <v>4902430396059</v>
          </cell>
          <cell r="H57">
            <v>82330040</v>
          </cell>
          <cell r="I57" t="str">
            <v>[DS]OLAY 歐蕾 多元修護霜無香料配方, 50g , 1入</v>
          </cell>
          <cell r="J57">
            <v>6</v>
          </cell>
          <cell r="K57">
            <v>364.99999999999994</v>
          </cell>
          <cell r="L57">
            <v>2387.9899999999998</v>
          </cell>
          <cell r="M57">
            <v>2322.6490245</v>
          </cell>
          <cell r="N57">
            <v>14</v>
          </cell>
          <cell r="O57">
            <v>14</v>
          </cell>
          <cell r="P57">
            <v>10</v>
          </cell>
          <cell r="Q57">
            <v>0</v>
          </cell>
          <cell r="R57">
            <v>37</v>
          </cell>
          <cell r="S57">
            <v>37</v>
          </cell>
          <cell r="W57">
            <v>2.8333333333333335</v>
          </cell>
          <cell r="X57">
            <v>11.833333333333334</v>
          </cell>
          <cell r="Y57">
            <v>1.1666666666666667</v>
          </cell>
          <cell r="Z57">
            <v>2.833333333333333</v>
          </cell>
          <cell r="AA57">
            <v>3.166666666666667</v>
          </cell>
          <cell r="AB57">
            <v>1.1666666666666667</v>
          </cell>
          <cell r="AF57">
            <v>112</v>
          </cell>
          <cell r="AG57">
            <v>23.000000000000004</v>
          </cell>
          <cell r="AH57">
            <v>37</v>
          </cell>
          <cell r="AJ57">
            <v>89</v>
          </cell>
          <cell r="AK57">
            <v>212531.11</v>
          </cell>
          <cell r="AL57">
            <v>381.42857142857139</v>
          </cell>
          <cell r="AM57">
            <v>7.2333333333333334</v>
          </cell>
          <cell r="AN57">
            <v>343.963133640553</v>
          </cell>
        </row>
        <row r="58">
          <cell r="F58">
            <v>4987176146700</v>
          </cell>
          <cell r="G58">
            <v>4987176146700</v>
          </cell>
          <cell r="H58">
            <v>80719240</v>
          </cell>
          <cell r="I58" t="str">
            <v>[DS]OLAY 歐蕾 台灣公司貨 多效防曬日霜優惠組, 1組</v>
          </cell>
          <cell r="J58">
            <v>12</v>
          </cell>
          <cell r="K58">
            <v>726</v>
          </cell>
          <cell r="L58">
            <v>9568</v>
          </cell>
          <cell r="M58">
            <v>9341.4678000000004</v>
          </cell>
          <cell r="N58">
            <v>5</v>
          </cell>
          <cell r="O58">
            <v>5</v>
          </cell>
          <cell r="P58">
            <v>5</v>
          </cell>
          <cell r="Q58">
            <v>7</v>
          </cell>
          <cell r="R58">
            <v>7</v>
          </cell>
          <cell r="S58">
            <v>7</v>
          </cell>
          <cell r="W58">
            <v>0.66666666666666663</v>
          </cell>
          <cell r="X58">
            <v>6.416666666666667</v>
          </cell>
          <cell r="Y58">
            <v>3.75</v>
          </cell>
          <cell r="Z58">
            <v>7.083333333333333</v>
          </cell>
          <cell r="AA58">
            <v>7.583333333333333</v>
          </cell>
          <cell r="AB58">
            <v>0.41666666666666663</v>
          </cell>
          <cell r="AF58">
            <v>36</v>
          </cell>
          <cell r="AG58">
            <v>25.916666666666668</v>
          </cell>
          <cell r="AH58">
            <v>13</v>
          </cell>
          <cell r="AJ58">
            <v>10.083333333333332</v>
          </cell>
          <cell r="AK58">
            <v>96477.333333333328</v>
          </cell>
          <cell r="AL58">
            <v>121</v>
          </cell>
          <cell r="AM58">
            <v>2.583333333333333</v>
          </cell>
          <cell r="AN58">
            <v>161.61290322580649</v>
          </cell>
        </row>
        <row r="59">
          <cell r="F59">
            <v>4902430056496</v>
          </cell>
          <cell r="G59">
            <v>4902430056496</v>
          </cell>
          <cell r="H59">
            <v>80682726</v>
          </cell>
          <cell r="I59" t="str">
            <v>[DS]OLAY 歐蕾 活膚菁華霜, 50g, 1罐</v>
          </cell>
          <cell r="J59">
            <v>6</v>
          </cell>
          <cell r="K59">
            <v>264</v>
          </cell>
          <cell r="L59">
            <v>1788</v>
          </cell>
          <cell r="M59">
            <v>1736.1288000000002</v>
          </cell>
          <cell r="N59">
            <v>30</v>
          </cell>
          <cell r="O59">
            <v>30</v>
          </cell>
          <cell r="P59">
            <v>30</v>
          </cell>
          <cell r="Q59">
            <v>0</v>
          </cell>
          <cell r="R59">
            <v>53</v>
          </cell>
          <cell r="S59">
            <v>52</v>
          </cell>
          <cell r="W59">
            <v>2.6666666666666665</v>
          </cell>
          <cell r="X59">
            <v>15.333333333333334</v>
          </cell>
          <cell r="Y59">
            <v>15.666666666666666</v>
          </cell>
          <cell r="Z59">
            <v>13.166666666666666</v>
          </cell>
          <cell r="AA59">
            <v>13.5</v>
          </cell>
          <cell r="AB59">
            <v>3.3333333333333335</v>
          </cell>
          <cell r="AF59">
            <v>195</v>
          </cell>
          <cell r="AG59">
            <v>63.666666666666664</v>
          </cell>
          <cell r="AH59">
            <v>52</v>
          </cell>
          <cell r="AJ59">
            <v>131.33333333333334</v>
          </cell>
          <cell r="AK59">
            <v>234824.00000000003</v>
          </cell>
          <cell r="AL59">
            <v>196.99999999999997</v>
          </cell>
          <cell r="AM59">
            <v>20.666666666666668</v>
          </cell>
          <cell r="AN59">
            <v>165.48387096774192</v>
          </cell>
        </row>
        <row r="60">
          <cell r="F60">
            <v>4902430396066</v>
          </cell>
          <cell r="G60">
            <v>4902430396066</v>
          </cell>
          <cell r="H60">
            <v>82330039</v>
          </cell>
          <cell r="I60" t="str">
            <v>[DS]OLAY 歐蕾 多元修護晚霜(6066), 50g, 1罐</v>
          </cell>
          <cell r="J60">
            <v>12</v>
          </cell>
          <cell r="K60">
            <v>355</v>
          </cell>
          <cell r="L60">
            <v>4783.99</v>
          </cell>
          <cell r="M60">
            <v>4664.8588245000001</v>
          </cell>
          <cell r="N60">
            <v>13</v>
          </cell>
          <cell r="O60">
            <v>13</v>
          </cell>
          <cell r="P60">
            <v>5</v>
          </cell>
          <cell r="Q60">
            <v>13</v>
          </cell>
          <cell r="R60">
            <v>24</v>
          </cell>
          <cell r="S60">
            <v>23</v>
          </cell>
          <cell r="W60">
            <v>1.75</v>
          </cell>
          <cell r="X60">
            <v>10.666666666666664</v>
          </cell>
          <cell r="Y60">
            <v>6.5</v>
          </cell>
          <cell r="Z60">
            <v>9.25</v>
          </cell>
          <cell r="AA60">
            <v>8.0833333333333321</v>
          </cell>
          <cell r="AB60">
            <v>1.1666666666666667</v>
          </cell>
          <cell r="AF60">
            <v>91</v>
          </cell>
          <cell r="AG60">
            <v>37.416666666666664</v>
          </cell>
          <cell r="AH60">
            <v>23</v>
          </cell>
          <cell r="AJ60">
            <v>53.583333333333336</v>
          </cell>
          <cell r="AK60">
            <v>256342.13083333333</v>
          </cell>
          <cell r="AL60">
            <v>229.64285714285717</v>
          </cell>
          <cell r="AM60">
            <v>7.2333333333333334</v>
          </cell>
          <cell r="AN60">
            <v>197.07373271889401</v>
          </cell>
        </row>
        <row r="61">
          <cell r="F61">
            <v>4902430396073</v>
          </cell>
          <cell r="G61">
            <v>4902430396073</v>
          </cell>
          <cell r="H61">
            <v>80719241</v>
          </cell>
          <cell r="I61" t="str">
            <v>[DS]OLAY 歐蕾 多元修護日霜, 50g, 1罐</v>
          </cell>
          <cell r="J61">
            <v>12</v>
          </cell>
          <cell r="K61">
            <v>355</v>
          </cell>
          <cell r="L61">
            <v>4783.99</v>
          </cell>
          <cell r="M61">
            <v>4664.8588245000001</v>
          </cell>
          <cell r="N61">
            <v>16</v>
          </cell>
          <cell r="O61">
            <v>16</v>
          </cell>
          <cell r="P61">
            <v>5</v>
          </cell>
          <cell r="Q61">
            <v>6</v>
          </cell>
          <cell r="R61">
            <v>32</v>
          </cell>
          <cell r="S61">
            <v>29</v>
          </cell>
          <cell r="W61">
            <v>2.3333333333333335</v>
          </cell>
          <cell r="X61">
            <v>6.583333333333333</v>
          </cell>
          <cell r="Y61">
            <v>7.083333333333333</v>
          </cell>
          <cell r="Z61">
            <v>10.666666666666668</v>
          </cell>
          <cell r="AA61">
            <v>12.416666666666668</v>
          </cell>
          <cell r="AB61">
            <v>8.3333333333333339</v>
          </cell>
          <cell r="AF61">
            <v>104</v>
          </cell>
          <cell r="AG61">
            <v>47.416666666666671</v>
          </cell>
          <cell r="AH61">
            <v>32</v>
          </cell>
          <cell r="AI61">
            <v>16</v>
          </cell>
          <cell r="AJ61">
            <v>56.583333333333329</v>
          </cell>
          <cell r="AK61">
            <v>270694.10083333327</v>
          </cell>
          <cell r="AL61">
            <v>33.949999999999996</v>
          </cell>
          <cell r="AM61">
            <v>51.666666666666671</v>
          </cell>
          <cell r="AN61">
            <v>9.435483870967742</v>
          </cell>
        </row>
        <row r="62">
          <cell r="F62">
            <v>4987176106438</v>
          </cell>
          <cell r="G62">
            <v>4987176106438</v>
          </cell>
          <cell r="I62" t="str">
            <v>[DS]OLAY 歐蕾水感透白光曜精華水, 150ml, 1瓶</v>
          </cell>
          <cell r="J62">
            <v>12</v>
          </cell>
          <cell r="K62">
            <v>502</v>
          </cell>
          <cell r="L62">
            <v>6626.4</v>
          </cell>
          <cell r="M62">
            <v>6465.906719999999</v>
          </cell>
          <cell r="N62">
            <v>0</v>
          </cell>
          <cell r="O62">
            <v>0</v>
          </cell>
          <cell r="P62">
            <v>0</v>
          </cell>
          <cell r="Q62">
            <v>20</v>
          </cell>
          <cell r="R62">
            <v>12</v>
          </cell>
          <cell r="S62">
            <v>20</v>
          </cell>
          <cell r="Z62">
            <v>1</v>
          </cell>
          <cell r="AA62">
            <v>4.0833333333333339</v>
          </cell>
          <cell r="AB62">
            <v>0.58333333333333326</v>
          </cell>
          <cell r="AF62">
            <v>52</v>
          </cell>
          <cell r="AG62">
            <v>5.666666666666667</v>
          </cell>
          <cell r="AH62">
            <v>20</v>
          </cell>
          <cell r="AJ62">
            <v>46.333333333333336</v>
          </cell>
          <cell r="AK62">
            <v>307023.2</v>
          </cell>
          <cell r="AL62">
            <v>397.14285714285722</v>
          </cell>
          <cell r="AM62">
            <v>3.6166666666666663</v>
          </cell>
          <cell r="AN62">
            <v>359.17050691244242</v>
          </cell>
        </row>
        <row r="63">
          <cell r="F63">
            <v>4987176161734</v>
          </cell>
          <cell r="G63">
            <v>4987176161734</v>
          </cell>
          <cell r="I63" t="str">
            <v>[DS]OLAY 歐蕾 滋潤緊緻優惠組 護膚霜50g+護膚霜14g*2+精華水18ml*2, 1組</v>
          </cell>
          <cell r="K63">
            <v>565</v>
          </cell>
          <cell r="L63">
            <v>3708</v>
          </cell>
          <cell r="M63">
            <v>3613.0248000000001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W63">
            <v>0</v>
          </cell>
          <cell r="AF63">
            <v>0</v>
          </cell>
          <cell r="AG63">
            <v>0</v>
          </cell>
          <cell r="AH63">
            <v>0</v>
          </cell>
          <cell r="AJ63">
            <v>0</v>
          </cell>
          <cell r="AK63">
            <v>0</v>
          </cell>
          <cell r="AL63" t="e">
            <v>#DIV/0!</v>
          </cell>
          <cell r="AM63">
            <v>0</v>
          </cell>
          <cell r="AN63" t="e">
            <v>#DIV/0!</v>
          </cell>
        </row>
        <row r="64">
          <cell r="F64">
            <v>14987176232882</v>
          </cell>
          <cell r="G64">
            <v>4987176232885</v>
          </cell>
          <cell r="H64">
            <v>80838270</v>
          </cell>
          <cell r="I64" t="str">
            <v>[DS][箱裝]Pampers 幫寶適 原廠公司貨 CP值之選清新幫拉拉褲/尿布, L, 9-14kg, 168片</v>
          </cell>
          <cell r="J64">
            <v>1</v>
          </cell>
          <cell r="K64">
            <v>1175</v>
          </cell>
          <cell r="L64">
            <v>1386</v>
          </cell>
          <cell r="M64">
            <v>1330.45</v>
          </cell>
          <cell r="N64">
            <v>677</v>
          </cell>
          <cell r="O64">
            <v>696</v>
          </cell>
          <cell r="P64">
            <v>2145</v>
          </cell>
          <cell r="Q64">
            <v>0</v>
          </cell>
          <cell r="R64">
            <v>1073</v>
          </cell>
          <cell r="W64">
            <v>79</v>
          </cell>
          <cell r="X64">
            <v>268</v>
          </cell>
          <cell r="Y64">
            <v>601</v>
          </cell>
          <cell r="Z64">
            <v>557</v>
          </cell>
          <cell r="AA64">
            <v>899</v>
          </cell>
          <cell r="AB64">
            <v>107</v>
          </cell>
          <cell r="AF64">
            <v>4591</v>
          </cell>
          <cell r="AG64">
            <v>2511</v>
          </cell>
          <cell r="AH64">
            <v>1184</v>
          </cell>
          <cell r="AJ64">
            <v>2080</v>
          </cell>
          <cell r="AK64">
            <v>2882880</v>
          </cell>
          <cell r="AL64">
            <v>97.196261682242991</v>
          </cell>
          <cell r="AM64">
            <v>663.4</v>
          </cell>
          <cell r="AN64">
            <v>122.44196563159483</v>
          </cell>
        </row>
        <row r="65">
          <cell r="F65">
            <v>14987176232899</v>
          </cell>
          <cell r="G65">
            <v>4987176232892</v>
          </cell>
          <cell r="H65">
            <v>80838271</v>
          </cell>
          <cell r="I65" t="str">
            <v>[DS][箱裝]Pampers 幫寶適 原廠公司貨 CP值之選清新幫拉拉褲/尿布, XL, 12-17kg, 152片</v>
          </cell>
          <cell r="J65">
            <v>1</v>
          </cell>
          <cell r="K65">
            <v>1175</v>
          </cell>
          <cell r="L65">
            <v>1386</v>
          </cell>
          <cell r="M65">
            <v>1330.45</v>
          </cell>
          <cell r="N65">
            <v>405</v>
          </cell>
          <cell r="O65">
            <v>414</v>
          </cell>
          <cell r="P65">
            <v>6767</v>
          </cell>
          <cell r="Q65">
            <v>0</v>
          </cell>
          <cell r="R65">
            <v>2006</v>
          </cell>
          <cell r="W65">
            <v>84</v>
          </cell>
          <cell r="X65">
            <v>716</v>
          </cell>
          <cell r="Y65">
            <v>1571</v>
          </cell>
          <cell r="Z65">
            <v>1673</v>
          </cell>
          <cell r="AA65">
            <v>2109</v>
          </cell>
          <cell r="AB65">
            <v>300</v>
          </cell>
          <cell r="AF65">
            <v>9592</v>
          </cell>
          <cell r="AG65">
            <v>6453</v>
          </cell>
          <cell r="AH65">
            <v>2322</v>
          </cell>
          <cell r="AJ65">
            <v>3139</v>
          </cell>
          <cell r="AK65">
            <v>4350654</v>
          </cell>
          <cell r="AL65">
            <v>52.316666666666663</v>
          </cell>
          <cell r="AM65">
            <v>1860</v>
          </cell>
          <cell r="AN65">
            <v>62.919354838709673</v>
          </cell>
        </row>
        <row r="66">
          <cell r="F66">
            <v>14987176232868</v>
          </cell>
          <cell r="G66">
            <v>4987176232861</v>
          </cell>
          <cell r="H66">
            <v>80838273</v>
          </cell>
          <cell r="I66" t="str">
            <v>[DS][箱裝]Pampers 幫寶適 原廠公司貨 CP值之選清新幫紙尿褲/尿布, 黏貼型, L, 9-14kg, 184片</v>
          </cell>
          <cell r="J66">
            <v>1</v>
          </cell>
          <cell r="K66">
            <v>1231</v>
          </cell>
          <cell r="L66">
            <v>1464</v>
          </cell>
          <cell r="M66">
            <v>1406.69</v>
          </cell>
          <cell r="N66">
            <v>500</v>
          </cell>
          <cell r="O66">
            <v>114</v>
          </cell>
          <cell r="P66">
            <v>300</v>
          </cell>
          <cell r="Q66">
            <v>0</v>
          </cell>
          <cell r="R66">
            <v>319</v>
          </cell>
          <cell r="W66">
            <v>4</v>
          </cell>
          <cell r="X66">
            <v>133</v>
          </cell>
          <cell r="Y66">
            <v>128</v>
          </cell>
          <cell r="Z66">
            <v>178</v>
          </cell>
          <cell r="AA66">
            <v>188</v>
          </cell>
          <cell r="AB66">
            <v>47</v>
          </cell>
          <cell r="AF66">
            <v>1233</v>
          </cell>
          <cell r="AG66">
            <v>678</v>
          </cell>
          <cell r="AH66">
            <v>324</v>
          </cell>
          <cell r="AJ66">
            <v>555</v>
          </cell>
          <cell r="AK66">
            <v>812520</v>
          </cell>
          <cell r="AL66">
            <v>59.042553191489361</v>
          </cell>
          <cell r="AM66">
            <v>291.40000000000003</v>
          </cell>
          <cell r="AN66">
            <v>65.3328757721345</v>
          </cell>
        </row>
        <row r="67">
          <cell r="F67">
            <v>14902430894439</v>
          </cell>
          <cell r="G67">
            <v>4902430894432</v>
          </cell>
          <cell r="H67">
            <v>80808258</v>
          </cell>
          <cell r="I67" t="str">
            <v>[DS][箱裝] Pampers 幫寶適 原廠公司貨 超薄乾爽 黏貼型尿布, L, 9~14kg, 156片</v>
          </cell>
          <cell r="J67">
            <v>1</v>
          </cell>
          <cell r="K67">
            <v>937</v>
          </cell>
          <cell r="L67">
            <v>1110.3599999999999</v>
          </cell>
          <cell r="M67">
            <v>1060.9936680000001</v>
          </cell>
          <cell r="N67">
            <v>0</v>
          </cell>
          <cell r="O67">
            <v>0</v>
          </cell>
          <cell r="P67">
            <v>0</v>
          </cell>
          <cell r="W67">
            <v>188</v>
          </cell>
          <cell r="X67">
            <v>508</v>
          </cell>
          <cell r="Y67">
            <v>386</v>
          </cell>
          <cell r="Z67">
            <v>332</v>
          </cell>
          <cell r="AA67">
            <v>177</v>
          </cell>
          <cell r="AB67">
            <v>19</v>
          </cell>
          <cell r="AF67">
            <v>0</v>
          </cell>
          <cell r="AG67">
            <v>1610</v>
          </cell>
          <cell r="AH67" t="e">
            <v>#N/A</v>
          </cell>
          <cell r="AK67">
            <v>0</v>
          </cell>
          <cell r="AL67">
            <v>0</v>
          </cell>
          <cell r="AM67">
            <v>117.8</v>
          </cell>
          <cell r="AN67">
            <v>-435.17826825127332</v>
          </cell>
        </row>
        <row r="68">
          <cell r="F68">
            <v>14987176337082</v>
          </cell>
          <cell r="G68">
            <v>4987176337085</v>
          </cell>
          <cell r="H68">
            <v>80858990</v>
          </cell>
          <cell r="I68" t="str">
            <v>[箱裝]Pampers 幫寶適 原廠公司貨 清新幫黏貼型尿布, M, 6~11kg, 216片</v>
          </cell>
          <cell r="J68">
            <v>1</v>
          </cell>
          <cell r="K68">
            <v>1231</v>
          </cell>
          <cell r="L68">
            <v>1464</v>
          </cell>
          <cell r="M68">
            <v>1406.69</v>
          </cell>
          <cell r="N68">
            <v>122</v>
          </cell>
          <cell r="O68">
            <v>70</v>
          </cell>
          <cell r="P68">
            <v>473</v>
          </cell>
          <cell r="Q68">
            <v>0</v>
          </cell>
          <cell r="R68">
            <v>139</v>
          </cell>
          <cell r="W68">
            <v>6</v>
          </cell>
          <cell r="X68">
            <v>78</v>
          </cell>
          <cell r="Y68">
            <v>70</v>
          </cell>
          <cell r="Z68">
            <v>134</v>
          </cell>
          <cell r="AA68">
            <v>138</v>
          </cell>
          <cell r="AB68">
            <v>19</v>
          </cell>
          <cell r="AF68">
            <v>804</v>
          </cell>
          <cell r="AG68">
            <v>445</v>
          </cell>
          <cell r="AH68">
            <v>0</v>
          </cell>
          <cell r="AJ68">
            <v>359</v>
          </cell>
          <cell r="AK68">
            <v>525576</v>
          </cell>
          <cell r="AL68">
            <v>94.473684210526315</v>
          </cell>
          <cell r="AM68">
            <v>117.8</v>
          </cell>
          <cell r="AN68">
            <v>66.264855687606115</v>
          </cell>
        </row>
        <row r="69">
          <cell r="F69">
            <v>14987176232851</v>
          </cell>
          <cell r="G69">
            <v>4987176232854</v>
          </cell>
          <cell r="H69">
            <v>80838274</v>
          </cell>
          <cell r="I69" t="str">
            <v>[DS][箱裝]Pampers 幫寶適 原廠公司貨 CP值之選清新幫紙尿褲/尿布, 黏貼型, XL, 12~17kg, 152片, 1箱</v>
          </cell>
          <cell r="J69">
            <v>1</v>
          </cell>
          <cell r="K69">
            <v>1231</v>
          </cell>
          <cell r="L69">
            <v>1464</v>
          </cell>
          <cell r="M69">
            <v>1406.69</v>
          </cell>
          <cell r="N69">
            <v>720</v>
          </cell>
          <cell r="O69">
            <v>562</v>
          </cell>
          <cell r="P69">
            <v>1052</v>
          </cell>
          <cell r="Q69">
            <v>0</v>
          </cell>
          <cell r="R69">
            <v>715</v>
          </cell>
          <cell r="W69">
            <v>115</v>
          </cell>
          <cell r="X69">
            <v>646</v>
          </cell>
          <cell r="Y69">
            <v>387</v>
          </cell>
          <cell r="Z69">
            <v>334</v>
          </cell>
          <cell r="AA69">
            <v>463</v>
          </cell>
          <cell r="AB69">
            <v>86</v>
          </cell>
          <cell r="AF69">
            <v>3049</v>
          </cell>
          <cell r="AG69">
            <v>2031</v>
          </cell>
          <cell r="AH69">
            <v>816</v>
          </cell>
          <cell r="AJ69">
            <v>1018</v>
          </cell>
          <cell r="AK69">
            <v>1490352</v>
          </cell>
          <cell r="AL69">
            <v>59.186046511627907</v>
          </cell>
          <cell r="AM69">
            <v>533.19999999999993</v>
          </cell>
          <cell r="AN69">
            <v>78.027006751687949</v>
          </cell>
        </row>
        <row r="70">
          <cell r="F70">
            <v>14987176337075</v>
          </cell>
          <cell r="G70">
            <v>4987176337078</v>
          </cell>
          <cell r="H70">
            <v>80858989</v>
          </cell>
          <cell r="I70" t="str">
            <v>[箱裝]Pampers 幫寶適 原廠公司貨 清新幫褲型尿布, M, 6~11kg, 200片</v>
          </cell>
          <cell r="J70">
            <v>1</v>
          </cell>
          <cell r="K70">
            <v>1175</v>
          </cell>
          <cell r="L70">
            <v>1386</v>
          </cell>
          <cell r="M70">
            <v>1330.45</v>
          </cell>
          <cell r="N70">
            <v>145</v>
          </cell>
          <cell r="O70">
            <v>111</v>
          </cell>
          <cell r="P70">
            <v>100</v>
          </cell>
          <cell r="Q70">
            <v>45</v>
          </cell>
          <cell r="R70">
            <v>173</v>
          </cell>
          <cell r="W70">
            <v>4</v>
          </cell>
          <cell r="X70">
            <v>83</v>
          </cell>
          <cell r="Y70">
            <v>119</v>
          </cell>
          <cell r="Z70">
            <v>78</v>
          </cell>
          <cell r="AA70">
            <v>108</v>
          </cell>
          <cell r="AB70">
            <v>27</v>
          </cell>
          <cell r="AF70">
            <v>574</v>
          </cell>
          <cell r="AG70">
            <v>419</v>
          </cell>
          <cell r="AH70">
            <v>651</v>
          </cell>
          <cell r="AJ70">
            <v>155</v>
          </cell>
          <cell r="AK70">
            <v>214830</v>
          </cell>
          <cell r="AL70">
            <v>28.703703703703706</v>
          </cell>
          <cell r="AM70">
            <v>167.4</v>
          </cell>
          <cell r="AN70">
            <v>119.2831541218638</v>
          </cell>
        </row>
        <row r="71">
          <cell r="F71">
            <v>14902430894422</v>
          </cell>
          <cell r="G71">
            <v>4902430894425</v>
          </cell>
          <cell r="H71">
            <v>80808257</v>
          </cell>
          <cell r="I71" t="str">
            <v>[DS][箱裝] Pampers 幫寶適原廠公司貨 超薄乾爽 黏貼型尿布 , M, 6~11kg, 192片</v>
          </cell>
          <cell r="J71">
            <v>1</v>
          </cell>
          <cell r="K71">
            <v>937</v>
          </cell>
          <cell r="L71">
            <v>1110.54</v>
          </cell>
          <cell r="M71">
            <v>1061.169627</v>
          </cell>
          <cell r="N71">
            <v>744</v>
          </cell>
          <cell r="O71">
            <v>472</v>
          </cell>
          <cell r="P71">
            <v>0</v>
          </cell>
          <cell r="W71">
            <v>14</v>
          </cell>
          <cell r="X71">
            <v>213</v>
          </cell>
          <cell r="Y71">
            <v>259</v>
          </cell>
          <cell r="Z71">
            <v>318</v>
          </cell>
          <cell r="AA71">
            <v>172</v>
          </cell>
          <cell r="AB71">
            <v>27</v>
          </cell>
          <cell r="AF71">
            <v>1216</v>
          </cell>
          <cell r="AG71">
            <v>1003</v>
          </cell>
          <cell r="AH71" t="e">
            <v>#N/A</v>
          </cell>
          <cell r="AJ71">
            <v>213</v>
          </cell>
          <cell r="AK71">
            <v>236545.02</v>
          </cell>
          <cell r="AL71">
            <v>39.444444444444443</v>
          </cell>
          <cell r="AM71">
            <v>167.4</v>
          </cell>
          <cell r="AN71">
            <v>13.010752688172026</v>
          </cell>
        </row>
        <row r="72">
          <cell r="F72">
            <v>16903148358167</v>
          </cell>
          <cell r="I72" t="str">
            <v>[箱裝]Pampers 幫寶適 原廠公司貨 史上最強一級幫散熱拉拉褲/尿布, L, 9~14kg, 8片, 6包_試用 夏日散熱不悶汗 (極上守護)</v>
          </cell>
          <cell r="N72">
            <v>0</v>
          </cell>
          <cell r="O72">
            <v>0</v>
          </cell>
          <cell r="P72">
            <v>0</v>
          </cell>
          <cell r="AF72">
            <v>0</v>
          </cell>
          <cell r="AG72">
            <v>0</v>
          </cell>
          <cell r="AH72" t="e">
            <v>#N/A</v>
          </cell>
          <cell r="AJ72">
            <v>0</v>
          </cell>
          <cell r="AK72">
            <v>0</v>
          </cell>
          <cell r="AL72" t="e">
            <v>#DIV/0!</v>
          </cell>
          <cell r="AM72">
            <v>0</v>
          </cell>
          <cell r="AN72" t="e">
            <v>#DIV/0!</v>
          </cell>
        </row>
        <row r="73">
          <cell r="F73">
            <v>14987176174779</v>
          </cell>
          <cell r="H73">
            <v>80771060</v>
          </cell>
          <cell r="I73" t="str">
            <v>[箱裝]Pampers 幫寶適 巧虎安睡褲/拉拉褲/尿布 17kg以上適用, XXXL, 80片</v>
          </cell>
          <cell r="J73">
            <v>1</v>
          </cell>
          <cell r="K73">
            <v>1499</v>
          </cell>
          <cell r="L73">
            <v>1539.6</v>
          </cell>
          <cell r="M73">
            <v>1480.5972299999999</v>
          </cell>
          <cell r="N73">
            <v>0</v>
          </cell>
          <cell r="O73">
            <v>0</v>
          </cell>
          <cell r="P73">
            <v>0</v>
          </cell>
          <cell r="AF73">
            <v>0</v>
          </cell>
          <cell r="AG73">
            <v>0</v>
          </cell>
          <cell r="AH73" t="e">
            <v>#N/A</v>
          </cell>
          <cell r="AJ73">
            <v>0</v>
          </cell>
          <cell r="AK73">
            <v>0</v>
          </cell>
          <cell r="AL73" t="e">
            <v>#DIV/0!</v>
          </cell>
          <cell r="AM73">
            <v>0</v>
          </cell>
          <cell r="AN73" t="e">
            <v>#DIV/0!</v>
          </cell>
        </row>
        <row r="74">
          <cell r="F74">
            <v>4987176232847</v>
          </cell>
          <cell r="G74">
            <v>4987176232847</v>
          </cell>
          <cell r="H74">
            <v>80838272</v>
          </cell>
          <cell r="I74" t="str">
            <v>Pampers 幫寶適 原廠公司貨 清新幫拉拉褲/褲型尿布, XXXL, 17kg, 22片</v>
          </cell>
          <cell r="J74">
            <v>4</v>
          </cell>
          <cell r="K74">
            <v>323</v>
          </cell>
          <cell r="L74">
            <v>1386</v>
          </cell>
          <cell r="M74">
            <v>1330.45</v>
          </cell>
          <cell r="N74">
            <v>0</v>
          </cell>
          <cell r="O74">
            <v>0</v>
          </cell>
          <cell r="P74">
            <v>0</v>
          </cell>
          <cell r="Q74">
            <v>18</v>
          </cell>
          <cell r="R74">
            <v>9</v>
          </cell>
          <cell r="S74">
            <v>600</v>
          </cell>
          <cell r="Z74">
            <v>13.25</v>
          </cell>
          <cell r="AA74">
            <v>13</v>
          </cell>
          <cell r="AF74">
            <v>627</v>
          </cell>
          <cell r="AG74">
            <v>26.25</v>
          </cell>
          <cell r="AH74">
            <v>110</v>
          </cell>
          <cell r="AJ74">
            <v>600.75</v>
          </cell>
          <cell r="AK74">
            <v>832639.5</v>
          </cell>
          <cell r="AL74" t="e">
            <v>#DIV/0!</v>
          </cell>
          <cell r="AM74">
            <v>0</v>
          </cell>
          <cell r="AN74" t="e">
            <v>#DIV/0!</v>
          </cell>
        </row>
        <row r="75">
          <cell r="F75">
            <v>14987176232745</v>
          </cell>
          <cell r="I75" t="str">
            <v>[箱裝]Pampers 幫寶適 奢寵幫拉拉褲/褲型紙尿褲, XXL, 15kg以上, 72片</v>
          </cell>
          <cell r="N75">
            <v>0</v>
          </cell>
          <cell r="O75">
            <v>0</v>
          </cell>
          <cell r="P75">
            <v>0</v>
          </cell>
          <cell r="AF75">
            <v>0</v>
          </cell>
          <cell r="AG75">
            <v>0</v>
          </cell>
          <cell r="AH75" t="e">
            <v>#N/A</v>
          </cell>
          <cell r="AJ75">
            <v>0</v>
          </cell>
          <cell r="AK75">
            <v>0</v>
          </cell>
          <cell r="AL75" t="e">
            <v>#DIV/0!</v>
          </cell>
          <cell r="AM75">
            <v>0</v>
          </cell>
          <cell r="AN75" t="e">
            <v>#DIV/0!</v>
          </cell>
        </row>
        <row r="76">
          <cell r="F76">
            <v>4987176232878</v>
          </cell>
          <cell r="G76">
            <v>4987176232878</v>
          </cell>
          <cell r="H76">
            <v>80838275</v>
          </cell>
          <cell r="I76" t="str">
            <v>Pampers 幫寶適 原廠公司貨 清新幫拉拉褲/褲型尿布, XXL, 15kg, 26片</v>
          </cell>
          <cell r="J76">
            <v>4</v>
          </cell>
          <cell r="K76">
            <v>323</v>
          </cell>
          <cell r="L76">
            <v>1386</v>
          </cell>
          <cell r="M76">
            <v>1330.45</v>
          </cell>
          <cell r="N76">
            <v>80</v>
          </cell>
          <cell r="O76">
            <v>23</v>
          </cell>
          <cell r="P76">
            <v>100</v>
          </cell>
          <cell r="Q76">
            <v>52</v>
          </cell>
          <cell r="R76">
            <v>32</v>
          </cell>
          <cell r="S76">
            <v>4186</v>
          </cell>
          <cell r="W76">
            <v>3.75</v>
          </cell>
          <cell r="X76">
            <v>99.25</v>
          </cell>
          <cell r="Y76">
            <v>9.75</v>
          </cell>
          <cell r="Z76">
            <v>97.5</v>
          </cell>
          <cell r="AA76">
            <v>71.75</v>
          </cell>
          <cell r="AF76">
            <v>4473</v>
          </cell>
          <cell r="AG76">
            <v>282</v>
          </cell>
          <cell r="AH76">
            <v>654</v>
          </cell>
          <cell r="AJ76">
            <v>4191</v>
          </cell>
          <cell r="AK76">
            <v>5808726</v>
          </cell>
          <cell r="AL76" t="e">
            <v>#DIV/0!</v>
          </cell>
          <cell r="AM76">
            <v>0</v>
          </cell>
          <cell r="AN76" t="e">
            <v>#DIV/0!</v>
          </cell>
        </row>
        <row r="77">
          <cell r="F77">
            <v>14987176232738</v>
          </cell>
          <cell r="I77" t="str">
            <v>[箱裝]Pampers 幫寶適 奢寵幫拉拉褲/褲型紙尿褲, XL, 12~17kg, 90片</v>
          </cell>
          <cell r="N77">
            <v>0</v>
          </cell>
          <cell r="O77">
            <v>0</v>
          </cell>
          <cell r="P77">
            <v>0</v>
          </cell>
          <cell r="AF77">
            <v>0</v>
          </cell>
          <cell r="AG77">
            <v>0</v>
          </cell>
          <cell r="AH77" t="e">
            <v>#N/A</v>
          </cell>
          <cell r="AJ77">
            <v>0</v>
          </cell>
          <cell r="AK77">
            <v>0</v>
          </cell>
          <cell r="AL77" t="e">
            <v>#DIV/0!</v>
          </cell>
          <cell r="AM77">
            <v>0</v>
          </cell>
          <cell r="AN77" t="e">
            <v>#DIV/0!</v>
          </cell>
        </row>
        <row r="78">
          <cell r="F78">
            <v>16903148308414</v>
          </cell>
          <cell r="I78" t="str">
            <v>[箱裝]Pampers 幫寶適 奢寵幫黏貼型紙尿褲, L, 9~14kg, 96片</v>
          </cell>
          <cell r="N78">
            <v>0</v>
          </cell>
          <cell r="O78">
            <v>0</v>
          </cell>
          <cell r="P78">
            <v>0</v>
          </cell>
          <cell r="AF78">
            <v>0</v>
          </cell>
          <cell r="AG78">
            <v>0</v>
          </cell>
          <cell r="AH78" t="e">
            <v>#N/A</v>
          </cell>
          <cell r="AJ78">
            <v>0</v>
          </cell>
          <cell r="AK78">
            <v>0</v>
          </cell>
          <cell r="AL78" t="e">
            <v>#DIV/0!</v>
          </cell>
          <cell r="AM78">
            <v>0</v>
          </cell>
          <cell r="AN78" t="e">
            <v>#DIV/0!</v>
          </cell>
        </row>
        <row r="79">
          <cell r="F79">
            <v>6903148358153</v>
          </cell>
          <cell r="G79">
            <v>6903148358153</v>
          </cell>
          <cell r="H79">
            <v>80821873</v>
          </cell>
          <cell r="I79" t="str">
            <v>[箱裝][DS]Pampers 幫寶適 原廠公司貨 史上最強一級幫散熱拉拉褲/尿布/褲型, L+, 10~15kg, 102片_(極上守護)</v>
          </cell>
          <cell r="J79">
            <v>1</v>
          </cell>
          <cell r="K79">
            <v>1056</v>
          </cell>
          <cell r="L79">
            <v>1168</v>
          </cell>
          <cell r="M79">
            <v>1117.3399999999999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AA79">
            <v>1</v>
          </cell>
          <cell r="AF79">
            <v>0</v>
          </cell>
          <cell r="AG79">
            <v>1</v>
          </cell>
          <cell r="AH79">
            <v>0</v>
          </cell>
          <cell r="AK79">
            <v>0</v>
          </cell>
          <cell r="AL79" t="e">
            <v>#DIV/0!</v>
          </cell>
          <cell r="AM79">
            <v>0</v>
          </cell>
          <cell r="AN79" t="e">
            <v>#DIV/0!</v>
          </cell>
        </row>
        <row r="80">
          <cell r="F80">
            <v>14987176232721</v>
          </cell>
          <cell r="I80" t="str">
            <v>[箱裝]Pampers 幫寶適 奢寵幫拉拉褲/褲型紙尿褲, L, 9~14kg, 102片</v>
          </cell>
          <cell r="N80">
            <v>0</v>
          </cell>
          <cell r="O80">
            <v>0</v>
          </cell>
          <cell r="P80">
            <v>0</v>
          </cell>
          <cell r="AF80">
            <v>0</v>
          </cell>
          <cell r="AG80">
            <v>0</v>
          </cell>
          <cell r="AH80" t="e">
            <v>#N/A</v>
          </cell>
          <cell r="AJ80">
            <v>0</v>
          </cell>
          <cell r="AK80">
            <v>0</v>
          </cell>
          <cell r="AL80" t="e">
            <v>#DIV/0!</v>
          </cell>
          <cell r="AM80">
            <v>0</v>
          </cell>
          <cell r="AN80" t="e">
            <v>#DIV/0!</v>
          </cell>
        </row>
        <row r="81">
          <cell r="F81">
            <v>4987176232892</v>
          </cell>
          <cell r="G81">
            <v>4987176232892</v>
          </cell>
          <cell r="H81">
            <v>80838271</v>
          </cell>
          <cell r="I81" t="str">
            <v>Pampers 幫寶適 原廠公司貨 清新幫拉拉褲/褲型尿布, XL, 12~17kg, 38片</v>
          </cell>
          <cell r="J81">
            <v>4</v>
          </cell>
          <cell r="K81">
            <v>323</v>
          </cell>
          <cell r="L81">
            <v>1386</v>
          </cell>
          <cell r="M81">
            <v>1330.45</v>
          </cell>
          <cell r="N81">
            <v>95</v>
          </cell>
          <cell r="O81">
            <v>86</v>
          </cell>
          <cell r="P81">
            <v>593</v>
          </cell>
          <cell r="Q81">
            <v>0</v>
          </cell>
          <cell r="R81">
            <v>678</v>
          </cell>
          <cell r="S81">
            <v>2322</v>
          </cell>
          <cell r="W81">
            <v>7</v>
          </cell>
          <cell r="X81">
            <v>176.75</v>
          </cell>
          <cell r="Y81">
            <v>133</v>
          </cell>
          <cell r="Z81">
            <v>198.5</v>
          </cell>
          <cell r="AA81">
            <v>730</v>
          </cell>
          <cell r="AB81">
            <v>29.25</v>
          </cell>
          <cell r="AF81">
            <v>3774</v>
          </cell>
          <cell r="AG81">
            <v>1274.5</v>
          </cell>
          <cell r="AH81">
            <v>1400</v>
          </cell>
          <cell r="AJ81">
            <v>2499.5</v>
          </cell>
          <cell r="AK81">
            <v>3464307</v>
          </cell>
          <cell r="AL81">
            <v>427.26495726495727</v>
          </cell>
          <cell r="AM81">
            <v>181.35</v>
          </cell>
          <cell r="AN81">
            <v>235.79818031430938</v>
          </cell>
        </row>
        <row r="82">
          <cell r="F82">
            <v>16903148308407</v>
          </cell>
          <cell r="I82" t="str">
            <v>[箱裝]Pampers 幫寶適 奢寵幫黏貼型紙尿褲, M, 6~11kg, 114片</v>
          </cell>
          <cell r="N82">
            <v>0</v>
          </cell>
          <cell r="O82">
            <v>0</v>
          </cell>
          <cell r="P82">
            <v>0</v>
          </cell>
          <cell r="AF82">
            <v>0</v>
          </cell>
          <cell r="AG82">
            <v>0</v>
          </cell>
          <cell r="AH82" t="e">
            <v>#N/A</v>
          </cell>
          <cell r="AJ82">
            <v>0</v>
          </cell>
          <cell r="AK82">
            <v>0</v>
          </cell>
          <cell r="AL82" t="e">
            <v>#DIV/0!</v>
          </cell>
          <cell r="AM82">
            <v>0</v>
          </cell>
          <cell r="AN82" t="e">
            <v>#DIV/0!</v>
          </cell>
        </row>
        <row r="83">
          <cell r="F83">
            <v>4987176232885</v>
          </cell>
          <cell r="G83">
            <v>4987176232885</v>
          </cell>
          <cell r="H83">
            <v>80838270</v>
          </cell>
          <cell r="I83" t="str">
            <v>Pampers 幫寶適 原廠公司貨 清新幫拉拉褲/褲型尿布, L, 9~14kg, 42片</v>
          </cell>
          <cell r="J83">
            <v>4</v>
          </cell>
          <cell r="K83">
            <v>323</v>
          </cell>
          <cell r="L83">
            <v>1386</v>
          </cell>
          <cell r="M83">
            <v>1330.45</v>
          </cell>
          <cell r="N83">
            <v>115</v>
          </cell>
          <cell r="O83">
            <v>0</v>
          </cell>
          <cell r="P83">
            <v>154</v>
          </cell>
          <cell r="Q83">
            <v>0</v>
          </cell>
          <cell r="R83">
            <v>399</v>
          </cell>
          <cell r="S83">
            <v>1184</v>
          </cell>
          <cell r="W83">
            <v>7</v>
          </cell>
          <cell r="X83">
            <v>59.5</v>
          </cell>
          <cell r="Y83">
            <v>53.25</v>
          </cell>
          <cell r="Z83">
            <v>73.75</v>
          </cell>
          <cell r="AA83">
            <v>158</v>
          </cell>
          <cell r="AB83">
            <v>114.75</v>
          </cell>
          <cell r="AF83">
            <v>1852</v>
          </cell>
          <cell r="AG83">
            <v>466.25</v>
          </cell>
          <cell r="AH83">
            <v>306</v>
          </cell>
          <cell r="AI83">
            <v>500</v>
          </cell>
          <cell r="AJ83">
            <v>1385.75</v>
          </cell>
          <cell r="AK83">
            <v>1920649.5</v>
          </cell>
          <cell r="AL83">
            <v>60.381263616557732</v>
          </cell>
          <cell r="AM83">
            <v>711.44999999999993</v>
          </cell>
          <cell r="AN83">
            <v>-3.7507906388361718</v>
          </cell>
        </row>
        <row r="84">
          <cell r="F84">
            <v>4987176337078</v>
          </cell>
          <cell r="G84">
            <v>4987176337078</v>
          </cell>
          <cell r="H84">
            <v>80858989</v>
          </cell>
          <cell r="I84" t="str">
            <v>Pampers 幫寶適 原廠公司貨 清新幫拉拉褲/褲型尿布, M, 6~11kg, 50片</v>
          </cell>
          <cell r="J84">
            <v>4</v>
          </cell>
          <cell r="K84">
            <v>323</v>
          </cell>
          <cell r="L84">
            <v>1386</v>
          </cell>
          <cell r="M84">
            <v>1330.45</v>
          </cell>
          <cell r="N84">
            <v>16</v>
          </cell>
          <cell r="O84">
            <v>56</v>
          </cell>
          <cell r="P84">
            <v>71</v>
          </cell>
          <cell r="Q84">
            <v>0</v>
          </cell>
          <cell r="R84">
            <v>115</v>
          </cell>
          <cell r="S84">
            <v>651</v>
          </cell>
          <cell r="W84">
            <v>1</v>
          </cell>
          <cell r="X84">
            <v>45.25</v>
          </cell>
          <cell r="Y84">
            <v>35.5</v>
          </cell>
          <cell r="Z84">
            <v>27.5</v>
          </cell>
          <cell r="AA84">
            <v>67</v>
          </cell>
          <cell r="AB84">
            <v>7.5</v>
          </cell>
          <cell r="AF84">
            <v>909</v>
          </cell>
          <cell r="AG84">
            <v>183.75</v>
          </cell>
          <cell r="AH84">
            <v>76</v>
          </cell>
          <cell r="AJ84">
            <v>725.25</v>
          </cell>
          <cell r="AK84">
            <v>1005196.5</v>
          </cell>
          <cell r="AL84">
            <v>483.5</v>
          </cell>
          <cell r="AM84">
            <v>46.5</v>
          </cell>
          <cell r="AN84">
            <v>71.774193548387103</v>
          </cell>
        </row>
        <row r="85">
          <cell r="F85">
            <v>4987176232854</v>
          </cell>
          <cell r="G85">
            <v>4987176232854</v>
          </cell>
          <cell r="H85">
            <v>80838274</v>
          </cell>
          <cell r="I85" t="str">
            <v>Pampers 幫寶適 原廠公司貨 清新幫黏貼型紙尿褲/尿布, XL, 12~17kg, 38片</v>
          </cell>
          <cell r="J85">
            <v>4</v>
          </cell>
          <cell r="K85">
            <v>339</v>
          </cell>
          <cell r="L85">
            <v>1464</v>
          </cell>
          <cell r="M85">
            <v>1406.69</v>
          </cell>
          <cell r="N85">
            <v>10</v>
          </cell>
          <cell r="O85">
            <v>69</v>
          </cell>
          <cell r="P85">
            <v>150</v>
          </cell>
          <cell r="Q85">
            <v>0</v>
          </cell>
          <cell r="R85">
            <v>156</v>
          </cell>
          <cell r="S85">
            <v>377</v>
          </cell>
          <cell r="W85">
            <v>7.25</v>
          </cell>
          <cell r="X85">
            <v>44.5</v>
          </cell>
          <cell r="Y85">
            <v>33.75</v>
          </cell>
          <cell r="Z85">
            <v>39.75</v>
          </cell>
          <cell r="AA85">
            <v>110.5</v>
          </cell>
          <cell r="AB85">
            <v>29</v>
          </cell>
          <cell r="AF85">
            <v>762</v>
          </cell>
          <cell r="AG85">
            <v>264.75</v>
          </cell>
          <cell r="AH85">
            <v>155</v>
          </cell>
          <cell r="AI85">
            <v>200</v>
          </cell>
          <cell r="AJ85">
            <v>497.25</v>
          </cell>
          <cell r="AK85">
            <v>727974</v>
          </cell>
          <cell r="AL85">
            <v>85.732758620689651</v>
          </cell>
          <cell r="AM85">
            <v>179.79999999999998</v>
          </cell>
          <cell r="AN85">
            <v>20.764738598442726</v>
          </cell>
        </row>
        <row r="86">
          <cell r="F86">
            <v>14987176231687</v>
          </cell>
          <cell r="I86" t="str">
            <v>[箱裝]Pampers 幫寶適 奢寵幫黏貼型紙尿褲, S, 4~8kg, 144片</v>
          </cell>
          <cell r="N86">
            <v>0</v>
          </cell>
          <cell r="O86">
            <v>0</v>
          </cell>
          <cell r="P86">
            <v>0</v>
          </cell>
          <cell r="AF86">
            <v>0</v>
          </cell>
          <cell r="AG86">
            <v>0</v>
          </cell>
          <cell r="AH86" t="e">
            <v>#N/A</v>
          </cell>
          <cell r="AJ86">
            <v>0</v>
          </cell>
          <cell r="AK86">
            <v>0</v>
          </cell>
          <cell r="AL86" t="e">
            <v>#DIV/0!</v>
          </cell>
          <cell r="AM86">
            <v>0</v>
          </cell>
          <cell r="AN86" t="e">
            <v>#DIV/0!</v>
          </cell>
        </row>
        <row r="87">
          <cell r="F87">
            <v>4987176232861</v>
          </cell>
          <cell r="G87">
            <v>4987176232861</v>
          </cell>
          <cell r="H87">
            <v>80838273</v>
          </cell>
          <cell r="I87" t="str">
            <v>Pampers 幫寶適 原廠公司貨 清新幫黏貼型紙尿褲/尿布, L, 9~14kg, 46片</v>
          </cell>
          <cell r="J87">
            <v>4</v>
          </cell>
          <cell r="K87">
            <v>339</v>
          </cell>
          <cell r="L87">
            <v>1464</v>
          </cell>
          <cell r="M87">
            <v>1406.69</v>
          </cell>
          <cell r="N87">
            <v>63</v>
          </cell>
          <cell r="O87">
            <v>121</v>
          </cell>
          <cell r="P87">
            <v>30</v>
          </cell>
          <cell r="Q87">
            <v>0</v>
          </cell>
          <cell r="R87">
            <v>175</v>
          </cell>
          <cell r="S87">
            <v>24</v>
          </cell>
          <cell r="W87">
            <v>0.75</v>
          </cell>
          <cell r="X87">
            <v>88.25</v>
          </cell>
          <cell r="Y87">
            <v>49</v>
          </cell>
          <cell r="Z87">
            <v>49.5</v>
          </cell>
          <cell r="AA87">
            <v>140.75</v>
          </cell>
          <cell r="AB87">
            <v>8</v>
          </cell>
          <cell r="AF87">
            <v>413</v>
          </cell>
          <cell r="AG87">
            <v>336.25</v>
          </cell>
          <cell r="AH87">
            <v>88</v>
          </cell>
          <cell r="AJ87">
            <v>76.75</v>
          </cell>
          <cell r="AK87">
            <v>112362</v>
          </cell>
          <cell r="AL87">
            <v>47.96875</v>
          </cell>
          <cell r="AM87">
            <v>49.6</v>
          </cell>
          <cell r="AN87">
            <v>59.969758064516114</v>
          </cell>
        </row>
        <row r="88">
          <cell r="F88">
            <v>4987176337085</v>
          </cell>
          <cell r="G88">
            <v>4987176337085</v>
          </cell>
          <cell r="H88">
            <v>80858990</v>
          </cell>
          <cell r="I88" t="str">
            <v>Pampers 幫寶適 原廠公司貨 清新幫黏貼型紙尿褲/尿布, M, 6~11kg, 54片</v>
          </cell>
          <cell r="J88">
            <v>4</v>
          </cell>
          <cell r="K88">
            <v>339</v>
          </cell>
          <cell r="L88">
            <v>1464</v>
          </cell>
          <cell r="M88">
            <v>1406.69</v>
          </cell>
          <cell r="N88">
            <v>0</v>
          </cell>
          <cell r="O88">
            <v>113</v>
          </cell>
          <cell r="P88">
            <v>0</v>
          </cell>
          <cell r="Q88">
            <v>0</v>
          </cell>
          <cell r="R88">
            <v>125</v>
          </cell>
          <cell r="S88">
            <v>0</v>
          </cell>
          <cell r="X88">
            <v>0.25</v>
          </cell>
          <cell r="Y88">
            <v>10.75</v>
          </cell>
          <cell r="Z88">
            <v>38.5</v>
          </cell>
          <cell r="AA88">
            <v>82.25</v>
          </cell>
          <cell r="AB88">
            <v>11</v>
          </cell>
          <cell r="AF88">
            <v>238</v>
          </cell>
          <cell r="AG88">
            <v>142.75</v>
          </cell>
          <cell r="AH88">
            <v>64</v>
          </cell>
          <cell r="AJ88">
            <v>95.25</v>
          </cell>
          <cell r="AK88">
            <v>139446</v>
          </cell>
          <cell r="AL88">
            <v>43.295454545454547</v>
          </cell>
          <cell r="AM88">
            <v>68.2</v>
          </cell>
          <cell r="AN88">
            <v>44.890029325513197</v>
          </cell>
        </row>
        <row r="89">
          <cell r="F89">
            <v>16903148308384</v>
          </cell>
          <cell r="I89" t="str">
            <v>[箱裝]Pampers 幫寶適 奢寵幫黏貼型紙尿褲, NB, 0~5kg, 162片</v>
          </cell>
          <cell r="N89">
            <v>0</v>
          </cell>
          <cell r="O89">
            <v>0</v>
          </cell>
          <cell r="P89">
            <v>0</v>
          </cell>
          <cell r="AF89">
            <v>0</v>
          </cell>
          <cell r="AG89">
            <v>0</v>
          </cell>
          <cell r="AH89" t="e">
            <v>#N/A</v>
          </cell>
          <cell r="AJ89">
            <v>0</v>
          </cell>
          <cell r="AK89">
            <v>0</v>
          </cell>
          <cell r="AL89" t="e">
            <v>#DIV/0!</v>
          </cell>
          <cell r="AM89">
            <v>0</v>
          </cell>
          <cell r="AN89" t="e">
            <v>#DIV/0!</v>
          </cell>
        </row>
        <row r="90">
          <cell r="F90">
            <v>14987176180565</v>
          </cell>
          <cell r="H90">
            <v>80757535</v>
          </cell>
          <cell r="I90" t="str">
            <v>[DS][箱裝]Pampers 幫寶適 原廠公司貨 嬰兒濕紙巾 56張, 2包, 6袋</v>
          </cell>
          <cell r="J90">
            <v>1</v>
          </cell>
          <cell r="K90">
            <v>520</v>
          </cell>
          <cell r="L90">
            <v>628.32000000000005</v>
          </cell>
          <cell r="M90">
            <v>589.77546600000005</v>
          </cell>
          <cell r="N90">
            <v>0</v>
          </cell>
          <cell r="O90">
            <v>0</v>
          </cell>
          <cell r="P90">
            <v>0</v>
          </cell>
          <cell r="AF90">
            <v>0</v>
          </cell>
          <cell r="AG90">
            <v>0</v>
          </cell>
          <cell r="AH90" t="e">
            <v>#N/A</v>
          </cell>
          <cell r="AJ90">
            <v>0</v>
          </cell>
          <cell r="AK90">
            <v>0</v>
          </cell>
          <cell r="AL90" t="e">
            <v>#DIV/0!</v>
          </cell>
          <cell r="AM90">
            <v>0</v>
          </cell>
          <cell r="AN90" t="e">
            <v>#DIV/0!</v>
          </cell>
        </row>
        <row r="91">
          <cell r="F91">
            <v>6903148358221</v>
          </cell>
          <cell r="G91">
            <v>6903148358221</v>
          </cell>
          <cell r="H91">
            <v>80821880</v>
          </cell>
          <cell r="I91" t="str">
            <v>[DS][箱裝]Pampers 幫寶適 原廠公司貨 史上最強一級幫散熱拉拉褲/尿布/褲型, M, 6~11kg, 152片_(極上守護)</v>
          </cell>
          <cell r="J91">
            <v>1</v>
          </cell>
          <cell r="K91">
            <v>1056</v>
          </cell>
          <cell r="L91">
            <v>1168</v>
          </cell>
          <cell r="M91">
            <v>1117.3399999999999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W91">
            <v>92</v>
          </cell>
          <cell r="X91">
            <v>294</v>
          </cell>
          <cell r="Y91">
            <v>3</v>
          </cell>
          <cell r="AF91">
            <v>0</v>
          </cell>
          <cell r="AG91">
            <v>389</v>
          </cell>
          <cell r="AH91">
            <v>0</v>
          </cell>
          <cell r="AK91">
            <v>0</v>
          </cell>
          <cell r="AL91" t="e">
            <v>#DIV/0!</v>
          </cell>
          <cell r="AM91">
            <v>0</v>
          </cell>
          <cell r="AN91" t="e">
            <v>#DIV/0!</v>
          </cell>
        </row>
        <row r="92">
          <cell r="F92">
            <v>4987176337092</v>
          </cell>
          <cell r="G92">
            <v>4987176337092</v>
          </cell>
          <cell r="H92">
            <v>80858991</v>
          </cell>
          <cell r="I92" t="str">
            <v>Pampers 幫寶適 原廠公司貨 清新幫黏貼型紙尿褲/尿布, S, 4~8kg, 66片</v>
          </cell>
          <cell r="J92">
            <v>4</v>
          </cell>
          <cell r="K92">
            <v>339</v>
          </cell>
          <cell r="L92">
            <v>1464</v>
          </cell>
          <cell r="M92">
            <v>1406.69</v>
          </cell>
          <cell r="N92">
            <v>0</v>
          </cell>
          <cell r="O92">
            <v>0</v>
          </cell>
          <cell r="P92">
            <v>37</v>
          </cell>
          <cell r="Q92">
            <v>78</v>
          </cell>
          <cell r="R92">
            <v>205</v>
          </cell>
          <cell r="S92">
            <v>69</v>
          </cell>
          <cell r="X92">
            <v>0</v>
          </cell>
          <cell r="Y92">
            <v>10.5</v>
          </cell>
          <cell r="Z92">
            <v>60.5</v>
          </cell>
          <cell r="AA92">
            <v>77</v>
          </cell>
          <cell r="AB92">
            <v>11.5</v>
          </cell>
          <cell r="AF92">
            <v>389</v>
          </cell>
          <cell r="AG92">
            <v>159.5</v>
          </cell>
          <cell r="AH92">
            <v>94</v>
          </cell>
          <cell r="AJ92">
            <v>229.5</v>
          </cell>
          <cell r="AK92">
            <v>335988</v>
          </cell>
          <cell r="AL92">
            <v>99.782608695652172</v>
          </cell>
          <cell r="AM92">
            <v>71.3</v>
          </cell>
          <cell r="AN92">
            <v>81.921458625525943</v>
          </cell>
        </row>
        <row r="93">
          <cell r="F93">
            <v>14987176337099</v>
          </cell>
          <cell r="G93">
            <v>4987176337092</v>
          </cell>
          <cell r="H93">
            <v>80858991</v>
          </cell>
          <cell r="I93" t="str">
            <v>[箱裝]Pampers 幫寶適 原廠公司貨 清新幫黏貼型尿布, S, 4~8kg, 264片</v>
          </cell>
          <cell r="J93">
            <v>1</v>
          </cell>
          <cell r="K93">
            <v>1231</v>
          </cell>
          <cell r="L93">
            <v>1464</v>
          </cell>
          <cell r="M93">
            <v>1406.69</v>
          </cell>
          <cell r="N93">
            <v>0</v>
          </cell>
          <cell r="O93">
            <v>0</v>
          </cell>
          <cell r="P93">
            <v>240</v>
          </cell>
          <cell r="Q93">
            <v>0</v>
          </cell>
          <cell r="R93">
            <v>251</v>
          </cell>
          <cell r="Y93">
            <v>6</v>
          </cell>
          <cell r="Z93">
            <v>124</v>
          </cell>
          <cell r="AA93">
            <v>117</v>
          </cell>
          <cell r="AB93">
            <v>12</v>
          </cell>
          <cell r="AF93">
            <v>491</v>
          </cell>
          <cell r="AG93">
            <v>259</v>
          </cell>
          <cell r="AH93">
            <v>206</v>
          </cell>
          <cell r="AJ93">
            <v>232</v>
          </cell>
          <cell r="AK93">
            <v>339648</v>
          </cell>
          <cell r="AL93">
            <v>96.666666666666671</v>
          </cell>
          <cell r="AM93">
            <v>74.399999999999991</v>
          </cell>
          <cell r="AN93">
            <v>151.45161290322585</v>
          </cell>
        </row>
        <row r="94">
          <cell r="F94">
            <v>16903148358105</v>
          </cell>
          <cell r="H94">
            <v>80821867</v>
          </cell>
          <cell r="I94" t="str">
            <v>[箱裝][DS]Pampers 幫寶適 原廠公司貨 史上最強一級幫黏貼型護膚尿布/紙尿褲, S, 4~8kg, 224片_夏日遠離紅屁屁 (極上守護)</v>
          </cell>
          <cell r="J94">
            <v>1</v>
          </cell>
          <cell r="K94">
            <v>1318</v>
          </cell>
          <cell r="L94">
            <v>1460</v>
          </cell>
          <cell r="M94">
            <v>1402.78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AF94">
            <v>0</v>
          </cell>
          <cell r="AG94">
            <v>0</v>
          </cell>
          <cell r="AH94">
            <v>0</v>
          </cell>
          <cell r="AJ94">
            <v>0</v>
          </cell>
          <cell r="AK94">
            <v>0</v>
          </cell>
          <cell r="AL94" t="e">
            <v>#DIV/0!</v>
          </cell>
          <cell r="AM94">
            <v>0</v>
          </cell>
          <cell r="AN94" t="e">
            <v>#DIV/0!</v>
          </cell>
        </row>
        <row r="95">
          <cell r="F95">
            <v>16903148358006</v>
          </cell>
          <cell r="H95">
            <v>80821859</v>
          </cell>
          <cell r="I95" t="str">
            <v>[箱裝][DS]Pampers 幫寶適 原廠公司貨 史上最強一級幫黏貼型護膚尿布/紙尿褲, NB, 5kg以下, 256片_夏日遠離紅屁屁 (極上守護)</v>
          </cell>
          <cell r="J95">
            <v>1</v>
          </cell>
          <cell r="K95">
            <v>1318</v>
          </cell>
          <cell r="L95">
            <v>1460</v>
          </cell>
          <cell r="M95">
            <v>1402.78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AF95">
            <v>0</v>
          </cell>
          <cell r="AG95">
            <v>0</v>
          </cell>
          <cell r="AH95">
            <v>0</v>
          </cell>
          <cell r="AJ95">
            <v>0</v>
          </cell>
          <cell r="AK95">
            <v>0</v>
          </cell>
          <cell r="AL95" t="e">
            <v>#DIV/0!</v>
          </cell>
          <cell r="AM95">
            <v>0</v>
          </cell>
          <cell r="AN95" t="e">
            <v>#DIV/0!</v>
          </cell>
        </row>
        <row r="96">
          <cell r="F96">
            <v>14902430894446</v>
          </cell>
          <cell r="G96">
            <v>4902430894449</v>
          </cell>
          <cell r="H96">
            <v>80808259</v>
          </cell>
          <cell r="I96" t="str">
            <v>[箱裝] Pampers 幫寶適 超薄乾爽 黏貼型尿布, XL, 12~17kg, 120片</v>
          </cell>
          <cell r="J96">
            <v>1</v>
          </cell>
          <cell r="K96">
            <v>929</v>
          </cell>
          <cell r="L96">
            <v>1101.24</v>
          </cell>
          <cell r="M96">
            <v>1052.0784120000001</v>
          </cell>
          <cell r="N96">
            <v>26</v>
          </cell>
          <cell r="O96">
            <v>0</v>
          </cell>
          <cell r="P96">
            <v>0</v>
          </cell>
          <cell r="W96">
            <v>26</v>
          </cell>
          <cell r="Z96">
            <v>6</v>
          </cell>
          <cell r="AF96">
            <v>26</v>
          </cell>
          <cell r="AG96">
            <v>32</v>
          </cell>
          <cell r="AH96" t="e">
            <v>#N/A</v>
          </cell>
          <cell r="AK96">
            <v>0</v>
          </cell>
          <cell r="AL96" t="e">
            <v>#DIV/0!</v>
          </cell>
          <cell r="AM96">
            <v>0</v>
          </cell>
          <cell r="AN96" t="e">
            <v>#DIV/0!</v>
          </cell>
        </row>
        <row r="97">
          <cell r="F97">
            <v>14987176232844</v>
          </cell>
          <cell r="G97">
            <v>4987176232847</v>
          </cell>
          <cell r="H97">
            <v>80838272</v>
          </cell>
          <cell r="I97" t="str">
            <v>[DS][箱裝]Pampers 幫寶適 原廠公司貨 CP值之選清新幫拉拉褲/尿布, XXXL, 17kg以上, 88片</v>
          </cell>
          <cell r="J97">
            <v>1</v>
          </cell>
          <cell r="K97">
            <v>1175</v>
          </cell>
          <cell r="L97">
            <v>1386</v>
          </cell>
          <cell r="M97">
            <v>1330.45</v>
          </cell>
          <cell r="N97">
            <v>0</v>
          </cell>
          <cell r="O97">
            <v>0</v>
          </cell>
          <cell r="P97">
            <v>1350</v>
          </cell>
          <cell r="Q97">
            <v>0</v>
          </cell>
          <cell r="R97">
            <v>621</v>
          </cell>
          <cell r="Y97">
            <v>223</v>
          </cell>
          <cell r="Z97">
            <v>303</v>
          </cell>
          <cell r="AA97">
            <v>503</v>
          </cell>
          <cell r="AB97">
            <v>78</v>
          </cell>
          <cell r="AF97">
            <v>1971</v>
          </cell>
          <cell r="AG97">
            <v>1107</v>
          </cell>
          <cell r="AH97">
            <v>600</v>
          </cell>
          <cell r="AJ97">
            <v>864</v>
          </cell>
          <cell r="AK97">
            <v>1197504</v>
          </cell>
          <cell r="AL97">
            <v>55.384615384615387</v>
          </cell>
          <cell r="AM97">
            <v>483.59999999999997</v>
          </cell>
          <cell r="AN97">
            <v>65.657568238213415</v>
          </cell>
        </row>
        <row r="98">
          <cell r="F98">
            <v>14987176232875</v>
          </cell>
          <cell r="G98">
            <v>4987176232878</v>
          </cell>
          <cell r="H98">
            <v>80838275</v>
          </cell>
          <cell r="I98" t="str">
            <v>[DS][箱裝]Pampers 幫寶適 原廠公司貨 CP值之選清新幫拉拉褲/尿布, XXL, 15kg以上, 104片</v>
          </cell>
          <cell r="J98">
            <v>1</v>
          </cell>
          <cell r="K98">
            <v>1175</v>
          </cell>
          <cell r="L98">
            <v>1386</v>
          </cell>
          <cell r="M98">
            <v>1330.45</v>
          </cell>
          <cell r="N98">
            <v>420</v>
          </cell>
          <cell r="O98">
            <v>477</v>
          </cell>
          <cell r="P98">
            <v>2281</v>
          </cell>
          <cell r="Q98">
            <v>0</v>
          </cell>
          <cell r="R98">
            <v>1672</v>
          </cell>
          <cell r="W98">
            <v>146</v>
          </cell>
          <cell r="X98">
            <v>768</v>
          </cell>
          <cell r="Y98">
            <v>882</v>
          </cell>
          <cell r="Z98">
            <v>868</v>
          </cell>
          <cell r="AA98">
            <v>1525</v>
          </cell>
          <cell r="AB98">
            <v>194</v>
          </cell>
          <cell r="AF98">
            <v>4850</v>
          </cell>
          <cell r="AG98">
            <v>4383</v>
          </cell>
          <cell r="AH98">
            <v>4186</v>
          </cell>
          <cell r="AJ98">
            <v>467</v>
          </cell>
          <cell r="AK98">
            <v>647262</v>
          </cell>
          <cell r="AL98">
            <v>12.036082474226804</v>
          </cell>
          <cell r="AM98">
            <v>1202.8</v>
          </cell>
          <cell r="AN98">
            <v>90.892916528101097</v>
          </cell>
        </row>
        <row r="99">
          <cell r="F99">
            <v>14902430739297</v>
          </cell>
          <cell r="G99">
            <v>4902430739290</v>
          </cell>
          <cell r="H99">
            <v>82311884</v>
          </cell>
          <cell r="I99" t="str">
            <v>[DS][箱裝] Pampers 幫寶適 原廠公司貨 超薄乾爽拉拉褲/尿布, 褲型, XL, 12~17kg, 192片</v>
          </cell>
          <cell r="J99">
            <v>1</v>
          </cell>
          <cell r="K99">
            <v>1394</v>
          </cell>
          <cell r="L99">
            <v>1640.23</v>
          </cell>
          <cell r="M99">
            <v>1578.9680865</v>
          </cell>
          <cell r="N99">
            <v>0</v>
          </cell>
          <cell r="O99">
            <v>0</v>
          </cell>
          <cell r="P99">
            <v>0</v>
          </cell>
          <cell r="W99">
            <v>2</v>
          </cell>
          <cell r="AF99">
            <v>0</v>
          </cell>
          <cell r="AG99">
            <v>2</v>
          </cell>
          <cell r="AH99" t="e">
            <v>#N/A</v>
          </cell>
          <cell r="AK99">
            <v>0</v>
          </cell>
          <cell r="AL99" t="e">
            <v>#DIV/0!</v>
          </cell>
          <cell r="AM99">
            <v>0</v>
          </cell>
          <cell r="AN99" t="e">
            <v>#DIV/0!</v>
          </cell>
        </row>
        <row r="100">
          <cell r="F100">
            <v>14987176411331</v>
          </cell>
          <cell r="G100">
            <v>4987176411334</v>
          </cell>
          <cell r="H100">
            <v>83922647</v>
          </cell>
          <cell r="I100" t="str">
            <v>Pampers 幫寶適 原廠公司貨 史上最強一級幫紙尿褲/尿布禮盒/彌月禮盒組(黏貼型尿布-S 56片+M 108片), 164片, 1盒_(極上守護)</v>
          </cell>
          <cell r="J100">
            <v>1</v>
          </cell>
          <cell r="K100">
            <v>1150</v>
          </cell>
          <cell r="L100">
            <v>1320.5</v>
          </cell>
          <cell r="M100">
            <v>1266.42</v>
          </cell>
          <cell r="R100">
            <v>0</v>
          </cell>
          <cell r="AF100">
            <v>0</v>
          </cell>
          <cell r="AG100">
            <v>0</v>
          </cell>
          <cell r="AH100">
            <v>1835</v>
          </cell>
          <cell r="AJ100">
            <v>0</v>
          </cell>
          <cell r="AL100" t="e">
            <v>#DIV/0!</v>
          </cell>
          <cell r="AM100">
            <v>0</v>
          </cell>
          <cell r="AN100" t="e">
            <v>#DIV/0!</v>
          </cell>
        </row>
        <row r="101">
          <cell r="F101">
            <v>14987176407921</v>
          </cell>
          <cell r="G101">
            <v>4987176407924</v>
          </cell>
          <cell r="H101">
            <v>83919785</v>
          </cell>
          <cell r="I101" t="str">
            <v>Pampers 幫寶適 原廠公司貨 一級幫黏貼型嬰兒紙尿褲 NB 32片 + S 112片, 新生兒用 (NB), 144片</v>
          </cell>
          <cell r="J101">
            <v>1</v>
          </cell>
          <cell r="K101">
            <v>806</v>
          </cell>
          <cell r="L101">
            <v>880.1</v>
          </cell>
          <cell r="M101">
            <v>835.9</v>
          </cell>
          <cell r="R101">
            <v>755</v>
          </cell>
          <cell r="AA101">
            <v>11</v>
          </cell>
          <cell r="AB101">
            <v>24</v>
          </cell>
          <cell r="AF101">
            <v>755</v>
          </cell>
          <cell r="AG101">
            <v>35</v>
          </cell>
          <cell r="AH101">
            <v>300</v>
          </cell>
          <cell r="AJ101">
            <v>720</v>
          </cell>
          <cell r="AL101">
            <v>150</v>
          </cell>
          <cell r="AM101">
            <v>148.79999999999998</v>
          </cell>
          <cell r="AN101">
            <v>180.48387096774198</v>
          </cell>
        </row>
        <row r="102">
          <cell r="F102">
            <v>30772121009</v>
          </cell>
          <cell r="G102">
            <v>30772121009</v>
          </cell>
          <cell r="H102">
            <v>80822281</v>
          </cell>
          <cell r="I102" t="str">
            <v>[DS]Tide 汰漬 台灣公司貨 2倍超濃縮洗衣精, 3.9L, 1桶</v>
          </cell>
          <cell r="J102">
            <v>4</v>
          </cell>
          <cell r="K102">
            <v>563.99999999999989</v>
          </cell>
          <cell r="L102">
            <v>2376.48</v>
          </cell>
          <cell r="M102">
            <v>2311.4</v>
          </cell>
          <cell r="N102">
            <v>158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W102">
            <v>26.75</v>
          </cell>
          <cell r="X102">
            <v>89.75</v>
          </cell>
          <cell r="Y102">
            <v>28.75</v>
          </cell>
          <cell r="Z102">
            <v>2</v>
          </cell>
          <cell r="AF102">
            <v>158</v>
          </cell>
          <cell r="AG102">
            <v>147.25</v>
          </cell>
          <cell r="AH102">
            <v>0</v>
          </cell>
          <cell r="AJ102">
            <v>10.75</v>
          </cell>
          <cell r="AK102">
            <v>25547.16</v>
          </cell>
          <cell r="AL102" t="e">
            <v>#DIV/0!</v>
          </cell>
          <cell r="AM102">
            <v>0</v>
          </cell>
          <cell r="AN102" t="e">
            <v>#DIV/0!</v>
          </cell>
        </row>
        <row r="103">
          <cell r="F103">
            <v>4987176084378</v>
          </cell>
          <cell r="G103">
            <v>4987176084378</v>
          </cell>
          <cell r="H103">
            <v>80888194</v>
          </cell>
          <cell r="I103" t="str">
            <v>好自在熊抱安睡褲L 8片 WHP KOALA 9 BASE PANTS L 8SX6 SQ-HKTW</v>
          </cell>
          <cell r="J103">
            <v>6</v>
          </cell>
          <cell r="K103">
            <v>177</v>
          </cell>
          <cell r="L103">
            <v>1226.47</v>
          </cell>
          <cell r="M103">
            <v>1174.5</v>
          </cell>
          <cell r="N103">
            <v>200</v>
          </cell>
          <cell r="O103">
            <v>200</v>
          </cell>
          <cell r="P103">
            <v>0</v>
          </cell>
          <cell r="Q103">
            <v>0</v>
          </cell>
          <cell r="R103">
            <v>0</v>
          </cell>
          <cell r="S103">
            <v>38</v>
          </cell>
          <cell r="W103">
            <v>16</v>
          </cell>
          <cell r="X103">
            <v>143.5</v>
          </cell>
          <cell r="Y103">
            <v>153</v>
          </cell>
          <cell r="Z103">
            <v>14.666666666666668</v>
          </cell>
          <cell r="AA103">
            <v>30.999999999999996</v>
          </cell>
          <cell r="AB103">
            <v>3.6666666666666665</v>
          </cell>
          <cell r="AF103">
            <v>438</v>
          </cell>
          <cell r="AG103">
            <v>361.83333333333337</v>
          </cell>
          <cell r="AH103">
            <v>38</v>
          </cell>
          <cell r="AJ103">
            <v>76.166666666666629</v>
          </cell>
          <cell r="AK103">
            <v>93416.131666666624</v>
          </cell>
          <cell r="AL103">
            <v>103.86363636363632</v>
          </cell>
          <cell r="AM103">
            <v>22.733333333333331</v>
          </cell>
          <cell r="AN103">
            <v>75.351906158357735</v>
          </cell>
        </row>
        <row r="104">
          <cell r="F104">
            <v>4987176122858</v>
          </cell>
          <cell r="G104">
            <v>4987176122858</v>
          </cell>
          <cell r="H104">
            <v>80701658</v>
          </cell>
          <cell r="I104" t="str">
            <v>[DS]whisper 好自在 台灣公司貨 熊抱安睡36cm量多夜用10片, 1包</v>
          </cell>
          <cell r="J104">
            <v>12</v>
          </cell>
          <cell r="K104">
            <v>60</v>
          </cell>
          <cell r="L104">
            <v>827.88</v>
          </cell>
          <cell r="M104">
            <v>784.85534399999995</v>
          </cell>
          <cell r="N104">
            <v>20</v>
          </cell>
          <cell r="O104">
            <v>20</v>
          </cell>
          <cell r="P104">
            <v>0</v>
          </cell>
          <cell r="Q104">
            <v>38</v>
          </cell>
          <cell r="R104">
            <v>16</v>
          </cell>
          <cell r="S104">
            <v>0</v>
          </cell>
          <cell r="W104">
            <v>4.5</v>
          </cell>
          <cell r="X104">
            <v>15.833333333333334</v>
          </cell>
          <cell r="Y104">
            <v>16.333333333333332</v>
          </cell>
          <cell r="Z104">
            <v>15.583333333333334</v>
          </cell>
          <cell r="AA104">
            <v>8.5833333333333339</v>
          </cell>
          <cell r="AB104">
            <v>1.8333333333333335</v>
          </cell>
          <cell r="AF104">
            <v>94</v>
          </cell>
          <cell r="AG104">
            <v>62.666666666666679</v>
          </cell>
          <cell r="AH104">
            <v>0</v>
          </cell>
          <cell r="AJ104">
            <v>31.333333333333321</v>
          </cell>
          <cell r="AK104">
            <v>25940.239999999991</v>
          </cell>
          <cell r="AL104">
            <v>85.454545454545425</v>
          </cell>
          <cell r="AM104">
            <v>11.366666666666667</v>
          </cell>
          <cell r="AN104">
            <v>57.536656891495554</v>
          </cell>
        </row>
        <row r="105">
          <cell r="F105">
            <v>4987176122865</v>
          </cell>
          <cell r="G105">
            <v>4987176122865</v>
          </cell>
          <cell r="H105">
            <v>80701659</v>
          </cell>
          <cell r="I105" t="str">
            <v>[DS]whisper 好自在 熊抱安睡42.5cm 量多夜用,7片,1包</v>
          </cell>
          <cell r="J105">
            <v>12</v>
          </cell>
          <cell r="K105">
            <v>60</v>
          </cell>
          <cell r="L105">
            <v>827.88</v>
          </cell>
          <cell r="M105">
            <v>784.85534399999995</v>
          </cell>
          <cell r="N105">
            <v>26</v>
          </cell>
          <cell r="O105">
            <v>26</v>
          </cell>
          <cell r="P105">
            <v>0</v>
          </cell>
          <cell r="Q105">
            <v>31</v>
          </cell>
          <cell r="R105">
            <v>23</v>
          </cell>
          <cell r="S105">
            <v>0</v>
          </cell>
          <cell r="W105">
            <v>1.9166666666666667</v>
          </cell>
          <cell r="X105">
            <v>19.833333333333332</v>
          </cell>
          <cell r="Y105">
            <v>29.916666666666668</v>
          </cell>
          <cell r="Z105">
            <v>13.333333333333332</v>
          </cell>
          <cell r="AA105">
            <v>15.083333333333336</v>
          </cell>
          <cell r="AB105">
            <v>4.25</v>
          </cell>
          <cell r="AF105">
            <v>106</v>
          </cell>
          <cell r="AG105">
            <v>84.333333333333343</v>
          </cell>
          <cell r="AH105">
            <v>2</v>
          </cell>
          <cell r="AJ105">
            <v>21.666666666666657</v>
          </cell>
          <cell r="AK105">
            <v>17937.399999999991</v>
          </cell>
          <cell r="AL105">
            <v>25.49019607843136</v>
          </cell>
          <cell r="AM105">
            <v>26.349999999999998</v>
          </cell>
          <cell r="AN105">
            <v>1.7836812144212482</v>
          </cell>
        </row>
        <row r="106">
          <cell r="F106">
            <v>4987176122919</v>
          </cell>
          <cell r="G106">
            <v>4987176122919</v>
          </cell>
          <cell r="H106">
            <v>80701798</v>
          </cell>
          <cell r="I106" t="str">
            <v>[DS]whisper 好自在 台灣公司貨 熊抱安睡36cm量多夜用(10片X2),1組</v>
          </cell>
          <cell r="J106">
            <v>12</v>
          </cell>
          <cell r="K106">
            <v>115</v>
          </cell>
          <cell r="L106">
            <v>1592.16</v>
          </cell>
          <cell r="M106">
            <v>1531.9772580000001</v>
          </cell>
          <cell r="N106">
            <v>9</v>
          </cell>
          <cell r="O106">
            <v>9</v>
          </cell>
          <cell r="P106">
            <v>10</v>
          </cell>
          <cell r="Q106">
            <v>0</v>
          </cell>
          <cell r="R106">
            <v>25</v>
          </cell>
          <cell r="S106">
            <v>12</v>
          </cell>
          <cell r="W106">
            <v>0.91666666666666663</v>
          </cell>
          <cell r="X106">
            <v>6.833333333333333</v>
          </cell>
          <cell r="Y106">
            <v>5.833333333333333</v>
          </cell>
          <cell r="Z106">
            <v>4.75</v>
          </cell>
          <cell r="AA106">
            <v>5.166666666666667</v>
          </cell>
          <cell r="AB106">
            <v>0.25</v>
          </cell>
          <cell r="AF106">
            <v>65</v>
          </cell>
          <cell r="AG106">
            <v>23.75</v>
          </cell>
          <cell r="AH106">
            <v>12</v>
          </cell>
          <cell r="AJ106">
            <v>41.25</v>
          </cell>
          <cell r="AK106">
            <v>65676.600000000006</v>
          </cell>
          <cell r="AL106">
            <v>825</v>
          </cell>
          <cell r="AM106">
            <v>1.55</v>
          </cell>
          <cell r="AN106">
            <v>773.22580645161304</v>
          </cell>
        </row>
        <row r="107">
          <cell r="F107">
            <v>4987176122933</v>
          </cell>
          <cell r="G107">
            <v>4987176122933</v>
          </cell>
          <cell r="H107">
            <v>80701800</v>
          </cell>
          <cell r="I107" t="str">
            <v>[DS]whisper 好自在 台灣公司貨 熊抱安睡425mm量多夜用衛生棉, 7片,2包,1組</v>
          </cell>
          <cell r="J107">
            <v>12</v>
          </cell>
          <cell r="K107">
            <v>120</v>
          </cell>
          <cell r="L107">
            <v>1592.16</v>
          </cell>
          <cell r="M107">
            <v>1531.9772580000001</v>
          </cell>
          <cell r="N107">
            <v>47</v>
          </cell>
          <cell r="O107">
            <v>47</v>
          </cell>
          <cell r="P107">
            <v>47</v>
          </cell>
          <cell r="Q107">
            <v>94</v>
          </cell>
          <cell r="R107">
            <v>59</v>
          </cell>
          <cell r="S107">
            <v>117</v>
          </cell>
          <cell r="W107">
            <v>16.5</v>
          </cell>
          <cell r="X107">
            <v>62.166666666666679</v>
          </cell>
          <cell r="Y107">
            <v>27.416666666666668</v>
          </cell>
          <cell r="Z107">
            <v>58.499999999999993</v>
          </cell>
          <cell r="AA107">
            <v>80.083333333333329</v>
          </cell>
          <cell r="AB107">
            <v>11.083333333333334</v>
          </cell>
          <cell r="AF107">
            <v>411</v>
          </cell>
          <cell r="AG107">
            <v>255.75000000000003</v>
          </cell>
          <cell r="AH107">
            <v>117</v>
          </cell>
          <cell r="AJ107">
            <v>155.24999999999997</v>
          </cell>
          <cell r="AK107">
            <v>247182.83999999997</v>
          </cell>
          <cell r="AL107">
            <v>70.037593984962399</v>
          </cell>
          <cell r="AM107">
            <v>68.716666666666669</v>
          </cell>
          <cell r="AN107">
            <v>42.617026437060396</v>
          </cell>
        </row>
        <row r="108">
          <cell r="F108">
            <v>4987176166739</v>
          </cell>
          <cell r="G108">
            <v>4987176166739</v>
          </cell>
          <cell r="H108">
            <v>80845894</v>
          </cell>
          <cell r="I108" t="str">
            <v>好自在熊抱安睡褲M 8片 WHP KOALA 8 BASE PANTS M 8SX6 SQ-HKTW</v>
          </cell>
          <cell r="J108">
            <v>6</v>
          </cell>
          <cell r="K108">
            <v>177</v>
          </cell>
          <cell r="L108">
            <v>1226.47</v>
          </cell>
          <cell r="M108">
            <v>1174.5</v>
          </cell>
          <cell r="N108">
            <v>100</v>
          </cell>
          <cell r="O108">
            <v>100</v>
          </cell>
          <cell r="P108">
            <v>0</v>
          </cell>
          <cell r="Q108">
            <v>80</v>
          </cell>
          <cell r="R108">
            <v>0</v>
          </cell>
          <cell r="S108">
            <v>75</v>
          </cell>
          <cell r="W108">
            <v>9.3333333333333321</v>
          </cell>
          <cell r="X108">
            <v>100.66666666666667</v>
          </cell>
          <cell r="Y108">
            <v>83.666666666666671</v>
          </cell>
          <cell r="Z108">
            <v>27.666666666666664</v>
          </cell>
          <cell r="AA108">
            <v>49.833333333333329</v>
          </cell>
          <cell r="AB108">
            <v>6.833333333333333</v>
          </cell>
          <cell r="AF108">
            <v>355</v>
          </cell>
          <cell r="AG108">
            <v>278</v>
          </cell>
          <cell r="AH108">
            <v>75</v>
          </cell>
          <cell r="AJ108">
            <v>77</v>
          </cell>
          <cell r="AK108">
            <v>94438.19</v>
          </cell>
          <cell r="AL108">
            <v>56.341463414634141</v>
          </cell>
          <cell r="AM108">
            <v>42.366666666666667</v>
          </cell>
          <cell r="AN108">
            <v>29.362706530291089</v>
          </cell>
        </row>
        <row r="109">
          <cell r="F109">
            <v>4987176177841</v>
          </cell>
          <cell r="G109">
            <v>4987176177841</v>
          </cell>
          <cell r="H109">
            <v>80724055</v>
          </cell>
          <cell r="I109" t="str">
            <v>[DS]whisper 好自在 台灣公司貨 液體衛生棉清新淨味 24cm, 1包, 9片, 一般</v>
          </cell>
          <cell r="J109">
            <v>12</v>
          </cell>
          <cell r="K109">
            <v>89</v>
          </cell>
          <cell r="L109">
            <v>1208.8800000000001</v>
          </cell>
          <cell r="M109">
            <v>1157.3004000000001</v>
          </cell>
          <cell r="N109">
            <v>206</v>
          </cell>
          <cell r="O109">
            <v>199</v>
          </cell>
          <cell r="P109">
            <v>190</v>
          </cell>
          <cell r="Q109">
            <v>86</v>
          </cell>
          <cell r="R109">
            <v>226</v>
          </cell>
          <cell r="S109">
            <v>210</v>
          </cell>
          <cell r="W109">
            <v>18.583333333333332</v>
          </cell>
          <cell r="X109">
            <v>187.41666666666671</v>
          </cell>
          <cell r="Y109">
            <v>155.33333333333334</v>
          </cell>
          <cell r="Z109">
            <v>155.75</v>
          </cell>
          <cell r="AA109">
            <v>141.16666666666666</v>
          </cell>
          <cell r="AB109">
            <v>25.666666666666664</v>
          </cell>
          <cell r="AF109">
            <v>1117</v>
          </cell>
          <cell r="AG109">
            <v>683.91666666666663</v>
          </cell>
          <cell r="AH109">
            <v>210</v>
          </cell>
          <cell r="AJ109">
            <v>433.08333333333337</v>
          </cell>
          <cell r="AK109">
            <v>523545.78000000009</v>
          </cell>
          <cell r="AL109">
            <v>84.366883116883116</v>
          </cell>
          <cell r="AM109">
            <v>159.13333333333333</v>
          </cell>
          <cell r="AN109">
            <v>56.484080435693343</v>
          </cell>
        </row>
        <row r="110">
          <cell r="F110">
            <v>4987176177858</v>
          </cell>
          <cell r="G110">
            <v>4987176177858</v>
          </cell>
          <cell r="H110">
            <v>80724056</v>
          </cell>
          <cell r="I110" t="str">
            <v>[DS]whisper 好自在 Radiant清新淨味 液體衛生棉/巾 棉柔表層 量多超薄 日用型, 27cm, 9片, 1盒</v>
          </cell>
          <cell r="J110">
            <v>12</v>
          </cell>
          <cell r="K110">
            <v>89</v>
          </cell>
          <cell r="L110">
            <v>1208.8800000000001</v>
          </cell>
          <cell r="M110">
            <v>1157.3018940000002</v>
          </cell>
          <cell r="N110">
            <v>293</v>
          </cell>
          <cell r="O110">
            <v>293</v>
          </cell>
          <cell r="P110">
            <v>292</v>
          </cell>
          <cell r="Q110">
            <v>86</v>
          </cell>
          <cell r="R110">
            <v>0</v>
          </cell>
          <cell r="S110">
            <v>258</v>
          </cell>
          <cell r="W110">
            <v>89.25</v>
          </cell>
          <cell r="X110">
            <v>296.83333333333337</v>
          </cell>
          <cell r="Y110">
            <v>225</v>
          </cell>
          <cell r="Z110">
            <v>137.08333333333334</v>
          </cell>
          <cell r="AA110">
            <v>144.91666666666666</v>
          </cell>
          <cell r="AB110">
            <v>88.083333333333329</v>
          </cell>
          <cell r="AF110">
            <v>1222</v>
          </cell>
          <cell r="AG110">
            <v>981.16666666666674</v>
          </cell>
          <cell r="AH110">
            <v>258</v>
          </cell>
          <cell r="AJ110">
            <v>240.83333333333326</v>
          </cell>
          <cell r="AK110">
            <v>291138.59999999992</v>
          </cell>
          <cell r="AL110">
            <v>13.670766319772937</v>
          </cell>
          <cell r="AM110">
            <v>546.11666666666667</v>
          </cell>
          <cell r="AN110">
            <v>-11.931516464735864</v>
          </cell>
        </row>
        <row r="111">
          <cell r="F111">
            <v>4987176177865</v>
          </cell>
          <cell r="G111">
            <v>4987176177865</v>
          </cell>
          <cell r="H111">
            <v>80724057</v>
          </cell>
          <cell r="I111" t="str">
            <v>[DS]whisper 好自在 台灣公司貨 液體衛生棉清新淨味 31.7cm, 1包, 9片, 一般</v>
          </cell>
          <cell r="J111">
            <v>12</v>
          </cell>
          <cell r="K111">
            <v>89</v>
          </cell>
          <cell r="L111">
            <v>1208.8800000000001</v>
          </cell>
          <cell r="M111">
            <v>1157.3004000000001</v>
          </cell>
          <cell r="N111">
            <v>72</v>
          </cell>
          <cell r="O111">
            <v>180</v>
          </cell>
          <cell r="P111">
            <v>127.75</v>
          </cell>
          <cell r="Q111">
            <v>132</v>
          </cell>
          <cell r="R111">
            <v>157</v>
          </cell>
          <cell r="S111">
            <v>0</v>
          </cell>
          <cell r="W111">
            <v>44.083333333333336</v>
          </cell>
          <cell r="X111">
            <v>106.74999999999997</v>
          </cell>
          <cell r="Y111">
            <v>111.08333333333333</v>
          </cell>
          <cell r="Z111">
            <v>72</v>
          </cell>
          <cell r="AA111">
            <v>42.916666666666664</v>
          </cell>
          <cell r="AB111">
            <v>35.166666666666664</v>
          </cell>
          <cell r="AF111">
            <v>668.75</v>
          </cell>
          <cell r="AG111">
            <v>412</v>
          </cell>
          <cell r="AH111">
            <v>0</v>
          </cell>
          <cell r="AJ111">
            <v>256.75</v>
          </cell>
          <cell r="AK111">
            <v>310379.94</v>
          </cell>
          <cell r="AL111">
            <v>36.504739336492889</v>
          </cell>
          <cell r="AM111">
            <v>218.03333333333333</v>
          </cell>
          <cell r="AN111">
            <v>10.165876777251183</v>
          </cell>
        </row>
        <row r="112">
          <cell r="F112">
            <v>4987176179258</v>
          </cell>
          <cell r="G112">
            <v>4987176179258</v>
          </cell>
          <cell r="H112">
            <v>80741147</v>
          </cell>
          <cell r="I112" t="str">
            <v>[DS]whisper 好自在 台灣公司貨 INFINITY液體衛生棉 超長夜用 34cm, 10片, 夜用型, 1盒</v>
          </cell>
          <cell r="J112">
            <v>12</v>
          </cell>
          <cell r="K112">
            <v>82</v>
          </cell>
          <cell r="L112">
            <v>1208.8800000000001</v>
          </cell>
          <cell r="M112">
            <v>1157.3018940000002</v>
          </cell>
          <cell r="N112">
            <v>0</v>
          </cell>
          <cell r="O112">
            <v>0</v>
          </cell>
          <cell r="P112">
            <v>0</v>
          </cell>
          <cell r="Q112">
            <v>357</v>
          </cell>
          <cell r="R112">
            <v>188</v>
          </cell>
          <cell r="S112">
            <v>219</v>
          </cell>
          <cell r="Y112">
            <v>0.33333333333333331</v>
          </cell>
          <cell r="Z112">
            <v>121.08333333333333</v>
          </cell>
          <cell r="AA112">
            <v>215.08333333333334</v>
          </cell>
          <cell r="AB112">
            <v>47.083333333333336</v>
          </cell>
          <cell r="AF112">
            <v>764</v>
          </cell>
          <cell r="AG112">
            <v>383.58333333333331</v>
          </cell>
          <cell r="AH112">
            <v>219</v>
          </cell>
          <cell r="AJ112">
            <v>380.41666666666669</v>
          </cell>
          <cell r="AK112">
            <v>459878.10000000009</v>
          </cell>
          <cell r="AL112">
            <v>40.398230088495573</v>
          </cell>
          <cell r="AM112">
            <v>291.91666666666669</v>
          </cell>
          <cell r="AN112">
            <v>13.933771053382806</v>
          </cell>
        </row>
        <row r="113">
          <cell r="F113">
            <v>4987176214720</v>
          </cell>
          <cell r="G113">
            <v>4987176214720</v>
          </cell>
          <cell r="H113">
            <v>80845897</v>
          </cell>
          <cell r="I113" t="str">
            <v>好自在熊抱安睡褲XL 8片 WHP KOALA 8 BASE PANTS XL 8SX6 SQ-HKTW</v>
          </cell>
          <cell r="J113">
            <v>6</v>
          </cell>
          <cell r="K113">
            <v>177</v>
          </cell>
          <cell r="L113">
            <v>1226.47</v>
          </cell>
          <cell r="M113">
            <v>1174.5</v>
          </cell>
          <cell r="N113">
            <v>200</v>
          </cell>
          <cell r="O113">
            <v>183</v>
          </cell>
          <cell r="P113">
            <v>0</v>
          </cell>
          <cell r="Q113">
            <v>308</v>
          </cell>
          <cell r="R113">
            <v>368</v>
          </cell>
          <cell r="S113">
            <v>200</v>
          </cell>
          <cell r="W113">
            <v>46</v>
          </cell>
          <cell r="X113">
            <v>306.5</v>
          </cell>
          <cell r="Y113">
            <v>2.8333333333333335</v>
          </cell>
          <cell r="Z113">
            <v>66.5</v>
          </cell>
          <cell r="AA113">
            <v>400</v>
          </cell>
          <cell r="AB113">
            <v>75.666666666666671</v>
          </cell>
          <cell r="AF113">
            <v>1259</v>
          </cell>
          <cell r="AG113">
            <v>897.49999999999989</v>
          </cell>
          <cell r="AH113">
            <v>200</v>
          </cell>
          <cell r="AJ113">
            <v>361.50000000000011</v>
          </cell>
          <cell r="AK113">
            <v>443368.90500000014</v>
          </cell>
          <cell r="AL113">
            <v>23.88766519823789</v>
          </cell>
          <cell r="AM113">
            <v>469.13333333333338</v>
          </cell>
          <cell r="AN113">
            <v>-2.0441949694472092</v>
          </cell>
        </row>
        <row r="114">
          <cell r="F114">
            <v>4987176219985</v>
          </cell>
          <cell r="G114">
            <v>4987176219985</v>
          </cell>
          <cell r="H114">
            <v>80786358</v>
          </cell>
          <cell r="I114" t="str">
            <v>whisper 好自在 熊抱安睡褲, 內褲型, XL, 2片, 1包</v>
          </cell>
          <cell r="J114">
            <v>24</v>
          </cell>
          <cell r="K114">
            <v>41</v>
          </cell>
          <cell r="L114">
            <v>1128</v>
          </cell>
          <cell r="M114">
            <v>1078.24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AF114">
            <v>0</v>
          </cell>
          <cell r="AG114">
            <v>0</v>
          </cell>
          <cell r="AH114" t="e">
            <v>#N/A</v>
          </cell>
          <cell r="AJ114">
            <v>0</v>
          </cell>
          <cell r="AK114">
            <v>0</v>
          </cell>
          <cell r="AL114" t="e">
            <v>#DIV/0!</v>
          </cell>
          <cell r="AM114">
            <v>0</v>
          </cell>
          <cell r="AN114" t="e">
            <v>#DIV/0!</v>
          </cell>
        </row>
        <row r="115">
          <cell r="F115">
            <v>4987176301017</v>
          </cell>
          <cell r="G115">
            <v>4987176301017</v>
          </cell>
          <cell r="H115">
            <v>80834591</v>
          </cell>
          <cell r="I115" t="str">
            <v>[DS]whisper 好自在 台灣公司貨 Air Dry 雲枕瞬吸衛生棉 日用量大加長, 32cm, 16片, 1袋</v>
          </cell>
          <cell r="J115">
            <v>12</v>
          </cell>
          <cell r="K115">
            <v>95.000000000000014</v>
          </cell>
          <cell r="L115">
            <v>1208.81</v>
          </cell>
          <cell r="M115">
            <v>1157.23</v>
          </cell>
          <cell r="N115">
            <v>14</v>
          </cell>
          <cell r="O115">
            <v>14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W115">
            <v>1.5</v>
          </cell>
          <cell r="X115">
            <v>16.916666666666664</v>
          </cell>
          <cell r="Y115">
            <v>8.75</v>
          </cell>
          <cell r="AF115">
            <v>28</v>
          </cell>
          <cell r="AG115">
            <v>27.166666666666664</v>
          </cell>
          <cell r="AH115">
            <v>0</v>
          </cell>
          <cell r="AJ115">
            <v>0.8333333333333357</v>
          </cell>
          <cell r="AK115">
            <v>1007.3416666666695</v>
          </cell>
          <cell r="AL115" t="e">
            <v>#DIV/0!</v>
          </cell>
          <cell r="AM115">
            <v>0</v>
          </cell>
          <cell r="AN115" t="e">
            <v>#DIV/0!</v>
          </cell>
        </row>
        <row r="116">
          <cell r="F116">
            <v>4987176301024</v>
          </cell>
          <cell r="G116">
            <v>4987176301024</v>
          </cell>
          <cell r="H116">
            <v>80841913</v>
          </cell>
          <cell r="I116" t="str">
            <v>[DS]whisper 好自在 台灣公司貨 Air Dry Fresh 草本健康衛生棉 量大加長, 32cm, 16片, 1袋</v>
          </cell>
          <cell r="J116">
            <v>12</v>
          </cell>
          <cell r="K116">
            <v>95.000000000000014</v>
          </cell>
          <cell r="L116">
            <v>1208.81</v>
          </cell>
          <cell r="M116">
            <v>1157.23</v>
          </cell>
          <cell r="N116">
            <v>12</v>
          </cell>
          <cell r="O116">
            <v>12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W116">
            <v>3.75</v>
          </cell>
          <cell r="X116">
            <v>7.333333333333333</v>
          </cell>
          <cell r="Y116">
            <v>3.8333333333333335</v>
          </cell>
          <cell r="Z116">
            <v>1.9166666666666667</v>
          </cell>
          <cell r="AA116">
            <v>9.0833333333333339</v>
          </cell>
          <cell r="AB116">
            <v>0.5</v>
          </cell>
          <cell r="AF116">
            <v>24</v>
          </cell>
          <cell r="AG116">
            <v>26.416666666666664</v>
          </cell>
          <cell r="AH116">
            <v>0</v>
          </cell>
          <cell r="AK116">
            <v>0</v>
          </cell>
          <cell r="AL116">
            <v>0</v>
          </cell>
          <cell r="AM116">
            <v>3.1</v>
          </cell>
          <cell r="AN116">
            <v>-48.548387096774185</v>
          </cell>
        </row>
        <row r="117">
          <cell r="F117">
            <v>4987176325655</v>
          </cell>
          <cell r="G117">
            <v>4987176325655</v>
          </cell>
          <cell r="H117">
            <v>80849287</v>
          </cell>
          <cell r="I117" t="str">
            <v>WHP AIR DRY PRO (S3 10S+Mini 12S)x24</v>
          </cell>
          <cell r="J117">
            <v>24</v>
          </cell>
          <cell r="K117">
            <v>79</v>
          </cell>
          <cell r="L117">
            <v>1883.39</v>
          </cell>
          <cell r="M117">
            <v>1816.67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AF117">
            <v>0</v>
          </cell>
          <cell r="AG117">
            <v>0</v>
          </cell>
          <cell r="AH117">
            <v>0</v>
          </cell>
          <cell r="AJ117">
            <v>0</v>
          </cell>
          <cell r="AK117">
            <v>0</v>
          </cell>
          <cell r="AL117" t="e">
            <v>#DIV/0!</v>
          </cell>
          <cell r="AM117">
            <v>0</v>
          </cell>
          <cell r="AN117" t="e">
            <v>#DIV/0!</v>
          </cell>
        </row>
        <row r="118">
          <cell r="F118">
            <v>4987176325662</v>
          </cell>
          <cell r="G118">
            <v>4987176325662</v>
          </cell>
          <cell r="H118">
            <v>80849288</v>
          </cell>
          <cell r="I118" t="str">
            <v>WHP AIR DRY (S3 10S+Mini 12S)x24</v>
          </cell>
          <cell r="J118">
            <v>24</v>
          </cell>
          <cell r="K118">
            <v>79</v>
          </cell>
          <cell r="L118">
            <v>1883.39</v>
          </cell>
          <cell r="M118">
            <v>1816.67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AF118">
            <v>0</v>
          </cell>
          <cell r="AG118">
            <v>0</v>
          </cell>
          <cell r="AH118">
            <v>0</v>
          </cell>
          <cell r="AJ118">
            <v>0</v>
          </cell>
          <cell r="AK118">
            <v>0</v>
          </cell>
          <cell r="AL118" t="e">
            <v>#DIV/0!</v>
          </cell>
          <cell r="AM118">
            <v>0</v>
          </cell>
          <cell r="AN118" t="e">
            <v>#DIV/0!</v>
          </cell>
        </row>
        <row r="119">
          <cell r="F119">
            <v>4987176369345</v>
          </cell>
          <cell r="G119">
            <v>4987176369345</v>
          </cell>
          <cell r="H119">
            <v>80888287</v>
          </cell>
          <cell r="I119" t="str">
            <v>AirDry雲枕瞬吸日用普通(S1*9+Mini*3) WHP ArDy(S1 20SX9+Mini 12SX3)x1</v>
          </cell>
          <cell r="J119">
            <v>1</v>
          </cell>
          <cell r="K119">
            <v>883</v>
          </cell>
          <cell r="L119">
            <v>1015.44</v>
          </cell>
          <cell r="M119">
            <v>968.2</v>
          </cell>
          <cell r="N119">
            <v>0</v>
          </cell>
          <cell r="O119">
            <v>0</v>
          </cell>
          <cell r="P119">
            <v>22</v>
          </cell>
          <cell r="Q119">
            <v>0</v>
          </cell>
          <cell r="R119">
            <v>0</v>
          </cell>
          <cell r="S119">
            <v>0</v>
          </cell>
          <cell r="AA119">
            <v>5</v>
          </cell>
          <cell r="AB119">
            <v>9</v>
          </cell>
          <cell r="AF119">
            <v>22</v>
          </cell>
          <cell r="AG119">
            <v>14</v>
          </cell>
          <cell r="AH119">
            <v>0</v>
          </cell>
          <cell r="AJ119">
            <v>8</v>
          </cell>
          <cell r="AK119">
            <v>8123.52</v>
          </cell>
          <cell r="AL119">
            <v>4.4444444444444446</v>
          </cell>
          <cell r="AM119">
            <v>55.800000000000004</v>
          </cell>
          <cell r="AN119">
            <v>-20.86021505376344</v>
          </cell>
        </row>
        <row r="120">
          <cell r="F120">
            <v>4987176369352</v>
          </cell>
          <cell r="G120">
            <v>4987176369352</v>
          </cell>
          <cell r="H120">
            <v>80888288</v>
          </cell>
          <cell r="I120" t="str">
            <v>AirDry雲枕瞬吸日用量大(S3*9+Mini*3) WHP ArDy(S3 20SX9+Mini 12SX3)x1</v>
          </cell>
          <cell r="J120">
            <v>1</v>
          </cell>
          <cell r="K120">
            <v>883</v>
          </cell>
          <cell r="L120">
            <v>1015.44</v>
          </cell>
          <cell r="M120">
            <v>968.2</v>
          </cell>
          <cell r="N120">
            <v>0</v>
          </cell>
          <cell r="O120">
            <v>0</v>
          </cell>
          <cell r="P120">
            <v>22</v>
          </cell>
          <cell r="Q120">
            <v>0</v>
          </cell>
          <cell r="R120">
            <v>0</v>
          </cell>
          <cell r="S120">
            <v>0</v>
          </cell>
          <cell r="AA120">
            <v>22</v>
          </cell>
          <cell r="AF120">
            <v>22</v>
          </cell>
          <cell r="AG120">
            <v>22</v>
          </cell>
          <cell r="AH120">
            <v>0</v>
          </cell>
          <cell r="AJ120">
            <v>0</v>
          </cell>
          <cell r="AK120">
            <v>0</v>
          </cell>
          <cell r="AL120" t="e">
            <v>#DIV/0!</v>
          </cell>
          <cell r="AM120">
            <v>0</v>
          </cell>
          <cell r="AN120" t="e">
            <v>#DIV/0!</v>
          </cell>
        </row>
        <row r="121">
          <cell r="F121">
            <v>4987176369369</v>
          </cell>
          <cell r="G121">
            <v>4987176369369</v>
          </cell>
          <cell r="H121">
            <v>80888289</v>
          </cell>
          <cell r="I121" t="str">
            <v>AirDryFresh草本健康日用普通(S1*9+Mini*3) WHP ArDyPRO(S1 20SX9+Mini 12SX3)x1</v>
          </cell>
          <cell r="J121">
            <v>1</v>
          </cell>
          <cell r="K121">
            <v>883</v>
          </cell>
          <cell r="L121">
            <v>1015.44</v>
          </cell>
          <cell r="M121">
            <v>968.2</v>
          </cell>
          <cell r="N121">
            <v>0</v>
          </cell>
          <cell r="O121">
            <v>0</v>
          </cell>
          <cell r="P121">
            <v>12</v>
          </cell>
          <cell r="Q121">
            <v>0</v>
          </cell>
          <cell r="R121">
            <v>0</v>
          </cell>
          <cell r="S121">
            <v>0</v>
          </cell>
          <cell r="AA121">
            <v>1</v>
          </cell>
          <cell r="AF121">
            <v>12</v>
          </cell>
          <cell r="AG121">
            <v>1</v>
          </cell>
          <cell r="AH121">
            <v>0</v>
          </cell>
          <cell r="AJ121">
            <v>11</v>
          </cell>
          <cell r="AK121">
            <v>11169.84</v>
          </cell>
          <cell r="AL121" t="e">
            <v>#DIV/0!</v>
          </cell>
          <cell r="AM121">
            <v>0</v>
          </cell>
          <cell r="AN121" t="e">
            <v>#DIV/0!</v>
          </cell>
        </row>
        <row r="122">
          <cell r="F122">
            <v>4987176369376</v>
          </cell>
          <cell r="G122">
            <v>4987176369376</v>
          </cell>
          <cell r="H122">
            <v>80888290</v>
          </cell>
          <cell r="I122" t="str">
            <v>AirDryFresh草本健康日用量大(S3*9+Mini*3) WHP ArDyPRO(S3 20SX9+Mini 12SX3)x1</v>
          </cell>
          <cell r="J122">
            <v>1</v>
          </cell>
          <cell r="K122">
            <v>883</v>
          </cell>
          <cell r="L122">
            <v>1015.44</v>
          </cell>
          <cell r="M122">
            <v>968.2</v>
          </cell>
          <cell r="N122">
            <v>0</v>
          </cell>
          <cell r="O122">
            <v>0</v>
          </cell>
          <cell r="P122">
            <v>12</v>
          </cell>
          <cell r="Q122">
            <v>0</v>
          </cell>
          <cell r="R122">
            <v>0</v>
          </cell>
          <cell r="S122">
            <v>0</v>
          </cell>
          <cell r="AA122">
            <v>6</v>
          </cell>
          <cell r="AB122">
            <v>4</v>
          </cell>
          <cell r="AF122">
            <v>12</v>
          </cell>
          <cell r="AG122">
            <v>10</v>
          </cell>
          <cell r="AH122">
            <v>0</v>
          </cell>
          <cell r="AJ122">
            <v>2</v>
          </cell>
          <cell r="AK122">
            <v>2030.88</v>
          </cell>
          <cell r="AL122">
            <v>2.5</v>
          </cell>
          <cell r="AM122">
            <v>24.8</v>
          </cell>
          <cell r="AN122">
            <v>-22.741935483870968</v>
          </cell>
        </row>
        <row r="123">
          <cell r="F123">
            <v>4987176369383</v>
          </cell>
          <cell r="G123">
            <v>4987176369383</v>
          </cell>
          <cell r="H123">
            <v>80888291</v>
          </cell>
          <cell r="I123" t="str">
            <v>AirDryFresh草本健康日用輕量Mini*22 WHP ArDyPRO(Mini 12SX22)x1</v>
          </cell>
          <cell r="J123">
            <v>1</v>
          </cell>
          <cell r="K123">
            <v>883</v>
          </cell>
          <cell r="L123">
            <v>1015.44</v>
          </cell>
          <cell r="M123">
            <v>968.2</v>
          </cell>
          <cell r="N123">
            <v>0</v>
          </cell>
          <cell r="O123">
            <v>32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X123">
            <v>2</v>
          </cell>
          <cell r="Y123">
            <v>5</v>
          </cell>
          <cell r="Z123">
            <v>7</v>
          </cell>
          <cell r="AA123">
            <v>10</v>
          </cell>
          <cell r="AB123">
            <v>2</v>
          </cell>
          <cell r="AF123">
            <v>32</v>
          </cell>
          <cell r="AG123">
            <v>26</v>
          </cell>
          <cell r="AH123">
            <v>0</v>
          </cell>
          <cell r="AJ123">
            <v>6</v>
          </cell>
          <cell r="AK123">
            <v>6092.64</v>
          </cell>
          <cell r="AL123">
            <v>15</v>
          </cell>
          <cell r="AM123">
            <v>12.4</v>
          </cell>
          <cell r="AN123">
            <v>-10.645161290322577</v>
          </cell>
        </row>
        <row r="124">
          <cell r="F124">
            <v>4987176372048</v>
          </cell>
          <cell r="G124">
            <v>4987176372048</v>
          </cell>
          <cell r="H124">
            <v>80889745</v>
          </cell>
          <cell r="I124" t="str">
            <v>好自在INFINITY34cm120s+清新淨味31.7cm36s WHP (INF F9 10sx12+ RDNT F7 9sx4)x1 BAO</v>
          </cell>
          <cell r="J124">
            <v>1</v>
          </cell>
          <cell r="K124">
            <v>1330</v>
          </cell>
          <cell r="L124">
            <v>1508</v>
          </cell>
          <cell r="M124">
            <v>1449.71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AF124">
            <v>0</v>
          </cell>
          <cell r="AG124">
            <v>0</v>
          </cell>
          <cell r="AH124">
            <v>0</v>
          </cell>
          <cell r="AJ124">
            <v>0</v>
          </cell>
          <cell r="AK124">
            <v>0</v>
          </cell>
          <cell r="AL124" t="e">
            <v>#DIV/0!</v>
          </cell>
          <cell r="AM124">
            <v>0</v>
          </cell>
          <cell r="AN124" t="e">
            <v>#DIV/0!</v>
          </cell>
        </row>
        <row r="125">
          <cell r="F125">
            <v>4987176372055</v>
          </cell>
          <cell r="G125">
            <v>4987176372055</v>
          </cell>
          <cell r="H125">
            <v>80889746</v>
          </cell>
          <cell r="I125" t="str">
            <v>好自在INFINITY29.5cm126s+清新淨味31.7cm36s WHP (INF F5 9sx14+ RDNT F7 9sx4)x1 BAO</v>
          </cell>
          <cell r="J125">
            <v>1</v>
          </cell>
          <cell r="K125">
            <v>1330</v>
          </cell>
          <cell r="L125">
            <v>1508</v>
          </cell>
          <cell r="M125">
            <v>1449.71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AF125">
            <v>0</v>
          </cell>
          <cell r="AG125">
            <v>0</v>
          </cell>
          <cell r="AH125">
            <v>0</v>
          </cell>
          <cell r="AJ125">
            <v>0</v>
          </cell>
          <cell r="AK125">
            <v>0</v>
          </cell>
          <cell r="AL125" t="e">
            <v>#DIV/0!</v>
          </cell>
          <cell r="AM125">
            <v>0</v>
          </cell>
          <cell r="AN125" t="e">
            <v>#DIV/0!</v>
          </cell>
        </row>
        <row r="126">
          <cell r="F126">
            <v>4987176372079</v>
          </cell>
          <cell r="G126">
            <v>4987176372079</v>
          </cell>
          <cell r="H126">
            <v>80889748</v>
          </cell>
          <cell r="I126" t="str">
            <v>好自在INFINITY29.5cm81s+清新淨味31.7cm27s WHP (INF F5 9sx9+ RDNT F7 9sx3)x1 BAO</v>
          </cell>
          <cell r="J126">
            <v>1</v>
          </cell>
          <cell r="K126">
            <v>883</v>
          </cell>
          <cell r="L126">
            <v>1107</v>
          </cell>
          <cell r="M126">
            <v>1057.71</v>
          </cell>
          <cell r="N126">
            <v>0</v>
          </cell>
          <cell r="O126">
            <v>0</v>
          </cell>
          <cell r="P126">
            <v>10</v>
          </cell>
          <cell r="Q126">
            <v>120</v>
          </cell>
          <cell r="R126">
            <v>0</v>
          </cell>
          <cell r="S126">
            <v>0</v>
          </cell>
          <cell r="Y126">
            <v>10</v>
          </cell>
          <cell r="Z126">
            <v>22</v>
          </cell>
          <cell r="AA126">
            <v>90</v>
          </cell>
          <cell r="AF126">
            <v>130</v>
          </cell>
          <cell r="AG126">
            <v>122</v>
          </cell>
          <cell r="AH126">
            <v>0</v>
          </cell>
          <cell r="AJ126">
            <v>8</v>
          </cell>
          <cell r="AK126">
            <v>8856</v>
          </cell>
          <cell r="AL126" t="e">
            <v>#DIV/0!</v>
          </cell>
          <cell r="AM126">
            <v>0</v>
          </cell>
          <cell r="AN126" t="e">
            <v>#DIV/0!</v>
          </cell>
        </row>
        <row r="127">
          <cell r="F127">
            <v>4987176372086</v>
          </cell>
          <cell r="G127">
            <v>4987176372086</v>
          </cell>
          <cell r="H127">
            <v>80889749</v>
          </cell>
          <cell r="I127" t="str">
            <v>好自在INFINITY34cm90s+清新淨味31.7cm18s WHP (INF F9 10sx9+ RDNT F7 9sx2)x1 BAO</v>
          </cell>
          <cell r="J127">
            <v>1</v>
          </cell>
          <cell r="K127">
            <v>883</v>
          </cell>
          <cell r="L127">
            <v>1107</v>
          </cell>
          <cell r="M127">
            <v>1057.71</v>
          </cell>
          <cell r="N127">
            <v>0</v>
          </cell>
          <cell r="O127">
            <v>0</v>
          </cell>
          <cell r="P127">
            <v>22</v>
          </cell>
          <cell r="Q127">
            <v>100</v>
          </cell>
          <cell r="R127">
            <v>108</v>
          </cell>
          <cell r="S127">
            <v>0</v>
          </cell>
          <cell r="Y127">
            <v>22</v>
          </cell>
          <cell r="Z127">
            <v>81</v>
          </cell>
          <cell r="AA127">
            <v>112</v>
          </cell>
          <cell r="AF127">
            <v>230</v>
          </cell>
          <cell r="AG127">
            <v>215</v>
          </cell>
          <cell r="AH127">
            <v>0</v>
          </cell>
          <cell r="AJ127">
            <v>15</v>
          </cell>
          <cell r="AK127">
            <v>16605</v>
          </cell>
          <cell r="AL127" t="e">
            <v>#DIV/0!</v>
          </cell>
          <cell r="AM127">
            <v>0</v>
          </cell>
          <cell r="AN127" t="e">
            <v>#DIV/0!</v>
          </cell>
        </row>
        <row r="128">
          <cell r="F128">
            <v>4987176372093</v>
          </cell>
          <cell r="G128">
            <v>4987176372093</v>
          </cell>
          <cell r="H128">
            <v>80889750</v>
          </cell>
          <cell r="I128" t="str">
            <v>AirDryFresh草本健康日用量大(S3*5+Mini*2) WHP ArDyPRO(S3 20SX5+Mini 12SX2)x1</v>
          </cell>
          <cell r="J128">
            <v>1</v>
          </cell>
          <cell r="K128">
            <v>495</v>
          </cell>
          <cell r="L128">
            <v>507.72</v>
          </cell>
          <cell r="M128">
            <v>471.88</v>
          </cell>
          <cell r="N128">
            <v>0</v>
          </cell>
          <cell r="O128">
            <v>12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Z128">
            <v>0</v>
          </cell>
          <cell r="AF128">
            <v>12</v>
          </cell>
          <cell r="AG128">
            <v>0</v>
          </cell>
          <cell r="AH128">
            <v>0</v>
          </cell>
          <cell r="AJ128">
            <v>12</v>
          </cell>
          <cell r="AK128">
            <v>6092.64</v>
          </cell>
          <cell r="AL128" t="e">
            <v>#DIV/0!</v>
          </cell>
          <cell r="AM128">
            <v>0</v>
          </cell>
          <cell r="AN128" t="e">
            <v>#DIV/0!</v>
          </cell>
        </row>
        <row r="129">
          <cell r="F129">
            <v>4987176372116</v>
          </cell>
          <cell r="G129">
            <v>4987176372116</v>
          </cell>
          <cell r="H129">
            <v>80889752</v>
          </cell>
          <cell r="I129" t="str">
            <v>AirDry雲枕瞬吸日用量大(S3*5+Mini*2) WHP ArDy(S3 20SX5+Mini 12SX2)x1</v>
          </cell>
          <cell r="J129">
            <v>1</v>
          </cell>
          <cell r="K129">
            <v>495</v>
          </cell>
          <cell r="L129">
            <v>507.72</v>
          </cell>
          <cell r="M129">
            <v>471.88</v>
          </cell>
          <cell r="N129">
            <v>0</v>
          </cell>
          <cell r="O129">
            <v>10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X129">
            <v>4</v>
          </cell>
          <cell r="Y129">
            <v>4</v>
          </cell>
          <cell r="Z129">
            <v>1</v>
          </cell>
          <cell r="AF129">
            <v>10</v>
          </cell>
          <cell r="AG129">
            <v>9</v>
          </cell>
          <cell r="AH129">
            <v>0</v>
          </cell>
          <cell r="AJ129">
            <v>1</v>
          </cell>
          <cell r="AK129">
            <v>507.72</v>
          </cell>
          <cell r="AL129" t="e">
            <v>#DIV/0!</v>
          </cell>
          <cell r="AM129">
            <v>0</v>
          </cell>
          <cell r="AN129" t="e">
            <v>#DIV/0!</v>
          </cell>
        </row>
        <row r="130">
          <cell r="F130">
            <v>4987176372123</v>
          </cell>
          <cell r="G130">
            <v>4987176372123</v>
          </cell>
          <cell r="H130">
            <v>80889753</v>
          </cell>
          <cell r="I130" t="str">
            <v>好自在INFINITY24cm126s+清新淨味24cm36s WHP F1 (INF 18sx7+ RDNT 9sx4)x1 BAO</v>
          </cell>
          <cell r="J130">
            <v>1</v>
          </cell>
          <cell r="K130">
            <v>1330</v>
          </cell>
          <cell r="L130">
            <v>1508</v>
          </cell>
          <cell r="M130">
            <v>1449.71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AF130">
            <v>0</v>
          </cell>
          <cell r="AG130">
            <v>0</v>
          </cell>
          <cell r="AH130">
            <v>0</v>
          </cell>
          <cell r="AJ130">
            <v>0</v>
          </cell>
          <cell r="AK130">
            <v>0</v>
          </cell>
          <cell r="AL130" t="e">
            <v>#DIV/0!</v>
          </cell>
          <cell r="AM130">
            <v>0</v>
          </cell>
          <cell r="AN130" t="e">
            <v>#DIV/0!</v>
          </cell>
        </row>
        <row r="131">
          <cell r="F131">
            <v>4987176372147</v>
          </cell>
          <cell r="G131">
            <v>4987176372147</v>
          </cell>
          <cell r="H131">
            <v>80889755</v>
          </cell>
          <cell r="I131" t="str">
            <v>好自在INFINITY27cm128s+清新淨味27cm36s WHP F3 (INF 16sx8+ RDNT 9sx4)x1 BAO</v>
          </cell>
          <cell r="J131">
            <v>1</v>
          </cell>
          <cell r="K131">
            <v>1330</v>
          </cell>
          <cell r="L131">
            <v>1508</v>
          </cell>
          <cell r="M131">
            <v>1449.71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AF131">
            <v>0</v>
          </cell>
          <cell r="AG131">
            <v>0</v>
          </cell>
          <cell r="AH131">
            <v>0</v>
          </cell>
          <cell r="AJ131">
            <v>0</v>
          </cell>
          <cell r="AK131">
            <v>0</v>
          </cell>
          <cell r="AL131" t="e">
            <v>#DIV/0!</v>
          </cell>
          <cell r="AM131">
            <v>0</v>
          </cell>
          <cell r="AN131" t="e">
            <v>#DIV/0!</v>
          </cell>
        </row>
        <row r="132">
          <cell r="F132">
            <v>4987176372154</v>
          </cell>
          <cell r="G132">
            <v>4987176372154</v>
          </cell>
          <cell r="H132">
            <v>80889756</v>
          </cell>
          <cell r="I132" t="str">
            <v>好自在INFINITY27cm80s+清新淨味27cm27s WHP F3 (INF 16sx5+ RDNT 9sx3)x1 BAO</v>
          </cell>
          <cell r="J132">
            <v>1</v>
          </cell>
          <cell r="K132">
            <v>883</v>
          </cell>
          <cell r="L132">
            <v>1107</v>
          </cell>
          <cell r="M132">
            <v>1057.71</v>
          </cell>
          <cell r="N132">
            <v>0</v>
          </cell>
          <cell r="O132">
            <v>0</v>
          </cell>
          <cell r="P132">
            <v>22</v>
          </cell>
          <cell r="Q132">
            <v>36</v>
          </cell>
          <cell r="R132">
            <v>0</v>
          </cell>
          <cell r="S132">
            <v>48</v>
          </cell>
          <cell r="Y132">
            <v>8</v>
          </cell>
          <cell r="Z132">
            <v>16</v>
          </cell>
          <cell r="AA132">
            <v>2</v>
          </cell>
          <cell r="AF132">
            <v>106</v>
          </cell>
          <cell r="AG132">
            <v>26</v>
          </cell>
          <cell r="AH132">
            <v>48</v>
          </cell>
          <cell r="AJ132">
            <v>80</v>
          </cell>
          <cell r="AK132">
            <v>88560</v>
          </cell>
          <cell r="AL132" t="e">
            <v>#DIV/0!</v>
          </cell>
          <cell r="AM132">
            <v>0</v>
          </cell>
          <cell r="AN132" t="e">
            <v>#DIV/0!</v>
          </cell>
        </row>
        <row r="133">
          <cell r="F133">
            <v>4987176372161</v>
          </cell>
          <cell r="G133">
            <v>4987176372161</v>
          </cell>
          <cell r="H133">
            <v>80889757</v>
          </cell>
          <cell r="I133" t="str">
            <v>好自在無痕奢柔褲 M-L 3片X11 WHP KOALA8 SP PANTS M-L (3Sx11)x1 BAO</v>
          </cell>
          <cell r="J133">
            <v>1</v>
          </cell>
          <cell r="K133">
            <v>853</v>
          </cell>
          <cell r="L133">
            <v>1015.44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AF133">
            <v>0</v>
          </cell>
          <cell r="AG133">
            <v>0</v>
          </cell>
          <cell r="AH133">
            <v>0</v>
          </cell>
          <cell r="AJ133">
            <v>0</v>
          </cell>
          <cell r="AK133">
            <v>0</v>
          </cell>
          <cell r="AL133" t="e">
            <v>#DIV/0!</v>
          </cell>
          <cell r="AM133">
            <v>0</v>
          </cell>
          <cell r="AN133" t="e">
            <v>#DIV/0!</v>
          </cell>
        </row>
        <row r="134">
          <cell r="F134">
            <v>4987176372185</v>
          </cell>
          <cell r="G134">
            <v>4987176372185</v>
          </cell>
          <cell r="H134">
            <v>80889759</v>
          </cell>
          <cell r="I134" t="str">
            <v>AirDryFresh草本健康日用普通(S1*5+Mini*2) WHP ArDyPRO(S1 20SX5+Mini 12SX2)x1</v>
          </cell>
          <cell r="J134">
            <v>1</v>
          </cell>
          <cell r="K134">
            <v>495</v>
          </cell>
          <cell r="L134">
            <v>507.72</v>
          </cell>
          <cell r="M134">
            <v>471.88</v>
          </cell>
          <cell r="N134">
            <v>0</v>
          </cell>
          <cell r="O134">
            <v>12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Z134">
            <v>3</v>
          </cell>
          <cell r="AA134">
            <v>8</v>
          </cell>
          <cell r="AF134">
            <v>12</v>
          </cell>
          <cell r="AG134">
            <v>11</v>
          </cell>
          <cell r="AH134">
            <v>0</v>
          </cell>
          <cell r="AJ134">
            <v>1</v>
          </cell>
          <cell r="AK134">
            <v>507.72</v>
          </cell>
          <cell r="AL134" t="e">
            <v>#DIV/0!</v>
          </cell>
          <cell r="AM134">
            <v>0</v>
          </cell>
          <cell r="AN134" t="e">
            <v>#DIV/0!</v>
          </cell>
        </row>
        <row r="135">
          <cell r="F135">
            <v>4987176372208</v>
          </cell>
          <cell r="G135">
            <v>4987176372208</v>
          </cell>
          <cell r="H135">
            <v>80889761</v>
          </cell>
          <cell r="I135" t="str">
            <v>AirDry雲枕瞬吸日用普通(S1*5+Mini*2) WHP ArDy(S1 20SX5+Mini 12SX2)x1</v>
          </cell>
          <cell r="J135">
            <v>1</v>
          </cell>
          <cell r="K135">
            <v>495</v>
          </cell>
          <cell r="L135">
            <v>507.72</v>
          </cell>
          <cell r="M135">
            <v>471.88</v>
          </cell>
          <cell r="N135">
            <v>0</v>
          </cell>
          <cell r="O135">
            <v>22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Y135">
            <v>4</v>
          </cell>
          <cell r="Z135">
            <v>2</v>
          </cell>
          <cell r="AA135">
            <v>11</v>
          </cell>
          <cell r="AF135">
            <v>22</v>
          </cell>
          <cell r="AG135">
            <v>17</v>
          </cell>
          <cell r="AH135">
            <v>0</v>
          </cell>
          <cell r="AJ135">
            <v>5</v>
          </cell>
          <cell r="AK135">
            <v>2538.6000000000004</v>
          </cell>
          <cell r="AL135" t="e">
            <v>#DIV/0!</v>
          </cell>
          <cell r="AM135">
            <v>0</v>
          </cell>
          <cell r="AN135" t="e">
            <v>#DIV/0!</v>
          </cell>
        </row>
        <row r="136">
          <cell r="F136">
            <v>4987176372239</v>
          </cell>
          <cell r="G136">
            <v>4987176372239</v>
          </cell>
          <cell r="H136">
            <v>80889764</v>
          </cell>
          <cell r="I136" t="str">
            <v>AirDryFresh草本健康日用輕量Mini*12 WHP ArDyPRO(Mini 12SX12)x1</v>
          </cell>
          <cell r="J136">
            <v>1</v>
          </cell>
          <cell r="K136">
            <v>495</v>
          </cell>
          <cell r="L136">
            <v>507.72</v>
          </cell>
          <cell r="M136">
            <v>471.88</v>
          </cell>
          <cell r="N136">
            <v>0</v>
          </cell>
          <cell r="O136">
            <v>30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X136">
            <v>6</v>
          </cell>
          <cell r="Y136">
            <v>11</v>
          </cell>
          <cell r="Z136">
            <v>12</v>
          </cell>
          <cell r="AF136">
            <v>30</v>
          </cell>
          <cell r="AG136">
            <v>29</v>
          </cell>
          <cell r="AH136">
            <v>0</v>
          </cell>
          <cell r="AJ136">
            <v>1</v>
          </cell>
          <cell r="AK136">
            <v>507.72</v>
          </cell>
          <cell r="AL136" t="e">
            <v>#DIV/0!</v>
          </cell>
          <cell r="AM136">
            <v>0</v>
          </cell>
          <cell r="AN136" t="e">
            <v>#DIV/0!</v>
          </cell>
        </row>
        <row r="137">
          <cell r="F137">
            <v>4987176372284</v>
          </cell>
          <cell r="G137">
            <v>4987176372284</v>
          </cell>
          <cell r="H137">
            <v>80889769</v>
          </cell>
          <cell r="I137" t="str">
            <v>好自在INFINITY24cm90s+清新淨味24cm18s WHP F1 (INF 18sx5+ RDNT 9sx2)x1 BAO</v>
          </cell>
          <cell r="J137">
            <v>1</v>
          </cell>
          <cell r="K137">
            <v>883</v>
          </cell>
          <cell r="L137">
            <v>1107</v>
          </cell>
          <cell r="M137">
            <v>1057.71</v>
          </cell>
          <cell r="N137">
            <v>0</v>
          </cell>
          <cell r="O137">
            <v>0</v>
          </cell>
          <cell r="P137">
            <v>22</v>
          </cell>
          <cell r="Q137">
            <v>250</v>
          </cell>
          <cell r="R137">
            <v>0</v>
          </cell>
          <cell r="S137">
            <v>0</v>
          </cell>
          <cell r="Y137">
            <v>22</v>
          </cell>
          <cell r="Z137">
            <v>94</v>
          </cell>
          <cell r="AA137">
            <v>143</v>
          </cell>
          <cell r="AF137">
            <v>272</v>
          </cell>
          <cell r="AG137">
            <v>259</v>
          </cell>
          <cell r="AH137">
            <v>0</v>
          </cell>
          <cell r="AJ137">
            <v>13</v>
          </cell>
          <cell r="AK137">
            <v>14391</v>
          </cell>
          <cell r="AL137" t="e">
            <v>#DIV/0!</v>
          </cell>
          <cell r="AM137">
            <v>0</v>
          </cell>
          <cell r="AN137" t="e">
            <v>#DIV/0!</v>
          </cell>
        </row>
        <row r="138">
          <cell r="F138">
            <v>4987176372291</v>
          </cell>
          <cell r="G138">
            <v>4987176372291</v>
          </cell>
          <cell r="H138">
            <v>80889770</v>
          </cell>
          <cell r="I138" t="str">
            <v>好自在無痕奢柔褲 XL 3片X11 WHP KOALA8 SP PANTS XL (3Sx11)x1 BAO</v>
          </cell>
          <cell r="J138">
            <v>1</v>
          </cell>
          <cell r="K138">
            <v>853</v>
          </cell>
          <cell r="L138">
            <v>1015.44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AF138">
            <v>0</v>
          </cell>
          <cell r="AG138">
            <v>0</v>
          </cell>
          <cell r="AH138">
            <v>0</v>
          </cell>
          <cell r="AJ138">
            <v>0</v>
          </cell>
          <cell r="AK138">
            <v>0</v>
          </cell>
          <cell r="AL138" t="e">
            <v>#DIV/0!</v>
          </cell>
          <cell r="AM138">
            <v>0</v>
          </cell>
          <cell r="AN138" t="e">
            <v>#DIV/0!</v>
          </cell>
        </row>
        <row r="139">
          <cell r="F139">
            <v>6903148138182</v>
          </cell>
          <cell r="G139">
            <v>6903148138182</v>
          </cell>
          <cell r="H139">
            <v>80817375</v>
          </cell>
          <cell r="I139" t="str">
            <v>[DS]whisper 好自在 台灣公司貨 Air Dry 雲枕瞬吸衛生棉 日用, 24cm, 10片, 1包</v>
          </cell>
          <cell r="J139">
            <v>24</v>
          </cell>
          <cell r="K139">
            <v>54</v>
          </cell>
          <cell r="L139">
            <v>1366.48</v>
          </cell>
          <cell r="M139">
            <v>1311.36</v>
          </cell>
          <cell r="N139">
            <v>24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W139">
            <v>6.3333333333333339</v>
          </cell>
          <cell r="X139">
            <v>17.375</v>
          </cell>
          <cell r="AF139">
            <v>24</v>
          </cell>
          <cell r="AG139">
            <v>23.708333333333336</v>
          </cell>
          <cell r="AH139">
            <v>0</v>
          </cell>
          <cell r="AJ139">
            <v>0.2916666666666643</v>
          </cell>
          <cell r="AK139">
            <v>398.55666666666343</v>
          </cell>
          <cell r="AL139" t="e">
            <v>#DIV/0!</v>
          </cell>
          <cell r="AM139">
            <v>0</v>
          </cell>
          <cell r="AN139" t="e">
            <v>#DIV/0!</v>
          </cell>
        </row>
        <row r="140">
          <cell r="F140">
            <v>6903148182383</v>
          </cell>
          <cell r="G140">
            <v>6903148182383</v>
          </cell>
          <cell r="H140">
            <v>82294318</v>
          </cell>
          <cell r="I140" t="str">
            <v>[DS]whisper 好自在 台灣公司貨 隱型透氣護墊, 自然無香, 40片, 1包</v>
          </cell>
          <cell r="J140">
            <v>24</v>
          </cell>
          <cell r="K140">
            <v>40</v>
          </cell>
          <cell r="L140">
            <v>1194</v>
          </cell>
          <cell r="M140">
            <v>1142.75595</v>
          </cell>
          <cell r="N140">
            <v>15</v>
          </cell>
          <cell r="O140">
            <v>15</v>
          </cell>
          <cell r="P140">
            <v>5</v>
          </cell>
          <cell r="Q140">
            <v>12</v>
          </cell>
          <cell r="R140">
            <v>20</v>
          </cell>
          <cell r="S140">
            <v>16</v>
          </cell>
          <cell r="W140">
            <v>1.125</v>
          </cell>
          <cell r="X140">
            <v>13.458333333333336</v>
          </cell>
          <cell r="Y140">
            <v>10.583333333333334</v>
          </cell>
          <cell r="Z140">
            <v>8.375</v>
          </cell>
          <cell r="AA140">
            <v>12.916666666666666</v>
          </cell>
          <cell r="AB140">
            <v>1.5</v>
          </cell>
          <cell r="AF140">
            <v>83</v>
          </cell>
          <cell r="AG140">
            <v>47.958333333333336</v>
          </cell>
          <cell r="AH140">
            <v>16</v>
          </cell>
          <cell r="AJ140">
            <v>35.041666666666664</v>
          </cell>
          <cell r="AK140">
            <v>41839.75</v>
          </cell>
          <cell r="AL140">
            <v>116.80555555555554</v>
          </cell>
          <cell r="AM140">
            <v>9.2999999999999989</v>
          </cell>
          <cell r="AN140">
            <v>87.876344086021518</v>
          </cell>
        </row>
        <row r="141">
          <cell r="F141">
            <v>6903148182406</v>
          </cell>
          <cell r="G141">
            <v>6903148182406</v>
          </cell>
          <cell r="H141">
            <v>82294323</v>
          </cell>
          <cell r="I141" t="str">
            <v>[DS]好自在隱型清新護墊 淡香 40片,1包</v>
          </cell>
          <cell r="J141">
            <v>24</v>
          </cell>
          <cell r="K141">
            <v>40</v>
          </cell>
          <cell r="L141">
            <v>1194</v>
          </cell>
          <cell r="M141">
            <v>1142.75595</v>
          </cell>
          <cell r="N141">
            <v>13</v>
          </cell>
          <cell r="O141">
            <v>13</v>
          </cell>
          <cell r="P141">
            <v>0</v>
          </cell>
          <cell r="Q141">
            <v>8</v>
          </cell>
          <cell r="R141">
            <v>20</v>
          </cell>
          <cell r="S141">
            <v>8</v>
          </cell>
          <cell r="W141">
            <v>1.5833333333333333</v>
          </cell>
          <cell r="X141">
            <v>9.2083333333333339</v>
          </cell>
          <cell r="Y141">
            <v>5.666666666666667</v>
          </cell>
          <cell r="Z141">
            <v>8.125</v>
          </cell>
          <cell r="AA141">
            <v>7.7916666666666661</v>
          </cell>
          <cell r="AB141">
            <v>1.5</v>
          </cell>
          <cell r="AF141">
            <v>62</v>
          </cell>
          <cell r="AG141">
            <v>33.875</v>
          </cell>
          <cell r="AH141">
            <v>8</v>
          </cell>
          <cell r="AJ141">
            <v>28.125</v>
          </cell>
          <cell r="AK141">
            <v>33581.25</v>
          </cell>
          <cell r="AL141">
            <v>93.75</v>
          </cell>
          <cell r="AM141">
            <v>9.2999999999999989</v>
          </cell>
          <cell r="AN141">
            <v>65.56451612903227</v>
          </cell>
        </row>
        <row r="142">
          <cell r="F142">
            <v>6903148182680</v>
          </cell>
          <cell r="G142">
            <v>6903148182680</v>
          </cell>
          <cell r="H142">
            <v>82294320</v>
          </cell>
          <cell r="I142" t="str">
            <v>[DS]whisper 好自在 台灣公司貨 隱型乾爽護墊, 自然無香, 40片, 1包</v>
          </cell>
          <cell r="J142">
            <v>24</v>
          </cell>
          <cell r="K142">
            <v>40</v>
          </cell>
          <cell r="L142">
            <v>1194</v>
          </cell>
          <cell r="M142">
            <v>1142.75595</v>
          </cell>
          <cell r="N142">
            <v>11</v>
          </cell>
          <cell r="O142">
            <v>11</v>
          </cell>
          <cell r="P142">
            <v>5</v>
          </cell>
          <cell r="Q142">
            <v>0</v>
          </cell>
          <cell r="R142">
            <v>9</v>
          </cell>
          <cell r="S142">
            <v>7</v>
          </cell>
          <cell r="W142">
            <v>1.6666666666666667</v>
          </cell>
          <cell r="X142">
            <v>7.4166666666666661</v>
          </cell>
          <cell r="Y142">
            <v>4.458333333333333</v>
          </cell>
          <cell r="Z142">
            <v>4.5833333333333339</v>
          </cell>
          <cell r="AA142">
            <v>7.7916666666666679</v>
          </cell>
          <cell r="AB142">
            <v>1.2916666666666667</v>
          </cell>
          <cell r="AF142">
            <v>43</v>
          </cell>
          <cell r="AG142">
            <v>27.208333333333336</v>
          </cell>
          <cell r="AH142">
            <v>7</v>
          </cell>
          <cell r="AJ142">
            <v>15.791666666666664</v>
          </cell>
          <cell r="AK142">
            <v>18855.249999999996</v>
          </cell>
          <cell r="AL142">
            <v>61.129032258064498</v>
          </cell>
          <cell r="AM142">
            <v>8.0083333333333346</v>
          </cell>
          <cell r="AN142">
            <v>33.995837669094669</v>
          </cell>
        </row>
        <row r="143">
          <cell r="F143">
            <v>6903148224090</v>
          </cell>
          <cell r="G143">
            <v>6903148224090</v>
          </cell>
          <cell r="H143">
            <v>80852635</v>
          </cell>
          <cell r="I143" t="str">
            <v>好自在經典款液體衛生棉27cm16片X12 WHP INF F3 16CTX12-HP-HKTW-Fiona 2</v>
          </cell>
          <cell r="J143">
            <v>12</v>
          </cell>
          <cell r="K143">
            <v>131</v>
          </cell>
          <cell r="L143">
            <v>1853.54</v>
          </cell>
          <cell r="M143">
            <v>1787.49</v>
          </cell>
          <cell r="N143">
            <v>0</v>
          </cell>
          <cell r="O143">
            <v>0</v>
          </cell>
          <cell r="P143">
            <v>125</v>
          </cell>
          <cell r="Q143">
            <v>0</v>
          </cell>
          <cell r="R143">
            <v>250</v>
          </cell>
          <cell r="S143">
            <v>277</v>
          </cell>
          <cell r="Y143">
            <v>17</v>
          </cell>
          <cell r="Z143">
            <v>103.83333333333334</v>
          </cell>
          <cell r="AA143">
            <v>247.08333333333334</v>
          </cell>
          <cell r="AB143">
            <v>28.666666666666664</v>
          </cell>
          <cell r="AF143">
            <v>652</v>
          </cell>
          <cell r="AG143">
            <v>396.58333333333337</v>
          </cell>
          <cell r="AH143">
            <v>277</v>
          </cell>
          <cell r="AJ143">
            <v>255.41666666666663</v>
          </cell>
          <cell r="AK143">
            <v>473425.00833333324</v>
          </cell>
          <cell r="AL143">
            <v>44.549418604651166</v>
          </cell>
          <cell r="AM143">
            <v>177.73333333333332</v>
          </cell>
          <cell r="AN143">
            <v>17.951050262565648</v>
          </cell>
        </row>
        <row r="144">
          <cell r="F144">
            <v>6903148224106</v>
          </cell>
          <cell r="G144">
            <v>6903148224106</v>
          </cell>
          <cell r="H144">
            <v>80852632</v>
          </cell>
          <cell r="I144" t="str">
            <v>好自在經典款液體衛生棉24cm18片X12 WHP INF F1 18CTX12-BUD-HKTW-Fiona 2</v>
          </cell>
          <cell r="J144">
            <v>12</v>
          </cell>
          <cell r="K144">
            <v>147</v>
          </cell>
          <cell r="L144">
            <v>2039.83</v>
          </cell>
          <cell r="M144">
            <v>1969.6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AF144">
            <v>0</v>
          </cell>
          <cell r="AG144">
            <v>0</v>
          </cell>
          <cell r="AH144">
            <v>0</v>
          </cell>
          <cell r="AJ144">
            <v>0</v>
          </cell>
          <cell r="AK144">
            <v>0</v>
          </cell>
          <cell r="AL144" t="e">
            <v>#DIV/0!</v>
          </cell>
          <cell r="AM144">
            <v>0</v>
          </cell>
          <cell r="AN144" t="e">
            <v>#DIV/0!</v>
          </cell>
        </row>
        <row r="145">
          <cell r="F145">
            <v>6903148300770</v>
          </cell>
          <cell r="G145">
            <v>6903148300770</v>
          </cell>
          <cell r="H145">
            <v>80817372</v>
          </cell>
          <cell r="I145" t="str">
            <v>[DS]whisper 好自在 台灣公司貨 Air Dry Fresh 純棉衛生棉 日用輕量型, 18cm, 12片, 1包</v>
          </cell>
          <cell r="J145">
            <v>24</v>
          </cell>
          <cell r="K145">
            <v>47</v>
          </cell>
          <cell r="L145">
            <v>1156.25</v>
          </cell>
          <cell r="M145">
            <v>1105.8499999999999</v>
          </cell>
          <cell r="N145">
            <v>9</v>
          </cell>
          <cell r="O145">
            <v>1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W145">
            <v>0.33333333333333331</v>
          </cell>
          <cell r="X145">
            <v>7.5</v>
          </cell>
          <cell r="Z145">
            <v>0.5</v>
          </cell>
          <cell r="AA145">
            <v>0.16666666666666666</v>
          </cell>
          <cell r="AF145">
            <v>10</v>
          </cell>
          <cell r="AG145">
            <v>8.4999999999999982</v>
          </cell>
          <cell r="AH145">
            <v>0</v>
          </cell>
          <cell r="AJ145">
            <v>1.5000000000000018</v>
          </cell>
          <cell r="AK145">
            <v>1734.375000000002</v>
          </cell>
          <cell r="AL145" t="e">
            <v>#DIV/0!</v>
          </cell>
          <cell r="AM145">
            <v>0</v>
          </cell>
          <cell r="AN145" t="e">
            <v>#DIV/0!</v>
          </cell>
        </row>
        <row r="146">
          <cell r="F146">
            <v>6903148304761</v>
          </cell>
          <cell r="G146">
            <v>6903148304761</v>
          </cell>
          <cell r="H146">
            <v>80817373</v>
          </cell>
          <cell r="I146" t="str">
            <v>[DS]whisper 好自在 台灣公司貨 Air Dry 雲枕瞬吸衛生棉 日用, 24cm, 20片, 1袋</v>
          </cell>
          <cell r="J146">
            <v>12</v>
          </cell>
          <cell r="K146">
            <v>95.000000000000014</v>
          </cell>
          <cell r="L146">
            <v>1208.81</v>
          </cell>
          <cell r="M146">
            <v>1157.23</v>
          </cell>
          <cell r="N146">
            <v>63</v>
          </cell>
          <cell r="O146">
            <v>22</v>
          </cell>
          <cell r="P146">
            <v>118</v>
          </cell>
          <cell r="Q146">
            <v>0</v>
          </cell>
          <cell r="R146">
            <v>0</v>
          </cell>
          <cell r="S146">
            <v>101</v>
          </cell>
          <cell r="W146">
            <v>7.5833333333333339</v>
          </cell>
          <cell r="X146">
            <v>51.583333333333343</v>
          </cell>
          <cell r="Y146">
            <v>36</v>
          </cell>
          <cell r="Z146">
            <v>49</v>
          </cell>
          <cell r="AA146">
            <v>56.833333333333329</v>
          </cell>
          <cell r="AB146">
            <v>3.25</v>
          </cell>
          <cell r="AF146">
            <v>304</v>
          </cell>
          <cell r="AG146">
            <v>204.25</v>
          </cell>
          <cell r="AH146">
            <v>101</v>
          </cell>
          <cell r="AJ146">
            <v>99.75</v>
          </cell>
          <cell r="AK146">
            <v>120578.7975</v>
          </cell>
          <cell r="AL146">
            <v>153.46153846153845</v>
          </cell>
          <cell r="AM146">
            <v>20.150000000000002</v>
          </cell>
          <cell r="AN146">
            <v>123.34987593052107</v>
          </cell>
        </row>
        <row r="147">
          <cell r="F147">
            <v>6903148308752</v>
          </cell>
          <cell r="G147">
            <v>6903148308752</v>
          </cell>
          <cell r="H147">
            <v>80817377</v>
          </cell>
          <cell r="I147" t="str">
            <v>[DS]whisper 好自在 台灣公司貨 Air Dry 雲枕瞬吸衛生棉 日用輕量型, 18cm , 12片, 1包</v>
          </cell>
          <cell r="J147">
            <v>24</v>
          </cell>
          <cell r="K147">
            <v>47</v>
          </cell>
          <cell r="L147">
            <v>1156.25</v>
          </cell>
          <cell r="M147">
            <v>1105.8499999999999</v>
          </cell>
          <cell r="N147">
            <v>30</v>
          </cell>
          <cell r="O147">
            <v>30</v>
          </cell>
          <cell r="P147">
            <v>32</v>
          </cell>
          <cell r="Q147">
            <v>0</v>
          </cell>
          <cell r="R147">
            <v>0</v>
          </cell>
          <cell r="S147">
            <v>76</v>
          </cell>
          <cell r="W147">
            <v>6.458333333333333</v>
          </cell>
          <cell r="X147">
            <v>38</v>
          </cell>
          <cell r="Y147">
            <v>24.875</v>
          </cell>
          <cell r="Z147">
            <v>20.625</v>
          </cell>
          <cell r="AB147">
            <v>0.91666666666666674</v>
          </cell>
          <cell r="AF147">
            <v>168</v>
          </cell>
          <cell r="AG147">
            <v>90.875000000000014</v>
          </cell>
          <cell r="AH147">
            <v>76</v>
          </cell>
          <cell r="AJ147">
            <v>77.124999999999986</v>
          </cell>
          <cell r="AK147">
            <v>89175.781249999985</v>
          </cell>
          <cell r="AL147">
            <v>420.68181818181807</v>
          </cell>
          <cell r="AM147">
            <v>5.6833333333333336</v>
          </cell>
          <cell r="AN147">
            <v>381.95014662756591</v>
          </cell>
        </row>
        <row r="148">
          <cell r="F148">
            <v>6903148345023</v>
          </cell>
          <cell r="G148">
            <v>6903148345023</v>
          </cell>
          <cell r="H148">
            <v>80852649</v>
          </cell>
          <cell r="I148" t="str">
            <v>好自在經典款液體衛生棉29.5cm9片X12 WHP INF F5 9CTX12 OVN-BUD-HKTW-Fiona 2</v>
          </cell>
          <cell r="J148">
            <v>12</v>
          </cell>
          <cell r="K148">
            <v>74</v>
          </cell>
          <cell r="L148">
            <v>1208.8800000000001</v>
          </cell>
          <cell r="M148">
            <v>1157.3</v>
          </cell>
          <cell r="N148">
            <v>0</v>
          </cell>
          <cell r="O148">
            <v>0</v>
          </cell>
          <cell r="P148">
            <v>0</v>
          </cell>
          <cell r="Q148">
            <v>60</v>
          </cell>
          <cell r="R148">
            <v>0</v>
          </cell>
          <cell r="S148">
            <v>30</v>
          </cell>
          <cell r="Z148">
            <v>34.333333333333329</v>
          </cell>
          <cell r="AA148">
            <v>24.999999999999996</v>
          </cell>
          <cell r="AB148">
            <v>12.25</v>
          </cell>
          <cell r="AF148">
            <v>90</v>
          </cell>
          <cell r="AG148">
            <v>71.583333333333329</v>
          </cell>
          <cell r="AH148">
            <v>30</v>
          </cell>
          <cell r="AJ148">
            <v>18.416666666666671</v>
          </cell>
          <cell r="AK148">
            <v>22263.540000000008</v>
          </cell>
          <cell r="AL148">
            <v>7.5170068027210899</v>
          </cell>
          <cell r="AM148">
            <v>75.95</v>
          </cell>
          <cell r="AN148">
            <v>-17.886767610269914</v>
          </cell>
        </row>
        <row r="149">
          <cell r="F149">
            <v>6903148352700</v>
          </cell>
          <cell r="G149">
            <v>6903148352700</v>
          </cell>
          <cell r="H149">
            <v>80882675</v>
          </cell>
          <cell r="I149" t="str">
            <v>好自在無痕奢柔褲 M-L 3片X16 WHP KOALA 8 SP PANTS M-L 3SX16-HKTW</v>
          </cell>
          <cell r="J149">
            <v>16</v>
          </cell>
          <cell r="K149">
            <v>78</v>
          </cell>
          <cell r="L149">
            <v>1431.63</v>
          </cell>
          <cell r="M149">
            <v>1375.05</v>
          </cell>
          <cell r="N149">
            <v>0</v>
          </cell>
          <cell r="O149">
            <v>2</v>
          </cell>
          <cell r="P149">
            <v>0</v>
          </cell>
          <cell r="Q149">
            <v>19</v>
          </cell>
          <cell r="R149">
            <v>26</v>
          </cell>
          <cell r="S149">
            <v>19</v>
          </cell>
          <cell r="X149">
            <v>1.9375</v>
          </cell>
          <cell r="Z149">
            <v>7.625</v>
          </cell>
          <cell r="AA149">
            <v>14.8125</v>
          </cell>
          <cell r="AB149">
            <v>2.875</v>
          </cell>
          <cell r="AF149">
            <v>66</v>
          </cell>
          <cell r="AG149">
            <v>27.25</v>
          </cell>
          <cell r="AH149">
            <v>19</v>
          </cell>
          <cell r="AJ149">
            <v>38.75</v>
          </cell>
          <cell r="AK149">
            <v>55475.662500000006</v>
          </cell>
          <cell r="AL149">
            <v>67.391304347826093</v>
          </cell>
          <cell r="AM149">
            <v>17.824999999999999</v>
          </cell>
          <cell r="AN149">
            <v>40.05610098176718</v>
          </cell>
        </row>
        <row r="150">
          <cell r="F150">
            <v>6903148354582</v>
          </cell>
          <cell r="G150">
            <v>6903148354582</v>
          </cell>
          <cell r="H150">
            <v>80817378</v>
          </cell>
          <cell r="I150" t="str">
            <v>[DS]whisper 好自在 台灣公司貨 Air Dry 雲枕瞬吸衛生棉 日用量大, 28cm, 20片, 1袋</v>
          </cell>
          <cell r="J150">
            <v>12</v>
          </cell>
          <cell r="K150">
            <v>95.000000000000014</v>
          </cell>
          <cell r="L150">
            <v>1208.81</v>
          </cell>
          <cell r="M150">
            <v>1157.23</v>
          </cell>
          <cell r="N150">
            <v>96</v>
          </cell>
          <cell r="O150">
            <v>96</v>
          </cell>
          <cell r="P150">
            <v>50</v>
          </cell>
          <cell r="Q150">
            <v>49</v>
          </cell>
          <cell r="R150">
            <v>104</v>
          </cell>
          <cell r="S150">
            <v>104</v>
          </cell>
          <cell r="W150">
            <v>16.5</v>
          </cell>
          <cell r="X150">
            <v>102.83333333333331</v>
          </cell>
          <cell r="Y150">
            <v>58.083333333333336</v>
          </cell>
          <cell r="Z150">
            <v>57.333333333333336</v>
          </cell>
          <cell r="AA150">
            <v>60.75</v>
          </cell>
          <cell r="AB150">
            <v>12.166666666666668</v>
          </cell>
          <cell r="AF150">
            <v>499</v>
          </cell>
          <cell r="AG150">
            <v>307.66666666666669</v>
          </cell>
          <cell r="AH150">
            <v>104</v>
          </cell>
          <cell r="AJ150">
            <v>191.33333333333331</v>
          </cell>
          <cell r="AK150">
            <v>231285.64666666664</v>
          </cell>
          <cell r="AL150">
            <v>78.630136986301352</v>
          </cell>
          <cell r="AM150">
            <v>75.433333333333337</v>
          </cell>
          <cell r="AN150">
            <v>50.932390631904546</v>
          </cell>
        </row>
        <row r="151">
          <cell r="F151">
            <v>6903148355947</v>
          </cell>
          <cell r="G151">
            <v>6903148355947</v>
          </cell>
          <cell r="H151">
            <v>80884855</v>
          </cell>
          <cell r="I151" t="str">
            <v>好自在無痕奢柔褲 XL 3片X16 WHP KOALA 8 SP PANTS XL 3SX16-HKTW</v>
          </cell>
          <cell r="J151">
            <v>16</v>
          </cell>
          <cell r="K151">
            <v>78</v>
          </cell>
          <cell r="L151">
            <v>1431.63</v>
          </cell>
          <cell r="M151">
            <v>1375.05</v>
          </cell>
          <cell r="N151">
            <v>0</v>
          </cell>
          <cell r="O151">
            <v>2</v>
          </cell>
          <cell r="P151">
            <v>0</v>
          </cell>
          <cell r="Q151">
            <v>23</v>
          </cell>
          <cell r="R151">
            <v>46</v>
          </cell>
          <cell r="S151">
            <v>16</v>
          </cell>
          <cell r="X151">
            <v>2</v>
          </cell>
          <cell r="Z151">
            <v>10.0625</v>
          </cell>
          <cell r="AA151">
            <v>18.1875</v>
          </cell>
          <cell r="AB151">
            <v>11.25</v>
          </cell>
          <cell r="AF151">
            <v>87</v>
          </cell>
          <cell r="AG151">
            <v>41.5</v>
          </cell>
          <cell r="AH151">
            <v>16</v>
          </cell>
          <cell r="AJ151">
            <v>45.5</v>
          </cell>
          <cell r="AK151">
            <v>65139.165000000008</v>
          </cell>
          <cell r="AL151">
            <v>20.222222222222221</v>
          </cell>
          <cell r="AM151">
            <v>69.75</v>
          </cell>
          <cell r="AN151">
            <v>-5.591397849462366</v>
          </cell>
        </row>
        <row r="152">
          <cell r="F152">
            <v>6903148355954</v>
          </cell>
          <cell r="G152">
            <v>6903148355954</v>
          </cell>
          <cell r="H152">
            <v>80878164</v>
          </cell>
          <cell r="I152" t="str">
            <v>好自在無痕早安褲 M-L 3片X16 WHP KOALA 8 Day PANTS L 3SX16-HKTW</v>
          </cell>
          <cell r="J152">
            <v>16</v>
          </cell>
          <cell r="K152">
            <v>78</v>
          </cell>
          <cell r="L152">
            <v>1431.63</v>
          </cell>
          <cell r="M152">
            <v>1375.05</v>
          </cell>
          <cell r="N152">
            <v>0</v>
          </cell>
          <cell r="O152">
            <v>2</v>
          </cell>
          <cell r="P152">
            <v>0</v>
          </cell>
          <cell r="Q152">
            <v>26</v>
          </cell>
          <cell r="R152">
            <v>12</v>
          </cell>
          <cell r="S152">
            <v>22</v>
          </cell>
          <cell r="X152">
            <v>1.9375</v>
          </cell>
          <cell r="Z152">
            <v>11.1875</v>
          </cell>
          <cell r="AA152">
            <v>10.75</v>
          </cell>
          <cell r="AB152">
            <v>4.5625</v>
          </cell>
          <cell r="AF152">
            <v>62</v>
          </cell>
          <cell r="AG152">
            <v>28.4375</v>
          </cell>
          <cell r="AH152">
            <v>22</v>
          </cell>
          <cell r="AJ152">
            <v>33.5625</v>
          </cell>
          <cell r="AK152">
            <v>48049.081875000003</v>
          </cell>
          <cell r="AL152">
            <v>36.780821917808218</v>
          </cell>
          <cell r="AM152">
            <v>28.287499999999998</v>
          </cell>
          <cell r="AN152">
            <v>10.433053468846671</v>
          </cell>
        </row>
        <row r="153">
          <cell r="F153">
            <v>6903148356982</v>
          </cell>
          <cell r="G153">
            <v>6903148356982</v>
          </cell>
          <cell r="H153">
            <v>80817371</v>
          </cell>
          <cell r="I153" t="str">
            <v>[DS]whisper 好自在 台灣公司貨 Air Dry 雲枕瞬吸衛生棉 日用量大加長, 32cm, 8片, 1包</v>
          </cell>
          <cell r="J153">
            <v>24</v>
          </cell>
          <cell r="K153">
            <v>54</v>
          </cell>
          <cell r="L153">
            <v>1366.48</v>
          </cell>
          <cell r="M153">
            <v>1311.36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AF153">
            <v>0</v>
          </cell>
          <cell r="AG153">
            <v>0</v>
          </cell>
          <cell r="AH153">
            <v>0</v>
          </cell>
          <cell r="AJ153">
            <v>0</v>
          </cell>
          <cell r="AK153">
            <v>0</v>
          </cell>
          <cell r="AL153" t="e">
            <v>#DIV/0!</v>
          </cell>
          <cell r="AM153">
            <v>0</v>
          </cell>
          <cell r="AN153" t="e">
            <v>#DIV/0!</v>
          </cell>
        </row>
        <row r="154">
          <cell r="F154">
            <v>6903148356999</v>
          </cell>
          <cell r="G154">
            <v>6903148356999</v>
          </cell>
          <cell r="H154">
            <v>80817374</v>
          </cell>
          <cell r="I154" t="str">
            <v>[DS]whisper 好自在 台灣公司貨 Air Dry 雲枕瞬吸衛生棉 日用量大, 28cm, 10片, 1包</v>
          </cell>
          <cell r="J154">
            <v>24</v>
          </cell>
          <cell r="K154">
            <v>54</v>
          </cell>
          <cell r="L154">
            <v>1366.48</v>
          </cell>
          <cell r="M154">
            <v>1311.36</v>
          </cell>
          <cell r="N154">
            <v>26</v>
          </cell>
          <cell r="O154">
            <v>0</v>
          </cell>
          <cell r="P154">
            <v>0</v>
          </cell>
          <cell r="Q154">
            <v>0</v>
          </cell>
          <cell r="R154">
            <v>18</v>
          </cell>
          <cell r="S154">
            <v>29</v>
          </cell>
          <cell r="W154">
            <v>0.75</v>
          </cell>
          <cell r="X154">
            <v>4.8750000000000009</v>
          </cell>
          <cell r="Y154">
            <v>4.583333333333333</v>
          </cell>
          <cell r="Z154">
            <v>5.666666666666667</v>
          </cell>
          <cell r="AA154">
            <v>25.666666666666664</v>
          </cell>
          <cell r="AB154">
            <v>2.6666666666666665</v>
          </cell>
          <cell r="AF154">
            <v>73</v>
          </cell>
          <cell r="AG154">
            <v>44.208333333333329</v>
          </cell>
          <cell r="AH154">
            <v>29</v>
          </cell>
          <cell r="AJ154">
            <v>28.791666666666671</v>
          </cell>
          <cell r="AK154">
            <v>39343.236666666671</v>
          </cell>
          <cell r="AL154">
            <v>53.984375000000007</v>
          </cell>
          <cell r="AM154">
            <v>16.533333333333331</v>
          </cell>
          <cell r="AN154">
            <v>27.081653225806463</v>
          </cell>
        </row>
        <row r="155">
          <cell r="F155">
            <v>6903148357002</v>
          </cell>
          <cell r="G155">
            <v>6903148357002</v>
          </cell>
          <cell r="H155">
            <v>80841909</v>
          </cell>
          <cell r="I155" t="str">
            <v>[DS]whisper 好自在 台灣公司貨 Air Dry Fresh 草本健康衛生棉 日用量大, 28cm, 20片, 1袋</v>
          </cell>
          <cell r="J155">
            <v>12</v>
          </cell>
          <cell r="K155">
            <v>95.000000000000014</v>
          </cell>
          <cell r="L155">
            <v>1208.81</v>
          </cell>
          <cell r="M155">
            <v>1157.23</v>
          </cell>
          <cell r="N155">
            <v>29</v>
          </cell>
          <cell r="O155">
            <v>29</v>
          </cell>
          <cell r="P155">
            <v>0</v>
          </cell>
          <cell r="Q155">
            <v>0</v>
          </cell>
          <cell r="R155">
            <v>5</v>
          </cell>
          <cell r="S155">
            <v>0</v>
          </cell>
          <cell r="W155">
            <v>2.8333333333333335</v>
          </cell>
          <cell r="X155">
            <v>14.166666666666664</v>
          </cell>
          <cell r="Y155">
            <v>11.333333333333334</v>
          </cell>
          <cell r="Z155">
            <v>16.25</v>
          </cell>
          <cell r="AA155">
            <v>7.5833333333333339</v>
          </cell>
          <cell r="AB155">
            <v>0.5</v>
          </cell>
          <cell r="AF155">
            <v>63</v>
          </cell>
          <cell r="AG155">
            <v>52.666666666666664</v>
          </cell>
          <cell r="AH155">
            <v>0</v>
          </cell>
          <cell r="AJ155">
            <v>10.333333333333336</v>
          </cell>
          <cell r="AK155">
            <v>12491.036666666669</v>
          </cell>
          <cell r="AL155">
            <v>103.33333333333336</v>
          </cell>
          <cell r="AM155">
            <v>3.1</v>
          </cell>
          <cell r="AN155">
            <v>74.838709677419374</v>
          </cell>
        </row>
        <row r="156">
          <cell r="F156">
            <v>6903148357019</v>
          </cell>
          <cell r="G156">
            <v>6903148357019</v>
          </cell>
          <cell r="H156">
            <v>80841912</v>
          </cell>
          <cell r="I156" t="str">
            <v>[DS]whisper 好自在 台灣公司貨 Air Dry Fresh 草本健康衛生棉 日用普通, 24cm, 10片, 1包</v>
          </cell>
          <cell r="J156">
            <v>24</v>
          </cell>
          <cell r="K156">
            <v>54</v>
          </cell>
          <cell r="L156">
            <v>1366.48</v>
          </cell>
          <cell r="M156">
            <v>1311.36</v>
          </cell>
          <cell r="N156">
            <v>12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W156">
            <v>7.0416666666666661</v>
          </cell>
          <cell r="X156">
            <v>4.625</v>
          </cell>
          <cell r="AF156">
            <v>12</v>
          </cell>
          <cell r="AG156">
            <v>11.666666666666666</v>
          </cell>
          <cell r="AH156">
            <v>0</v>
          </cell>
          <cell r="AJ156">
            <v>0.33333333333333393</v>
          </cell>
          <cell r="AK156">
            <v>455.49333333333414</v>
          </cell>
          <cell r="AL156" t="e">
            <v>#DIV/0!</v>
          </cell>
          <cell r="AM156">
            <v>0</v>
          </cell>
          <cell r="AN156" t="e">
            <v>#DIV/0!</v>
          </cell>
        </row>
        <row r="157">
          <cell r="F157">
            <v>6903148357026</v>
          </cell>
          <cell r="G157">
            <v>6903148357026</v>
          </cell>
          <cell r="H157">
            <v>80841911</v>
          </cell>
          <cell r="I157" t="str">
            <v>[DS]whisper 好自在 台灣公司貨 Air Dry Fresh 草本健康衛生棉 量大加長, 32cm, 8片, 1包</v>
          </cell>
          <cell r="J157">
            <v>24</v>
          </cell>
          <cell r="K157">
            <v>54</v>
          </cell>
          <cell r="L157">
            <v>1366.48</v>
          </cell>
          <cell r="M157">
            <v>1311.36</v>
          </cell>
          <cell r="N157">
            <v>6</v>
          </cell>
          <cell r="O157">
            <v>0</v>
          </cell>
          <cell r="P157">
            <v>0</v>
          </cell>
          <cell r="Q157">
            <v>0</v>
          </cell>
          <cell r="R157">
            <v>10</v>
          </cell>
          <cell r="S157">
            <v>0</v>
          </cell>
          <cell r="X157">
            <v>0.41666666666666663</v>
          </cell>
          <cell r="Y157">
            <v>0.58333333333333337</v>
          </cell>
          <cell r="Z157">
            <v>1.9583333333333335</v>
          </cell>
          <cell r="AA157">
            <v>3.7499999999999996</v>
          </cell>
          <cell r="AB157">
            <v>0.5</v>
          </cell>
          <cell r="AF157">
            <v>16</v>
          </cell>
          <cell r="AG157">
            <v>7.208333333333333</v>
          </cell>
          <cell r="AH157">
            <v>21.29</v>
          </cell>
          <cell r="AJ157">
            <v>8.7916666666666679</v>
          </cell>
          <cell r="AK157">
            <v>12013.636666666669</v>
          </cell>
          <cell r="AL157">
            <v>87.916666666666671</v>
          </cell>
          <cell r="AM157">
            <v>3.1</v>
          </cell>
          <cell r="AN157">
            <v>265.95161290322579</v>
          </cell>
        </row>
        <row r="158">
          <cell r="F158">
            <v>6903148357033</v>
          </cell>
          <cell r="G158">
            <v>6903148357033</v>
          </cell>
          <cell r="H158">
            <v>80841910</v>
          </cell>
          <cell r="I158" t="str">
            <v>[DS]whisper 好自在 台灣公司貨 Air Dry Fresh 草本健康衛生棉 日用量大, 28cm, 10片, 1包</v>
          </cell>
          <cell r="J158">
            <v>24</v>
          </cell>
          <cell r="K158">
            <v>54</v>
          </cell>
          <cell r="L158">
            <v>1366.48</v>
          </cell>
          <cell r="M158">
            <v>1311.36</v>
          </cell>
          <cell r="N158">
            <v>15</v>
          </cell>
          <cell r="O158">
            <v>0</v>
          </cell>
          <cell r="P158">
            <v>0</v>
          </cell>
          <cell r="Q158">
            <v>0</v>
          </cell>
          <cell r="R158">
            <v>2</v>
          </cell>
          <cell r="S158">
            <v>0</v>
          </cell>
          <cell r="W158">
            <v>0.29166666666666663</v>
          </cell>
          <cell r="X158">
            <v>5</v>
          </cell>
          <cell r="Y158">
            <v>1.7083333333333333</v>
          </cell>
          <cell r="Z158">
            <v>1.625</v>
          </cell>
          <cell r="AA158">
            <v>1.8333333333333335</v>
          </cell>
          <cell r="AB158">
            <v>0.29166666666666663</v>
          </cell>
          <cell r="AF158">
            <v>17</v>
          </cell>
          <cell r="AG158">
            <v>10.75</v>
          </cell>
          <cell r="AH158">
            <v>0</v>
          </cell>
          <cell r="AJ158">
            <v>6.25</v>
          </cell>
          <cell r="AK158">
            <v>8540.5</v>
          </cell>
          <cell r="AL158">
            <v>107.14285714285717</v>
          </cell>
          <cell r="AM158">
            <v>1.8083333333333331</v>
          </cell>
          <cell r="AN158">
            <v>78.525345622119815</v>
          </cell>
        </row>
        <row r="159">
          <cell r="F159">
            <v>6903148357040</v>
          </cell>
          <cell r="G159">
            <v>6903148357040</v>
          </cell>
          <cell r="H159">
            <v>80841908</v>
          </cell>
          <cell r="I159" t="str">
            <v>[DS]whisper 好自在 台灣公司貨 Air Dry Fresh 草本健康衛生棉 日用普通, 24cm, 20片, 1袋</v>
          </cell>
          <cell r="J159">
            <v>12</v>
          </cell>
          <cell r="K159">
            <v>95.000000000000014</v>
          </cell>
          <cell r="L159">
            <v>1208.81</v>
          </cell>
          <cell r="M159">
            <v>1157.23</v>
          </cell>
          <cell r="N159">
            <v>23</v>
          </cell>
          <cell r="O159">
            <v>11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W159">
            <v>5.4166666666666661</v>
          </cell>
          <cell r="X159">
            <v>15.25</v>
          </cell>
          <cell r="Y159">
            <v>11.75</v>
          </cell>
          <cell r="AA159">
            <v>0.16666666666666666</v>
          </cell>
          <cell r="AF159">
            <v>34</v>
          </cell>
          <cell r="AG159">
            <v>32.583333333333329</v>
          </cell>
          <cell r="AH159">
            <v>0</v>
          </cell>
          <cell r="AJ159">
            <v>1.4166666666666714</v>
          </cell>
          <cell r="AK159">
            <v>1712.480833333339</v>
          </cell>
          <cell r="AL159" t="e">
            <v>#DIV/0!</v>
          </cell>
          <cell r="AM159">
            <v>0</v>
          </cell>
          <cell r="AN159" t="e">
            <v>#DIV/0!</v>
          </cell>
        </row>
        <row r="160">
          <cell r="F160">
            <v>4987176372314</v>
          </cell>
          <cell r="G160">
            <v>4987176372314</v>
          </cell>
          <cell r="I160" t="str">
            <v>[箱裝]whisper 好自在 無痕早安褲, 內褲型, M-L, 3片, 11包, 1組</v>
          </cell>
          <cell r="J160">
            <v>1</v>
          </cell>
          <cell r="K160">
            <v>853</v>
          </cell>
          <cell r="L160">
            <v>1015.44</v>
          </cell>
          <cell r="M160">
            <v>968.2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AF160">
            <v>0</v>
          </cell>
          <cell r="AG160">
            <v>0</v>
          </cell>
          <cell r="AH160">
            <v>0</v>
          </cell>
          <cell r="AJ160">
            <v>0</v>
          </cell>
          <cell r="AK160">
            <v>0</v>
          </cell>
          <cell r="AL160" t="e">
            <v>#DIV/0!</v>
          </cell>
          <cell r="AM160">
            <v>0</v>
          </cell>
          <cell r="AN160" t="e">
            <v>#DIV/0!</v>
          </cell>
        </row>
        <row r="161">
          <cell r="F161">
            <v>4987176372222</v>
          </cell>
          <cell r="G161">
            <v>4987176372222</v>
          </cell>
          <cell r="I161" t="str">
            <v>[箱裝]whisper 好自在 無痕早安褲, 內褲型, M-L, 3片, 6包, 1組</v>
          </cell>
          <cell r="J161">
            <v>1</v>
          </cell>
          <cell r="K161">
            <v>465</v>
          </cell>
          <cell r="L161">
            <v>507.72</v>
          </cell>
          <cell r="M161">
            <v>471.88</v>
          </cell>
          <cell r="N161">
            <v>0</v>
          </cell>
          <cell r="O161">
            <v>0</v>
          </cell>
          <cell r="P161">
            <v>0</v>
          </cell>
          <cell r="Q161">
            <v>354</v>
          </cell>
          <cell r="R161">
            <v>0</v>
          </cell>
          <cell r="S161">
            <v>0</v>
          </cell>
          <cell r="Z161">
            <v>7</v>
          </cell>
          <cell r="AA161">
            <v>33</v>
          </cell>
          <cell r="AB161">
            <v>17</v>
          </cell>
          <cell r="AF161">
            <v>354</v>
          </cell>
          <cell r="AG161">
            <v>57</v>
          </cell>
          <cell r="AH161">
            <v>0</v>
          </cell>
          <cell r="AJ161">
            <v>297</v>
          </cell>
          <cell r="AK161">
            <v>150792.84</v>
          </cell>
          <cell r="AL161">
            <v>87.35294117647058</v>
          </cell>
          <cell r="AM161">
            <v>105.39999999999999</v>
          </cell>
          <cell r="AN161">
            <v>59.373814041745739</v>
          </cell>
        </row>
        <row r="162">
          <cell r="F162">
            <v>4987176372192</v>
          </cell>
          <cell r="G162">
            <v>4987176372192</v>
          </cell>
          <cell r="I162" t="str">
            <v>[箱裝]whisper 好自在 無痕奢柔褲, 內褲型,  M-L, 3片, 6包, 1組</v>
          </cell>
          <cell r="J162">
            <v>1</v>
          </cell>
          <cell r="K162">
            <v>465</v>
          </cell>
          <cell r="L162">
            <v>507.72</v>
          </cell>
          <cell r="M162">
            <v>471.88</v>
          </cell>
          <cell r="N162">
            <v>0</v>
          </cell>
          <cell r="O162">
            <v>0</v>
          </cell>
          <cell r="P162">
            <v>0</v>
          </cell>
          <cell r="Q162">
            <v>140</v>
          </cell>
          <cell r="R162">
            <v>0</v>
          </cell>
          <cell r="S162">
            <v>119</v>
          </cell>
          <cell r="Z162">
            <v>9</v>
          </cell>
          <cell r="AA162">
            <v>52</v>
          </cell>
          <cell r="AB162">
            <v>20</v>
          </cell>
          <cell r="AF162">
            <v>259</v>
          </cell>
          <cell r="AG162">
            <v>81</v>
          </cell>
          <cell r="AH162">
            <v>119</v>
          </cell>
          <cell r="AJ162">
            <v>178</v>
          </cell>
          <cell r="AK162">
            <v>90374.16</v>
          </cell>
          <cell r="AL162">
            <v>44.5</v>
          </cell>
          <cell r="AM162">
            <v>124</v>
          </cell>
          <cell r="AN162">
            <v>17.903225806451612</v>
          </cell>
        </row>
        <row r="163">
          <cell r="F163">
            <v>4987176372130</v>
          </cell>
          <cell r="G163">
            <v>4987176372130</v>
          </cell>
          <cell r="I163" t="str">
            <v>[箱裝]whisper 好自在 無痕奢柔褲, 內褲型,  XL, 3片, 6包, 1組</v>
          </cell>
          <cell r="J163">
            <v>1</v>
          </cell>
          <cell r="K163">
            <v>465</v>
          </cell>
          <cell r="L163">
            <v>507.72</v>
          </cell>
          <cell r="M163">
            <v>471.88</v>
          </cell>
          <cell r="N163">
            <v>0</v>
          </cell>
          <cell r="O163">
            <v>0</v>
          </cell>
          <cell r="P163">
            <v>0</v>
          </cell>
          <cell r="Q163">
            <v>154</v>
          </cell>
          <cell r="R163">
            <v>0</v>
          </cell>
          <cell r="S163">
            <v>68</v>
          </cell>
          <cell r="Z163">
            <v>9</v>
          </cell>
          <cell r="AA163">
            <v>135</v>
          </cell>
          <cell r="AB163">
            <v>3</v>
          </cell>
          <cell r="AF163">
            <v>222</v>
          </cell>
          <cell r="AG163">
            <v>147</v>
          </cell>
          <cell r="AH163">
            <v>160</v>
          </cell>
          <cell r="AJ163">
            <v>75</v>
          </cell>
          <cell r="AK163">
            <v>38079</v>
          </cell>
          <cell r="AL163">
            <v>125.00000000000001</v>
          </cell>
          <cell r="AM163">
            <v>18.599999999999998</v>
          </cell>
          <cell r="AN163">
            <v>244.1935483870968</v>
          </cell>
        </row>
        <row r="164">
          <cell r="F164">
            <v>4987176372307</v>
          </cell>
          <cell r="G164">
            <v>4987176372307</v>
          </cell>
          <cell r="I164" t="str">
            <v>[箱裝]whisper 好自在 熊抱安睡褲, 內褲型, L, 8片, 3包, 1組</v>
          </cell>
          <cell r="J164">
            <v>1</v>
          </cell>
          <cell r="K164">
            <v>495</v>
          </cell>
          <cell r="L164">
            <v>507.72</v>
          </cell>
          <cell r="M164">
            <v>471.88</v>
          </cell>
          <cell r="N164">
            <v>0</v>
          </cell>
          <cell r="O164">
            <v>0</v>
          </cell>
          <cell r="P164">
            <v>431</v>
          </cell>
          <cell r="Q164">
            <v>200</v>
          </cell>
          <cell r="R164">
            <v>510</v>
          </cell>
          <cell r="S164">
            <v>659</v>
          </cell>
          <cell r="Y164">
            <v>118</v>
          </cell>
          <cell r="Z164">
            <v>474</v>
          </cell>
          <cell r="AA164">
            <v>391</v>
          </cell>
          <cell r="AB164">
            <v>85</v>
          </cell>
          <cell r="AF164">
            <v>1800</v>
          </cell>
          <cell r="AG164">
            <v>1068</v>
          </cell>
          <cell r="AH164">
            <v>659</v>
          </cell>
          <cell r="AJ164">
            <v>732</v>
          </cell>
          <cell r="AK164">
            <v>371651.04000000004</v>
          </cell>
          <cell r="AL164">
            <v>43.058823529411768</v>
          </cell>
          <cell r="AM164">
            <v>527</v>
          </cell>
          <cell r="AN164">
            <v>16.508538899430739</v>
          </cell>
        </row>
        <row r="165">
          <cell r="F165">
            <v>4987176372178</v>
          </cell>
          <cell r="G165">
            <v>4987176372178</v>
          </cell>
          <cell r="I165" t="str">
            <v>[箱裝]whisper 好自在 熊抱安睡褲, 內褲型, L, 44片, 1組</v>
          </cell>
          <cell r="J165">
            <v>1</v>
          </cell>
          <cell r="K165">
            <v>895</v>
          </cell>
          <cell r="L165">
            <v>1015.44</v>
          </cell>
          <cell r="M165">
            <v>968.2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AF165">
            <v>0</v>
          </cell>
          <cell r="AG165">
            <v>0</v>
          </cell>
          <cell r="AH165">
            <v>0</v>
          </cell>
          <cell r="AJ165">
            <v>0</v>
          </cell>
          <cell r="AK165">
            <v>0</v>
          </cell>
          <cell r="AL165" t="e">
            <v>#DIV/0!</v>
          </cell>
          <cell r="AM165">
            <v>0</v>
          </cell>
          <cell r="AN165" t="e">
            <v>#DIV/0!</v>
          </cell>
        </row>
        <row r="166">
          <cell r="F166">
            <v>4987176372062</v>
          </cell>
          <cell r="G166">
            <v>4987176372062</v>
          </cell>
          <cell r="I166" t="str">
            <v>[箱裝]whisper 好自在 熊抱安睡褲, 內褲型, M, 8片, 3包, 1組</v>
          </cell>
          <cell r="J166">
            <v>1</v>
          </cell>
          <cell r="K166">
            <v>495</v>
          </cell>
          <cell r="L166">
            <v>507.72</v>
          </cell>
          <cell r="M166">
            <v>471.88</v>
          </cell>
          <cell r="N166">
            <v>0</v>
          </cell>
          <cell r="O166">
            <v>0</v>
          </cell>
          <cell r="P166">
            <v>278</v>
          </cell>
          <cell r="Q166">
            <v>200</v>
          </cell>
          <cell r="R166">
            <v>227</v>
          </cell>
          <cell r="S166">
            <v>330</v>
          </cell>
          <cell r="Y166">
            <v>32</v>
          </cell>
          <cell r="Z166">
            <v>213</v>
          </cell>
          <cell r="AA166">
            <v>352</v>
          </cell>
          <cell r="AB166">
            <v>84</v>
          </cell>
          <cell r="AF166">
            <v>1035</v>
          </cell>
          <cell r="AG166">
            <v>681</v>
          </cell>
          <cell r="AH166">
            <v>330</v>
          </cell>
          <cell r="AJ166">
            <v>354</v>
          </cell>
          <cell r="AK166">
            <v>179732.88</v>
          </cell>
          <cell r="AL166">
            <v>21.071428571428569</v>
          </cell>
          <cell r="AM166">
            <v>520.80000000000007</v>
          </cell>
          <cell r="AN166">
            <v>-4.7695852534562313</v>
          </cell>
        </row>
        <row r="167">
          <cell r="F167">
            <v>4987176372253</v>
          </cell>
          <cell r="G167">
            <v>4987176372253</v>
          </cell>
          <cell r="I167" t="str">
            <v>[箱裝]whisper 好自在 熊抱安睡褲, 內褲型, M, 44片, 1組</v>
          </cell>
          <cell r="J167">
            <v>1</v>
          </cell>
          <cell r="K167">
            <v>895</v>
          </cell>
          <cell r="L167">
            <v>1015.44</v>
          </cell>
          <cell r="M167">
            <v>968.2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AF167">
            <v>0</v>
          </cell>
          <cell r="AG167">
            <v>0</v>
          </cell>
          <cell r="AH167">
            <v>0</v>
          </cell>
          <cell r="AJ167">
            <v>0</v>
          </cell>
          <cell r="AK167">
            <v>0</v>
          </cell>
          <cell r="AL167" t="e">
            <v>#DIV/0!</v>
          </cell>
          <cell r="AM167">
            <v>0</v>
          </cell>
          <cell r="AN167" t="e">
            <v>#DIV/0!</v>
          </cell>
        </row>
        <row r="168">
          <cell r="F168">
            <v>4987176372321</v>
          </cell>
          <cell r="G168">
            <v>4987176372321</v>
          </cell>
          <cell r="I168" t="str">
            <v>[箱裝]whisper 好自在 熊抱安睡褲, 內褲型, XL, 8片, 3包, 1組</v>
          </cell>
          <cell r="J168">
            <v>1</v>
          </cell>
          <cell r="K168">
            <v>495</v>
          </cell>
          <cell r="L168">
            <v>507.72</v>
          </cell>
          <cell r="M168">
            <v>471.88</v>
          </cell>
          <cell r="N168">
            <v>0</v>
          </cell>
          <cell r="O168">
            <v>0</v>
          </cell>
          <cell r="P168">
            <v>1138</v>
          </cell>
          <cell r="Q168">
            <v>284</v>
          </cell>
          <cell r="R168">
            <v>600</v>
          </cell>
          <cell r="S168">
            <v>1254</v>
          </cell>
          <cell r="Y168">
            <v>140</v>
          </cell>
          <cell r="Z168">
            <v>865</v>
          </cell>
          <cell r="AA168">
            <v>474</v>
          </cell>
          <cell r="AB168">
            <v>56</v>
          </cell>
          <cell r="AF168">
            <v>3276</v>
          </cell>
          <cell r="AG168">
            <v>1535</v>
          </cell>
          <cell r="AH168">
            <v>1254</v>
          </cell>
          <cell r="AJ168">
            <v>1741</v>
          </cell>
          <cell r="AK168">
            <v>883940.52</v>
          </cell>
          <cell r="AL168">
            <v>155.44642857142856</v>
          </cell>
          <cell r="AM168">
            <v>347.2</v>
          </cell>
          <cell r="AN168">
            <v>125.27073732718895</v>
          </cell>
        </row>
        <row r="169">
          <cell r="F169">
            <v>4987176372277</v>
          </cell>
          <cell r="G169">
            <v>4987176372277</v>
          </cell>
          <cell r="I169" t="str">
            <v>[箱裝]whisper 好自在 熊抱安睡褲, 內褲型, XL, 44片, 1組</v>
          </cell>
          <cell r="J169">
            <v>1</v>
          </cell>
          <cell r="K169">
            <v>895</v>
          </cell>
          <cell r="L169">
            <v>1015.44</v>
          </cell>
          <cell r="M169">
            <v>968.2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AF169">
            <v>0</v>
          </cell>
          <cell r="AG169">
            <v>0</v>
          </cell>
          <cell r="AH169">
            <v>0</v>
          </cell>
          <cell r="AJ169">
            <v>0</v>
          </cell>
          <cell r="AK169">
            <v>0</v>
          </cell>
          <cell r="AL169" t="e">
            <v>#DIV/0!</v>
          </cell>
          <cell r="AM169">
            <v>0</v>
          </cell>
          <cell r="AN169" t="e">
            <v>#DIV/0!</v>
          </cell>
        </row>
        <row r="170">
          <cell r="F170">
            <v>4987176372109</v>
          </cell>
          <cell r="G170">
            <v>4987176372109</v>
          </cell>
          <cell r="I170" t="str">
            <v>[箱裝]whisper 好自在 液體衛生棉24cm 36片+清新淨味液體衛生棉24cm 18片, 1組</v>
          </cell>
          <cell r="J170">
            <v>1</v>
          </cell>
          <cell r="K170">
            <v>435</v>
          </cell>
          <cell r="L170">
            <v>507.72</v>
          </cell>
          <cell r="M170">
            <v>471.88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16</v>
          </cell>
          <cell r="AB170">
            <v>5</v>
          </cell>
          <cell r="AF170">
            <v>16</v>
          </cell>
          <cell r="AG170">
            <v>5</v>
          </cell>
          <cell r="AH170">
            <v>16</v>
          </cell>
          <cell r="AJ170">
            <v>11</v>
          </cell>
          <cell r="AK170">
            <v>5584.92</v>
          </cell>
          <cell r="AL170">
            <v>11</v>
          </cell>
          <cell r="AM170">
            <v>31</v>
          </cell>
          <cell r="AN170">
            <v>-14.516129032258064</v>
          </cell>
        </row>
        <row r="171">
          <cell r="F171">
            <v>4987176372246</v>
          </cell>
          <cell r="G171">
            <v>4987176372246</v>
          </cell>
          <cell r="I171" t="str">
            <v>[箱裝]whisper 好自在 液體衛生棉27cm 32片+清新淨味液體衛生棉27cm 18片, 1組</v>
          </cell>
          <cell r="J171">
            <v>1</v>
          </cell>
          <cell r="K171">
            <v>435</v>
          </cell>
          <cell r="L171">
            <v>507.72</v>
          </cell>
          <cell r="M171">
            <v>471.88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16</v>
          </cell>
          <cell r="AF171">
            <v>16</v>
          </cell>
          <cell r="AG171">
            <v>0</v>
          </cell>
          <cell r="AH171">
            <v>16</v>
          </cell>
          <cell r="AJ171">
            <v>16</v>
          </cell>
          <cell r="AK171">
            <v>8123.52</v>
          </cell>
          <cell r="AL171" t="e">
            <v>#DIV/0!</v>
          </cell>
          <cell r="AM171">
            <v>0</v>
          </cell>
          <cell r="AN171" t="e">
            <v>#DIV/0!</v>
          </cell>
        </row>
        <row r="172">
          <cell r="F172">
            <v>4987176372260</v>
          </cell>
          <cell r="G172">
            <v>4987176372260</v>
          </cell>
          <cell r="I172" t="str">
            <v>[箱裝]whisper 好自在 液體衛生棉29.5cm 36片+清新淨味液體衛生棉31.7cm 18片, 1組</v>
          </cell>
          <cell r="J172">
            <v>1</v>
          </cell>
          <cell r="K172">
            <v>435</v>
          </cell>
          <cell r="L172">
            <v>507.72</v>
          </cell>
          <cell r="M172">
            <v>471.88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16</v>
          </cell>
          <cell r="AB172">
            <v>2</v>
          </cell>
          <cell r="AF172">
            <v>16</v>
          </cell>
          <cell r="AG172">
            <v>2</v>
          </cell>
          <cell r="AH172">
            <v>16</v>
          </cell>
          <cell r="AJ172">
            <v>14</v>
          </cell>
          <cell r="AK172">
            <v>7108.08</v>
          </cell>
          <cell r="AL172">
            <v>35</v>
          </cell>
          <cell r="AM172">
            <v>12.4</v>
          </cell>
          <cell r="AN172">
            <v>8.7096774193548381</v>
          </cell>
        </row>
        <row r="173">
          <cell r="F173">
            <v>4987176372215</v>
          </cell>
          <cell r="G173">
            <v>4987176372215</v>
          </cell>
          <cell r="I173" t="str">
            <v>[箱裝]whisper 好自在 液體衛生棉34cm 30片+清新淨味液體衛生棉31.7cm 18片, 1組</v>
          </cell>
          <cell r="J173">
            <v>1</v>
          </cell>
          <cell r="K173">
            <v>435</v>
          </cell>
          <cell r="L173">
            <v>507.72</v>
          </cell>
          <cell r="M173">
            <v>471.88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16</v>
          </cell>
          <cell r="AF173">
            <v>16</v>
          </cell>
          <cell r="AG173">
            <v>0</v>
          </cell>
          <cell r="AH173">
            <v>16</v>
          </cell>
          <cell r="AJ173">
            <v>16</v>
          </cell>
          <cell r="AK173">
            <v>8123.52</v>
          </cell>
          <cell r="AL173" t="e">
            <v>#DIV/0!</v>
          </cell>
          <cell r="AM173">
            <v>0</v>
          </cell>
          <cell r="AN173" t="e">
            <v>#DIV/0!</v>
          </cell>
        </row>
        <row r="174">
          <cell r="F174">
            <v>6903148355923</v>
          </cell>
          <cell r="I174" t="str">
            <v>whisper 好自在 無痕早安褲, 內褲型, XL, 3片, 1包</v>
          </cell>
          <cell r="J174">
            <v>16</v>
          </cell>
          <cell r="K174">
            <v>78</v>
          </cell>
          <cell r="L174">
            <v>1431.63</v>
          </cell>
          <cell r="M174">
            <v>1375.0512000000001</v>
          </cell>
          <cell r="N174">
            <v>0</v>
          </cell>
          <cell r="O174">
            <v>0</v>
          </cell>
          <cell r="Q174">
            <v>1</v>
          </cell>
          <cell r="R174">
            <v>21</v>
          </cell>
          <cell r="S174">
            <v>22</v>
          </cell>
          <cell r="AA174">
            <v>3</v>
          </cell>
          <cell r="AB174">
            <v>3.375</v>
          </cell>
          <cell r="AF174">
            <v>44</v>
          </cell>
          <cell r="AG174">
            <v>6.375</v>
          </cell>
          <cell r="AH174">
            <v>22</v>
          </cell>
          <cell r="AJ174">
            <v>37.625</v>
          </cell>
          <cell r="AK174">
            <v>53865.078750000001</v>
          </cell>
          <cell r="AL174">
            <v>55.74074074074074</v>
          </cell>
          <cell r="AM174">
            <v>20.925000000000001</v>
          </cell>
          <cell r="AN174">
            <v>28.781362007168457</v>
          </cell>
        </row>
        <row r="175">
          <cell r="F175">
            <v>4987176373922</v>
          </cell>
          <cell r="I175" t="str">
            <v>Lenor 蘭諾 衣物芳香豆 甜花石榴香 補充包, 900ml, 1個</v>
          </cell>
          <cell r="J175">
            <v>8</v>
          </cell>
          <cell r="K175">
            <v>272</v>
          </cell>
          <cell r="L175">
            <v>2310.4</v>
          </cell>
          <cell r="M175">
            <v>2246.8000000000002</v>
          </cell>
          <cell r="P175">
            <v>3</v>
          </cell>
          <cell r="Q175">
            <v>89</v>
          </cell>
          <cell r="R175">
            <v>115</v>
          </cell>
          <cell r="S175">
            <v>82</v>
          </cell>
          <cell r="Y175">
            <v>1.375</v>
          </cell>
          <cell r="Z175">
            <v>30.375</v>
          </cell>
          <cell r="AA175">
            <v>73.5</v>
          </cell>
          <cell r="AB175">
            <v>15.75</v>
          </cell>
          <cell r="AF175">
            <v>289</v>
          </cell>
          <cell r="AG175">
            <v>121</v>
          </cell>
          <cell r="AH175">
            <v>82</v>
          </cell>
          <cell r="AJ175">
            <v>168</v>
          </cell>
          <cell r="AK175">
            <v>388147.20000000001</v>
          </cell>
          <cell r="AL175">
            <v>53.333333333333329</v>
          </cell>
          <cell r="AM175">
            <v>97.649999999999991</v>
          </cell>
          <cell r="AN175">
            <v>26.451612903225815</v>
          </cell>
        </row>
        <row r="176">
          <cell r="F176">
            <v>4987176373939</v>
          </cell>
          <cell r="I176" t="str">
            <v>Lenor 蘭諾 衣物芳香豆 雪松梔子花 補充包, 900ml, 1個</v>
          </cell>
          <cell r="J176">
            <v>8</v>
          </cell>
          <cell r="K176">
            <v>272</v>
          </cell>
          <cell r="L176">
            <v>2310.4</v>
          </cell>
          <cell r="M176">
            <v>2246.8000000000002</v>
          </cell>
          <cell r="P176">
            <v>231</v>
          </cell>
          <cell r="Q176">
            <v>207</v>
          </cell>
          <cell r="R176">
            <v>142</v>
          </cell>
          <cell r="S176">
            <v>0</v>
          </cell>
          <cell r="Y176">
            <v>20.625</v>
          </cell>
          <cell r="Z176">
            <v>249.125</v>
          </cell>
          <cell r="AA176">
            <v>233.625</v>
          </cell>
          <cell r="AB176">
            <v>37.75</v>
          </cell>
          <cell r="AF176">
            <v>580</v>
          </cell>
          <cell r="AG176">
            <v>541.125</v>
          </cell>
          <cell r="AH176">
            <v>117</v>
          </cell>
          <cell r="AJ176">
            <v>38.875</v>
          </cell>
          <cell r="AK176">
            <v>89816.8</v>
          </cell>
          <cell r="AL176">
            <v>5.1490066225165556</v>
          </cell>
          <cell r="AM176">
            <v>234.04999999999998</v>
          </cell>
          <cell r="AN176">
            <v>-5.1815851313821772</v>
          </cell>
        </row>
        <row r="177">
          <cell r="F177">
            <v>4987176373861</v>
          </cell>
          <cell r="I177" t="str">
            <v>Lenor 蘭諾 衣物芳香豆 清晨草木 補充包, 900ml, 1個</v>
          </cell>
          <cell r="J177">
            <v>8</v>
          </cell>
          <cell r="K177">
            <v>272</v>
          </cell>
          <cell r="L177">
            <v>2310.4</v>
          </cell>
          <cell r="M177">
            <v>2246.8000000000002</v>
          </cell>
          <cell r="P177">
            <v>225</v>
          </cell>
          <cell r="Q177">
            <v>92</v>
          </cell>
          <cell r="R177">
            <v>257</v>
          </cell>
          <cell r="S177">
            <v>100</v>
          </cell>
          <cell r="Y177">
            <v>12.875</v>
          </cell>
          <cell r="Z177">
            <v>107.75</v>
          </cell>
          <cell r="AA177">
            <v>107.125</v>
          </cell>
          <cell r="AB177">
            <v>22.375</v>
          </cell>
          <cell r="AF177">
            <v>674</v>
          </cell>
          <cell r="AG177">
            <v>250.125</v>
          </cell>
          <cell r="AH177">
            <v>100</v>
          </cell>
          <cell r="AJ177">
            <v>423.875</v>
          </cell>
          <cell r="AK177">
            <v>979320.8</v>
          </cell>
          <cell r="AL177">
            <v>94.720670391061446</v>
          </cell>
          <cell r="AM177">
            <v>138.72499999999999</v>
          </cell>
          <cell r="AN177">
            <v>66.503874571994956</v>
          </cell>
        </row>
        <row r="178">
          <cell r="F178">
            <v>4987176373878</v>
          </cell>
          <cell r="I178" t="str">
            <v>Lenor 蘭諾 衣物芳香豆 青檸紫羅蘭 補充包, 900ml, 1個</v>
          </cell>
          <cell r="J178">
            <v>8</v>
          </cell>
          <cell r="K178">
            <v>272</v>
          </cell>
          <cell r="L178">
            <v>2310.4</v>
          </cell>
          <cell r="M178">
            <v>2246.8000000000002</v>
          </cell>
          <cell r="P178">
            <v>2</v>
          </cell>
          <cell r="Q178">
            <v>48</v>
          </cell>
          <cell r="R178">
            <v>91</v>
          </cell>
          <cell r="S178">
            <v>42</v>
          </cell>
          <cell r="Y178">
            <v>0.25</v>
          </cell>
          <cell r="Z178">
            <v>16.875</v>
          </cell>
          <cell r="AA178">
            <v>35</v>
          </cell>
          <cell r="AB178">
            <v>9.375</v>
          </cell>
          <cell r="AF178">
            <v>183</v>
          </cell>
          <cell r="AG178">
            <v>61.5</v>
          </cell>
          <cell r="AH178">
            <v>42</v>
          </cell>
          <cell r="AJ178">
            <v>121.5</v>
          </cell>
          <cell r="AK178">
            <v>280713.60000000003</v>
          </cell>
          <cell r="AL178">
            <v>64.800000000000011</v>
          </cell>
          <cell r="AM178">
            <v>58.125</v>
          </cell>
          <cell r="AN178">
            <v>37.548387096774199</v>
          </cell>
        </row>
        <row r="179">
          <cell r="F179">
            <v>4987176373892</v>
          </cell>
          <cell r="I179" t="str">
            <v>Lenor 蘭諾 衣物芳香豆 甜柔麝香 補充包, 900ml, 1個</v>
          </cell>
          <cell r="J179">
            <v>8</v>
          </cell>
          <cell r="K179">
            <v>272</v>
          </cell>
          <cell r="L179">
            <v>2310.4</v>
          </cell>
          <cell r="M179">
            <v>2246.8000000000002</v>
          </cell>
          <cell r="P179">
            <v>188</v>
          </cell>
          <cell r="Q179">
            <v>120</v>
          </cell>
          <cell r="R179">
            <v>120</v>
          </cell>
          <cell r="S179">
            <v>100</v>
          </cell>
          <cell r="Y179">
            <v>10</v>
          </cell>
          <cell r="Z179">
            <v>147.875</v>
          </cell>
          <cell r="AA179">
            <v>139.875</v>
          </cell>
          <cell r="AB179">
            <v>26.625</v>
          </cell>
          <cell r="AF179">
            <v>528</v>
          </cell>
          <cell r="AG179">
            <v>324.375</v>
          </cell>
          <cell r="AH179">
            <v>231</v>
          </cell>
          <cell r="AJ179">
            <v>203.625</v>
          </cell>
          <cell r="AK179">
            <v>470455.2</v>
          </cell>
          <cell r="AL179">
            <v>38.239436619718312</v>
          </cell>
          <cell r="AM179">
            <v>165.07500000000002</v>
          </cell>
          <cell r="AN179">
            <v>35.651976374375273</v>
          </cell>
        </row>
        <row r="180">
          <cell r="F180">
            <v>14987176373936</v>
          </cell>
          <cell r="I180" t="str">
            <v>[箱裝]Lenor 蘭諾 衣物芳香豆 雪松梔子花 補充包, 900ml, 8個</v>
          </cell>
          <cell r="J180">
            <v>1</v>
          </cell>
          <cell r="K180">
            <v>2176</v>
          </cell>
          <cell r="L180">
            <v>2310.4</v>
          </cell>
          <cell r="M180">
            <v>2246.8000000000002</v>
          </cell>
          <cell r="P180">
            <v>0</v>
          </cell>
          <cell r="AF180">
            <v>0</v>
          </cell>
          <cell r="AG180">
            <v>0</v>
          </cell>
          <cell r="AH180" t="e">
            <v>#N/A</v>
          </cell>
          <cell r="AJ180">
            <v>0</v>
          </cell>
          <cell r="AK180">
            <v>0</v>
          </cell>
          <cell r="AL180" t="e">
            <v>#DIV/0!</v>
          </cell>
          <cell r="AM180">
            <v>0</v>
          </cell>
          <cell r="AN180" t="e">
            <v>#DIV/0!</v>
          </cell>
        </row>
        <row r="181">
          <cell r="F181">
            <v>14987176373929</v>
          </cell>
          <cell r="I181" t="str">
            <v>[箱裝]Lenor 蘭諾 衣物芳香豆 甜花石榴香 補充包, 900ml, 8個</v>
          </cell>
          <cell r="J181">
            <v>1</v>
          </cell>
          <cell r="K181">
            <v>2176</v>
          </cell>
          <cell r="L181">
            <v>2310.4</v>
          </cell>
          <cell r="M181">
            <v>2246.8000000000002</v>
          </cell>
          <cell r="P181">
            <v>0</v>
          </cell>
          <cell r="AF181">
            <v>0</v>
          </cell>
          <cell r="AG181">
            <v>0</v>
          </cell>
          <cell r="AH181" t="e">
            <v>#N/A</v>
          </cell>
          <cell r="AJ181">
            <v>0</v>
          </cell>
          <cell r="AK181">
            <v>0</v>
          </cell>
          <cell r="AL181" t="e">
            <v>#DIV/0!</v>
          </cell>
          <cell r="AM181">
            <v>0</v>
          </cell>
          <cell r="AN181" t="e">
            <v>#DIV/0!</v>
          </cell>
        </row>
        <row r="182">
          <cell r="F182">
            <v>14987176373868</v>
          </cell>
          <cell r="I182" t="str">
            <v>[箱裝]Lenor 蘭諾 衣物芳香豆 清晨草木 補充包, 900ml, 8個</v>
          </cell>
          <cell r="J182">
            <v>1</v>
          </cell>
          <cell r="K182">
            <v>2176</v>
          </cell>
          <cell r="L182">
            <v>2310.4</v>
          </cell>
          <cell r="M182">
            <v>2246.8000000000002</v>
          </cell>
          <cell r="P182">
            <v>0</v>
          </cell>
          <cell r="AF182">
            <v>0</v>
          </cell>
          <cell r="AG182">
            <v>0</v>
          </cell>
          <cell r="AH182" t="e">
            <v>#N/A</v>
          </cell>
          <cell r="AJ182">
            <v>0</v>
          </cell>
          <cell r="AK182">
            <v>0</v>
          </cell>
          <cell r="AL182" t="e">
            <v>#DIV/0!</v>
          </cell>
          <cell r="AM182">
            <v>0</v>
          </cell>
          <cell r="AN182" t="e">
            <v>#DIV/0!</v>
          </cell>
        </row>
        <row r="183">
          <cell r="F183">
            <v>14987176373875</v>
          </cell>
          <cell r="I183" t="str">
            <v>[箱裝]Lenor 蘭諾 衣物芳香豆 青檸紫羅蘭 補充包, 900ml, 8個</v>
          </cell>
          <cell r="J183">
            <v>1</v>
          </cell>
          <cell r="K183">
            <v>2176</v>
          </cell>
          <cell r="L183">
            <v>2310.4</v>
          </cell>
          <cell r="M183">
            <v>2246.8000000000002</v>
          </cell>
          <cell r="P183">
            <v>0</v>
          </cell>
          <cell r="AF183">
            <v>0</v>
          </cell>
          <cell r="AG183">
            <v>0</v>
          </cell>
          <cell r="AH183" t="e">
            <v>#N/A</v>
          </cell>
          <cell r="AJ183">
            <v>0</v>
          </cell>
          <cell r="AK183">
            <v>0</v>
          </cell>
          <cell r="AL183" t="e">
            <v>#DIV/0!</v>
          </cell>
          <cell r="AM183">
            <v>0</v>
          </cell>
          <cell r="AN183" t="e">
            <v>#DIV/0!</v>
          </cell>
        </row>
        <row r="184">
          <cell r="F184">
            <v>14987176373899</v>
          </cell>
          <cell r="I184" t="str">
            <v>[箱裝]Lenor 蘭諾 衣物芳香豆 甜柔麝香 補充包, 900ml, 8個</v>
          </cell>
          <cell r="J184">
            <v>1</v>
          </cell>
          <cell r="K184">
            <v>2176</v>
          </cell>
          <cell r="L184">
            <v>2310.4</v>
          </cell>
          <cell r="M184">
            <v>2246.8000000000002</v>
          </cell>
          <cell r="P184">
            <v>0</v>
          </cell>
          <cell r="AF184">
            <v>0</v>
          </cell>
          <cell r="AG184">
            <v>0</v>
          </cell>
          <cell r="AH184" t="e">
            <v>#N/A</v>
          </cell>
          <cell r="AJ184">
            <v>0</v>
          </cell>
          <cell r="AK184">
            <v>0</v>
          </cell>
          <cell r="AL184" t="e">
            <v>#DIV/0!</v>
          </cell>
          <cell r="AM184">
            <v>0</v>
          </cell>
          <cell r="AN184" t="e">
            <v>#DIV/0!</v>
          </cell>
        </row>
        <row r="185">
          <cell r="F185">
            <v>4987176373885</v>
          </cell>
          <cell r="I185" t="str">
            <v>Lenor 蘭諾 衣物芳香豆 運動衣物抗臭 補充包, 880ml, 1個</v>
          </cell>
          <cell r="J185">
            <v>8</v>
          </cell>
          <cell r="K185">
            <v>272</v>
          </cell>
          <cell r="L185">
            <v>2310.4</v>
          </cell>
          <cell r="M185">
            <v>2246.8000000000002</v>
          </cell>
          <cell r="P185">
            <v>193</v>
          </cell>
          <cell r="Q185">
            <v>169</v>
          </cell>
          <cell r="R185">
            <v>101</v>
          </cell>
          <cell r="S185">
            <v>32</v>
          </cell>
          <cell r="Y185">
            <v>10.75</v>
          </cell>
          <cell r="Z185">
            <v>114.375</v>
          </cell>
          <cell r="AA185">
            <v>109.375</v>
          </cell>
          <cell r="AB185">
            <v>20.625</v>
          </cell>
          <cell r="AF185">
            <v>495</v>
          </cell>
          <cell r="AG185">
            <v>255.125</v>
          </cell>
          <cell r="AH185">
            <v>132</v>
          </cell>
          <cell r="AJ185">
            <v>239.875</v>
          </cell>
          <cell r="AK185">
            <v>554207.20000000007</v>
          </cell>
          <cell r="AL185">
            <v>58.151515151515149</v>
          </cell>
          <cell r="AM185">
            <v>127.875</v>
          </cell>
          <cell r="AN185">
            <v>54.574780058651022</v>
          </cell>
        </row>
        <row r="186">
          <cell r="F186">
            <v>4987176373915</v>
          </cell>
          <cell r="I186" t="str">
            <v>Lenor 蘭諾 衣物芳香豆 潮濕天氣抗臭 補充包, 880ml, 1個</v>
          </cell>
          <cell r="J186">
            <v>8</v>
          </cell>
          <cell r="K186">
            <v>272</v>
          </cell>
          <cell r="L186">
            <v>2310.4</v>
          </cell>
          <cell r="M186">
            <v>2246.8000000000002</v>
          </cell>
          <cell r="P186">
            <v>232</v>
          </cell>
          <cell r="Q186">
            <v>0</v>
          </cell>
          <cell r="R186">
            <v>73</v>
          </cell>
          <cell r="S186">
            <v>0</v>
          </cell>
          <cell r="Y186">
            <v>1</v>
          </cell>
          <cell r="Z186">
            <v>34.125</v>
          </cell>
          <cell r="AA186">
            <v>47.875</v>
          </cell>
          <cell r="AB186">
            <v>10.5</v>
          </cell>
          <cell r="AF186">
            <v>305</v>
          </cell>
          <cell r="AG186">
            <v>93.5</v>
          </cell>
          <cell r="AH186">
            <v>80</v>
          </cell>
          <cell r="AJ186">
            <v>211.5</v>
          </cell>
          <cell r="AK186">
            <v>488649.60000000003</v>
          </cell>
          <cell r="AL186">
            <v>100.71428571428572</v>
          </cell>
          <cell r="AM186">
            <v>65.100000000000009</v>
          </cell>
          <cell r="AN186">
            <v>109.17050691244238</v>
          </cell>
        </row>
        <row r="187">
          <cell r="F187">
            <v>14987176373882</v>
          </cell>
          <cell r="I187" t="str">
            <v>[箱裝]Lenor 蘭諾 衣物芳香豆 運動衣物抗臭 補充包, 880ml, 8個</v>
          </cell>
          <cell r="J187">
            <v>1</v>
          </cell>
          <cell r="K187">
            <v>2176</v>
          </cell>
          <cell r="L187">
            <v>2310.4</v>
          </cell>
          <cell r="M187">
            <v>2246.8000000000002</v>
          </cell>
          <cell r="P187">
            <v>0</v>
          </cell>
          <cell r="AF187">
            <v>0</v>
          </cell>
          <cell r="AG187">
            <v>0</v>
          </cell>
          <cell r="AH187" t="e">
            <v>#N/A</v>
          </cell>
          <cell r="AJ187">
            <v>0</v>
          </cell>
          <cell r="AK187">
            <v>0</v>
          </cell>
          <cell r="AL187" t="e">
            <v>#DIV/0!</v>
          </cell>
          <cell r="AM187">
            <v>0</v>
          </cell>
          <cell r="AN187" t="e">
            <v>#DIV/0!</v>
          </cell>
        </row>
        <row r="188">
          <cell r="F188">
            <v>14987176373912</v>
          </cell>
          <cell r="I188" t="str">
            <v>[箱裝]Lenor 蘭諾 衣物芳香豆 潮濕天氣抗臭 補充包, 880ml, 8個</v>
          </cell>
          <cell r="J188">
            <v>1</v>
          </cell>
          <cell r="K188">
            <v>2176</v>
          </cell>
          <cell r="L188">
            <v>2310.4</v>
          </cell>
          <cell r="M188">
            <v>2246.8000000000002</v>
          </cell>
          <cell r="P188">
            <v>0</v>
          </cell>
          <cell r="AF188">
            <v>0</v>
          </cell>
          <cell r="AG188">
            <v>0</v>
          </cell>
          <cell r="AH188" t="e">
            <v>#N/A</v>
          </cell>
          <cell r="AJ188">
            <v>0</v>
          </cell>
          <cell r="AK188">
            <v>0</v>
          </cell>
          <cell r="AL188" t="e">
            <v>#DIV/0!</v>
          </cell>
          <cell r="AM188">
            <v>0</v>
          </cell>
          <cell r="AN188" t="e">
            <v>#DIV/0!</v>
          </cell>
        </row>
        <row r="189">
          <cell r="F189">
            <v>4987176373908</v>
          </cell>
          <cell r="I189" t="str">
            <v>Lenor 蘭諾 衣物芳香豆 淨白純棉 補充包, 940ml, 1個</v>
          </cell>
          <cell r="J189">
            <v>8</v>
          </cell>
          <cell r="K189">
            <v>272</v>
          </cell>
          <cell r="L189">
            <v>2310.4</v>
          </cell>
          <cell r="M189">
            <v>2246.8000000000002</v>
          </cell>
          <cell r="P189">
            <v>49</v>
          </cell>
          <cell r="Q189">
            <v>80</v>
          </cell>
          <cell r="R189">
            <v>50</v>
          </cell>
          <cell r="S189">
            <v>50</v>
          </cell>
          <cell r="Y189">
            <v>3.125</v>
          </cell>
          <cell r="Z189">
            <v>58.75</v>
          </cell>
          <cell r="AA189">
            <v>43.125</v>
          </cell>
          <cell r="AB189">
            <v>7</v>
          </cell>
          <cell r="AF189">
            <v>229</v>
          </cell>
          <cell r="AG189">
            <v>112</v>
          </cell>
          <cell r="AH189">
            <v>165</v>
          </cell>
          <cell r="AJ189">
            <v>117</v>
          </cell>
          <cell r="AK189">
            <v>270316.79999999999</v>
          </cell>
          <cell r="AL189">
            <v>83.571428571428569</v>
          </cell>
          <cell r="AM189">
            <v>43.4</v>
          </cell>
          <cell r="AN189">
            <v>135.2073732718894</v>
          </cell>
        </row>
        <row r="190">
          <cell r="F190">
            <v>4987176373854</v>
          </cell>
          <cell r="I190" t="str">
            <v>Lenor 蘭諾 衣物芳香豆 春暖晨露 補充包, 940ml, 1個</v>
          </cell>
          <cell r="J190">
            <v>8</v>
          </cell>
          <cell r="K190">
            <v>272</v>
          </cell>
          <cell r="L190">
            <v>2310.4</v>
          </cell>
          <cell r="M190">
            <v>2246.8000000000002</v>
          </cell>
          <cell r="P190">
            <v>33</v>
          </cell>
          <cell r="Q190">
            <v>78</v>
          </cell>
          <cell r="R190">
            <v>45</v>
          </cell>
          <cell r="S190">
            <v>50</v>
          </cell>
          <cell r="Y190">
            <v>4.375</v>
          </cell>
          <cell r="Z190">
            <v>48.75</v>
          </cell>
          <cell r="AA190">
            <v>38.375</v>
          </cell>
          <cell r="AB190">
            <v>5.375</v>
          </cell>
          <cell r="AF190">
            <v>206</v>
          </cell>
          <cell r="AG190">
            <v>96.875</v>
          </cell>
          <cell r="AH190">
            <v>80</v>
          </cell>
          <cell r="AJ190">
            <v>109.125</v>
          </cell>
          <cell r="AK190">
            <v>252122.40000000002</v>
          </cell>
          <cell r="AL190">
            <v>101.51162790697674</v>
          </cell>
          <cell r="AM190">
            <v>33.324999999999996</v>
          </cell>
          <cell r="AN190">
            <v>100.08252063015757</v>
          </cell>
        </row>
        <row r="191">
          <cell r="F191">
            <v>14987176373851</v>
          </cell>
          <cell r="I191" t="str">
            <v>[箱裝]Lenor 蘭諾 衣物芳香豆 春暖晨露 補充包, 940ml, 8個</v>
          </cell>
          <cell r="J191">
            <v>1</v>
          </cell>
          <cell r="K191">
            <v>2176</v>
          </cell>
          <cell r="L191">
            <v>2310.4</v>
          </cell>
          <cell r="M191">
            <v>2246.8000000000002</v>
          </cell>
          <cell r="P191">
            <v>0</v>
          </cell>
          <cell r="AF191">
            <v>0</v>
          </cell>
          <cell r="AG191">
            <v>0</v>
          </cell>
          <cell r="AH191" t="e">
            <v>#N/A</v>
          </cell>
          <cell r="AJ191">
            <v>0</v>
          </cell>
          <cell r="AK191">
            <v>0</v>
          </cell>
          <cell r="AL191" t="e">
            <v>#DIV/0!</v>
          </cell>
          <cell r="AM191">
            <v>0</v>
          </cell>
          <cell r="AN191" t="e">
            <v>#DIV/0!</v>
          </cell>
        </row>
        <row r="192">
          <cell r="F192">
            <v>14987176373905</v>
          </cell>
          <cell r="I192" t="str">
            <v>[箱裝]Lenor 蘭諾 衣物芳香豆 淨白純棉 補充包, 940ml, 8個</v>
          </cell>
          <cell r="J192">
            <v>1</v>
          </cell>
          <cell r="K192">
            <v>2176</v>
          </cell>
          <cell r="L192">
            <v>2310.4</v>
          </cell>
          <cell r="M192">
            <v>2246.8000000000002</v>
          </cell>
          <cell r="P192">
            <v>0</v>
          </cell>
          <cell r="AF192">
            <v>0</v>
          </cell>
          <cell r="AG192">
            <v>0</v>
          </cell>
          <cell r="AH192" t="e">
            <v>#N/A</v>
          </cell>
          <cell r="AJ192">
            <v>0</v>
          </cell>
          <cell r="AK192">
            <v>0</v>
          </cell>
          <cell r="AL192" t="e">
            <v>#DIV/0!</v>
          </cell>
          <cell r="AM192">
            <v>0</v>
          </cell>
          <cell r="AN192" t="e">
            <v>#DIV/0!</v>
          </cell>
        </row>
        <row r="193">
          <cell r="F193">
            <v>4987176280800</v>
          </cell>
          <cell r="I193" t="str">
            <v>[DS]ARIEL 台灣公司貨 4D抗菌洗衣膠囊補充包 抗菌去漬型, 64顆, 1袋</v>
          </cell>
          <cell r="J193">
            <v>4</v>
          </cell>
          <cell r="L193">
            <v>1746.4</v>
          </cell>
          <cell r="Y193">
            <v>0.25</v>
          </cell>
          <cell r="AF193">
            <v>0</v>
          </cell>
          <cell r="AG193">
            <v>0.25</v>
          </cell>
          <cell r="AH193" t="e">
            <v>#N/A</v>
          </cell>
          <cell r="AK193">
            <v>0</v>
          </cell>
          <cell r="AL193" t="e">
            <v>#DIV/0!</v>
          </cell>
          <cell r="AM193">
            <v>0</v>
          </cell>
          <cell r="AN193" t="e">
            <v>#DIV/0!</v>
          </cell>
        </row>
        <row r="194">
          <cell r="F194">
            <v>4987176283856</v>
          </cell>
          <cell r="I194" t="str">
            <v>[DS]ARIEL 台灣公司貨 超濃縮 新升級 抗菌洗衣精補充包, 室內晾衣型, 1690g, 1包</v>
          </cell>
          <cell r="J194">
            <v>6</v>
          </cell>
          <cell r="K194">
            <v>193</v>
          </cell>
          <cell r="L194">
            <v>1283.4000000000001</v>
          </cell>
          <cell r="M194">
            <v>1242.8599999999999</v>
          </cell>
          <cell r="Y194">
            <v>0.83333333333333337</v>
          </cell>
          <cell r="Z194">
            <v>1.3333333333333333</v>
          </cell>
          <cell r="AA194">
            <v>0.33333333333333331</v>
          </cell>
          <cell r="AF194">
            <v>0</v>
          </cell>
          <cell r="AG194">
            <v>2.5</v>
          </cell>
          <cell r="AH194" t="e">
            <v>#N/A</v>
          </cell>
          <cell r="AK194">
            <v>0</v>
          </cell>
          <cell r="AL194" t="e">
            <v>#DIV/0!</v>
          </cell>
          <cell r="AM194">
            <v>0</v>
          </cell>
          <cell r="AN194" t="e">
            <v>#DIV/0!</v>
          </cell>
        </row>
        <row r="195">
          <cell r="F195">
            <v>4987176283788</v>
          </cell>
          <cell r="I195" t="str">
            <v>[DS]ARIEL 台灣公司貨 超濃縮 新升級 抗菌洗衣精補充包, 自然微香型, 1690g, 1包</v>
          </cell>
          <cell r="J195">
            <v>6</v>
          </cell>
          <cell r="K195">
            <v>193</v>
          </cell>
          <cell r="L195">
            <v>1283.4000000000001</v>
          </cell>
          <cell r="M195">
            <v>1242.8599999999999</v>
          </cell>
          <cell r="Y195">
            <v>0.16666666666666666</v>
          </cell>
          <cell r="AF195">
            <v>0</v>
          </cell>
          <cell r="AG195">
            <v>0.16666666666666666</v>
          </cell>
          <cell r="AH195" t="e">
            <v>#N/A</v>
          </cell>
          <cell r="AK195">
            <v>0</v>
          </cell>
          <cell r="AL195" t="e">
            <v>#DIV/0!</v>
          </cell>
          <cell r="AM195">
            <v>0</v>
          </cell>
          <cell r="AN195" t="e">
            <v>#DIV/0!</v>
          </cell>
        </row>
        <row r="196">
          <cell r="F196">
            <v>4987176148858</v>
          </cell>
          <cell r="I196" t="str">
            <v>[DS]Lenor 蘭諾 台灣公司貨 衣物芳香抗菌豆 補充包 清爽海洋香, 430ml, 1包</v>
          </cell>
          <cell r="J196">
            <v>10</v>
          </cell>
          <cell r="L196">
            <v>1463</v>
          </cell>
          <cell r="Y196">
            <v>1</v>
          </cell>
          <cell r="AF196">
            <v>0</v>
          </cell>
          <cell r="AG196">
            <v>1</v>
          </cell>
          <cell r="AH196" t="e">
            <v>#N/A</v>
          </cell>
          <cell r="AK196">
            <v>0</v>
          </cell>
          <cell r="AL196" t="e">
            <v>#DIV/0!</v>
          </cell>
          <cell r="AM196">
            <v>0</v>
          </cell>
          <cell r="AN196" t="e">
            <v>#DIV/0!</v>
          </cell>
        </row>
        <row r="197">
          <cell r="F197">
            <v>4987176116093</v>
          </cell>
          <cell r="I197" t="str">
            <v>[DS]Lenor 蘭諾 衣物芳香豆 補充包 清晨草木, 455ml, 1包</v>
          </cell>
          <cell r="J197">
            <v>10</v>
          </cell>
          <cell r="L197">
            <v>1365</v>
          </cell>
          <cell r="Y197">
            <v>0.7</v>
          </cell>
          <cell r="Z197">
            <v>0.2</v>
          </cell>
          <cell r="AF197">
            <v>0</v>
          </cell>
          <cell r="AG197">
            <v>0.89999999999999991</v>
          </cell>
          <cell r="AH197" t="e">
            <v>#N/A</v>
          </cell>
          <cell r="AK197">
            <v>0</v>
          </cell>
          <cell r="AL197" t="e">
            <v>#DIV/0!</v>
          </cell>
          <cell r="AM197">
            <v>0</v>
          </cell>
          <cell r="AN197" t="e">
            <v>#DIV/0!</v>
          </cell>
        </row>
        <row r="198">
          <cell r="F198">
            <v>4987176116024</v>
          </cell>
          <cell r="I198" t="str">
            <v>[DS]Lenor 蘭諾 台灣公司貨 衣物芳香豆晨曦玫瑰, 520ml,, 1瓶</v>
          </cell>
          <cell r="J198">
            <v>6</v>
          </cell>
          <cell r="L198">
            <v>1230</v>
          </cell>
          <cell r="Y198">
            <v>1.6666666666666667</v>
          </cell>
          <cell r="Z198">
            <v>-0.66666666666666663</v>
          </cell>
          <cell r="AF198">
            <v>0</v>
          </cell>
          <cell r="AG198">
            <v>1</v>
          </cell>
          <cell r="AH198" t="e">
            <v>#N/A</v>
          </cell>
          <cell r="AK198">
            <v>0</v>
          </cell>
          <cell r="AL198" t="e">
            <v>#DIV/0!</v>
          </cell>
          <cell r="AM198">
            <v>0</v>
          </cell>
          <cell r="AN198" t="e">
            <v>#DIV/0!</v>
          </cell>
        </row>
        <row r="199">
          <cell r="F199">
            <v>4987176148841</v>
          </cell>
          <cell r="I199" t="str">
            <v>[DS]Lenor 蘭諾 台灣公司貨 衣物芳香抗菌豆, 陽光森林香, 490ml, 1瓶</v>
          </cell>
          <cell r="J199">
            <v>6</v>
          </cell>
          <cell r="L199">
            <v>1230</v>
          </cell>
          <cell r="Y199">
            <v>0.16666666666666666</v>
          </cell>
          <cell r="AF199">
            <v>0</v>
          </cell>
          <cell r="AG199">
            <v>0.16666666666666666</v>
          </cell>
          <cell r="AH199" t="e">
            <v>#N/A</v>
          </cell>
          <cell r="AK199">
            <v>0</v>
          </cell>
          <cell r="AL199" t="e">
            <v>#DIV/0!</v>
          </cell>
          <cell r="AM199">
            <v>0</v>
          </cell>
          <cell r="AN199" t="e">
            <v>#DIV/0!</v>
          </cell>
        </row>
        <row r="200">
          <cell r="F200">
            <v>16903148358341</v>
          </cell>
          <cell r="I200" t="str">
            <v>[箱裝][DS]Pampers 幫寶適 原廠公司貨 史上最強一級幫散熱拉拉褲/尿布, XL, 12~17kg, 108片_夏日散熱不悶汗 (極上守護)</v>
          </cell>
          <cell r="J200">
            <v>1</v>
          </cell>
          <cell r="L200">
            <v>1231</v>
          </cell>
          <cell r="Y200">
            <v>4</v>
          </cell>
          <cell r="Z200">
            <v>1</v>
          </cell>
          <cell r="AF200">
            <v>0</v>
          </cell>
          <cell r="AG200">
            <v>5</v>
          </cell>
          <cell r="AH200" t="e">
            <v>#N/A</v>
          </cell>
          <cell r="AK200">
            <v>0</v>
          </cell>
          <cell r="AL200" t="e">
            <v>#DIV/0!</v>
          </cell>
          <cell r="AM200">
            <v>0</v>
          </cell>
          <cell r="AN200" t="e">
            <v>#DIV/0!</v>
          </cell>
        </row>
        <row r="201">
          <cell r="F201">
            <v>16903148358068</v>
          </cell>
          <cell r="I201" t="str">
            <v>[箱裝][DS]Pampers 幫寶適 原廠公司貨 史上最強一級幫黏貼型護膚尿布/紙尿褲, M, 6~11kg, 156片_夏日遠離紅屁屁 (極上守護)</v>
          </cell>
          <cell r="J201">
            <v>1</v>
          </cell>
          <cell r="L201">
            <v>1239</v>
          </cell>
          <cell r="Q201">
            <v>0</v>
          </cell>
          <cell r="R201">
            <v>0</v>
          </cell>
          <cell r="Y201">
            <v>8</v>
          </cell>
          <cell r="Z201">
            <v>2</v>
          </cell>
          <cell r="AF201">
            <v>0</v>
          </cell>
          <cell r="AG201">
            <v>10</v>
          </cell>
          <cell r="AH201">
            <v>0</v>
          </cell>
          <cell r="AK201">
            <v>0</v>
          </cell>
          <cell r="AL201" t="e">
            <v>#DIV/0!</v>
          </cell>
          <cell r="AM201">
            <v>0</v>
          </cell>
          <cell r="AN201" t="e">
            <v>#DIV/0!</v>
          </cell>
        </row>
        <row r="202">
          <cell r="F202">
            <v>14902430746004</v>
          </cell>
          <cell r="I202" t="str">
            <v>[DS][箱裝]Pampers 幫寶適 原廠公司貨 2023版一級幫黏貼型尿布, L (9~14kg), 168片, 1箱</v>
          </cell>
          <cell r="J202">
            <v>1</v>
          </cell>
          <cell r="L202">
            <v>1789.61</v>
          </cell>
          <cell r="Y202">
            <v>1</v>
          </cell>
          <cell r="AF202">
            <v>0</v>
          </cell>
          <cell r="AG202">
            <v>1</v>
          </cell>
          <cell r="AH202" t="e">
            <v>#N/A</v>
          </cell>
          <cell r="AK202">
            <v>0</v>
          </cell>
          <cell r="AL202" t="e">
            <v>#DIV/0!</v>
          </cell>
          <cell r="AM202">
            <v>0</v>
          </cell>
          <cell r="AN202" t="e">
            <v>#DIV/0!</v>
          </cell>
        </row>
        <row r="203">
          <cell r="F203">
            <v>4987176179234</v>
          </cell>
          <cell r="I203" t="str">
            <v>[DS]whisper 好自在 原廠公司貨 INFINITY 液體衛生棉, 量多日用型, 27cm, 10片, 1包</v>
          </cell>
          <cell r="J203">
            <v>12</v>
          </cell>
          <cell r="L203">
            <v>1208.8800000000001</v>
          </cell>
          <cell r="Y203">
            <v>11.083333333333334</v>
          </cell>
          <cell r="Z203">
            <v>3.833333333333333</v>
          </cell>
          <cell r="AF203">
            <v>0</v>
          </cell>
          <cell r="AG203">
            <v>14.916666666666668</v>
          </cell>
          <cell r="AH203" t="e">
            <v>#N/A</v>
          </cell>
          <cell r="AK203">
            <v>0</v>
          </cell>
          <cell r="AL203" t="e">
            <v>#DIV/0!</v>
          </cell>
          <cell r="AM203">
            <v>0</v>
          </cell>
          <cell r="AN203" t="e">
            <v>#DIV/0!</v>
          </cell>
        </row>
        <row r="204">
          <cell r="F204">
            <v>4902430836982</v>
          </cell>
          <cell r="I204" t="str">
            <v>[DS]whisper 好自在 台灣公司貨 熊抱安睡褲, M, 4片, 1包</v>
          </cell>
          <cell r="J204">
            <v>12</v>
          </cell>
          <cell r="L204">
            <v>1270.8</v>
          </cell>
          <cell r="Y204">
            <v>0.16666666666666666</v>
          </cell>
          <cell r="AA204">
            <v>0.66666666666666663</v>
          </cell>
          <cell r="AF204">
            <v>0</v>
          </cell>
          <cell r="AG204">
            <v>0.83333333333333326</v>
          </cell>
          <cell r="AH204" t="e">
            <v>#N/A</v>
          </cell>
          <cell r="AK204">
            <v>0</v>
          </cell>
          <cell r="AL204" t="e">
            <v>#DIV/0!</v>
          </cell>
          <cell r="AM204">
            <v>0</v>
          </cell>
          <cell r="AN204" t="e">
            <v>#DIV/0!</v>
          </cell>
        </row>
        <row r="205">
          <cell r="F205">
            <v>14987176179248</v>
          </cell>
          <cell r="I205" t="str">
            <v>[DS][箱裝]whisper 好自在 台灣公司貨 日用液體衛生棉, 24cm, 10片, 12盒</v>
          </cell>
          <cell r="J205">
            <v>1</v>
          </cell>
          <cell r="L205">
            <v>1208.8800000000001</v>
          </cell>
          <cell r="Y205">
            <v>2</v>
          </cell>
          <cell r="AF205">
            <v>0</v>
          </cell>
          <cell r="AG205">
            <v>2</v>
          </cell>
          <cell r="AH205" t="e">
            <v>#N/A</v>
          </cell>
          <cell r="AK205">
            <v>0</v>
          </cell>
          <cell r="AL205" t="e">
            <v>#DIV/0!</v>
          </cell>
          <cell r="AM205">
            <v>0</v>
          </cell>
          <cell r="AN205" t="e">
            <v>#DIV/0!</v>
          </cell>
        </row>
        <row r="206">
          <cell r="F206">
            <v>4987176122841</v>
          </cell>
          <cell r="I206" t="str">
            <v>[DS]whisper 好自在 台灣公司貨 熊抱安睡 量多日夜用衛生棉, 317mm,12片,1包</v>
          </cell>
          <cell r="J206">
            <v>12</v>
          </cell>
          <cell r="L206">
            <v>827.88</v>
          </cell>
          <cell r="Y206">
            <v>1.1666666666666667</v>
          </cell>
          <cell r="AF206">
            <v>0</v>
          </cell>
          <cell r="AG206">
            <v>1.1666666666666667</v>
          </cell>
          <cell r="AH206" t="e">
            <v>#N/A</v>
          </cell>
          <cell r="AK206">
            <v>0</v>
          </cell>
          <cell r="AL206" t="e">
            <v>#DIV/0!</v>
          </cell>
          <cell r="AM206">
            <v>0</v>
          </cell>
          <cell r="AN206" t="e">
            <v>#DIV/0!</v>
          </cell>
        </row>
        <row r="207">
          <cell r="F207">
            <v>4987176340894</v>
          </cell>
          <cell r="G207">
            <v>4987176340894</v>
          </cell>
          <cell r="I207" t="str">
            <v>ARIEL 原廠公司貨 抗菌洗衣精, 抗菌去漬型, 1.9kg , 1瓶</v>
          </cell>
          <cell r="J207">
            <v>6</v>
          </cell>
          <cell r="K207">
            <v>202</v>
          </cell>
          <cell r="L207">
            <v>1329.6</v>
          </cell>
          <cell r="M207">
            <v>1288.02</v>
          </cell>
          <cell r="Q207">
            <v>150</v>
          </cell>
          <cell r="R207">
            <v>204</v>
          </cell>
          <cell r="S207">
            <v>0</v>
          </cell>
          <cell r="Z207">
            <v>51.333333333333336</v>
          </cell>
          <cell r="AA207">
            <v>88.333333333333329</v>
          </cell>
          <cell r="AB207">
            <v>4.833333333333333</v>
          </cell>
          <cell r="AF207">
            <v>354</v>
          </cell>
          <cell r="AG207">
            <v>144.5</v>
          </cell>
          <cell r="AH207">
            <v>0</v>
          </cell>
          <cell r="AJ207">
            <v>209.5</v>
          </cell>
          <cell r="AK207">
            <v>278551.19999999995</v>
          </cell>
          <cell r="AL207">
            <v>216.72413793103453</v>
          </cell>
          <cell r="AM207">
            <v>29.966666666666665</v>
          </cell>
          <cell r="AN207">
            <v>184.57174638487209</v>
          </cell>
        </row>
        <row r="208">
          <cell r="F208">
            <v>4987176340863</v>
          </cell>
          <cell r="G208">
            <v>4987176340863</v>
          </cell>
          <cell r="I208" t="str">
            <v>ARIEL 原廠公司貨 抗菌洗衣精, 室內晾衣型, 1.9kg , 1瓶</v>
          </cell>
          <cell r="J208">
            <v>6</v>
          </cell>
          <cell r="K208">
            <v>202</v>
          </cell>
          <cell r="L208">
            <v>1329.6</v>
          </cell>
          <cell r="M208">
            <v>1288.02</v>
          </cell>
          <cell r="Q208">
            <v>33</v>
          </cell>
          <cell r="R208">
            <v>41</v>
          </cell>
          <cell r="S208">
            <v>0</v>
          </cell>
          <cell r="Z208">
            <v>9.3333333333333339</v>
          </cell>
          <cell r="AA208">
            <v>29</v>
          </cell>
          <cell r="AB208">
            <v>8.6666666666666679</v>
          </cell>
          <cell r="AF208">
            <v>74</v>
          </cell>
          <cell r="AG208">
            <v>47</v>
          </cell>
          <cell r="AH208">
            <v>0</v>
          </cell>
          <cell r="AJ208">
            <v>27</v>
          </cell>
          <cell r="AK208">
            <v>35899.199999999997</v>
          </cell>
          <cell r="AL208">
            <v>15.576923076923075</v>
          </cell>
          <cell r="AM208">
            <v>53.733333333333341</v>
          </cell>
          <cell r="AN208">
            <v>-10.086848635235736</v>
          </cell>
        </row>
        <row r="209">
          <cell r="F209">
            <v>4987176340917</v>
          </cell>
          <cell r="G209">
            <v>4987176340917</v>
          </cell>
          <cell r="I209" t="str">
            <v>ARIEL 抗菌洗衣精 抗菌去漬型, 800g, 1個</v>
          </cell>
          <cell r="J209">
            <v>12</v>
          </cell>
          <cell r="K209">
            <v>122</v>
          </cell>
          <cell r="L209">
            <v>1620</v>
          </cell>
          <cell r="M209">
            <v>1571.9</v>
          </cell>
          <cell r="Q209">
            <v>0</v>
          </cell>
          <cell r="R209">
            <v>0</v>
          </cell>
          <cell r="S209">
            <v>0</v>
          </cell>
          <cell r="AF209">
            <v>0</v>
          </cell>
          <cell r="AG209">
            <v>0</v>
          </cell>
          <cell r="AH209">
            <v>0</v>
          </cell>
          <cell r="AJ209">
            <v>0</v>
          </cell>
          <cell r="AK209">
            <v>0</v>
          </cell>
          <cell r="AL209" t="e">
            <v>#DIV/0!</v>
          </cell>
          <cell r="AM209">
            <v>0</v>
          </cell>
          <cell r="AN209" t="e">
            <v>#DIV/0!</v>
          </cell>
        </row>
        <row r="210">
          <cell r="F210">
            <v>4987176340931</v>
          </cell>
          <cell r="G210">
            <v>4987176340931</v>
          </cell>
          <cell r="I210" t="str">
            <v>ARIEL 抗菌洗衣精 室內晾衣型, 800g, 1瓶</v>
          </cell>
          <cell r="J210">
            <v>12</v>
          </cell>
          <cell r="K210">
            <v>122</v>
          </cell>
          <cell r="L210">
            <v>1620</v>
          </cell>
          <cell r="M210">
            <v>1571.9</v>
          </cell>
          <cell r="Q210">
            <v>0</v>
          </cell>
          <cell r="R210">
            <v>0</v>
          </cell>
          <cell r="S210">
            <v>0</v>
          </cell>
          <cell r="AF210">
            <v>0</v>
          </cell>
          <cell r="AG210">
            <v>0</v>
          </cell>
          <cell r="AH210">
            <v>0</v>
          </cell>
          <cell r="AJ210">
            <v>0</v>
          </cell>
          <cell r="AK210">
            <v>0</v>
          </cell>
          <cell r="AL210" t="e">
            <v>#DIV/0!</v>
          </cell>
          <cell r="AM210">
            <v>0</v>
          </cell>
          <cell r="AN210" t="e">
            <v>#DIV/0!</v>
          </cell>
        </row>
        <row r="211">
          <cell r="F211">
            <v>4987176392343</v>
          </cell>
          <cell r="G211">
            <v>4987176392343</v>
          </cell>
          <cell r="I211" t="str">
            <v>BOLD原廠公司貨 四合一洗衣膠囊 清淨花香, 14顆 ,1盒</v>
          </cell>
          <cell r="J211">
            <v>6</v>
          </cell>
          <cell r="L211">
            <v>838.8</v>
          </cell>
          <cell r="M211">
            <v>808.24</v>
          </cell>
          <cell r="Q211">
            <v>0</v>
          </cell>
          <cell r="R211">
            <v>0</v>
          </cell>
          <cell r="S211">
            <v>0</v>
          </cell>
          <cell r="AF211">
            <v>0</v>
          </cell>
          <cell r="AG211">
            <v>0</v>
          </cell>
          <cell r="AH211" t="e">
            <v>#N/A</v>
          </cell>
          <cell r="AJ211">
            <v>0</v>
          </cell>
          <cell r="AK211">
            <v>0</v>
          </cell>
          <cell r="AL211" t="e">
            <v>#DIV/0!</v>
          </cell>
          <cell r="AM211">
            <v>0</v>
          </cell>
          <cell r="AN211" t="e">
            <v>#DIV/0!</v>
          </cell>
        </row>
        <row r="212">
          <cell r="F212">
            <v>4987176392350</v>
          </cell>
          <cell r="G212">
            <v>4987176392350</v>
          </cell>
          <cell r="I212" t="str">
            <v>BOLD原廠公司貨 四合一洗衣膠囊 淡雅花香, 14顆 ,1盒</v>
          </cell>
          <cell r="J212">
            <v>6</v>
          </cell>
          <cell r="L212">
            <v>838.8</v>
          </cell>
          <cell r="M212">
            <v>808.24</v>
          </cell>
          <cell r="Q212">
            <v>0</v>
          </cell>
          <cell r="R212">
            <v>0</v>
          </cell>
          <cell r="S212">
            <v>0</v>
          </cell>
          <cell r="AF212">
            <v>0</v>
          </cell>
          <cell r="AG212">
            <v>0</v>
          </cell>
          <cell r="AH212" t="e">
            <v>#N/A</v>
          </cell>
          <cell r="AJ212">
            <v>0</v>
          </cell>
          <cell r="AK212">
            <v>0</v>
          </cell>
          <cell r="AL212" t="e">
            <v>#DIV/0!</v>
          </cell>
          <cell r="AM212">
            <v>0</v>
          </cell>
          <cell r="AN212" t="e">
            <v>#DIV/0!</v>
          </cell>
        </row>
        <row r="213">
          <cell r="F213">
            <v>4987176339928</v>
          </cell>
          <cell r="G213">
            <v>4987176339928</v>
          </cell>
          <cell r="I213" t="str">
            <v>Bold 原廠公司貨 四合一洗衣膠囊 清淨花香, 57個裝, 1套</v>
          </cell>
          <cell r="J213">
            <v>5</v>
          </cell>
          <cell r="K213">
            <v>368</v>
          </cell>
          <cell r="L213">
            <v>1955</v>
          </cell>
          <cell r="M213">
            <v>1899.38</v>
          </cell>
          <cell r="Q213">
            <v>0</v>
          </cell>
          <cell r="R213">
            <v>0</v>
          </cell>
          <cell r="S213">
            <v>0</v>
          </cell>
          <cell r="AF213">
            <v>0</v>
          </cell>
          <cell r="AG213">
            <v>0</v>
          </cell>
          <cell r="AH213">
            <v>0</v>
          </cell>
          <cell r="AJ213">
            <v>0</v>
          </cell>
          <cell r="AK213">
            <v>0</v>
          </cell>
          <cell r="AL213" t="e">
            <v>#DIV/0!</v>
          </cell>
          <cell r="AM213">
            <v>0</v>
          </cell>
          <cell r="AN213" t="e">
            <v>#DIV/0!</v>
          </cell>
        </row>
        <row r="214">
          <cell r="F214">
            <v>4987176339935</v>
          </cell>
          <cell r="G214">
            <v>4987176339935</v>
          </cell>
          <cell r="H214">
            <v>83907178</v>
          </cell>
          <cell r="I214" t="str">
            <v>BOLD原廠公司貨 四合一洗衣膠囊 清淨花香, 31顆 ,1袋</v>
          </cell>
          <cell r="J214">
            <v>10</v>
          </cell>
          <cell r="K214">
            <v>200</v>
          </cell>
          <cell r="L214">
            <v>2183.5</v>
          </cell>
          <cell r="M214">
            <v>2122.75</v>
          </cell>
          <cell r="R214">
            <v>1</v>
          </cell>
          <cell r="S214">
            <v>126</v>
          </cell>
          <cell r="AA214">
            <v>1</v>
          </cell>
          <cell r="AB214">
            <v>0.8</v>
          </cell>
          <cell r="AF214">
            <v>127</v>
          </cell>
          <cell r="AG214">
            <v>1.8</v>
          </cell>
          <cell r="AH214">
            <v>206</v>
          </cell>
          <cell r="AJ214">
            <v>125.2</v>
          </cell>
          <cell r="AL214">
            <v>782.50000000000011</v>
          </cell>
          <cell r="AM214">
            <v>4.96</v>
          </cell>
          <cell r="AN214">
            <v>1215.9677419354839</v>
          </cell>
        </row>
        <row r="215">
          <cell r="F215">
            <v>4987176339898</v>
          </cell>
          <cell r="G215">
            <v>4987176339898</v>
          </cell>
          <cell r="H215">
            <v>83907179</v>
          </cell>
          <cell r="I215" t="str">
            <v>BOLD原廠公司貨 四合一洗衣膠囊 淡雅花香, 31顆 ,1袋</v>
          </cell>
          <cell r="J215">
            <v>10</v>
          </cell>
          <cell r="K215">
            <v>200</v>
          </cell>
          <cell r="L215">
            <v>2183.5</v>
          </cell>
          <cell r="M215">
            <v>2122.75</v>
          </cell>
          <cell r="R215">
            <v>1</v>
          </cell>
          <cell r="S215">
            <v>6</v>
          </cell>
          <cell r="AA215">
            <v>1</v>
          </cell>
          <cell r="AB215">
            <v>1.1000000000000001</v>
          </cell>
          <cell r="AF215">
            <v>7</v>
          </cell>
          <cell r="AG215">
            <v>2.1</v>
          </cell>
          <cell r="AH215">
            <v>94</v>
          </cell>
          <cell r="AJ215">
            <v>4.9000000000000004</v>
          </cell>
          <cell r="AL215">
            <v>22.272727272727273</v>
          </cell>
          <cell r="AM215">
            <v>6.8200000000000012</v>
          </cell>
          <cell r="AN215">
            <v>383.48973607038113</v>
          </cell>
        </row>
        <row r="216">
          <cell r="F216">
            <v>4987176386762</v>
          </cell>
          <cell r="G216">
            <v>4987176386762</v>
          </cell>
          <cell r="I216" t="str">
            <v>[箱裝]Pampers 幫寶適 原廠公司貨 史上最強一級幫黏貼型護膚尿布/紙尿褲, S, 4~8kg, 198片_夏日遠離紅屁屁 (極上守護)</v>
          </cell>
          <cell r="J216">
            <v>1</v>
          </cell>
          <cell r="K216">
            <v>1232</v>
          </cell>
          <cell r="L216">
            <v>1168</v>
          </cell>
          <cell r="M216">
            <v>1117.3397</v>
          </cell>
          <cell r="Q216">
            <v>0</v>
          </cell>
          <cell r="R216">
            <v>0</v>
          </cell>
          <cell r="S216">
            <v>200</v>
          </cell>
          <cell r="AB216">
            <v>5</v>
          </cell>
          <cell r="AF216">
            <v>200</v>
          </cell>
          <cell r="AG216">
            <v>5</v>
          </cell>
          <cell r="AH216">
            <v>200</v>
          </cell>
          <cell r="AJ216">
            <v>195</v>
          </cell>
          <cell r="AK216">
            <v>227760</v>
          </cell>
          <cell r="AL216">
            <v>195</v>
          </cell>
          <cell r="AM216">
            <v>31</v>
          </cell>
          <cell r="AN216">
            <v>163.54838709677418</v>
          </cell>
        </row>
        <row r="217">
          <cell r="F217">
            <v>4987176386724</v>
          </cell>
          <cell r="G217">
            <v>4987176386724</v>
          </cell>
          <cell r="I217" t="str">
            <v>[箱裝]Pampers 幫寶適 原廠公司貨 史上最強一級幫散熱拉拉褲/尿布/褲型, M, 6~11kg, 150片_夏日遠離紅屁屁 (極上守護)</v>
          </cell>
          <cell r="J217">
            <v>1</v>
          </cell>
          <cell r="K217">
            <v>1232</v>
          </cell>
          <cell r="L217">
            <v>1168</v>
          </cell>
          <cell r="M217">
            <v>1117.3397</v>
          </cell>
          <cell r="Q217">
            <v>0</v>
          </cell>
          <cell r="R217">
            <v>0</v>
          </cell>
          <cell r="S217">
            <v>300</v>
          </cell>
          <cell r="AB217">
            <v>16</v>
          </cell>
          <cell r="AF217">
            <v>300</v>
          </cell>
          <cell r="AG217">
            <v>16</v>
          </cell>
          <cell r="AH217">
            <v>300</v>
          </cell>
          <cell r="AJ217">
            <v>284</v>
          </cell>
          <cell r="AK217">
            <v>331712</v>
          </cell>
          <cell r="AL217">
            <v>88.75</v>
          </cell>
          <cell r="AM217">
            <v>99.2</v>
          </cell>
          <cell r="AN217">
            <v>60.725806451612911</v>
          </cell>
        </row>
        <row r="218">
          <cell r="F218">
            <v>4987176386694</v>
          </cell>
          <cell r="G218">
            <v>4987176386694</v>
          </cell>
          <cell r="I218" t="str">
            <v>[箱裝]Pampers 幫寶適 原廠公司貨 史上最強一級幫散熱拉拉褲/尿布/褲型, L+, 10~15kg, 102片_夏日遠離紅屁屁 (極上守護)</v>
          </cell>
          <cell r="J218">
            <v>1</v>
          </cell>
          <cell r="K218">
            <v>1232</v>
          </cell>
          <cell r="L218">
            <v>1168</v>
          </cell>
          <cell r="M218">
            <v>1117.3397</v>
          </cell>
          <cell r="Q218">
            <v>0</v>
          </cell>
          <cell r="R218">
            <v>0</v>
          </cell>
          <cell r="S218">
            <v>0</v>
          </cell>
          <cell r="AF218">
            <v>0</v>
          </cell>
          <cell r="AG218">
            <v>0</v>
          </cell>
          <cell r="AH218" t="e">
            <v>#N/A</v>
          </cell>
          <cell r="AJ218">
            <v>0</v>
          </cell>
          <cell r="AK218">
            <v>0</v>
          </cell>
          <cell r="AL218" t="e">
            <v>#DIV/0!</v>
          </cell>
          <cell r="AM218">
            <v>0</v>
          </cell>
          <cell r="AN218" t="e">
            <v>#DIV/0!</v>
          </cell>
        </row>
        <row r="219">
          <cell r="F219">
            <v>4987176386793</v>
          </cell>
          <cell r="G219">
            <v>4987176386793</v>
          </cell>
          <cell r="I219" t="str">
            <v>[箱裝]Pampers 幫寶適 原廠公司貨 史上最強一級幫散熱拉拉褲/尿布/褲型, XXXL, 17kg以上, 78片_夏日遠離紅屁屁 (極上守護)</v>
          </cell>
          <cell r="J219">
            <v>1</v>
          </cell>
          <cell r="K219">
            <v>1232</v>
          </cell>
          <cell r="L219">
            <v>1168</v>
          </cell>
          <cell r="M219">
            <v>1117.3397</v>
          </cell>
          <cell r="Q219">
            <v>0</v>
          </cell>
          <cell r="R219">
            <v>0</v>
          </cell>
          <cell r="S219">
            <v>0</v>
          </cell>
          <cell r="AF219">
            <v>0</v>
          </cell>
          <cell r="AG219">
            <v>0</v>
          </cell>
          <cell r="AH219" t="e">
            <v>#N/A</v>
          </cell>
          <cell r="AJ219">
            <v>0</v>
          </cell>
          <cell r="AK219">
            <v>0</v>
          </cell>
          <cell r="AL219" t="e">
            <v>#DIV/0!</v>
          </cell>
          <cell r="AM219">
            <v>0</v>
          </cell>
          <cell r="AN219" t="e">
            <v>#DIV/0!</v>
          </cell>
        </row>
        <row r="220">
          <cell r="F220">
            <v>14987176287004</v>
          </cell>
          <cell r="I220" t="str">
            <v>[箱裝]Pampers 幫寶適 原廠公司貨 史上最強一級幫紙尿褲/尿布禮盒/彌月禮盒組(黏貼型尿布-NB 32片+S112片), 144片, 1盒_(極上守護)</v>
          </cell>
          <cell r="J220">
            <v>1</v>
          </cell>
          <cell r="K220">
            <v>806</v>
          </cell>
          <cell r="L220">
            <v>856.4</v>
          </cell>
          <cell r="M220">
            <v>812.74</v>
          </cell>
          <cell r="Q220">
            <v>528</v>
          </cell>
          <cell r="R220">
            <v>0</v>
          </cell>
          <cell r="Z220">
            <v>75</v>
          </cell>
          <cell r="AA220">
            <v>437</v>
          </cell>
          <cell r="AB220">
            <v>-1</v>
          </cell>
          <cell r="AF220">
            <v>528</v>
          </cell>
          <cell r="AG220">
            <v>511</v>
          </cell>
          <cell r="AH220">
            <v>0</v>
          </cell>
          <cell r="AJ220">
            <v>17</v>
          </cell>
          <cell r="AK220">
            <v>14558.8</v>
          </cell>
          <cell r="AL220">
            <v>-85</v>
          </cell>
          <cell r="AM220">
            <v>-6.2</v>
          </cell>
          <cell r="AN220">
            <v>-107.41935483870962</v>
          </cell>
        </row>
        <row r="221">
          <cell r="F221">
            <v>4987176393326</v>
          </cell>
          <cell r="G221">
            <v>4987176393326</v>
          </cell>
          <cell r="I221" t="str">
            <v>Tide 汰漬 台灣公司貨 2倍超濃縮洗衣精, 3.69L, 1桶</v>
          </cell>
          <cell r="J221">
            <v>4</v>
          </cell>
          <cell r="L221">
            <v>2376.48</v>
          </cell>
          <cell r="M221">
            <v>2311.4</v>
          </cell>
          <cell r="Q221">
            <v>0</v>
          </cell>
          <cell r="R221">
            <v>107</v>
          </cell>
          <cell r="S221">
            <v>107</v>
          </cell>
          <cell r="AA221">
            <v>30.5</v>
          </cell>
          <cell r="AB221">
            <v>7.5</v>
          </cell>
          <cell r="AF221">
            <v>214</v>
          </cell>
          <cell r="AG221">
            <v>38</v>
          </cell>
          <cell r="AH221">
            <v>107</v>
          </cell>
          <cell r="AJ221">
            <v>176</v>
          </cell>
          <cell r="AK221">
            <v>418260.47999999998</v>
          </cell>
          <cell r="AL221">
            <v>117.33333333333333</v>
          </cell>
          <cell r="AM221">
            <v>46.5</v>
          </cell>
          <cell r="AN221">
            <v>88.387096774193552</v>
          </cell>
        </row>
        <row r="222">
          <cell r="F222">
            <v>4987176134578</v>
          </cell>
          <cell r="G222">
            <v>4987176134578</v>
          </cell>
          <cell r="I222" t="str">
            <v>Gillette 吉列 Labs 極光系列 刮鬍刀組, 刀架 + 刀頭 2個 + 刀座, 1組</v>
          </cell>
          <cell r="J222">
            <v>6</v>
          </cell>
          <cell r="K222">
            <v>580</v>
          </cell>
          <cell r="L222">
            <v>3652.8</v>
          </cell>
          <cell r="M222">
            <v>3559.0640400000002</v>
          </cell>
          <cell r="Q222">
            <v>0</v>
          </cell>
          <cell r="R222">
            <v>41</v>
          </cell>
          <cell r="S222">
            <v>82</v>
          </cell>
          <cell r="AA222">
            <v>2.3333333333333335</v>
          </cell>
          <cell r="AB222">
            <v>1.3333333333333333</v>
          </cell>
          <cell r="AF222">
            <v>123</v>
          </cell>
          <cell r="AG222">
            <v>3.666666666666667</v>
          </cell>
          <cell r="AH222">
            <v>82</v>
          </cell>
          <cell r="AJ222">
            <v>119.33333333333333</v>
          </cell>
          <cell r="AK222">
            <v>435900.8</v>
          </cell>
          <cell r="AL222">
            <v>447.5</v>
          </cell>
          <cell r="AM222">
            <v>8.2666666666666657</v>
          </cell>
          <cell r="AN222">
            <v>407.9032258064517</v>
          </cell>
        </row>
        <row r="223">
          <cell r="F223">
            <v>4902430340526</v>
          </cell>
          <cell r="G223">
            <v>4902430340526</v>
          </cell>
          <cell r="I223" t="str">
            <v>Gillette 吉列 Mach3 Turbo 鋒速突破系列刮鬍刀頭, 4個, 1盒</v>
          </cell>
          <cell r="J223">
            <v>12</v>
          </cell>
          <cell r="K223">
            <v>295</v>
          </cell>
          <cell r="L223">
            <v>3693.6</v>
          </cell>
          <cell r="M223">
            <v>3598.9480800000001</v>
          </cell>
          <cell r="Q223">
            <v>0</v>
          </cell>
          <cell r="R223">
            <v>0</v>
          </cell>
          <cell r="S223">
            <v>0</v>
          </cell>
          <cell r="AF223">
            <v>0</v>
          </cell>
          <cell r="AG223">
            <v>0</v>
          </cell>
          <cell r="AH223">
            <v>0</v>
          </cell>
          <cell r="AJ223">
            <v>0</v>
          </cell>
          <cell r="AK223">
            <v>0</v>
          </cell>
          <cell r="AL223" t="e">
            <v>#DIV/0!</v>
          </cell>
          <cell r="AM223">
            <v>0</v>
          </cell>
          <cell r="AN223" t="e">
            <v>#DIV/0!</v>
          </cell>
        </row>
        <row r="224">
          <cell r="F224">
            <v>4902430341820</v>
          </cell>
          <cell r="G224">
            <v>4902430341820</v>
          </cell>
          <cell r="I224" t="str">
            <v>Gillette 吉列 台灣公司貨 Mach3 鋒速系列刮鬍刀頭, 8個, 1盒</v>
          </cell>
          <cell r="J224">
            <v>12</v>
          </cell>
          <cell r="K224">
            <v>435</v>
          </cell>
          <cell r="L224">
            <v>5492.4</v>
          </cell>
          <cell r="M224">
            <v>5357.3650199999993</v>
          </cell>
          <cell r="Q224">
            <v>0</v>
          </cell>
          <cell r="R224">
            <v>12</v>
          </cell>
          <cell r="S224">
            <v>22</v>
          </cell>
          <cell r="AA224">
            <v>0.33333333333333331</v>
          </cell>
          <cell r="AB224">
            <v>0.58333333333333337</v>
          </cell>
          <cell r="AF224">
            <v>34</v>
          </cell>
          <cell r="AG224">
            <v>0.91666666666666674</v>
          </cell>
          <cell r="AH224">
            <v>22</v>
          </cell>
          <cell r="AJ224">
            <v>33.083333333333336</v>
          </cell>
          <cell r="AK224">
            <v>181706.9</v>
          </cell>
          <cell r="AL224">
            <v>283.57142857142856</v>
          </cell>
          <cell r="AM224">
            <v>3.6166666666666667</v>
          </cell>
          <cell r="AN224">
            <v>249.2626728110599</v>
          </cell>
        </row>
        <row r="225">
          <cell r="F225">
            <v>4987176247681</v>
          </cell>
          <cell r="G225">
            <v>4987176247681</v>
          </cell>
          <cell r="I225" t="str">
            <v>Gillette 吉列 台灣公司貨 Mach3 Turbo 鋒速突破系列刮鬍刀組, 刀架+刀頭*2, 1盒</v>
          </cell>
          <cell r="J225">
            <v>4</v>
          </cell>
          <cell r="K225">
            <v>180</v>
          </cell>
          <cell r="L225">
            <v>758.8</v>
          </cell>
          <cell r="M225">
            <v>730.03433999999993</v>
          </cell>
          <cell r="Q225">
            <v>0</v>
          </cell>
          <cell r="R225">
            <v>0</v>
          </cell>
          <cell r="S225">
            <v>0</v>
          </cell>
          <cell r="AF225">
            <v>0</v>
          </cell>
          <cell r="AG225">
            <v>0</v>
          </cell>
          <cell r="AH225">
            <v>0</v>
          </cell>
          <cell r="AJ225">
            <v>0</v>
          </cell>
          <cell r="AK225">
            <v>0</v>
          </cell>
          <cell r="AL225" t="e">
            <v>#DIV/0!</v>
          </cell>
          <cell r="AM225">
            <v>0</v>
          </cell>
          <cell r="AN225" t="e">
            <v>#DIV/0!</v>
          </cell>
        </row>
        <row r="226">
          <cell r="F226">
            <v>4987176132185</v>
          </cell>
          <cell r="G226">
            <v>4987176132185</v>
          </cell>
          <cell r="I226" t="str">
            <v>Gillette 吉列 台灣公司貨 Labs 極光系列 刮鬍刀頭, 8個, 1盒</v>
          </cell>
          <cell r="J226">
            <v>10</v>
          </cell>
          <cell r="K226">
            <v>920</v>
          </cell>
          <cell r="L226">
            <v>9712</v>
          </cell>
          <cell r="M226">
            <v>9482.2350000000006</v>
          </cell>
          <cell r="Q226">
            <v>0</v>
          </cell>
          <cell r="R226">
            <v>24</v>
          </cell>
          <cell r="S226">
            <v>46</v>
          </cell>
          <cell r="AA226">
            <v>1.6</v>
          </cell>
          <cell r="AB226">
            <v>1</v>
          </cell>
          <cell r="AF226">
            <v>70</v>
          </cell>
          <cell r="AG226">
            <v>2.6</v>
          </cell>
          <cell r="AH226">
            <v>46</v>
          </cell>
          <cell r="AJ226">
            <v>67.400000000000006</v>
          </cell>
          <cell r="AK226">
            <v>654588.80000000005</v>
          </cell>
          <cell r="AL226">
            <v>337</v>
          </cell>
          <cell r="AM226">
            <v>6.2</v>
          </cell>
          <cell r="AN226">
            <v>300.9677419354839</v>
          </cell>
        </row>
        <row r="227">
          <cell r="F227">
            <v>4987176132178</v>
          </cell>
          <cell r="G227">
            <v>4987176132178</v>
          </cell>
          <cell r="I227" t="str">
            <v>Gillette 吉列 台灣公司貨 Labs 極光系列 刮鬍刀頭, 4個, 1盒</v>
          </cell>
          <cell r="J227">
            <v>10</v>
          </cell>
          <cell r="K227">
            <v>610</v>
          </cell>
          <cell r="L227">
            <v>6420</v>
          </cell>
          <cell r="M227">
            <v>6264.1404000000002</v>
          </cell>
          <cell r="Q227">
            <v>0</v>
          </cell>
          <cell r="R227">
            <v>0</v>
          </cell>
          <cell r="S227">
            <v>37</v>
          </cell>
          <cell r="AB227">
            <v>0.1</v>
          </cell>
          <cell r="AF227">
            <v>37</v>
          </cell>
          <cell r="AG227">
            <v>0.1</v>
          </cell>
          <cell r="AH227">
            <v>37</v>
          </cell>
          <cell r="AJ227">
            <v>36.9</v>
          </cell>
          <cell r="AK227">
            <v>236898</v>
          </cell>
          <cell r="AL227">
            <v>1845</v>
          </cell>
          <cell r="AM227">
            <v>0.62</v>
          </cell>
          <cell r="AN227">
            <v>1760.3225806451615</v>
          </cell>
        </row>
        <row r="228">
          <cell r="F228">
            <v>4987176272768</v>
          </cell>
          <cell r="G228">
            <v>4987176272768</v>
          </cell>
          <cell r="I228" t="str">
            <v>Gillette 吉列 原廠公司貨 Proglide無感系列刮鬍刀頭, 1組, 4個</v>
          </cell>
          <cell r="J228">
            <v>20</v>
          </cell>
          <cell r="K228">
            <v>470</v>
          </cell>
          <cell r="L228">
            <v>9034</v>
          </cell>
          <cell r="M228">
            <v>8819.4599999999991</v>
          </cell>
          <cell r="Q228">
            <v>0</v>
          </cell>
          <cell r="R228">
            <v>0</v>
          </cell>
          <cell r="S228">
            <v>31</v>
          </cell>
          <cell r="AB228">
            <v>0.05</v>
          </cell>
          <cell r="AF228">
            <v>31</v>
          </cell>
          <cell r="AG228">
            <v>0.05</v>
          </cell>
          <cell r="AH228">
            <v>31</v>
          </cell>
          <cell r="AJ228">
            <v>30.95</v>
          </cell>
          <cell r="AK228">
            <v>279602.3</v>
          </cell>
          <cell r="AL228">
            <v>3095</v>
          </cell>
          <cell r="AM228">
            <v>0.31</v>
          </cell>
          <cell r="AN228">
            <v>2970</v>
          </cell>
        </row>
        <row r="229">
          <cell r="F229">
            <v>4987176272799</v>
          </cell>
          <cell r="G229">
            <v>4987176272799</v>
          </cell>
          <cell r="I229" t="str">
            <v>Gillette 吉列 原廠公司貨 ProShield鋒護系列 刮鬍刀頭, 4個, 1組</v>
          </cell>
          <cell r="J229">
            <v>20</v>
          </cell>
          <cell r="K229">
            <v>525</v>
          </cell>
          <cell r="L229">
            <v>10223.219999999999</v>
          </cell>
          <cell r="M229">
            <v>10470</v>
          </cell>
          <cell r="Q229">
            <v>0</v>
          </cell>
          <cell r="R229">
            <v>0</v>
          </cell>
          <cell r="S229">
            <v>30</v>
          </cell>
          <cell r="AB229">
            <v>0.2</v>
          </cell>
          <cell r="AF229">
            <v>30</v>
          </cell>
          <cell r="AG229">
            <v>0.2</v>
          </cell>
          <cell r="AH229">
            <v>30</v>
          </cell>
          <cell r="AJ229">
            <v>29.8</v>
          </cell>
          <cell r="AK229">
            <v>304651.95600000001</v>
          </cell>
          <cell r="AL229">
            <v>745.00000000000011</v>
          </cell>
          <cell r="AM229">
            <v>1.24</v>
          </cell>
          <cell r="AN229">
            <v>695.80645161290329</v>
          </cell>
        </row>
        <row r="230">
          <cell r="F230">
            <v>4987176293374</v>
          </cell>
          <cell r="G230">
            <v>4987176293374</v>
          </cell>
          <cell r="I230" t="str">
            <v>Gillette 吉列 服貼滑順輕便刮鬍刀, 10支, 1包</v>
          </cell>
          <cell r="J230">
            <v>12</v>
          </cell>
          <cell r="K230">
            <v>93</v>
          </cell>
          <cell r="L230">
            <v>1032</v>
          </cell>
          <cell r="M230">
            <v>997.1</v>
          </cell>
          <cell r="Q230">
            <v>0</v>
          </cell>
          <cell r="R230">
            <v>96</v>
          </cell>
          <cell r="S230">
            <v>50</v>
          </cell>
          <cell r="AA230">
            <v>12.083333333333334</v>
          </cell>
          <cell r="AB230">
            <v>4.916666666666667</v>
          </cell>
          <cell r="AF230">
            <v>146</v>
          </cell>
          <cell r="AG230">
            <v>17</v>
          </cell>
          <cell r="AH230">
            <v>50</v>
          </cell>
          <cell r="AJ230">
            <v>129</v>
          </cell>
          <cell r="AK230">
            <v>133128</v>
          </cell>
          <cell r="AL230">
            <v>131.18644067796609</v>
          </cell>
          <cell r="AM230">
            <v>30.483333333333334</v>
          </cell>
          <cell r="AN230">
            <v>101.79332968835429</v>
          </cell>
        </row>
        <row r="231">
          <cell r="F231">
            <v>4987176274168</v>
          </cell>
          <cell r="G231">
            <v>4987176274168</v>
          </cell>
          <cell r="I231" t="str">
            <v>Gillette 吉列 SkinGuard 紳適系列刮鬍刀頭, 4個, 1組</v>
          </cell>
          <cell r="J231">
            <v>20</v>
          </cell>
          <cell r="K231">
            <v>419</v>
          </cell>
          <cell r="L231">
            <v>8808</v>
          </cell>
          <cell r="M231">
            <v>8598.5300000000007</v>
          </cell>
          <cell r="Q231">
            <v>9</v>
          </cell>
          <cell r="R231">
            <v>0</v>
          </cell>
          <cell r="S231">
            <v>2</v>
          </cell>
          <cell r="Z231">
            <v>0.8</v>
          </cell>
          <cell r="AA231">
            <v>1.8499999999999999</v>
          </cell>
          <cell r="AB231">
            <v>0.5</v>
          </cell>
          <cell r="AF231">
            <v>11</v>
          </cell>
          <cell r="AG231">
            <v>3.15</v>
          </cell>
          <cell r="AH231">
            <v>2</v>
          </cell>
          <cell r="AJ231">
            <v>7.85</v>
          </cell>
          <cell r="AK231">
            <v>69142.8</v>
          </cell>
          <cell r="AL231">
            <v>78.5</v>
          </cell>
          <cell r="AM231">
            <v>3.1</v>
          </cell>
          <cell r="AN231">
            <v>50.806451612903224</v>
          </cell>
        </row>
        <row r="232">
          <cell r="F232">
            <v>4987176134608</v>
          </cell>
          <cell r="G232">
            <v>4987176134608</v>
          </cell>
          <cell r="I232" t="str">
            <v>Gillette 吉列 Labs 極光系列 刮鬍刀組, 刀架 + 刀頭 5個 + 刀座 + 旅行盒, 1組</v>
          </cell>
          <cell r="J232">
            <v>6</v>
          </cell>
          <cell r="K232">
            <v>995</v>
          </cell>
          <cell r="L232">
            <v>6275.4</v>
          </cell>
          <cell r="M232">
            <v>6122.7866700000004</v>
          </cell>
          <cell r="Q232">
            <v>21</v>
          </cell>
          <cell r="R232">
            <v>34</v>
          </cell>
          <cell r="S232">
            <v>32</v>
          </cell>
          <cell r="Z232">
            <v>5.166666666666667</v>
          </cell>
          <cell r="AA232">
            <v>9.1666666666666661</v>
          </cell>
          <cell r="AB232">
            <v>0.99999999999999989</v>
          </cell>
          <cell r="AF232">
            <v>87</v>
          </cell>
          <cell r="AG232">
            <v>15.333333333333332</v>
          </cell>
          <cell r="AH232">
            <v>32</v>
          </cell>
          <cell r="AJ232">
            <v>71.666666666666671</v>
          </cell>
          <cell r="AK232">
            <v>449737</v>
          </cell>
          <cell r="AL232">
            <v>358.33333333333337</v>
          </cell>
          <cell r="AM232">
            <v>6.1999999999999993</v>
          </cell>
          <cell r="AN232">
            <v>321.61290322580652</v>
          </cell>
        </row>
        <row r="233">
          <cell r="F233">
            <v>4987176039507</v>
          </cell>
          <cell r="G233">
            <v>4987176039507</v>
          </cell>
          <cell r="I233" t="str">
            <v>Gillette 吉列 維納斯 敏感肌適用除毛刀頭, 4個, 1盒</v>
          </cell>
          <cell r="J233">
            <v>4</v>
          </cell>
          <cell r="K233">
            <v>428</v>
          </cell>
          <cell r="L233">
            <v>1780</v>
          </cell>
          <cell r="M233">
            <v>1728.31</v>
          </cell>
          <cell r="Q233">
            <v>0</v>
          </cell>
          <cell r="R233">
            <v>39</v>
          </cell>
          <cell r="S233">
            <v>23</v>
          </cell>
          <cell r="AB233">
            <v>0.25</v>
          </cell>
          <cell r="AF233">
            <v>62</v>
          </cell>
          <cell r="AG233">
            <v>0.25</v>
          </cell>
          <cell r="AH233">
            <v>23</v>
          </cell>
          <cell r="AJ233">
            <v>61.75</v>
          </cell>
          <cell r="AK233">
            <v>109915</v>
          </cell>
          <cell r="AL233">
            <v>1235</v>
          </cell>
          <cell r="AM233">
            <v>1.55</v>
          </cell>
          <cell r="AN233">
            <v>1170</v>
          </cell>
        </row>
        <row r="234">
          <cell r="F234">
            <v>4987176324023</v>
          </cell>
          <cell r="G234">
            <v>4987176324023</v>
          </cell>
          <cell r="I234" t="str">
            <v>Gillette 吉列 維納斯 敏感肌適用除毛刀, 1刀架+2刀頭, 1組</v>
          </cell>
          <cell r="J234">
            <v>4</v>
          </cell>
          <cell r="K234">
            <v>289</v>
          </cell>
          <cell r="L234">
            <v>1203.5999999999999</v>
          </cell>
          <cell r="M234">
            <v>1164.8499999999999</v>
          </cell>
          <cell r="Q234">
            <v>19</v>
          </cell>
          <cell r="R234">
            <v>29</v>
          </cell>
          <cell r="S234">
            <v>46</v>
          </cell>
          <cell r="Z234">
            <v>1.25</v>
          </cell>
          <cell r="AA234">
            <v>2.75</v>
          </cell>
          <cell r="AB234">
            <v>1.5</v>
          </cell>
          <cell r="AF234">
            <v>94</v>
          </cell>
          <cell r="AG234">
            <v>5.5</v>
          </cell>
          <cell r="AH234">
            <v>46</v>
          </cell>
          <cell r="AJ234">
            <v>88.5</v>
          </cell>
          <cell r="AK234">
            <v>106518.59999999999</v>
          </cell>
          <cell r="AL234">
            <v>295</v>
          </cell>
          <cell r="AM234">
            <v>9.2999999999999989</v>
          </cell>
          <cell r="AN234">
            <v>260.32258064516134</v>
          </cell>
        </row>
        <row r="235">
          <cell r="F235">
            <v>4987176176172</v>
          </cell>
          <cell r="G235">
            <v>4987176176172</v>
          </cell>
          <cell r="I235" t="str">
            <v>Gillette 吉列 Fusion鋒隱系列刮鬍刀頭, 1組, 4個</v>
          </cell>
          <cell r="J235">
            <v>20</v>
          </cell>
          <cell r="K235">
            <v>323</v>
          </cell>
          <cell r="L235">
            <v>7163.15</v>
          </cell>
          <cell r="M235">
            <v>6990.6066825000007</v>
          </cell>
          <cell r="Q235">
            <v>12</v>
          </cell>
          <cell r="R235">
            <v>14</v>
          </cell>
          <cell r="S235">
            <v>18</v>
          </cell>
          <cell r="Z235">
            <v>1</v>
          </cell>
          <cell r="AA235">
            <v>3.2499999999999996</v>
          </cell>
          <cell r="AB235">
            <v>0.44999999999999996</v>
          </cell>
          <cell r="AF235">
            <v>44</v>
          </cell>
          <cell r="AG235">
            <v>4.7</v>
          </cell>
          <cell r="AH235">
            <v>18</v>
          </cell>
          <cell r="AJ235">
            <v>39.299999999999997</v>
          </cell>
          <cell r="AK235">
            <v>281511.79499999998</v>
          </cell>
          <cell r="AL235">
            <v>436.66666666666669</v>
          </cell>
          <cell r="AM235">
            <v>2.79</v>
          </cell>
          <cell r="AN235">
            <v>397.41935483870969</v>
          </cell>
        </row>
        <row r="236">
          <cell r="F236">
            <v>4987176169914</v>
          </cell>
          <cell r="G236">
            <v>4987176169914</v>
          </cell>
          <cell r="I236" t="str">
            <v>Gillette 吉列 Fusion鋒隱系列刮鬍刀頭 (8刀頭)</v>
          </cell>
          <cell r="J236">
            <v>10</v>
          </cell>
          <cell r="K236">
            <v>557</v>
          </cell>
          <cell r="L236">
            <v>5963.4</v>
          </cell>
          <cell r="M236">
            <v>5817.7910699999993</v>
          </cell>
          <cell r="Q236">
            <v>36</v>
          </cell>
          <cell r="R236">
            <v>100</v>
          </cell>
          <cell r="S236">
            <v>104</v>
          </cell>
          <cell r="Z236">
            <v>1.8</v>
          </cell>
          <cell r="AA236">
            <v>23.4</v>
          </cell>
          <cell r="AB236">
            <v>5.3999999999999995</v>
          </cell>
          <cell r="AF236">
            <v>240</v>
          </cell>
          <cell r="AG236">
            <v>30.599999999999998</v>
          </cell>
          <cell r="AH236">
            <v>104</v>
          </cell>
          <cell r="AJ236">
            <v>209.4</v>
          </cell>
          <cell r="AK236">
            <v>1248735.96</v>
          </cell>
          <cell r="AL236">
            <v>193.88888888888891</v>
          </cell>
          <cell r="AM236">
            <v>33.479999999999997</v>
          </cell>
          <cell r="AN236">
            <v>162.47311827956989</v>
          </cell>
        </row>
        <row r="237">
          <cell r="F237">
            <v>4987176169921</v>
          </cell>
          <cell r="G237">
            <v>4987176169921</v>
          </cell>
          <cell r="I237" t="str">
            <v>Gillette 吉列 Fusion 鋒隱系列 刮鬍刀, 刀架*1+刀頭*2, 1組</v>
          </cell>
          <cell r="J237">
            <v>6</v>
          </cell>
          <cell r="K237">
            <v>185</v>
          </cell>
          <cell r="L237">
            <v>1210.2</v>
          </cell>
          <cell r="M237">
            <v>1171.3004100000001</v>
          </cell>
          <cell r="Q237">
            <v>57</v>
          </cell>
          <cell r="R237">
            <v>72</v>
          </cell>
          <cell r="S237">
            <v>92</v>
          </cell>
          <cell r="Z237">
            <v>2</v>
          </cell>
          <cell r="AA237">
            <v>8.8333333333333321</v>
          </cell>
          <cell r="AB237">
            <v>0.5</v>
          </cell>
          <cell r="AF237">
            <v>221</v>
          </cell>
          <cell r="AG237">
            <v>11.333333333333332</v>
          </cell>
          <cell r="AH237">
            <v>92</v>
          </cell>
          <cell r="AJ237">
            <v>209.66666666666666</v>
          </cell>
          <cell r="AK237">
            <v>253738.6</v>
          </cell>
          <cell r="AL237">
            <v>2096.6666666666665</v>
          </cell>
          <cell r="AM237">
            <v>3.1</v>
          </cell>
          <cell r="AN237">
            <v>2003.8709677419356</v>
          </cell>
        </row>
        <row r="238">
          <cell r="F238">
            <v>4987176169952</v>
          </cell>
          <cell r="G238">
            <v>4987176169952</v>
          </cell>
          <cell r="I238" t="str">
            <v>Gillette 吉列 Proglide 無感系列 刮鬍刀, 刀架*1+刀頭*2, 1組</v>
          </cell>
          <cell r="J238">
            <v>6</v>
          </cell>
          <cell r="K238">
            <v>228</v>
          </cell>
          <cell r="L238">
            <v>1527.6</v>
          </cell>
          <cell r="M238">
            <v>1481.5747799999999</v>
          </cell>
          <cell r="Q238">
            <v>6</v>
          </cell>
          <cell r="R238">
            <v>113</v>
          </cell>
          <cell r="S238">
            <v>0</v>
          </cell>
          <cell r="Z238">
            <v>3.833333333333333</v>
          </cell>
          <cell r="AA238">
            <v>15.666666666666668</v>
          </cell>
          <cell r="AB238">
            <v>4</v>
          </cell>
          <cell r="AF238">
            <v>119</v>
          </cell>
          <cell r="AG238">
            <v>23.5</v>
          </cell>
          <cell r="AH238">
            <v>54</v>
          </cell>
          <cell r="AJ238">
            <v>95.5</v>
          </cell>
          <cell r="AK238">
            <v>145885.79999999999</v>
          </cell>
          <cell r="AL238">
            <v>119.375</v>
          </cell>
          <cell r="AM238">
            <v>24.8</v>
          </cell>
          <cell r="AN238">
            <v>155.68548387096772</v>
          </cell>
        </row>
        <row r="239">
          <cell r="F239">
            <v>4987176169969</v>
          </cell>
          <cell r="G239">
            <v>4987176169969</v>
          </cell>
          <cell r="I239" t="str">
            <v>Gillette 吉列 Proshield鋒護系列刮鬍刀, 刀架*1+刀頭*2, 1組</v>
          </cell>
          <cell r="J239">
            <v>6</v>
          </cell>
          <cell r="K239">
            <v>268</v>
          </cell>
          <cell r="L239">
            <v>1793.4</v>
          </cell>
          <cell r="M239">
            <v>1741.4075700000003</v>
          </cell>
          <cell r="Q239">
            <v>0</v>
          </cell>
          <cell r="R239">
            <v>0</v>
          </cell>
          <cell r="S239">
            <v>0</v>
          </cell>
          <cell r="AF239">
            <v>0</v>
          </cell>
          <cell r="AG239">
            <v>0</v>
          </cell>
          <cell r="AH239">
            <v>0</v>
          </cell>
          <cell r="AJ239">
            <v>0</v>
          </cell>
          <cell r="AK239">
            <v>0</v>
          </cell>
          <cell r="AL239" t="e">
            <v>#DIV/0!</v>
          </cell>
          <cell r="AM239">
            <v>0</v>
          </cell>
          <cell r="AN239" t="e">
            <v>#DIV/0!</v>
          </cell>
        </row>
        <row r="240">
          <cell r="F240">
            <v>4902430341844</v>
          </cell>
          <cell r="G240">
            <v>4902430341844</v>
          </cell>
          <cell r="I240" t="str">
            <v>Gillette 吉列 Mach3 鋒速系列刮鬍刀頭 4刀入</v>
          </cell>
          <cell r="J240">
            <v>12</v>
          </cell>
          <cell r="K240">
            <v>260</v>
          </cell>
          <cell r="L240">
            <v>3271.2</v>
          </cell>
          <cell r="M240">
            <v>3186.0309600000001</v>
          </cell>
          <cell r="Q240">
            <v>3</v>
          </cell>
          <cell r="R240">
            <v>6</v>
          </cell>
          <cell r="S240">
            <v>18</v>
          </cell>
          <cell r="AA240">
            <v>5.833333333333333</v>
          </cell>
          <cell r="AB240">
            <v>0.16666666666666666</v>
          </cell>
          <cell r="AF240">
            <v>27</v>
          </cell>
          <cell r="AG240">
            <v>6</v>
          </cell>
          <cell r="AH240">
            <v>18</v>
          </cell>
          <cell r="AJ240">
            <v>21</v>
          </cell>
          <cell r="AK240">
            <v>68695.199999999997</v>
          </cell>
          <cell r="AL240">
            <v>630</v>
          </cell>
          <cell r="AM240">
            <v>1.0333333333333332</v>
          </cell>
          <cell r="AN240">
            <v>584.51612903225805</v>
          </cell>
        </row>
        <row r="241">
          <cell r="F241">
            <v>4987176247674</v>
          </cell>
          <cell r="G241">
            <v>4987176247674</v>
          </cell>
          <cell r="I241" t="str">
            <v>Gillette 吉列 Mach3 鋒速系列刮鬍刀 1刀架2刀頭</v>
          </cell>
          <cell r="J241">
            <v>4</v>
          </cell>
          <cell r="K241">
            <v>165</v>
          </cell>
          <cell r="L241">
            <v>698</v>
          </cell>
          <cell r="M241">
            <v>670.59930000000008</v>
          </cell>
          <cell r="Q241">
            <v>10</v>
          </cell>
          <cell r="R241">
            <v>50</v>
          </cell>
          <cell r="S241">
            <v>56</v>
          </cell>
          <cell r="AA241">
            <v>7.75</v>
          </cell>
          <cell r="AB241">
            <v>1.5</v>
          </cell>
          <cell r="AF241">
            <v>116</v>
          </cell>
          <cell r="AG241">
            <v>9.25</v>
          </cell>
          <cell r="AH241">
            <v>56</v>
          </cell>
          <cell r="AJ241">
            <v>106.75</v>
          </cell>
          <cell r="AK241">
            <v>74511.5</v>
          </cell>
          <cell r="AL241">
            <v>355.83333333333331</v>
          </cell>
          <cell r="AM241">
            <v>9.2999999999999989</v>
          </cell>
          <cell r="AN241">
            <v>319.19354838709683</v>
          </cell>
        </row>
        <row r="242">
          <cell r="F242">
            <v>4987176357526</v>
          </cell>
          <cell r="G242">
            <v>4987176357526</v>
          </cell>
          <cell r="I242" t="str">
            <v>OLAY 歐蕾 台灣公司貨 胜肽專研密集奢護面膜, 5片, 1盒</v>
          </cell>
          <cell r="J242">
            <v>12</v>
          </cell>
          <cell r="K242">
            <v>280</v>
          </cell>
          <cell r="L242">
            <v>3520.8</v>
          </cell>
          <cell r="M242">
            <v>3430.03</v>
          </cell>
          <cell r="Q242">
            <v>0</v>
          </cell>
          <cell r="R242">
            <v>18</v>
          </cell>
          <cell r="S242">
            <v>15</v>
          </cell>
          <cell r="AA242">
            <v>0.16666666666666666</v>
          </cell>
          <cell r="AF242">
            <v>33</v>
          </cell>
          <cell r="AG242">
            <v>0.16666666666666666</v>
          </cell>
          <cell r="AH242">
            <v>15</v>
          </cell>
          <cell r="AJ242">
            <v>32.833333333333336</v>
          </cell>
          <cell r="AK242">
            <v>115599.60000000002</v>
          </cell>
          <cell r="AL242" t="e">
            <v>#DIV/0!</v>
          </cell>
          <cell r="AM242">
            <v>0</v>
          </cell>
          <cell r="AN242" t="e">
            <v>#DIV/0!</v>
          </cell>
        </row>
        <row r="243">
          <cell r="F243">
            <v>4987176376886</v>
          </cell>
          <cell r="G243">
            <v>4987176376886</v>
          </cell>
          <cell r="I243" t="str">
            <v>Crest 多效淨白牙膏 清爽薄荷, 120g , 1條</v>
          </cell>
          <cell r="J243">
            <v>24</v>
          </cell>
          <cell r="K243">
            <v>57</v>
          </cell>
          <cell r="L243">
            <v>1586.4</v>
          </cell>
          <cell r="M243">
            <v>1539.05</v>
          </cell>
          <cell r="Q243">
            <v>0</v>
          </cell>
          <cell r="R243">
            <v>15</v>
          </cell>
          <cell r="S243">
            <v>7</v>
          </cell>
          <cell r="AA243">
            <v>11</v>
          </cell>
          <cell r="AB243">
            <v>5.25</v>
          </cell>
          <cell r="AF243">
            <v>22</v>
          </cell>
          <cell r="AG243">
            <v>16.25</v>
          </cell>
          <cell r="AH243">
            <v>23</v>
          </cell>
          <cell r="AI243">
            <v>15</v>
          </cell>
          <cell r="AJ243">
            <v>5.75</v>
          </cell>
          <cell r="AK243">
            <v>9121.8000000000011</v>
          </cell>
          <cell r="AL243">
            <v>5.4761904761904763</v>
          </cell>
          <cell r="AM243">
            <v>32.550000000000004</v>
          </cell>
          <cell r="AN243">
            <v>-5.1152073732718932</v>
          </cell>
        </row>
        <row r="244">
          <cell r="F244">
            <v>4987176376879</v>
          </cell>
          <cell r="G244">
            <v>4987176376879</v>
          </cell>
          <cell r="I244" t="str">
            <v>Crest 多效淨白牙膏 檸檬青茶, 120g , 1條</v>
          </cell>
          <cell r="J244">
            <v>24</v>
          </cell>
          <cell r="K244">
            <v>57</v>
          </cell>
          <cell r="L244">
            <v>1586.4</v>
          </cell>
          <cell r="M244">
            <v>1539.05</v>
          </cell>
          <cell r="Q244">
            <v>0</v>
          </cell>
          <cell r="R244">
            <v>15</v>
          </cell>
          <cell r="S244">
            <v>7</v>
          </cell>
          <cell r="AA244">
            <v>2.0833333333333335</v>
          </cell>
          <cell r="AB244">
            <v>1.8333333333333333</v>
          </cell>
          <cell r="AF244">
            <v>22</v>
          </cell>
          <cell r="AG244">
            <v>3.916666666666667</v>
          </cell>
          <cell r="AH244">
            <v>7</v>
          </cell>
          <cell r="AJ244">
            <v>18.083333333333332</v>
          </cell>
          <cell r="AK244">
            <v>28687.4</v>
          </cell>
          <cell r="AL244">
            <v>49.318181818181813</v>
          </cell>
          <cell r="AM244">
            <v>11.366666666666665</v>
          </cell>
          <cell r="AN244">
            <v>22.565982404692086</v>
          </cell>
        </row>
        <row r="245">
          <cell r="F245">
            <v>4987176376893</v>
          </cell>
          <cell r="G245">
            <v>4987176376893</v>
          </cell>
          <cell r="I245" t="str">
            <v>Crest 多效淨白牙膏 清新茉莉, 120g, 1條</v>
          </cell>
          <cell r="J245">
            <v>24</v>
          </cell>
          <cell r="K245">
            <v>57</v>
          </cell>
          <cell r="L245">
            <v>1586.4</v>
          </cell>
          <cell r="M245">
            <v>1539.05</v>
          </cell>
          <cell r="Q245">
            <v>0</v>
          </cell>
          <cell r="R245">
            <v>15</v>
          </cell>
          <cell r="S245">
            <v>7</v>
          </cell>
          <cell r="AA245">
            <v>4.2916666666666661</v>
          </cell>
          <cell r="AB245">
            <v>2.416666666666667</v>
          </cell>
          <cell r="AF245">
            <v>22</v>
          </cell>
          <cell r="AG245">
            <v>6.708333333333333</v>
          </cell>
          <cell r="AH245">
            <v>8</v>
          </cell>
          <cell r="AJ245">
            <v>15.291666666666668</v>
          </cell>
          <cell r="AK245">
            <v>24258.700000000004</v>
          </cell>
          <cell r="AL245">
            <v>31.637931034482754</v>
          </cell>
          <cell r="AM245">
            <v>14.983333333333334</v>
          </cell>
          <cell r="AN245">
            <v>7.4582869855394911</v>
          </cell>
        </row>
        <row r="246">
          <cell r="F246">
            <v>44987176376884</v>
          </cell>
          <cell r="G246">
            <v>44987176376884</v>
          </cell>
          <cell r="I246" t="str">
            <v>Crest 多效淨白牙膏 清爽薄荷, 120g, 6條</v>
          </cell>
          <cell r="J246">
            <v>4</v>
          </cell>
          <cell r="K246">
            <v>342</v>
          </cell>
          <cell r="L246">
            <v>1586.4</v>
          </cell>
          <cell r="M246">
            <v>1539.05</v>
          </cell>
          <cell r="Q246">
            <v>0</v>
          </cell>
          <cell r="R246">
            <v>49</v>
          </cell>
          <cell r="S246">
            <v>23</v>
          </cell>
          <cell r="AA246">
            <v>7.5</v>
          </cell>
          <cell r="AB246">
            <v>3.75</v>
          </cell>
          <cell r="AF246">
            <v>72</v>
          </cell>
          <cell r="AG246">
            <v>11.25</v>
          </cell>
          <cell r="AH246">
            <v>23</v>
          </cell>
          <cell r="AJ246">
            <v>60.75</v>
          </cell>
          <cell r="AK246">
            <v>96373.8</v>
          </cell>
          <cell r="AL246">
            <v>81</v>
          </cell>
          <cell r="AM246">
            <v>23.25</v>
          </cell>
          <cell r="AN246">
            <v>53.225806451612904</v>
          </cell>
        </row>
        <row r="247">
          <cell r="F247">
            <v>44987176376877</v>
          </cell>
          <cell r="G247">
            <v>44987176376877</v>
          </cell>
          <cell r="I247" t="str">
            <v>Crest 多效淨白牙膏 檸檬青茶, 120g, 6條</v>
          </cell>
          <cell r="J247">
            <v>4</v>
          </cell>
          <cell r="K247">
            <v>342</v>
          </cell>
          <cell r="L247">
            <v>1586.4</v>
          </cell>
          <cell r="M247">
            <v>1539.05</v>
          </cell>
          <cell r="Q247">
            <v>0</v>
          </cell>
          <cell r="R247">
            <v>49</v>
          </cell>
          <cell r="S247">
            <v>23</v>
          </cell>
          <cell r="AA247">
            <v>0.25</v>
          </cell>
          <cell r="AB247">
            <v>0.5</v>
          </cell>
          <cell r="AF247">
            <v>72</v>
          </cell>
          <cell r="AG247">
            <v>0.75</v>
          </cell>
          <cell r="AH247">
            <v>23</v>
          </cell>
          <cell r="AJ247">
            <v>71.25</v>
          </cell>
          <cell r="AK247">
            <v>113031</v>
          </cell>
          <cell r="AL247">
            <v>712.5</v>
          </cell>
          <cell r="AM247">
            <v>3.1</v>
          </cell>
          <cell r="AN247">
            <v>664.35483870967744</v>
          </cell>
        </row>
        <row r="248">
          <cell r="F248">
            <v>44987176376891</v>
          </cell>
          <cell r="G248">
            <v>44987176376891</v>
          </cell>
          <cell r="I248" t="str">
            <v>Crest 多效淨白牙膏 清新茉莉, 120g, 6條</v>
          </cell>
          <cell r="J248">
            <v>4</v>
          </cell>
          <cell r="K248">
            <v>342</v>
          </cell>
          <cell r="L248">
            <v>1586.4</v>
          </cell>
          <cell r="M248">
            <v>1539.05</v>
          </cell>
          <cell r="Q248">
            <v>0</v>
          </cell>
          <cell r="R248">
            <v>49</v>
          </cell>
          <cell r="S248">
            <v>23</v>
          </cell>
          <cell r="AA248">
            <v>1</v>
          </cell>
          <cell r="AF248">
            <v>72</v>
          </cell>
          <cell r="AG248">
            <v>1</v>
          </cell>
          <cell r="AH248">
            <v>23</v>
          </cell>
          <cell r="AJ248">
            <v>71</v>
          </cell>
          <cell r="AK248">
            <v>112634.40000000001</v>
          </cell>
          <cell r="AL248" t="e">
            <v>#DIV/0!</v>
          </cell>
          <cell r="AM248">
            <v>0</v>
          </cell>
          <cell r="AN248" t="e">
            <v>#DIV/0!</v>
          </cell>
        </row>
        <row r="249">
          <cell r="F249">
            <v>4987176252227</v>
          </cell>
          <cell r="G249">
            <v>4987176252227</v>
          </cell>
          <cell r="H249">
            <v>80841667</v>
          </cell>
          <cell r="I249" t="str">
            <v>Crest 台灣公司貨 香氛鎖白牙膏, 清新雪櫻, 120g, 1條</v>
          </cell>
          <cell r="J249">
            <v>12</v>
          </cell>
          <cell r="K249">
            <v>91</v>
          </cell>
          <cell r="L249">
            <v>1245.5999999999999</v>
          </cell>
          <cell r="M249">
            <v>1205.9100000000001</v>
          </cell>
          <cell r="S249">
            <v>0</v>
          </cell>
          <cell r="AF249">
            <v>0</v>
          </cell>
          <cell r="AG249">
            <v>0</v>
          </cell>
          <cell r="AH249">
            <v>0</v>
          </cell>
          <cell r="AJ249">
            <v>0</v>
          </cell>
          <cell r="AK249">
            <v>0</v>
          </cell>
          <cell r="AL249" t="e">
            <v>#DIV/0!</v>
          </cell>
          <cell r="AM249">
            <v>0</v>
          </cell>
          <cell r="AN249" t="e">
            <v>#DIV/0!</v>
          </cell>
        </row>
        <row r="250">
          <cell r="F250">
            <v>24987176191568</v>
          </cell>
          <cell r="G250">
            <v>24987176191568</v>
          </cell>
          <cell r="H250">
            <v>80776824</v>
          </cell>
          <cell r="I250" t="str">
            <v xml:space="preserve">Crest 台灣公司貨 極致鑽白牙膏 亮白防蛀, 110g, 6條 </v>
          </cell>
          <cell r="J250">
            <v>2</v>
          </cell>
          <cell r="K250">
            <v>516</v>
          </cell>
          <cell r="L250">
            <v>1216.8</v>
          </cell>
          <cell r="M250">
            <v>1177.75224</v>
          </cell>
          <cell r="S250">
            <v>100</v>
          </cell>
          <cell r="AB250">
            <v>3</v>
          </cell>
          <cell r="AF250">
            <v>100</v>
          </cell>
          <cell r="AG250">
            <v>3</v>
          </cell>
          <cell r="AH250">
            <v>100</v>
          </cell>
          <cell r="AJ250">
            <v>97</v>
          </cell>
          <cell r="AK250">
            <v>118029.59999999999</v>
          </cell>
          <cell r="AL250">
            <v>161.66666666666669</v>
          </cell>
          <cell r="AM250">
            <v>18.599999999999998</v>
          </cell>
          <cell r="AN250">
            <v>131.29032258064518</v>
          </cell>
        </row>
        <row r="251">
          <cell r="F251">
            <v>4902430789646</v>
          </cell>
          <cell r="G251">
            <v>4902430789646</v>
          </cell>
          <cell r="H251">
            <v>80846545</v>
          </cell>
          <cell r="I251" t="str">
            <v>Oral-B 深層潔淨牙線, 清涼潔淨, 40m, 1個</v>
          </cell>
          <cell r="J251">
            <v>24</v>
          </cell>
          <cell r="K251">
            <v>68</v>
          </cell>
          <cell r="L251">
            <v>1857.6</v>
          </cell>
          <cell r="M251">
            <v>1804.1662800000001</v>
          </cell>
          <cell r="S251">
            <v>80</v>
          </cell>
          <cell r="AB251">
            <v>1.625</v>
          </cell>
          <cell r="AF251">
            <v>80</v>
          </cell>
          <cell r="AG251">
            <v>1.625</v>
          </cell>
          <cell r="AH251">
            <v>100</v>
          </cell>
          <cell r="AJ251">
            <v>78.375</v>
          </cell>
          <cell r="AK251">
            <v>145589.4</v>
          </cell>
          <cell r="AL251">
            <v>241.15384615384616</v>
          </cell>
          <cell r="AM251">
            <v>10.075000000000001</v>
          </cell>
          <cell r="AN251">
            <v>267.76674937965259</v>
          </cell>
        </row>
        <row r="252">
          <cell r="F252">
            <v>4902430826846</v>
          </cell>
          <cell r="G252">
            <v>4902430826846</v>
          </cell>
          <cell r="I252" t="str">
            <v>Oral-B 歐樂B 抗敏護齦牙膏 極速抗敏, 海洋薄荷, 90g, 1條</v>
          </cell>
          <cell r="J252">
            <v>12</v>
          </cell>
          <cell r="K252">
            <v>99</v>
          </cell>
          <cell r="L252">
            <v>1209.5999999999999</v>
          </cell>
          <cell r="M252">
            <v>1170.71</v>
          </cell>
          <cell r="R252">
            <v>113</v>
          </cell>
          <cell r="S252">
            <v>74</v>
          </cell>
          <cell r="AA252">
            <v>8.6666666666666679</v>
          </cell>
          <cell r="AB252">
            <v>5.583333333333333</v>
          </cell>
          <cell r="AF252">
            <v>187</v>
          </cell>
          <cell r="AG252">
            <v>14.25</v>
          </cell>
          <cell r="AH252">
            <v>74</v>
          </cell>
          <cell r="AJ252">
            <v>172.75</v>
          </cell>
          <cell r="AK252">
            <v>208958.4</v>
          </cell>
          <cell r="AL252">
            <v>154.70149253731344</v>
          </cell>
          <cell r="AM252">
            <v>34.616666666666667</v>
          </cell>
          <cell r="AN252">
            <v>124.54983148772268</v>
          </cell>
        </row>
        <row r="253">
          <cell r="F253">
            <v>4902430826815</v>
          </cell>
          <cell r="G253">
            <v>4902430826815</v>
          </cell>
          <cell r="I253" t="str">
            <v>Oral-B 歐樂B 抗敏護齦牙膏 專業修護, 森林薄荷, 90g, 1條</v>
          </cell>
          <cell r="J253">
            <v>12</v>
          </cell>
          <cell r="K253">
            <v>99</v>
          </cell>
          <cell r="L253">
            <v>1209.5999999999999</v>
          </cell>
          <cell r="M253">
            <v>1170.71</v>
          </cell>
          <cell r="R253">
            <v>19</v>
          </cell>
          <cell r="S253">
            <v>19</v>
          </cell>
          <cell r="AA253">
            <v>4.1666666666666661</v>
          </cell>
          <cell r="AB253">
            <v>5</v>
          </cell>
          <cell r="AF253">
            <v>38</v>
          </cell>
          <cell r="AG253">
            <v>9.1666666666666661</v>
          </cell>
          <cell r="AH253">
            <v>23</v>
          </cell>
          <cell r="AI253">
            <v>50</v>
          </cell>
          <cell r="AJ253">
            <v>28.833333333333336</v>
          </cell>
          <cell r="AK253">
            <v>34876.800000000003</v>
          </cell>
          <cell r="AL253">
            <v>28.833333333333336</v>
          </cell>
          <cell r="AM253">
            <v>31</v>
          </cell>
          <cell r="AN253">
            <v>6.6129032258064537</v>
          </cell>
        </row>
        <row r="254">
          <cell r="F254">
            <v>4902430825801</v>
          </cell>
          <cell r="G254">
            <v>14902430825801</v>
          </cell>
          <cell r="H254">
            <v>82330135</v>
          </cell>
          <cell r="I254" t="str">
            <v>PANTENE 潘婷 miracles奇蹟系列 煥活根源洗髮露, 500ml, 1瓶</v>
          </cell>
          <cell r="J254">
            <v>9</v>
          </cell>
          <cell r="K254">
            <v>234</v>
          </cell>
          <cell r="L254">
            <v>2397</v>
          </cell>
          <cell r="M254">
            <v>2331.4567499999998</v>
          </cell>
          <cell r="Q254">
            <v>44</v>
          </cell>
          <cell r="R254">
            <v>15</v>
          </cell>
          <cell r="Z254">
            <v>2.666666666666667</v>
          </cell>
          <cell r="AA254">
            <v>8.3333333333333339</v>
          </cell>
          <cell r="AB254">
            <v>1</v>
          </cell>
          <cell r="AF254">
            <v>59</v>
          </cell>
          <cell r="AG254">
            <v>12</v>
          </cell>
          <cell r="AH254">
            <v>0</v>
          </cell>
          <cell r="AJ254">
            <v>47</v>
          </cell>
          <cell r="AK254">
            <v>112659</v>
          </cell>
          <cell r="AL254">
            <v>235</v>
          </cell>
          <cell r="AM254">
            <v>6.2</v>
          </cell>
          <cell r="AN254">
            <v>202.25806451612902</v>
          </cell>
        </row>
        <row r="255">
          <cell r="F255">
            <v>4902430900614</v>
          </cell>
          <cell r="G255">
            <v>14902430900614</v>
          </cell>
          <cell r="H255">
            <v>82326072</v>
          </cell>
          <cell r="I255" t="str">
            <v>PANTENE 潘婷 miracles 奇蹟系列柔亮護色護髮精華素, 500g, 1瓶</v>
          </cell>
          <cell r="J255">
            <v>9</v>
          </cell>
          <cell r="K255">
            <v>234</v>
          </cell>
          <cell r="L255">
            <v>2397</v>
          </cell>
          <cell r="M255">
            <v>2331.4567499999998</v>
          </cell>
          <cell r="Q255">
            <v>66</v>
          </cell>
          <cell r="R255">
            <v>44</v>
          </cell>
          <cell r="Z255">
            <v>3.6666666666666665</v>
          </cell>
          <cell r="AA255">
            <v>21</v>
          </cell>
          <cell r="AB255">
            <v>4.7777777777777777</v>
          </cell>
          <cell r="AF255">
            <v>110</v>
          </cell>
          <cell r="AG255">
            <v>29.444444444444446</v>
          </cell>
          <cell r="AH255">
            <v>0</v>
          </cell>
          <cell r="AJ255">
            <v>80.555555555555557</v>
          </cell>
          <cell r="AK255">
            <v>193091.66666666666</v>
          </cell>
          <cell r="AL255">
            <v>84.302325581395351</v>
          </cell>
          <cell r="AM255">
            <v>29.62222222222222</v>
          </cell>
          <cell r="AN255">
            <v>56.421605401350341</v>
          </cell>
        </row>
        <row r="256">
          <cell r="F256">
            <v>4902430900591</v>
          </cell>
          <cell r="G256">
            <v>14902430900591</v>
          </cell>
          <cell r="I256" t="str">
            <v>PANTENE 潘婷 miracles奇蹟系列 柔亮護色洗髮露, 500ml, 1瓶</v>
          </cell>
          <cell r="J256">
            <v>9</v>
          </cell>
          <cell r="K256">
            <v>234</v>
          </cell>
          <cell r="L256">
            <v>2397</v>
          </cell>
          <cell r="M256">
            <v>2331.4567499999998</v>
          </cell>
          <cell r="Q256">
            <v>0</v>
          </cell>
          <cell r="R256">
            <v>83</v>
          </cell>
          <cell r="AA256">
            <v>15.888888888888889</v>
          </cell>
          <cell r="AB256">
            <v>3.2222222222222219</v>
          </cell>
          <cell r="AF256">
            <v>83</v>
          </cell>
          <cell r="AG256">
            <v>19.111111111111111</v>
          </cell>
          <cell r="AH256">
            <v>0</v>
          </cell>
          <cell r="AJ256">
            <v>63.888888888888886</v>
          </cell>
          <cell r="AK256">
            <v>153141.66666666666</v>
          </cell>
          <cell r="AL256">
            <v>99.137931034482762</v>
          </cell>
          <cell r="AM256">
            <v>19.977777777777774</v>
          </cell>
          <cell r="AN256">
            <v>70.778642936596242</v>
          </cell>
        </row>
        <row r="257">
          <cell r="F257">
            <v>4987176040589</v>
          </cell>
          <cell r="G257">
            <v>4987176040589</v>
          </cell>
          <cell r="H257">
            <v>80811156</v>
          </cell>
          <cell r="I257" t="str">
            <v>Pert 飛柔 免沖洗瞬效護髮精華滋養修護 按壓瓶 380g, 1瓶</v>
          </cell>
          <cell r="J257">
            <v>6</v>
          </cell>
          <cell r="K257">
            <v>173</v>
          </cell>
          <cell r="L257">
            <v>1161</v>
          </cell>
          <cell r="M257">
            <v>1123.2049500000001</v>
          </cell>
          <cell r="Q257">
            <v>200</v>
          </cell>
          <cell r="R257">
            <v>36</v>
          </cell>
          <cell r="S257">
            <v>0</v>
          </cell>
          <cell r="Z257">
            <v>20.166666666666668</v>
          </cell>
          <cell r="AA257">
            <v>86.666666666666671</v>
          </cell>
          <cell r="AB257">
            <v>12.833333333333334</v>
          </cell>
          <cell r="AF257">
            <v>236</v>
          </cell>
          <cell r="AG257">
            <v>119.66666666666667</v>
          </cell>
          <cell r="AH257">
            <v>0</v>
          </cell>
          <cell r="AJ257">
            <v>116.33333333333333</v>
          </cell>
          <cell r="AK257">
            <v>135063</v>
          </cell>
          <cell r="AL257">
            <v>45.324675324675326</v>
          </cell>
          <cell r="AM257">
            <v>79.566666666666677</v>
          </cell>
          <cell r="AN257">
            <v>18.701298701298686</v>
          </cell>
        </row>
        <row r="258">
          <cell r="F258">
            <v>4987176151322</v>
          </cell>
          <cell r="G258">
            <v>4987176151322</v>
          </cell>
          <cell r="I258" t="str">
            <v>PERT 飛柔 免沖洗瞬效護髮精華, 清爽修護, 380g, 1瓶</v>
          </cell>
          <cell r="J258">
            <v>6</v>
          </cell>
          <cell r="K258">
            <v>170</v>
          </cell>
          <cell r="L258">
            <v>1161</v>
          </cell>
          <cell r="M258">
            <v>1123.2049500000001</v>
          </cell>
          <cell r="Q258">
            <v>120</v>
          </cell>
          <cell r="R258">
            <v>63</v>
          </cell>
          <cell r="S258">
            <v>0</v>
          </cell>
          <cell r="Z258">
            <v>9</v>
          </cell>
          <cell r="AA258">
            <v>26.5</v>
          </cell>
          <cell r="AB258">
            <v>3.3333333333333335</v>
          </cell>
          <cell r="AF258">
            <v>183</v>
          </cell>
          <cell r="AG258">
            <v>38.833333333333336</v>
          </cell>
          <cell r="AH258">
            <v>0</v>
          </cell>
          <cell r="AJ258">
            <v>144.16666666666666</v>
          </cell>
          <cell r="AK258">
            <v>167377.5</v>
          </cell>
          <cell r="AL258">
            <v>216.24999999999994</v>
          </cell>
          <cell r="AM258">
            <v>20.666666666666668</v>
          </cell>
          <cell r="AN258">
            <v>184.11290322580643</v>
          </cell>
        </row>
        <row r="259">
          <cell r="F259">
            <v>4902430720038</v>
          </cell>
          <cell r="G259">
            <v>4902430720038</v>
          </cell>
          <cell r="H259">
            <v>80768602</v>
          </cell>
          <cell r="I259" t="str">
            <v>PANTENE 潘婷 3 MINUTE MIRACLE乳液護髮精華, 180ml, 1條</v>
          </cell>
          <cell r="J259">
            <v>12</v>
          </cell>
          <cell r="K259">
            <v>140</v>
          </cell>
          <cell r="L259">
            <v>1767.43</v>
          </cell>
          <cell r="M259">
            <v>1716.0205965</v>
          </cell>
          <cell r="Z259">
            <v>0.33333333333333331</v>
          </cell>
          <cell r="AF259">
            <v>0</v>
          </cell>
          <cell r="AG259">
            <v>0.33333333333333331</v>
          </cell>
          <cell r="AH259" t="e">
            <v>#N/A</v>
          </cell>
          <cell r="AK259">
            <v>0</v>
          </cell>
          <cell r="AL259" t="e">
            <v>#DIV/0!</v>
          </cell>
          <cell r="AM259">
            <v>0</v>
          </cell>
          <cell r="AN259" t="e">
            <v>#DIV/0!</v>
          </cell>
        </row>
        <row r="260">
          <cell r="F260">
            <v>4902430789639</v>
          </cell>
          <cell r="G260">
            <v>4902430789639</v>
          </cell>
          <cell r="I260" t="str">
            <v>Oral-B 舒適深潔牙線, 清新薄荷, 40m, 1個</v>
          </cell>
          <cell r="J260">
            <v>24</v>
          </cell>
          <cell r="K260">
            <v>65.000000000000199</v>
          </cell>
          <cell r="L260">
            <v>1857.6</v>
          </cell>
          <cell r="M260">
            <v>1804.1662800000001</v>
          </cell>
          <cell r="R260">
            <v>0</v>
          </cell>
          <cell r="S260">
            <v>19</v>
          </cell>
          <cell r="Z260">
            <v>8.3333333333333329E-2</v>
          </cell>
          <cell r="AB260">
            <v>4.458333333333333</v>
          </cell>
          <cell r="AF260">
            <v>19</v>
          </cell>
          <cell r="AG260">
            <v>4.5416666666666661</v>
          </cell>
          <cell r="AH260">
            <v>19</v>
          </cell>
          <cell r="AJ260">
            <v>14.458333333333334</v>
          </cell>
          <cell r="AK260">
            <v>26857.8</v>
          </cell>
          <cell r="AL260">
            <v>16.214953271028037</v>
          </cell>
          <cell r="AM260">
            <v>27.641666666666666</v>
          </cell>
          <cell r="AN260">
            <v>-9.4694000602954453</v>
          </cell>
        </row>
        <row r="261">
          <cell r="F261">
            <v>4987176294388</v>
          </cell>
          <cell r="G261">
            <v>4987176294388</v>
          </cell>
          <cell r="I261" t="str">
            <v>Gillette 吉列 刮鬍泡, 敏感肌適用, 333g, 1罐</v>
          </cell>
          <cell r="J261">
            <v>6</v>
          </cell>
          <cell r="K261">
            <v>112</v>
          </cell>
          <cell r="L261">
            <v>672</v>
          </cell>
          <cell r="M261">
            <v>645.17999999999995</v>
          </cell>
          <cell r="Z261">
            <v>0.16666666666666666</v>
          </cell>
          <cell r="AF261">
            <v>0</v>
          </cell>
          <cell r="AG261">
            <v>0.16666666666666666</v>
          </cell>
          <cell r="AH261" t="e">
            <v>#N/A</v>
          </cell>
          <cell r="AK261">
            <v>0</v>
          </cell>
          <cell r="AL261" t="e">
            <v>#DIV/0!</v>
          </cell>
          <cell r="AM261">
            <v>0</v>
          </cell>
          <cell r="AN261" t="e">
            <v>#DIV/0!</v>
          </cell>
        </row>
        <row r="262">
          <cell r="F262">
            <v>4902430661898</v>
          </cell>
          <cell r="G262">
            <v>4902430661898</v>
          </cell>
          <cell r="I262" t="str">
            <v>HAIR RECIPE 髪的食譜 蘋果生薑防斷修護洗髮露, 530ml, 1瓶</v>
          </cell>
          <cell r="J262">
            <v>9</v>
          </cell>
          <cell r="K262">
            <v>257</v>
          </cell>
          <cell r="L262">
            <v>2452.9699999999998</v>
          </cell>
          <cell r="M262">
            <v>2386.1702234999998</v>
          </cell>
          <cell r="R262">
            <v>121</v>
          </cell>
          <cell r="S262">
            <v>0</v>
          </cell>
          <cell r="AA262">
            <v>114.77777777777779</v>
          </cell>
          <cell r="AB262">
            <v>4</v>
          </cell>
          <cell r="AF262">
            <v>121</v>
          </cell>
          <cell r="AG262">
            <v>118.77777777777779</v>
          </cell>
          <cell r="AH262">
            <v>115</v>
          </cell>
          <cell r="AJ262">
            <v>2.2222222222222143</v>
          </cell>
          <cell r="AK262">
            <v>5451.0444444444247</v>
          </cell>
          <cell r="AL262">
            <v>2.7777777777777679</v>
          </cell>
          <cell r="AM262">
            <v>24.8</v>
          </cell>
          <cell r="AN262">
            <v>116.63978494623655</v>
          </cell>
        </row>
        <row r="263">
          <cell r="F263">
            <v>4902430659567</v>
          </cell>
          <cell r="G263">
            <v>4902430659567</v>
          </cell>
          <cell r="I263" t="str">
            <v>HAIR RECIPE 髮的食譜 蘋果生薑防斷修護潤髮乳, 530g, 1瓶</v>
          </cell>
          <cell r="J263">
            <v>9</v>
          </cell>
          <cell r="K263">
            <v>257</v>
          </cell>
          <cell r="L263">
            <v>2452.9699999999998</v>
          </cell>
          <cell r="M263">
            <v>2386.1702234999998</v>
          </cell>
          <cell r="R263">
            <v>61</v>
          </cell>
          <cell r="S263">
            <v>0</v>
          </cell>
          <cell r="AA263">
            <v>36.444444444444443</v>
          </cell>
          <cell r="AB263">
            <v>9.7777777777777786</v>
          </cell>
          <cell r="AF263">
            <v>61</v>
          </cell>
          <cell r="AG263">
            <v>46.222222222222221</v>
          </cell>
          <cell r="AH263">
            <v>26</v>
          </cell>
          <cell r="AJ263">
            <v>14.777777777777779</v>
          </cell>
          <cell r="AK263">
            <v>36249.445555555554</v>
          </cell>
          <cell r="AL263">
            <v>7.5568181818181817</v>
          </cell>
          <cell r="AM263">
            <v>60.622222222222227</v>
          </cell>
          <cell r="AN263">
            <v>-4.9816715542521974</v>
          </cell>
        </row>
        <row r="264">
          <cell r="F264">
            <v>4987176030351</v>
          </cell>
          <cell r="G264">
            <v>4987176030351</v>
          </cell>
          <cell r="I264" t="str">
            <v>Febreze 風倍清 浴廁用抗菌消臭防臭劑, 清爽皂香, 6ml, 2入,1組</v>
          </cell>
          <cell r="J264">
            <v>12</v>
          </cell>
          <cell r="K264">
            <v>196</v>
          </cell>
          <cell r="L264">
            <v>2734.8</v>
          </cell>
          <cell r="M264">
            <v>2661.6731400000003</v>
          </cell>
          <cell r="R264">
            <v>0</v>
          </cell>
          <cell r="S264">
            <v>100</v>
          </cell>
          <cell r="AA264">
            <v>8.3333333333333329E-2</v>
          </cell>
          <cell r="AF264">
            <v>100</v>
          </cell>
          <cell r="AG264">
            <v>8.3333333333333329E-2</v>
          </cell>
          <cell r="AH264">
            <v>104</v>
          </cell>
          <cell r="AJ264">
            <v>99.916666666666671</v>
          </cell>
          <cell r="AK264">
            <v>273252.10000000003</v>
          </cell>
          <cell r="AL264" t="e">
            <v>#DIV/0!</v>
          </cell>
          <cell r="AM264">
            <v>0</v>
          </cell>
          <cell r="AN264" t="e">
            <v>#DIV/0!</v>
          </cell>
        </row>
        <row r="265">
          <cell r="F265">
            <v>4987176154040</v>
          </cell>
          <cell r="G265">
            <v>4987176154040</v>
          </cell>
          <cell r="I265" t="str">
            <v>PANTENE 潘婷 爆水精華系列 爆水膠囊髮膜 Pro-V高濃保濕髮膜, 強韌防斷, 12ml, 8個</v>
          </cell>
          <cell r="J265">
            <v>12</v>
          </cell>
          <cell r="K265">
            <v>207</v>
          </cell>
          <cell r="L265">
            <v>2820</v>
          </cell>
          <cell r="M265">
            <v>2744.9603999999999</v>
          </cell>
          <cell r="AA265">
            <v>8.3333333333333329E-2</v>
          </cell>
          <cell r="AF265">
            <v>0</v>
          </cell>
          <cell r="AG265">
            <v>8.3333333333333329E-2</v>
          </cell>
          <cell r="AH265" t="e">
            <v>#N/A</v>
          </cell>
          <cell r="AK265">
            <v>0</v>
          </cell>
          <cell r="AL265" t="e">
            <v>#DIV/0!</v>
          </cell>
          <cell r="AM265">
            <v>0</v>
          </cell>
          <cell r="AN265" t="e">
            <v>#DIV/0!</v>
          </cell>
        </row>
        <row r="266">
          <cell r="F266">
            <v>4987176150035</v>
          </cell>
          <cell r="G266">
            <v>4987176150035</v>
          </cell>
          <cell r="I266" t="str">
            <v>PERT 飛柔 潤髮乳, 精萃潤養, 750g, 1瓶</v>
          </cell>
          <cell r="J266">
            <v>6</v>
          </cell>
          <cell r="K266">
            <v>113.00000000000001</v>
          </cell>
          <cell r="L266">
            <v>782.4</v>
          </cell>
          <cell r="M266">
            <v>753.10451999999998</v>
          </cell>
          <cell r="AA266">
            <v>0.33333333333333331</v>
          </cell>
          <cell r="AF266">
            <v>0</v>
          </cell>
          <cell r="AG266">
            <v>0.33333333333333331</v>
          </cell>
          <cell r="AH266" t="e">
            <v>#N/A</v>
          </cell>
          <cell r="AK266">
            <v>0</v>
          </cell>
          <cell r="AL266" t="e">
            <v>#DIV/0!</v>
          </cell>
          <cell r="AM266">
            <v>0</v>
          </cell>
          <cell r="AN266" t="e">
            <v>#DIV/0!</v>
          </cell>
        </row>
        <row r="267">
          <cell r="F267">
            <v>4987176156563</v>
          </cell>
          <cell r="G267">
            <v>4987176156563</v>
          </cell>
          <cell r="I267" t="str">
            <v>Febreze 風倍清 浴廁用防霉防臭劑, 柔和花香, 7ml, 1入</v>
          </cell>
          <cell r="J267">
            <v>24</v>
          </cell>
          <cell r="K267">
            <v>126</v>
          </cell>
          <cell r="L267">
            <v>3285.6</v>
          </cell>
          <cell r="M267">
            <v>3200.1076800000001</v>
          </cell>
          <cell r="R267">
            <v>0</v>
          </cell>
          <cell r="S267">
            <v>5</v>
          </cell>
          <cell r="AA267">
            <v>0.16666666666666666</v>
          </cell>
          <cell r="AF267">
            <v>5</v>
          </cell>
          <cell r="AG267">
            <v>0.16666666666666666</v>
          </cell>
          <cell r="AH267">
            <v>5</v>
          </cell>
          <cell r="AJ267">
            <v>4.833333333333333</v>
          </cell>
          <cell r="AK267">
            <v>15880.399999999998</v>
          </cell>
          <cell r="AL267" t="e">
            <v>#DIV/0!</v>
          </cell>
          <cell r="AM267">
            <v>0</v>
          </cell>
          <cell r="AN267" t="e">
            <v>#DIV/0!</v>
          </cell>
        </row>
        <row r="268">
          <cell r="F268">
            <v>4987176100658</v>
          </cell>
          <cell r="G268">
            <v>4987176100658</v>
          </cell>
          <cell r="I268" t="str">
            <v>[箱裝] whisper 好自在 超柔氣墊衛生棉, 28cm, 20片, 5包</v>
          </cell>
          <cell r="J268">
            <v>1</v>
          </cell>
          <cell r="K268">
            <v>479</v>
          </cell>
          <cell r="L268">
            <v>568.65</v>
          </cell>
          <cell r="M268">
            <v>531.45000000000005</v>
          </cell>
          <cell r="AA268">
            <v>1</v>
          </cell>
          <cell r="AF268">
            <v>0</v>
          </cell>
          <cell r="AG268">
            <v>1</v>
          </cell>
          <cell r="AH268" t="e">
            <v>#N/A</v>
          </cell>
          <cell r="AK268">
            <v>0</v>
          </cell>
          <cell r="AL268" t="e">
            <v>#DIV/0!</v>
          </cell>
          <cell r="AM268">
            <v>0</v>
          </cell>
          <cell r="AN268" t="e">
            <v>#DIV/0!</v>
          </cell>
        </row>
        <row r="269">
          <cell r="F269">
            <v>4987176277138</v>
          </cell>
          <cell r="G269">
            <v>4987176277138</v>
          </cell>
          <cell r="I269" t="str">
            <v>ARIEL抗菌洗衣精, 室內晾衣型, 800g, 1瓶</v>
          </cell>
          <cell r="J269">
            <v>9</v>
          </cell>
          <cell r="K269">
            <v>135</v>
          </cell>
          <cell r="L269">
            <v>1215</v>
          </cell>
          <cell r="M269">
            <v>1175.99</v>
          </cell>
          <cell r="AA269">
            <v>0.1111111111111111</v>
          </cell>
          <cell r="AF269">
            <v>0</v>
          </cell>
          <cell r="AG269">
            <v>0.1111111111111111</v>
          </cell>
          <cell r="AH269" t="e">
            <v>#N/A</v>
          </cell>
          <cell r="AK269">
            <v>0</v>
          </cell>
          <cell r="AL269" t="e">
            <v>#DIV/0!</v>
          </cell>
          <cell r="AM269">
            <v>0</v>
          </cell>
          <cell r="AN269" t="e">
            <v>#DIV/0!</v>
          </cell>
        </row>
        <row r="270">
          <cell r="F270">
            <v>4987176276605</v>
          </cell>
          <cell r="G270">
            <v>4987176276605</v>
          </cell>
          <cell r="I270" t="str">
            <v>HAIR RECIPE 髪的食譜 生薑清茶防斷豐盈洗髮露, 530ml, 1瓶</v>
          </cell>
          <cell r="J270">
            <v>9</v>
          </cell>
          <cell r="K270">
            <v>257</v>
          </cell>
          <cell r="L270">
            <v>2452.9699999999998</v>
          </cell>
          <cell r="M270">
            <v>2386.17</v>
          </cell>
          <cell r="AA270">
            <v>0.1111111111111111</v>
          </cell>
          <cell r="AF270">
            <v>0</v>
          </cell>
          <cell r="AG270">
            <v>0.1111111111111111</v>
          </cell>
          <cell r="AH270" t="e">
            <v>#N/A</v>
          </cell>
          <cell r="AK270">
            <v>0</v>
          </cell>
          <cell r="AL270" t="e">
            <v>#DIV/0!</v>
          </cell>
          <cell r="AM270">
            <v>0</v>
          </cell>
          <cell r="AN270" t="e">
            <v>#DIV/0!</v>
          </cell>
        </row>
        <row r="271">
          <cell r="F271">
            <v>4987176064028</v>
          </cell>
          <cell r="G271">
            <v>4987176064028</v>
          </cell>
          <cell r="H271">
            <v>82328389</v>
          </cell>
          <cell r="I271" t="str">
            <v>HAIR RECIPE 髮的食譜 米糠溫養豐盈 護髮精華素, 檸檬青檸香氛, 350g, 1瓶</v>
          </cell>
          <cell r="J271">
            <v>9</v>
          </cell>
          <cell r="K271">
            <v>402.00000000000051</v>
          </cell>
          <cell r="L271">
            <v>4107.6000000000004</v>
          </cell>
          <cell r="M271">
            <v>4003.6537800000006</v>
          </cell>
          <cell r="AA271">
            <v>0</v>
          </cell>
          <cell r="AF271">
            <v>0</v>
          </cell>
          <cell r="AG271">
            <v>0</v>
          </cell>
          <cell r="AH271" t="e">
            <v>#N/A</v>
          </cell>
          <cell r="AJ271">
            <v>0</v>
          </cell>
          <cell r="AK271">
            <v>0</v>
          </cell>
          <cell r="AL271" t="e">
            <v>#DIV/0!</v>
          </cell>
          <cell r="AM271">
            <v>0</v>
          </cell>
          <cell r="AN271" t="e">
            <v>#DIV/0!</v>
          </cell>
        </row>
        <row r="272">
          <cell r="AA272">
            <v>6</v>
          </cell>
          <cell r="AB272">
            <v>2</v>
          </cell>
          <cell r="AF272">
            <v>0</v>
          </cell>
          <cell r="AG272">
            <v>8</v>
          </cell>
          <cell r="AH272" t="e">
            <v>#N/A</v>
          </cell>
          <cell r="AK272">
            <v>0</v>
          </cell>
          <cell r="AL272">
            <v>0</v>
          </cell>
          <cell r="AM272">
            <v>12.4</v>
          </cell>
          <cell r="AN272">
            <v>-44.516129032258057</v>
          </cell>
        </row>
        <row r="273">
          <cell r="F273">
            <v>4902430363938</v>
          </cell>
          <cell r="G273">
            <v>4902430363938</v>
          </cell>
          <cell r="H273">
            <v>80812336</v>
          </cell>
          <cell r="I273" t="str">
            <v>Febreze 風倍清 織物除菌消臭噴霧 綠茶清香 370ml,1瓶</v>
          </cell>
          <cell r="J273">
            <v>12</v>
          </cell>
          <cell r="K273">
            <v>106</v>
          </cell>
          <cell r="L273">
            <v>1486.8</v>
          </cell>
          <cell r="M273">
            <v>1441.69074</v>
          </cell>
          <cell r="S273">
            <v>100</v>
          </cell>
          <cell r="AF273">
            <v>100</v>
          </cell>
          <cell r="AG273">
            <v>0</v>
          </cell>
          <cell r="AH273">
            <v>100</v>
          </cell>
          <cell r="AJ273">
            <v>100</v>
          </cell>
          <cell r="AK273">
            <v>148680</v>
          </cell>
          <cell r="AL273" t="e">
            <v>#DIV/0!</v>
          </cell>
          <cell r="AM273">
            <v>0</v>
          </cell>
          <cell r="AN273" t="e">
            <v>#DIV/0!</v>
          </cell>
        </row>
        <row r="274">
          <cell r="F274">
            <v>4902430363921</v>
          </cell>
          <cell r="G274">
            <v>4902430363921</v>
          </cell>
          <cell r="H274">
            <v>80811844</v>
          </cell>
          <cell r="I274" t="str">
            <v>febreze 風倍清 台灣公司貨 織物除菌消臭噴霧 高效除菌, 370ml, 1瓶</v>
          </cell>
          <cell r="J274">
            <v>12</v>
          </cell>
          <cell r="K274">
            <v>106</v>
          </cell>
          <cell r="L274">
            <v>1486.8</v>
          </cell>
          <cell r="M274">
            <v>1441.69074</v>
          </cell>
          <cell r="S274">
            <v>100</v>
          </cell>
          <cell r="AF274">
            <v>100</v>
          </cell>
          <cell r="AG274">
            <v>0</v>
          </cell>
          <cell r="AH274">
            <v>104</v>
          </cell>
          <cell r="AJ274">
            <v>100</v>
          </cell>
          <cell r="AK274">
            <v>148680</v>
          </cell>
          <cell r="AL274" t="e">
            <v>#DIV/0!</v>
          </cell>
          <cell r="AM274">
            <v>0</v>
          </cell>
          <cell r="AN274" t="e">
            <v>#DIV/0!</v>
          </cell>
        </row>
        <row r="275">
          <cell r="F275">
            <v>4902430955102</v>
          </cell>
          <cell r="G275">
            <v>4902430955102</v>
          </cell>
          <cell r="H275">
            <v>83909892</v>
          </cell>
          <cell r="I275" t="str">
            <v>Febreze 風倍清 織物除菌消臭噴霧 補充包 ,綠茶清香, 320ml, 1包</v>
          </cell>
          <cell r="J275">
            <v>24</v>
          </cell>
          <cell r="K275">
            <v>81</v>
          </cell>
          <cell r="L275">
            <v>2270.4</v>
          </cell>
          <cell r="M275">
            <v>2207.6989200000003</v>
          </cell>
          <cell r="S275">
            <v>51</v>
          </cell>
          <cell r="AF275">
            <v>51</v>
          </cell>
          <cell r="AG275">
            <v>0</v>
          </cell>
          <cell r="AH275">
            <v>51</v>
          </cell>
          <cell r="AJ275">
            <v>51</v>
          </cell>
          <cell r="AK275">
            <v>115790.40000000001</v>
          </cell>
          <cell r="AL275" t="e">
            <v>#DIV/0!</v>
          </cell>
          <cell r="AM275">
            <v>0</v>
          </cell>
          <cell r="AN275" t="e">
            <v>#DIV/0!</v>
          </cell>
        </row>
        <row r="276">
          <cell r="F276">
            <v>4902430113205</v>
          </cell>
          <cell r="G276">
            <v>4902430113205</v>
          </cell>
          <cell r="H276">
            <v>80790599</v>
          </cell>
          <cell r="I276" t="str">
            <v>febreze 風倍清 織物除菌消臭噴霧補充包, 高效除菌, 320ml, 1包</v>
          </cell>
          <cell r="J276">
            <v>24</v>
          </cell>
          <cell r="K276">
            <v>81</v>
          </cell>
          <cell r="L276">
            <v>2270.4</v>
          </cell>
          <cell r="M276">
            <v>2207.6989200000003</v>
          </cell>
          <cell r="S276">
            <v>100</v>
          </cell>
          <cell r="AF276">
            <v>100</v>
          </cell>
          <cell r="AG276">
            <v>0</v>
          </cell>
          <cell r="AH276">
            <v>150</v>
          </cell>
          <cell r="AJ276">
            <v>100</v>
          </cell>
          <cell r="AK276">
            <v>227040</v>
          </cell>
          <cell r="AL276" t="e">
            <v>#DIV/0!</v>
          </cell>
          <cell r="AM276">
            <v>0</v>
          </cell>
          <cell r="AN276" t="e">
            <v>#DIV/0!</v>
          </cell>
        </row>
        <row r="277">
          <cell r="F277">
            <v>4987176030399</v>
          </cell>
          <cell r="G277">
            <v>4987176030399</v>
          </cell>
          <cell r="H277">
            <v>80694940</v>
          </cell>
          <cell r="I277" t="str">
            <v>febreze 風倍清 台灣公司貨 浴廁用抗菌消臭防臭劑 山谷微香, 6ml, 2入,1組</v>
          </cell>
          <cell r="J277">
            <v>12</v>
          </cell>
          <cell r="K277">
            <v>201</v>
          </cell>
          <cell r="L277">
            <v>2734.8</v>
          </cell>
          <cell r="M277">
            <v>2661.6731400000003</v>
          </cell>
          <cell r="S277">
            <v>178</v>
          </cell>
          <cell r="AF277">
            <v>178</v>
          </cell>
          <cell r="AG277">
            <v>0</v>
          </cell>
          <cell r="AH277">
            <v>178</v>
          </cell>
          <cell r="AJ277">
            <v>178</v>
          </cell>
          <cell r="AK277">
            <v>486794.4</v>
          </cell>
          <cell r="AL277" t="e">
            <v>#DIV/0!</v>
          </cell>
          <cell r="AM277">
            <v>0</v>
          </cell>
          <cell r="AN277" t="e">
            <v>#DIV/0!</v>
          </cell>
        </row>
        <row r="278">
          <cell r="F278">
            <v>4987176030375</v>
          </cell>
          <cell r="G278">
            <v>4987176030375</v>
          </cell>
          <cell r="H278">
            <v>80694938</v>
          </cell>
          <cell r="I278" t="str">
            <v>febreze 風倍清 台灣公司貨 浴廁用抗菌消臭防臭劑 薄荷綠香 6ml, 2入, 1組</v>
          </cell>
          <cell r="J278">
            <v>12</v>
          </cell>
          <cell r="K278">
            <v>197</v>
          </cell>
          <cell r="L278">
            <v>2734.8</v>
          </cell>
          <cell r="M278">
            <v>2661.6731400000003</v>
          </cell>
          <cell r="S278">
            <v>100</v>
          </cell>
          <cell r="AF278">
            <v>100</v>
          </cell>
          <cell r="AG278">
            <v>0</v>
          </cell>
          <cell r="AH278">
            <v>100</v>
          </cell>
          <cell r="AJ278">
            <v>100</v>
          </cell>
          <cell r="AK278">
            <v>273480</v>
          </cell>
          <cell r="AL278" t="e">
            <v>#DIV/0!</v>
          </cell>
          <cell r="AM278">
            <v>0</v>
          </cell>
          <cell r="AN278" t="e">
            <v>#DIV/0!</v>
          </cell>
        </row>
        <row r="279">
          <cell r="F279">
            <v>4987176156587</v>
          </cell>
          <cell r="G279">
            <v>4987176156587</v>
          </cell>
          <cell r="H279">
            <v>80825805</v>
          </cell>
          <cell r="I279" t="str">
            <v>febreze 風倍清 台灣公司貨 新包裝升級 浴廁用防霉防臭劑, 柔和花香, 7ml, 2入,1組</v>
          </cell>
          <cell r="J279">
            <v>12</v>
          </cell>
          <cell r="K279">
            <v>224</v>
          </cell>
          <cell r="L279">
            <v>3126.84</v>
          </cell>
          <cell r="M279">
            <v>3044.911842</v>
          </cell>
          <cell r="S279">
            <v>100</v>
          </cell>
          <cell r="AF279">
            <v>100</v>
          </cell>
          <cell r="AG279">
            <v>0</v>
          </cell>
          <cell r="AH279">
            <v>100</v>
          </cell>
          <cell r="AJ279">
            <v>100</v>
          </cell>
          <cell r="AK279">
            <v>312684</v>
          </cell>
          <cell r="AL279" t="e">
            <v>#DIV/0!</v>
          </cell>
          <cell r="AM279">
            <v>0</v>
          </cell>
          <cell r="AN279" t="e">
            <v>#DIV/0!</v>
          </cell>
        </row>
        <row r="280">
          <cell r="F280">
            <v>4987176156594</v>
          </cell>
          <cell r="G280">
            <v>4987176156594</v>
          </cell>
          <cell r="H280">
            <v>80825806</v>
          </cell>
          <cell r="I280" t="str">
            <v>febreze 風倍清 台灣公司貨 新包裝升級浴廁用防霉防臭劑, 清新柑橘, 7ml, 2入,1組</v>
          </cell>
          <cell r="J280">
            <v>12</v>
          </cell>
          <cell r="K280">
            <v>224</v>
          </cell>
          <cell r="L280">
            <v>3126.84</v>
          </cell>
          <cell r="M280">
            <v>3044.911842</v>
          </cell>
          <cell r="S280">
            <v>55</v>
          </cell>
          <cell r="AF280">
            <v>55</v>
          </cell>
          <cell r="AG280">
            <v>0</v>
          </cell>
          <cell r="AH280">
            <v>55</v>
          </cell>
          <cell r="AJ280">
            <v>55</v>
          </cell>
          <cell r="AK280">
            <v>171976.2</v>
          </cell>
          <cell r="AL280" t="e">
            <v>#DIV/0!</v>
          </cell>
          <cell r="AM280">
            <v>0</v>
          </cell>
          <cell r="AN280" t="e">
            <v>#DIV/0!</v>
          </cell>
        </row>
        <row r="281">
          <cell r="F281">
            <v>4987176291929</v>
          </cell>
          <cell r="G281">
            <v>4987176291929</v>
          </cell>
          <cell r="H281">
            <v>80829013</v>
          </cell>
          <cell r="I281" t="str">
            <v>febreze 風倍清 台灣公司貨 室內用抗菌消臭防臭劑 清爽皂香, 7ml, 1個</v>
          </cell>
          <cell r="J281">
            <v>24</v>
          </cell>
          <cell r="K281">
            <v>132</v>
          </cell>
          <cell r="L281">
            <v>3285.6</v>
          </cell>
          <cell r="M281">
            <v>3200.11</v>
          </cell>
          <cell r="S281">
            <v>26</v>
          </cell>
          <cell r="AB281">
            <v>8.3333333333333329E-2</v>
          </cell>
          <cell r="AF281">
            <v>26</v>
          </cell>
          <cell r="AG281">
            <v>8.3333333333333329E-2</v>
          </cell>
          <cell r="AH281">
            <v>26</v>
          </cell>
          <cell r="AJ281">
            <v>25.916666666666668</v>
          </cell>
          <cell r="AK281">
            <v>85151.8</v>
          </cell>
          <cell r="AL281">
            <v>1555</v>
          </cell>
          <cell r="AM281">
            <v>0.51666666666666661</v>
          </cell>
          <cell r="AN281">
            <v>1479.6774193548388</v>
          </cell>
        </row>
        <row r="282">
          <cell r="F282">
            <v>4987176291936</v>
          </cell>
          <cell r="G282">
            <v>4987176291936</v>
          </cell>
          <cell r="H282">
            <v>80829014</v>
          </cell>
          <cell r="I282" t="str">
            <v>febreze 風倍清 台灣公司貨 室內用抗菌消臭防臭劑 清新白茶, 7ml, 1個</v>
          </cell>
          <cell r="J282">
            <v>24</v>
          </cell>
          <cell r="K282">
            <v>132</v>
          </cell>
          <cell r="L282">
            <v>3285.6</v>
          </cell>
          <cell r="M282">
            <v>3200.11</v>
          </cell>
          <cell r="S282">
            <v>59</v>
          </cell>
          <cell r="AB282">
            <v>0.45833333333333331</v>
          </cell>
          <cell r="AF282">
            <v>59</v>
          </cell>
          <cell r="AG282">
            <v>0.45833333333333331</v>
          </cell>
          <cell r="AH282">
            <v>59</v>
          </cell>
          <cell r="AJ282">
            <v>58.541666666666664</v>
          </cell>
          <cell r="AK282">
            <v>192344.5</v>
          </cell>
          <cell r="AL282">
            <v>638.63636363636351</v>
          </cell>
          <cell r="AM282">
            <v>2.8416666666666663</v>
          </cell>
          <cell r="AN282">
            <v>592.87390029325525</v>
          </cell>
        </row>
        <row r="283">
          <cell r="N283">
            <v>8328</v>
          </cell>
          <cell r="O283">
            <v>7024</v>
          </cell>
          <cell r="P283">
            <v>24010.75</v>
          </cell>
          <cell r="Q283">
            <v>8203</v>
          </cell>
          <cell r="R283">
            <v>21436</v>
          </cell>
          <cell r="S283">
            <v>19675</v>
          </cell>
          <cell r="W283">
            <v>1460.0166666666664</v>
          </cell>
          <cell r="X283">
            <v>7559.2333333333327</v>
          </cell>
          <cell r="Y283">
            <v>8185.0833333333312</v>
          </cell>
          <cell r="Z283">
            <v>12589.600000000002</v>
          </cell>
          <cell r="AA283">
            <v>19075.383333333328</v>
          </cell>
          <cell r="AB283">
            <v>3600.3069444444441</v>
          </cell>
          <cell r="AF283">
            <v>88676.75</v>
          </cell>
          <cell r="AG283">
            <v>52469.623611111107</v>
          </cell>
          <cell r="AH283">
            <v>28217.29</v>
          </cell>
          <cell r="AJ283">
            <v>38279.415277777785</v>
          </cell>
          <cell r="AK283">
            <v>56937848.995374985</v>
          </cell>
          <cell r="AM283">
            <v>22321.903055555544</v>
          </cell>
          <cell r="AN283" t="e">
            <v>#DIV/0!</v>
          </cell>
        </row>
        <row r="288">
          <cell r="F288">
            <v>4987176122933</v>
          </cell>
        </row>
        <row r="289">
          <cell r="F289">
            <v>6903148308752</v>
          </cell>
        </row>
        <row r="290">
          <cell r="F290">
            <v>4987176372192</v>
          </cell>
        </row>
        <row r="291">
          <cell r="F291">
            <v>4987176372062</v>
          </cell>
        </row>
        <row r="292">
          <cell r="F292">
            <v>4987176372079</v>
          </cell>
        </row>
        <row r="293">
          <cell r="F293">
            <v>4987176372284</v>
          </cell>
        </row>
      </sheetData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2404-Y2601_庫存&amp;銷售"/>
      <sheetName val="offtake &amp; sell thru"/>
      <sheetName val="Y2604-Y2608_庫存&amp;銷售"/>
      <sheetName val="工作表1 (2)"/>
      <sheetName val="工作表1"/>
    </sheetNames>
    <sheetDataSet>
      <sheetData sheetId="0">
        <row r="1">
          <cell r="D1" t="str">
            <v>Barcode</v>
          </cell>
        </row>
      </sheetData>
      <sheetData sheetId="1"/>
      <sheetData sheetId="2">
        <row r="1">
          <cell r="A1" t="str">
            <v>skuid</v>
          </cell>
          <cell r="F1" t="str">
            <v>Bardcode</v>
          </cell>
          <cell r="G1" t="str">
            <v>永豐料號</v>
          </cell>
          <cell r="H1" t="str">
            <v>PGcode</v>
          </cell>
          <cell r="I1" t="str">
            <v>SKU Name</v>
          </cell>
          <cell r="J1" t="str">
            <v>箱入數</v>
          </cell>
          <cell r="K1" t="str">
            <v>Cost 含稅
(賣給酷澎成本)</v>
          </cell>
          <cell r="L1" t="str">
            <v>GIV</v>
          </cell>
          <cell r="M1" t="str">
            <v>NIV</v>
          </cell>
          <cell r="N1" t="str">
            <v>Y26 4月實際下單總箱數</v>
          </cell>
          <cell r="O1" t="str">
            <v>Y26 5月實際下單總箱數</v>
          </cell>
          <cell r="P1" t="str">
            <v>Y26 6月實際下單總箱數</v>
          </cell>
          <cell r="Q1" t="str">
            <v>Y26 7月實際下單總箱數</v>
          </cell>
          <cell r="R1" t="str">
            <v>Y26 8月目前下單總箱數</v>
          </cell>
          <cell r="S1" t="str">
            <v>Y26 4月實銷總箱數</v>
          </cell>
          <cell r="T1" t="str">
            <v>Y26 5月實銷總箱數</v>
          </cell>
          <cell r="U1" t="str">
            <v>Y26 6月實銷總箱數</v>
          </cell>
          <cell r="V1" t="str">
            <v>Y26 7月實銷總箱數</v>
          </cell>
          <cell r="W1" t="str">
            <v>Y26 0801-0815實銷總箱數</v>
          </cell>
          <cell r="X1" t="str">
            <v>Y26 4-Y26 8月 合計下單總箱數</v>
          </cell>
          <cell r="Y1" t="str">
            <v>Y26 4-Y26 8月合計實銷總箱數</v>
          </cell>
          <cell r="Z1" t="str">
            <v>剩餘庫存(箱)</v>
          </cell>
          <cell r="AA1" t="str">
            <v>剩餘庫金</v>
          </cell>
          <cell r="AB1" t="str">
            <v>周轉</v>
          </cell>
        </row>
        <row r="2">
          <cell r="F2">
            <v>4987176405289</v>
          </cell>
          <cell r="G2">
            <v>4987176405289</v>
          </cell>
          <cell r="H2">
            <v>83916087</v>
          </cell>
          <cell r="I2" t="str">
            <v>ARIEL 原廠公司貨 4D抗菌洗衣膠囊補充包 抗菌去漬型, 80個裝, 1套</v>
          </cell>
          <cell r="J2">
            <v>4</v>
          </cell>
          <cell r="K2">
            <v>447</v>
          </cell>
          <cell r="L2">
            <v>1952</v>
          </cell>
          <cell r="M2">
            <v>1896.45</v>
          </cell>
          <cell r="N2">
            <v>0</v>
          </cell>
          <cell r="O2">
            <v>600</v>
          </cell>
          <cell r="P2">
            <v>285</v>
          </cell>
          <cell r="Q2">
            <v>426</v>
          </cell>
          <cell r="R2">
            <v>2425</v>
          </cell>
          <cell r="S2"/>
          <cell r="T2">
            <v>145.75</v>
          </cell>
          <cell r="U2">
            <v>297</v>
          </cell>
          <cell r="V2">
            <v>416.25</v>
          </cell>
          <cell r="W2">
            <v>691.75</v>
          </cell>
          <cell r="X2">
            <v>3736</v>
          </cell>
          <cell r="Y2">
            <v>1550.75</v>
          </cell>
          <cell r="Z2">
            <v>2185.25</v>
          </cell>
          <cell r="AA2">
            <v>4265608</v>
          </cell>
          <cell r="AB2">
            <v>45.856698182496473</v>
          </cell>
        </row>
        <row r="3">
          <cell r="F3">
            <v>4987176337153</v>
          </cell>
          <cell r="G3">
            <v>4987176337153</v>
          </cell>
          <cell r="H3">
            <v>80820263</v>
          </cell>
          <cell r="I3" t="str">
            <v>ARIEL 原廠公司貨 4D抗菌洗衣膠囊補充包 抗菌去漬型, 30個裝, 1套</v>
          </cell>
          <cell r="J3">
            <v>10</v>
          </cell>
          <cell r="K3">
            <v>208</v>
          </cell>
          <cell r="L3">
            <v>2256.9</v>
          </cell>
          <cell r="M3">
            <v>2194.5</v>
          </cell>
          <cell r="N3">
            <v>220</v>
          </cell>
          <cell r="O3">
            <v>0</v>
          </cell>
          <cell r="P3">
            <v>500</v>
          </cell>
          <cell r="Q3">
            <v>291</v>
          </cell>
          <cell r="R3">
            <v>442</v>
          </cell>
          <cell r="S3">
            <v>35</v>
          </cell>
          <cell r="T3">
            <v>188.99999999999997</v>
          </cell>
          <cell r="U3">
            <v>53.2</v>
          </cell>
          <cell r="V3">
            <v>396.8</v>
          </cell>
          <cell r="W3">
            <v>177.10000000000002</v>
          </cell>
          <cell r="X3">
            <v>1453</v>
          </cell>
          <cell r="Y3">
            <v>851.1</v>
          </cell>
          <cell r="Z3">
            <v>601.9</v>
          </cell>
          <cell r="AA3">
            <v>1358428.11</v>
          </cell>
          <cell r="AB3">
            <v>49.335166936849959</v>
          </cell>
        </row>
        <row r="4">
          <cell r="F4">
            <v>4987176351142</v>
          </cell>
          <cell r="G4">
            <v>4987176351142</v>
          </cell>
          <cell r="H4">
            <v>80835976</v>
          </cell>
          <cell r="I4" t="str">
            <v>ARIEL 原廠公司貨 4D抗菌洗衣膠囊 抗菌去漬型, 11個裝, 1套</v>
          </cell>
          <cell r="J4">
            <v>6</v>
          </cell>
          <cell r="K4">
            <v>97</v>
          </cell>
          <cell r="L4">
            <v>655.8</v>
          </cell>
          <cell r="M4">
            <v>629.35</v>
          </cell>
          <cell r="N4">
            <v>0</v>
          </cell>
          <cell r="O4">
            <v>0</v>
          </cell>
          <cell r="P4">
            <v>99</v>
          </cell>
          <cell r="Q4"/>
          <cell r="R4"/>
          <cell r="S4"/>
          <cell r="T4"/>
          <cell r="U4">
            <v>0.5</v>
          </cell>
          <cell r="V4">
            <v>5.1666666666666661</v>
          </cell>
          <cell r="W4">
            <v>1.6666666666666665</v>
          </cell>
          <cell r="X4">
            <v>99</v>
          </cell>
          <cell r="Y4">
            <v>7.3333333333333321</v>
          </cell>
          <cell r="Z4">
            <v>91.666666666666671</v>
          </cell>
          <cell r="AA4">
            <v>60115</v>
          </cell>
          <cell r="AB4">
            <v>798.38709677419365</v>
          </cell>
        </row>
        <row r="5">
          <cell r="F5">
            <v>4987176351104</v>
          </cell>
          <cell r="G5">
            <v>4987176351104</v>
          </cell>
          <cell r="H5">
            <v>80835974</v>
          </cell>
          <cell r="I5" t="str">
            <v>ARIEL 原廠公司貨 4D抗菌洗衣膠囊 室內晾衣型, 11個裝, 1套</v>
          </cell>
          <cell r="J5">
            <v>6</v>
          </cell>
          <cell r="K5">
            <v>97</v>
          </cell>
          <cell r="L5">
            <v>655.8</v>
          </cell>
          <cell r="M5">
            <v>629.35</v>
          </cell>
          <cell r="N5">
            <v>0</v>
          </cell>
          <cell r="O5">
            <v>0</v>
          </cell>
          <cell r="P5">
            <v>0</v>
          </cell>
          <cell r="Q5"/>
          <cell r="R5"/>
          <cell r="S5"/>
          <cell r="T5"/>
          <cell r="U5"/>
          <cell r="V5"/>
          <cell r="W5"/>
          <cell r="X5">
            <v>0</v>
          </cell>
          <cell r="Y5">
            <v>0</v>
          </cell>
          <cell r="Z5">
            <v>0</v>
          </cell>
          <cell r="AA5">
            <v>0</v>
          </cell>
          <cell r="AB5" t="e">
            <v>#DIV/0!</v>
          </cell>
        </row>
        <row r="6">
          <cell r="F6">
            <v>24987176280781</v>
          </cell>
          <cell r="G6">
            <v>4987176337160</v>
          </cell>
          <cell r="H6"/>
          <cell r="I6" t="str">
            <v>[箱裝][DS]ARIEL 台灣公司貨 4D抗菌洗衣膠囊補充包 室內晾衣型, 30顆, 10袋</v>
          </cell>
          <cell r="J6">
            <v>1</v>
          </cell>
          <cell r="K6">
            <v>2080</v>
          </cell>
          <cell r="L6">
            <v>2256.9</v>
          </cell>
          <cell r="M6">
            <v>2194.5</v>
          </cell>
          <cell r="N6">
            <v>0</v>
          </cell>
          <cell r="O6">
            <v>0</v>
          </cell>
          <cell r="P6">
            <v>0</v>
          </cell>
          <cell r="Q6"/>
          <cell r="R6"/>
          <cell r="S6"/>
          <cell r="T6"/>
          <cell r="U6"/>
          <cell r="V6"/>
          <cell r="W6"/>
          <cell r="X6">
            <v>0</v>
          </cell>
          <cell r="Y6">
            <v>0</v>
          </cell>
          <cell r="Z6">
            <v>0</v>
          </cell>
          <cell r="AA6">
            <v>0</v>
          </cell>
          <cell r="AB6" t="e">
            <v>#DIV/0!</v>
          </cell>
        </row>
        <row r="7">
          <cell r="F7">
            <v>24987176280811</v>
          </cell>
          <cell r="G7">
            <v>4987176337153</v>
          </cell>
          <cell r="H7"/>
          <cell r="I7" t="str">
            <v>[箱裝]ARIEL 台灣公司貨 4D抗菌洗衣膠囊補充包 抗菌去漬型, 30顆, 10袋</v>
          </cell>
          <cell r="J7">
            <v>1</v>
          </cell>
          <cell r="K7">
            <v>2080</v>
          </cell>
          <cell r="L7">
            <v>2256.9</v>
          </cell>
          <cell r="M7">
            <v>2194.5</v>
          </cell>
          <cell r="N7">
            <v>0</v>
          </cell>
          <cell r="O7">
            <v>0</v>
          </cell>
          <cell r="P7">
            <v>0</v>
          </cell>
          <cell r="Q7"/>
          <cell r="R7"/>
          <cell r="S7"/>
          <cell r="T7"/>
          <cell r="U7"/>
          <cell r="V7"/>
          <cell r="W7"/>
          <cell r="X7">
            <v>0</v>
          </cell>
          <cell r="Y7">
            <v>0</v>
          </cell>
          <cell r="Z7">
            <v>0</v>
          </cell>
          <cell r="AA7">
            <v>0</v>
          </cell>
          <cell r="AB7" t="e">
            <v>#DIV/0!</v>
          </cell>
        </row>
        <row r="8">
          <cell r="F8">
            <v>4987176340887</v>
          </cell>
          <cell r="G8"/>
          <cell r="H8">
            <v>80834744</v>
          </cell>
          <cell r="I8" t="str">
            <v>ARIEL 原廠公司貨 抗菌洗衣精 自然微香型, 800g, 1個</v>
          </cell>
          <cell r="J8">
            <v>12</v>
          </cell>
          <cell r="K8">
            <v>122</v>
          </cell>
          <cell r="L8">
            <v>1620</v>
          </cell>
          <cell r="M8">
            <v>1571.9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/>
          <cell r="T8"/>
          <cell r="U8"/>
          <cell r="V8"/>
          <cell r="W8"/>
          <cell r="X8">
            <v>0</v>
          </cell>
          <cell r="Y8">
            <v>0</v>
          </cell>
          <cell r="Z8">
            <v>0</v>
          </cell>
          <cell r="AA8">
            <v>0</v>
          </cell>
          <cell r="AB8" t="e">
            <v>#DIV/0!</v>
          </cell>
        </row>
        <row r="9">
          <cell r="F9">
            <v>14987176283808</v>
          </cell>
          <cell r="G9"/>
          <cell r="H9"/>
          <cell r="I9" t="str">
            <v>[箱裝]ARIEL 台灣公司貨 超濃縮 新升級 抗菌洗衣精, 自然微香型, 800g, 12瓶</v>
          </cell>
          <cell r="J9">
            <v>1</v>
          </cell>
          <cell r="K9"/>
          <cell r="L9"/>
          <cell r="M9">
            <v>0</v>
          </cell>
          <cell r="N9">
            <v>0</v>
          </cell>
          <cell r="O9">
            <v>0</v>
          </cell>
          <cell r="P9">
            <v>0</v>
          </cell>
          <cell r="Q9"/>
          <cell r="R9"/>
          <cell r="S9"/>
          <cell r="T9"/>
          <cell r="U9"/>
          <cell r="V9"/>
          <cell r="W9"/>
          <cell r="X9">
            <v>0</v>
          </cell>
          <cell r="Y9">
            <v>0</v>
          </cell>
          <cell r="Z9">
            <v>0</v>
          </cell>
          <cell r="AA9">
            <v>0</v>
          </cell>
          <cell r="AB9" t="e">
            <v>#DIV/0!</v>
          </cell>
        </row>
        <row r="10">
          <cell r="F10">
            <v>4987176340948</v>
          </cell>
          <cell r="G10"/>
          <cell r="H10">
            <v>80835222</v>
          </cell>
          <cell r="I10" t="str">
            <v>ARIEL 原廠公司貨 抗菌洗衣精 高效除蟎, 800g, 1個</v>
          </cell>
          <cell r="J10">
            <v>12</v>
          </cell>
          <cell r="K10">
            <v>122</v>
          </cell>
          <cell r="L10">
            <v>1620</v>
          </cell>
          <cell r="M10">
            <v>1571.9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/>
          <cell r="T10"/>
          <cell r="U10"/>
          <cell r="V10"/>
          <cell r="W10"/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 t="e">
            <v>#DIV/0!</v>
          </cell>
        </row>
        <row r="11">
          <cell r="F11">
            <v>14987176283815</v>
          </cell>
          <cell r="G11"/>
          <cell r="H11"/>
          <cell r="I11" t="str">
            <v>[箱裝]ARIEL 台灣公司貨 超濃縮 新升級 抗菌洗衣精, 高效除螨, 800g, 12瓶</v>
          </cell>
          <cell r="J11">
            <v>1</v>
          </cell>
          <cell r="K11"/>
          <cell r="L11"/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/>
          <cell r="R11"/>
          <cell r="S11"/>
          <cell r="T11"/>
          <cell r="U11"/>
          <cell r="V11"/>
          <cell r="W11"/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 t="e">
            <v>#DIV/0!</v>
          </cell>
        </row>
        <row r="12">
          <cell r="F12">
            <v>4987176247711</v>
          </cell>
          <cell r="G12"/>
          <cell r="H12">
            <v>80788033</v>
          </cell>
          <cell r="I12" t="str">
            <v>[DS]ARIEL 台灣公司貨 超濃縮 新升級 抗菌抗臭洗衣精補充包, 抗菌去漬型, 1030g, 1包</v>
          </cell>
          <cell r="J12">
            <v>8</v>
          </cell>
          <cell r="K12">
            <v>112</v>
          </cell>
          <cell r="L12">
            <v>955.7</v>
          </cell>
          <cell r="M12">
            <v>922.51199999999994</v>
          </cell>
          <cell r="N12">
            <v>0</v>
          </cell>
          <cell r="O12">
            <v>0</v>
          </cell>
          <cell r="P12">
            <v>0</v>
          </cell>
          <cell r="Q12"/>
          <cell r="R12"/>
          <cell r="S12"/>
          <cell r="T12"/>
          <cell r="U12">
            <v>2.25</v>
          </cell>
          <cell r="V12"/>
          <cell r="W12"/>
          <cell r="X12">
            <v>0</v>
          </cell>
          <cell r="Y12">
            <v>2.25</v>
          </cell>
          <cell r="Z12"/>
          <cell r="AA12">
            <v>0</v>
          </cell>
          <cell r="AB12" t="e">
            <v>#DIV/0!</v>
          </cell>
        </row>
        <row r="13">
          <cell r="F13">
            <v>14987176247718</v>
          </cell>
          <cell r="G13"/>
          <cell r="H13"/>
          <cell r="I13" t="str">
            <v>[箱裝][DS]ARIEL 台灣公司貨 超濃縮 新升級 抗菌抗臭洗衣精補充包, 抗菌去漬型, 1030g, 8包</v>
          </cell>
          <cell r="J13">
            <v>1</v>
          </cell>
          <cell r="K13"/>
          <cell r="L13"/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/>
          <cell r="R13"/>
          <cell r="S13"/>
          <cell r="T13"/>
          <cell r="U13"/>
          <cell r="V13"/>
          <cell r="W13"/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 t="e">
            <v>#DIV/0!</v>
          </cell>
        </row>
        <row r="14">
          <cell r="F14">
            <v>4987176247728</v>
          </cell>
          <cell r="G14"/>
          <cell r="H14">
            <v>80788034</v>
          </cell>
          <cell r="I14" t="str">
            <v>[DS]ARIEL 台灣公司貨 超濃縮 新升級 抗菌抗臭洗衣精補充包, 室內晾衣型, 1030g, 1包</v>
          </cell>
          <cell r="J14">
            <v>8</v>
          </cell>
          <cell r="K14">
            <v>112</v>
          </cell>
          <cell r="L14">
            <v>955.7</v>
          </cell>
          <cell r="M14">
            <v>922.51199999999994</v>
          </cell>
          <cell r="N14">
            <v>0</v>
          </cell>
          <cell r="O14">
            <v>0</v>
          </cell>
          <cell r="P14">
            <v>0</v>
          </cell>
          <cell r="Q14"/>
          <cell r="R14"/>
          <cell r="S14"/>
          <cell r="T14"/>
          <cell r="U14"/>
          <cell r="V14"/>
          <cell r="W14"/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 t="e">
            <v>#DIV/0!</v>
          </cell>
        </row>
        <row r="15">
          <cell r="F15">
            <v>14987176247725</v>
          </cell>
          <cell r="G15"/>
          <cell r="H15"/>
          <cell r="I15" t="str">
            <v>[箱裝][DS]ARIEL 台灣公司貨 超濃縮 新升級 抗菌抗臭洗衣精補充包 室內晾衣型, 1030g, 8包</v>
          </cell>
          <cell r="J15">
            <v>1</v>
          </cell>
          <cell r="K15"/>
          <cell r="L15"/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/>
          <cell r="R15"/>
          <cell r="S15"/>
          <cell r="T15"/>
          <cell r="U15"/>
          <cell r="V15"/>
          <cell r="W15"/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 t="e">
            <v>#DIV/0!</v>
          </cell>
        </row>
        <row r="16">
          <cell r="F16">
            <v>4987176340900</v>
          </cell>
          <cell r="G16">
            <v>4987176340900</v>
          </cell>
          <cell r="H16">
            <v>80863067</v>
          </cell>
          <cell r="I16" t="str">
            <v>ARIEL 原廠公司貨 抗菌洗衣精補充包 抗菌去漬型, 1690g, 1個</v>
          </cell>
          <cell r="J16">
            <v>6</v>
          </cell>
          <cell r="K16">
            <v>193</v>
          </cell>
          <cell r="L16">
            <v>1283.4000000000001</v>
          </cell>
          <cell r="M16">
            <v>1242.8599999999999</v>
          </cell>
          <cell r="N16">
            <v>0</v>
          </cell>
          <cell r="O16">
            <v>0</v>
          </cell>
          <cell r="P16">
            <v>340</v>
          </cell>
          <cell r="Q16">
            <v>802</v>
          </cell>
          <cell r="R16">
            <v>612</v>
          </cell>
          <cell r="S16"/>
          <cell r="T16"/>
          <cell r="U16">
            <v>62</v>
          </cell>
          <cell r="V16">
            <v>738.33333333333326</v>
          </cell>
          <cell r="W16">
            <v>342.33333333333337</v>
          </cell>
          <cell r="X16">
            <v>1754</v>
          </cell>
          <cell r="Y16">
            <v>1142.6666666666665</v>
          </cell>
          <cell r="Z16">
            <v>611.33333333333348</v>
          </cell>
          <cell r="AA16">
            <v>784585.2000000003</v>
          </cell>
          <cell r="AB16">
            <v>25.922668593146341</v>
          </cell>
        </row>
        <row r="17">
          <cell r="F17">
            <v>14987176340907</v>
          </cell>
          <cell r="G17">
            <v>4987176340900</v>
          </cell>
          <cell r="H17">
            <v>80863067</v>
          </cell>
          <cell r="I17" t="str">
            <v>[箱裝]ARIEL 台灣公司貨 超濃縮 新升級 抗菌洗衣精補充包, 抗菌去漬型, 1690g, 6包</v>
          </cell>
          <cell r="J17">
            <v>1</v>
          </cell>
          <cell r="K17">
            <v>1158</v>
          </cell>
          <cell r="L17">
            <v>1283.4000000000001</v>
          </cell>
          <cell r="M17">
            <v>1242.8599999999999</v>
          </cell>
          <cell r="N17">
            <v>0</v>
          </cell>
          <cell r="O17"/>
          <cell r="P17">
            <v>60</v>
          </cell>
          <cell r="Q17">
            <v>84</v>
          </cell>
          <cell r="R17">
            <v>388</v>
          </cell>
          <cell r="S17"/>
          <cell r="T17"/>
          <cell r="U17">
            <v>20</v>
          </cell>
          <cell r="V17">
            <v>44</v>
          </cell>
          <cell r="W17">
            <v>83</v>
          </cell>
          <cell r="X17">
            <v>532</v>
          </cell>
          <cell r="Y17">
            <v>147</v>
          </cell>
          <cell r="Z17">
            <v>385</v>
          </cell>
          <cell r="AA17">
            <v>494109.00000000006</v>
          </cell>
          <cell r="AB17">
            <v>67.33385153517294</v>
          </cell>
        </row>
        <row r="18">
          <cell r="F18">
            <v>4987176340856</v>
          </cell>
          <cell r="G18">
            <v>4987176340856</v>
          </cell>
          <cell r="H18">
            <v>80863061</v>
          </cell>
          <cell r="I18" t="str">
            <v>ARIEL 原廠公司貨 抗菌洗衣精補充包 室內晾衣型, 1690g, 1個</v>
          </cell>
          <cell r="J18">
            <v>6</v>
          </cell>
          <cell r="K18">
            <v>193</v>
          </cell>
          <cell r="L18">
            <v>1283.4000000000001</v>
          </cell>
          <cell r="M18">
            <v>1242.8599999999999</v>
          </cell>
          <cell r="N18">
            <v>0</v>
          </cell>
          <cell r="O18">
            <v>0</v>
          </cell>
          <cell r="P18">
            <v>1555</v>
          </cell>
          <cell r="Q18">
            <v>208</v>
          </cell>
          <cell r="R18">
            <v>834</v>
          </cell>
          <cell r="S18"/>
          <cell r="T18"/>
          <cell r="U18">
            <v>84</v>
          </cell>
          <cell r="V18">
            <v>637.16666666666674</v>
          </cell>
          <cell r="W18">
            <v>880.83333333333326</v>
          </cell>
          <cell r="X18">
            <v>2597</v>
          </cell>
          <cell r="Y18">
            <v>1602</v>
          </cell>
          <cell r="Z18">
            <v>995</v>
          </cell>
          <cell r="AA18">
            <v>1276983</v>
          </cell>
          <cell r="AB18">
            <v>16.397595141453291</v>
          </cell>
        </row>
        <row r="19">
          <cell r="F19">
            <v>14987176340853</v>
          </cell>
          <cell r="G19">
            <v>4987176340856</v>
          </cell>
          <cell r="H19">
            <v>80863061</v>
          </cell>
          <cell r="I19" t="str">
            <v>[箱裝][DS]ARIEL 台灣公司貨 超濃縮 新升級 抗菌洗衣精補充包, 室內晾衣型, 1690g, 6包</v>
          </cell>
          <cell r="J19">
            <v>1</v>
          </cell>
          <cell r="K19">
            <v>1158</v>
          </cell>
          <cell r="L19">
            <v>1283.4000000000001</v>
          </cell>
          <cell r="M19">
            <v>1242.8599999999999</v>
          </cell>
          <cell r="N19">
            <v>0</v>
          </cell>
          <cell r="O19"/>
          <cell r="P19">
            <v>445</v>
          </cell>
          <cell r="Q19">
            <v>158</v>
          </cell>
          <cell r="R19">
            <v>166</v>
          </cell>
          <cell r="S19"/>
          <cell r="T19"/>
          <cell r="U19">
            <v>53</v>
          </cell>
          <cell r="V19">
            <v>201</v>
          </cell>
          <cell r="W19">
            <v>87</v>
          </cell>
          <cell r="X19">
            <v>769</v>
          </cell>
          <cell r="Y19">
            <v>341</v>
          </cell>
          <cell r="Z19">
            <v>428</v>
          </cell>
          <cell r="AA19">
            <v>549295.20000000007</v>
          </cell>
          <cell r="AB19">
            <v>71.412680756396</v>
          </cell>
        </row>
        <row r="20">
          <cell r="F20">
            <v>4987176340924</v>
          </cell>
          <cell r="G20">
            <v>4987176340924</v>
          </cell>
          <cell r="H20">
            <v>80863069</v>
          </cell>
          <cell r="I20" t="str">
            <v>ARIEL 原廠公司貨 抗菌洗衣精補充包 自然微香型, 1690g, 1個</v>
          </cell>
          <cell r="J20">
            <v>6</v>
          </cell>
          <cell r="K20">
            <v>193</v>
          </cell>
          <cell r="L20">
            <v>1283.4000000000001</v>
          </cell>
          <cell r="M20">
            <v>1242.8599999999999</v>
          </cell>
          <cell r="N20">
            <v>0</v>
          </cell>
          <cell r="O20">
            <v>0</v>
          </cell>
          <cell r="P20">
            <v>20</v>
          </cell>
          <cell r="Q20">
            <v>0</v>
          </cell>
          <cell r="R20">
            <v>142</v>
          </cell>
          <cell r="S20"/>
          <cell r="T20"/>
          <cell r="U20">
            <v>5.333333333333333</v>
          </cell>
          <cell r="V20">
            <v>14.5</v>
          </cell>
          <cell r="W20">
            <v>13</v>
          </cell>
          <cell r="X20">
            <v>162</v>
          </cell>
          <cell r="Y20">
            <v>32.833333333333329</v>
          </cell>
          <cell r="Z20">
            <v>129.16666666666669</v>
          </cell>
          <cell r="AA20">
            <v>165772.50000000003</v>
          </cell>
          <cell r="AB20">
            <v>144.23076923076925</v>
          </cell>
        </row>
        <row r="21">
          <cell r="F21">
            <v>14987176340921</v>
          </cell>
          <cell r="G21">
            <v>4987176340924</v>
          </cell>
          <cell r="H21">
            <v>80863069</v>
          </cell>
          <cell r="I21" t="str">
            <v>[DS][箱裝]ARIEL 台灣公司貨 超濃縮 新升級 抗菌洗衣精補充包, 自然微香型, 1690g, 6包</v>
          </cell>
          <cell r="J21">
            <v>1</v>
          </cell>
          <cell r="K21">
            <v>1158</v>
          </cell>
          <cell r="L21">
            <v>1283.4000000000001</v>
          </cell>
          <cell r="M21">
            <v>1242.8599999999999</v>
          </cell>
          <cell r="N21">
            <v>0</v>
          </cell>
          <cell r="O21"/>
          <cell r="P21">
            <v>10</v>
          </cell>
          <cell r="Q21">
            <v>0</v>
          </cell>
          <cell r="R21">
            <v>0</v>
          </cell>
          <cell r="S21"/>
          <cell r="T21"/>
          <cell r="U21">
            <v>5</v>
          </cell>
          <cell r="V21">
            <v>5</v>
          </cell>
          <cell r="W21"/>
          <cell r="X21">
            <v>10</v>
          </cell>
          <cell r="Y21">
            <v>10</v>
          </cell>
          <cell r="Z21">
            <v>0</v>
          </cell>
          <cell r="AA21">
            <v>0</v>
          </cell>
          <cell r="AB21" t="e">
            <v>#DIV/0!</v>
          </cell>
        </row>
        <row r="22">
          <cell r="F22">
            <v>14987176340877</v>
          </cell>
          <cell r="G22">
            <v>4987176340870</v>
          </cell>
          <cell r="H22">
            <v>80863063</v>
          </cell>
          <cell r="I22" t="str">
            <v>[箱裝]ARIEL 台灣公司貨 超濃縮 新升級 抗菌洗衣精補充包, 高效除螨, 1690g, 6包</v>
          </cell>
          <cell r="J22">
            <v>1</v>
          </cell>
          <cell r="K22">
            <v>1158</v>
          </cell>
          <cell r="L22">
            <v>1283.4000000000001</v>
          </cell>
          <cell r="M22">
            <v>1242.8599999999999</v>
          </cell>
          <cell r="N22">
            <v>0</v>
          </cell>
          <cell r="O22"/>
          <cell r="P22">
            <v>150</v>
          </cell>
          <cell r="Q22">
            <v>120</v>
          </cell>
          <cell r="R22">
            <v>0</v>
          </cell>
          <cell r="S22"/>
          <cell r="T22"/>
          <cell r="U22">
            <v>19</v>
          </cell>
          <cell r="V22">
            <v>19</v>
          </cell>
          <cell r="W22">
            <v>3</v>
          </cell>
          <cell r="X22">
            <v>270</v>
          </cell>
          <cell r="Y22">
            <v>41</v>
          </cell>
          <cell r="Z22">
            <v>229</v>
          </cell>
          <cell r="AA22">
            <v>293898.60000000003</v>
          </cell>
          <cell r="AB22">
            <v>1108.0645161290322</v>
          </cell>
        </row>
        <row r="23">
          <cell r="F23">
            <v>4987176340870</v>
          </cell>
          <cell r="G23">
            <v>4987176340870</v>
          </cell>
          <cell r="H23">
            <v>80863063</v>
          </cell>
          <cell r="I23" t="str">
            <v>ARIEL 原廠公司貨 抗菌洗衣精補充包 高效除蟎, 1690g, 1個</v>
          </cell>
          <cell r="J23">
            <v>6</v>
          </cell>
          <cell r="K23">
            <v>193</v>
          </cell>
          <cell r="L23">
            <v>1283.4000000000001</v>
          </cell>
          <cell r="M23">
            <v>1242.8599999999999</v>
          </cell>
          <cell r="N23">
            <v>0</v>
          </cell>
          <cell r="O23">
            <v>0</v>
          </cell>
          <cell r="P23">
            <v>349</v>
          </cell>
          <cell r="Q23">
            <v>170</v>
          </cell>
          <cell r="R23">
            <v>334</v>
          </cell>
          <cell r="S23"/>
          <cell r="T23"/>
          <cell r="U23">
            <v>5</v>
          </cell>
          <cell r="V23">
            <v>153.66666666666666</v>
          </cell>
          <cell r="W23">
            <v>126.33333333333334</v>
          </cell>
          <cell r="X23">
            <v>853</v>
          </cell>
          <cell r="Y23">
            <v>285</v>
          </cell>
          <cell r="Z23">
            <v>568</v>
          </cell>
          <cell r="AA23">
            <v>728971.20000000007</v>
          </cell>
          <cell r="AB23">
            <v>65.265128947144433</v>
          </cell>
        </row>
        <row r="24">
          <cell r="F24">
            <v>4987176337160</v>
          </cell>
          <cell r="G24">
            <v>4987176337160</v>
          </cell>
          <cell r="H24">
            <v>80820259</v>
          </cell>
          <cell r="I24" t="str">
            <v>ARIEL 原廠公司貨 4D抗菌洗衣膠囊補充包 室內晾衣型, 30個裝, 1套</v>
          </cell>
          <cell r="J24">
            <v>10</v>
          </cell>
          <cell r="K24">
            <v>208</v>
          </cell>
          <cell r="L24">
            <v>2256.9</v>
          </cell>
          <cell r="M24">
            <v>2194.5</v>
          </cell>
          <cell r="N24">
            <v>189</v>
          </cell>
          <cell r="O24">
            <v>144</v>
          </cell>
          <cell r="P24">
            <v>0</v>
          </cell>
          <cell r="Q24">
            <v>220</v>
          </cell>
          <cell r="R24">
            <v>293</v>
          </cell>
          <cell r="S24">
            <v>32.6</v>
          </cell>
          <cell r="T24">
            <v>225.60000000000002</v>
          </cell>
          <cell r="U24">
            <v>70.5</v>
          </cell>
          <cell r="V24">
            <v>194.6</v>
          </cell>
          <cell r="W24">
            <v>246.8</v>
          </cell>
          <cell r="X24">
            <v>846</v>
          </cell>
          <cell r="Y24">
            <v>770.10000000000014</v>
          </cell>
          <cell r="Z24">
            <v>75.899999999999864</v>
          </cell>
          <cell r="AA24">
            <v>171298.7099999997</v>
          </cell>
          <cell r="AB24">
            <v>4.4642390338265194</v>
          </cell>
        </row>
        <row r="25">
          <cell r="F25">
            <v>4987176337146</v>
          </cell>
          <cell r="G25">
            <v>4987176337146</v>
          </cell>
          <cell r="H25">
            <v>80820265</v>
          </cell>
          <cell r="I25" t="str">
            <v>ARIEL 原廠公司貨 4D抗菌洗衣膠囊補充包 自然微香型, 30個裝, 1套</v>
          </cell>
          <cell r="J25">
            <v>10</v>
          </cell>
          <cell r="K25">
            <v>208</v>
          </cell>
          <cell r="L25">
            <v>2256.9</v>
          </cell>
          <cell r="M25">
            <v>2194.5</v>
          </cell>
          <cell r="N25">
            <v>0</v>
          </cell>
          <cell r="O25">
            <v>23</v>
          </cell>
          <cell r="P25">
            <v>0</v>
          </cell>
          <cell r="Q25">
            <v>12</v>
          </cell>
          <cell r="R25">
            <v>48</v>
          </cell>
          <cell r="S25"/>
          <cell r="T25">
            <v>0.7</v>
          </cell>
          <cell r="U25">
            <v>7.2</v>
          </cell>
          <cell r="V25">
            <v>7.1</v>
          </cell>
          <cell r="W25">
            <v>25.8</v>
          </cell>
          <cell r="X25">
            <v>83</v>
          </cell>
          <cell r="Y25">
            <v>40.799999999999997</v>
          </cell>
          <cell r="Z25">
            <v>42.2</v>
          </cell>
          <cell r="AA25">
            <v>95241.180000000008</v>
          </cell>
          <cell r="AB25">
            <v>23.743435858964745</v>
          </cell>
        </row>
        <row r="26">
          <cell r="F26">
            <v>4987176314352</v>
          </cell>
          <cell r="G26">
            <v>4987176314352</v>
          </cell>
          <cell r="H26">
            <v>80841901</v>
          </cell>
          <cell r="I26" t="str">
            <v>Lenor 蘭諾 衣物芳香豆 甜柔麝香 特大補充包, 1.3L, 1包</v>
          </cell>
          <cell r="J26">
            <v>6</v>
          </cell>
          <cell r="K26">
            <v>367</v>
          </cell>
          <cell r="L26">
            <v>2326.86</v>
          </cell>
          <cell r="M26">
            <v>2262.89</v>
          </cell>
          <cell r="N26">
            <v>230</v>
          </cell>
          <cell r="O26">
            <v>0</v>
          </cell>
          <cell r="P26">
            <v>0</v>
          </cell>
          <cell r="Q26"/>
          <cell r="R26"/>
          <cell r="S26">
            <v>55.666666666666664</v>
          </cell>
          <cell r="T26">
            <v>157.16666666666669</v>
          </cell>
          <cell r="U26">
            <v>16.5</v>
          </cell>
          <cell r="V26"/>
          <cell r="W26"/>
          <cell r="X26">
            <v>230</v>
          </cell>
          <cell r="Y26">
            <v>229.33333333333334</v>
          </cell>
          <cell r="Z26">
            <v>0.66666666666665719</v>
          </cell>
          <cell r="AA26">
            <v>1551.239999999978</v>
          </cell>
          <cell r="AB26" t="e">
            <v>#DIV/0!</v>
          </cell>
        </row>
        <row r="27">
          <cell r="F27">
            <v>4987176314260</v>
          </cell>
          <cell r="G27">
            <v>4987176314260</v>
          </cell>
          <cell r="H27">
            <v>80841893</v>
          </cell>
          <cell r="I27" t="str">
            <v>Lenor 蘭諾 衣物芳香豆 清晨草木 特大補充包, 1.3L, 1包</v>
          </cell>
          <cell r="J27">
            <v>6</v>
          </cell>
          <cell r="K27">
            <v>367</v>
          </cell>
          <cell r="L27">
            <v>2326.86</v>
          </cell>
          <cell r="M27">
            <v>2262.89</v>
          </cell>
          <cell r="N27">
            <v>165</v>
          </cell>
          <cell r="O27">
            <v>0</v>
          </cell>
          <cell r="P27">
            <v>0</v>
          </cell>
          <cell r="Q27"/>
          <cell r="R27"/>
          <cell r="S27">
            <v>24.333333333333332</v>
          </cell>
          <cell r="T27">
            <v>112.83333333333336</v>
          </cell>
          <cell r="U27">
            <v>24.5</v>
          </cell>
          <cell r="V27"/>
          <cell r="W27"/>
          <cell r="X27">
            <v>165</v>
          </cell>
          <cell r="Y27">
            <v>161.66666666666669</v>
          </cell>
          <cell r="Z27">
            <v>3.3333333333333144</v>
          </cell>
          <cell r="AA27">
            <v>7756.1999999999562</v>
          </cell>
          <cell r="AB27" t="e">
            <v>#DIV/0!</v>
          </cell>
        </row>
        <row r="28">
          <cell r="F28">
            <v>4987176314369</v>
          </cell>
          <cell r="G28">
            <v>4987176314369</v>
          </cell>
          <cell r="H28">
            <v>80841902</v>
          </cell>
          <cell r="I28" t="str">
            <v>Lenor 蘭諾 衣物抗菌芳香豆 運動衣物抗臭 補充包, 430ml, 1包</v>
          </cell>
          <cell r="J28">
            <v>10</v>
          </cell>
          <cell r="K28">
            <v>140</v>
          </cell>
          <cell r="L28">
            <v>1440.3</v>
          </cell>
          <cell r="M28">
            <v>1396.23</v>
          </cell>
          <cell r="N28">
            <v>41</v>
          </cell>
          <cell r="O28">
            <v>40</v>
          </cell>
          <cell r="P28">
            <v>0</v>
          </cell>
          <cell r="Q28">
            <v>0</v>
          </cell>
          <cell r="R28">
            <v>0</v>
          </cell>
          <cell r="S28">
            <v>21</v>
          </cell>
          <cell r="T28">
            <v>56.400000000000006</v>
          </cell>
          <cell r="U28">
            <v>-0.1</v>
          </cell>
          <cell r="V28"/>
          <cell r="W28">
            <v>0</v>
          </cell>
          <cell r="X28">
            <v>81</v>
          </cell>
          <cell r="Y28">
            <v>77.300000000000011</v>
          </cell>
          <cell r="Z28">
            <v>3.6999999999999886</v>
          </cell>
          <cell r="AA28">
            <v>5329.1099999999833</v>
          </cell>
          <cell r="AB28" t="e">
            <v>#DIV/0!</v>
          </cell>
        </row>
        <row r="29">
          <cell r="F29">
            <v>4987176314789</v>
          </cell>
          <cell r="G29">
            <v>4987176314789</v>
          </cell>
          <cell r="H29">
            <v>80842258</v>
          </cell>
          <cell r="I29" t="str">
            <v>Lenor 蘭諾 衣物芳香豆 甜柔麝香 補充包, 440ml, 1包</v>
          </cell>
          <cell r="J29">
            <v>10</v>
          </cell>
          <cell r="K29">
            <v>136</v>
          </cell>
          <cell r="L29">
            <v>1440.3</v>
          </cell>
          <cell r="M29">
            <v>1396.23</v>
          </cell>
          <cell r="N29">
            <v>307</v>
          </cell>
          <cell r="O29">
            <v>46</v>
          </cell>
          <cell r="P29">
            <v>0</v>
          </cell>
          <cell r="Q29">
            <v>0</v>
          </cell>
          <cell r="R29">
            <v>0</v>
          </cell>
          <cell r="S29">
            <v>29.700000000000003</v>
          </cell>
          <cell r="T29">
            <v>109.89999999999999</v>
          </cell>
          <cell r="U29">
            <v>178.1</v>
          </cell>
          <cell r="V29">
            <v>35.900000000000006</v>
          </cell>
          <cell r="W29">
            <v>0.8</v>
          </cell>
          <cell r="X29">
            <v>353</v>
          </cell>
          <cell r="Y29">
            <v>354.40000000000003</v>
          </cell>
          <cell r="Z29"/>
          <cell r="AA29">
            <v>0</v>
          </cell>
          <cell r="AB29">
            <v>0</v>
          </cell>
        </row>
        <row r="30">
          <cell r="F30">
            <v>4987176314802</v>
          </cell>
          <cell r="G30">
            <v>4987176314802</v>
          </cell>
          <cell r="H30">
            <v>80842260</v>
          </cell>
          <cell r="I30" t="str">
            <v>Lenor 蘭諾 衣物芳香豆 甜花石榴香 補充包, 440ml, 1包</v>
          </cell>
          <cell r="J30">
            <v>10</v>
          </cell>
          <cell r="K30">
            <v>136</v>
          </cell>
          <cell r="L30">
            <v>1440.3</v>
          </cell>
          <cell r="M30">
            <v>1396.23</v>
          </cell>
          <cell r="N30">
            <v>294</v>
          </cell>
          <cell r="O30">
            <v>294</v>
          </cell>
          <cell r="P30">
            <v>0</v>
          </cell>
          <cell r="Q30">
            <v>0</v>
          </cell>
          <cell r="R30">
            <v>0</v>
          </cell>
          <cell r="S30">
            <v>8.1999999999999993</v>
          </cell>
          <cell r="T30">
            <v>98.400000000000034</v>
          </cell>
          <cell r="U30">
            <v>179.7</v>
          </cell>
          <cell r="V30">
            <v>77.800000000000011</v>
          </cell>
          <cell r="W30">
            <v>183</v>
          </cell>
          <cell r="X30">
            <v>588</v>
          </cell>
          <cell r="Y30">
            <v>547.1</v>
          </cell>
          <cell r="Z30">
            <v>40.899999999999977</v>
          </cell>
          <cell r="AA30">
            <v>58908.269999999968</v>
          </cell>
          <cell r="AB30">
            <v>3.2443151771549426</v>
          </cell>
        </row>
        <row r="31">
          <cell r="F31">
            <v>4987176314772</v>
          </cell>
          <cell r="G31">
            <v>4987176314772</v>
          </cell>
          <cell r="H31">
            <v>80842257</v>
          </cell>
          <cell r="I31" t="str">
            <v>Lenor 蘭諾 衣物芳香豆 雪松梔子花 補充包, 440ml, 1包</v>
          </cell>
          <cell r="J31">
            <v>10</v>
          </cell>
          <cell r="K31">
            <v>136</v>
          </cell>
          <cell r="L31">
            <v>1440.3</v>
          </cell>
          <cell r="M31">
            <v>1396.23</v>
          </cell>
          <cell r="N31">
            <v>265</v>
          </cell>
          <cell r="O31">
            <v>141</v>
          </cell>
          <cell r="P31">
            <v>0</v>
          </cell>
          <cell r="Q31">
            <v>0</v>
          </cell>
          <cell r="R31">
            <v>0</v>
          </cell>
          <cell r="S31">
            <v>38</v>
          </cell>
          <cell r="T31">
            <v>189</v>
          </cell>
          <cell r="U31">
            <v>168.4</v>
          </cell>
          <cell r="V31">
            <v>1</v>
          </cell>
          <cell r="W31"/>
          <cell r="X31">
            <v>406</v>
          </cell>
          <cell r="Y31">
            <v>396.4</v>
          </cell>
          <cell r="Z31">
            <v>9.6000000000000227</v>
          </cell>
          <cell r="AA31">
            <v>13826.880000000032</v>
          </cell>
          <cell r="AB31" t="e">
            <v>#DIV/0!</v>
          </cell>
        </row>
        <row r="32">
          <cell r="F32">
            <v>4987176314796</v>
          </cell>
          <cell r="G32">
            <v>4987176314796</v>
          </cell>
          <cell r="H32">
            <v>80842259</v>
          </cell>
          <cell r="I32" t="str">
            <v>Lenor 蘭諾 衣物芳香豆 清晨草木 補充包, 440ml, 1包</v>
          </cell>
          <cell r="J32">
            <v>10</v>
          </cell>
          <cell r="K32">
            <v>136</v>
          </cell>
          <cell r="L32">
            <v>1440.3</v>
          </cell>
          <cell r="M32">
            <v>1396.23</v>
          </cell>
          <cell r="N32">
            <v>233</v>
          </cell>
          <cell r="O32">
            <v>233</v>
          </cell>
          <cell r="P32">
            <v>0</v>
          </cell>
          <cell r="Q32">
            <v>0</v>
          </cell>
          <cell r="R32">
            <v>0</v>
          </cell>
          <cell r="S32">
            <v>24.2</v>
          </cell>
          <cell r="T32">
            <v>89.3</v>
          </cell>
          <cell r="U32">
            <v>154.5</v>
          </cell>
          <cell r="V32">
            <v>81</v>
          </cell>
          <cell r="W32">
            <v>16</v>
          </cell>
          <cell r="X32">
            <v>466</v>
          </cell>
          <cell r="Y32">
            <v>365</v>
          </cell>
          <cell r="Z32">
            <v>101</v>
          </cell>
          <cell r="AA32">
            <v>145470.29999999999</v>
          </cell>
          <cell r="AB32">
            <v>91.633064516129039</v>
          </cell>
        </row>
        <row r="33">
          <cell r="F33">
            <v>4987176314222</v>
          </cell>
          <cell r="G33">
            <v>4987176314222</v>
          </cell>
          <cell r="H33">
            <v>80841888</v>
          </cell>
          <cell r="I33" t="str">
            <v>Lenor 蘭諾 衣物芳香豆 雪松梔子花, 450ml, 1瓶</v>
          </cell>
          <cell r="J33">
            <v>6</v>
          </cell>
          <cell r="K33">
            <v>174</v>
          </cell>
          <cell r="L33">
            <v>1081.3</v>
          </cell>
          <cell r="M33">
            <v>1045.29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/>
          <cell r="T33"/>
          <cell r="U33"/>
          <cell r="V33"/>
          <cell r="W33">
            <v>1</v>
          </cell>
          <cell r="X33">
            <v>0</v>
          </cell>
          <cell r="Y33">
            <v>1</v>
          </cell>
          <cell r="Z33"/>
          <cell r="AA33">
            <v>0</v>
          </cell>
          <cell r="AB33">
            <v>0</v>
          </cell>
        </row>
        <row r="34">
          <cell r="F34">
            <v>4987176314338</v>
          </cell>
          <cell r="G34">
            <v>4987176314338</v>
          </cell>
          <cell r="H34">
            <v>80841899</v>
          </cell>
          <cell r="I34" t="str">
            <v>Lenor 蘭諾 衣物芳香豆 甜花石榴香, 450ml, 1瓶</v>
          </cell>
          <cell r="J34">
            <v>6</v>
          </cell>
          <cell r="K34">
            <v>174</v>
          </cell>
          <cell r="L34">
            <v>1081.3</v>
          </cell>
          <cell r="M34">
            <v>1045.29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/>
          <cell r="T34"/>
          <cell r="U34"/>
          <cell r="V34"/>
          <cell r="W34"/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 t="e">
            <v>#DIV/0!</v>
          </cell>
        </row>
        <row r="35">
          <cell r="F35">
            <v>4987176314253</v>
          </cell>
          <cell r="G35">
            <v>4987176314253</v>
          </cell>
          <cell r="H35">
            <v>80841891</v>
          </cell>
          <cell r="I35" t="str">
            <v>Lenor 蘭諾 衣物抗菌芳香豆 潮濕天氣抗臭, 440ml, 1瓶</v>
          </cell>
          <cell r="J35">
            <v>6</v>
          </cell>
          <cell r="K35">
            <v>174</v>
          </cell>
          <cell r="L35">
            <v>1081.3</v>
          </cell>
          <cell r="M35">
            <v>1045.29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/>
          <cell r="T35"/>
          <cell r="U35"/>
          <cell r="V35"/>
          <cell r="W35"/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 t="e">
            <v>#DIV/0!</v>
          </cell>
        </row>
        <row r="36">
          <cell r="F36">
            <v>4987176314291</v>
          </cell>
          <cell r="G36">
            <v>4987176314291</v>
          </cell>
          <cell r="H36">
            <v>80841895</v>
          </cell>
          <cell r="I36" t="str">
            <v>Lenor 蘭諾 衣物抗菌芳香豆 潮濕天氣抗臭 補充包, 430ml, 1包</v>
          </cell>
          <cell r="J36">
            <v>10</v>
          </cell>
          <cell r="K36">
            <v>140</v>
          </cell>
          <cell r="L36">
            <v>1440.3</v>
          </cell>
          <cell r="M36">
            <v>1396.23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/>
          <cell r="T36"/>
          <cell r="U36">
            <v>0.2</v>
          </cell>
          <cell r="V36"/>
          <cell r="W36"/>
          <cell r="X36">
            <v>0</v>
          </cell>
          <cell r="Y36">
            <v>0.2</v>
          </cell>
          <cell r="Z36"/>
          <cell r="AA36">
            <v>0</v>
          </cell>
          <cell r="AB36" t="e">
            <v>#DIV/0!</v>
          </cell>
        </row>
        <row r="37">
          <cell r="F37">
            <v>4987176314284</v>
          </cell>
          <cell r="G37">
            <v>4987176314284</v>
          </cell>
          <cell r="H37">
            <v>80841894</v>
          </cell>
          <cell r="I37" t="str">
            <v>Lenor 蘭諾 衣物抗菌芳香豆 運動衣物抗臭, 440ml, 1瓶</v>
          </cell>
          <cell r="J37">
            <v>6</v>
          </cell>
          <cell r="K37">
            <v>174</v>
          </cell>
          <cell r="L37">
            <v>1081.3</v>
          </cell>
          <cell r="M37">
            <v>1045.29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/>
          <cell r="T37"/>
          <cell r="U37"/>
          <cell r="V37"/>
          <cell r="W37"/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#DIV/0!</v>
          </cell>
        </row>
        <row r="38">
          <cell r="F38">
            <v>4987176314406</v>
          </cell>
          <cell r="G38">
            <v>4987176314406</v>
          </cell>
          <cell r="H38">
            <v>80841906</v>
          </cell>
          <cell r="I38" t="str">
            <v>Lenor 蘭諾 衣物芳香豆 清晨草木, 450ml, 1瓶</v>
          </cell>
          <cell r="J38">
            <v>6</v>
          </cell>
          <cell r="K38">
            <v>174</v>
          </cell>
          <cell r="L38">
            <v>1081.3</v>
          </cell>
          <cell r="M38">
            <v>1045.29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/>
          <cell r="T38"/>
          <cell r="U38">
            <v>0.16666666666666666</v>
          </cell>
          <cell r="V38"/>
          <cell r="W38"/>
          <cell r="X38">
            <v>0</v>
          </cell>
          <cell r="Y38">
            <v>0.16666666666666666</v>
          </cell>
          <cell r="Z38"/>
          <cell r="AA38">
            <v>0</v>
          </cell>
          <cell r="AB38" t="e">
            <v>#DIV/0!</v>
          </cell>
        </row>
        <row r="39">
          <cell r="F39">
            <v>4987176314413</v>
          </cell>
          <cell r="G39">
            <v>4987176314413</v>
          </cell>
          <cell r="H39">
            <v>80841907</v>
          </cell>
          <cell r="I39" t="str">
            <v>Lenor 蘭諾 衣物芳香豆 青檸紫羅蘭, 450ml, 1瓶</v>
          </cell>
          <cell r="J39">
            <v>6</v>
          </cell>
          <cell r="K39">
            <v>174</v>
          </cell>
          <cell r="L39">
            <v>1081.3</v>
          </cell>
          <cell r="M39">
            <v>1045.29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/>
          <cell r="T39"/>
          <cell r="U39"/>
          <cell r="V39"/>
          <cell r="W39"/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 t="e">
            <v>#DIV/0!</v>
          </cell>
        </row>
        <row r="40">
          <cell r="F40">
            <v>4987176314277</v>
          </cell>
          <cell r="G40">
            <v>4987176314277</v>
          </cell>
          <cell r="H40">
            <v>80841892</v>
          </cell>
          <cell r="I40" t="str">
            <v>Lenor 蘭諾 衣物芳香豆 甜柔麝香, 450ml, 1瓶</v>
          </cell>
          <cell r="J40">
            <v>6</v>
          </cell>
          <cell r="K40">
            <v>174</v>
          </cell>
          <cell r="L40">
            <v>1081.3</v>
          </cell>
          <cell r="M40">
            <v>1045.29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/>
          <cell r="T40"/>
          <cell r="U40"/>
          <cell r="V40"/>
          <cell r="W40">
            <v>0.33333333333333331</v>
          </cell>
          <cell r="X40">
            <v>0</v>
          </cell>
          <cell r="Y40">
            <v>0.33333333333333331</v>
          </cell>
          <cell r="Z40"/>
          <cell r="AA40">
            <v>0</v>
          </cell>
          <cell r="AB40">
            <v>0</v>
          </cell>
        </row>
        <row r="41">
          <cell r="F41">
            <v>4987176274908</v>
          </cell>
          <cell r="G41">
            <v>4987176274908</v>
          </cell>
          <cell r="H41">
            <v>80815408</v>
          </cell>
          <cell r="I41" t="str">
            <v>[DS]Lenor 蘭諾 台灣公司貨 衣物芳香豆 春暖晨露, 470ml, 1瓶</v>
          </cell>
          <cell r="J41">
            <v>6</v>
          </cell>
          <cell r="K41">
            <v>166</v>
          </cell>
          <cell r="L41">
            <v>1081.3</v>
          </cell>
          <cell r="M41">
            <v>1045.29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/>
          <cell r="T41"/>
          <cell r="U41"/>
          <cell r="V41"/>
          <cell r="W41"/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#DIV/0!</v>
          </cell>
        </row>
        <row r="42">
          <cell r="F42">
            <v>4987176274939</v>
          </cell>
          <cell r="G42">
            <v>4987176274939</v>
          </cell>
          <cell r="H42">
            <v>80815411</v>
          </cell>
          <cell r="I42" t="str">
            <v>[DS]Lenor 蘭諾 台灣公司貨 衣物芳香豆 淨白純棉, 180ml, 1瓶</v>
          </cell>
          <cell r="J42">
            <v>6</v>
          </cell>
          <cell r="K42">
            <v>80</v>
          </cell>
          <cell r="L42">
            <v>444</v>
          </cell>
          <cell r="M42">
            <v>422.3</v>
          </cell>
          <cell r="N42">
            <v>0</v>
          </cell>
          <cell r="O42">
            <v>0</v>
          </cell>
          <cell r="P42">
            <v>0</v>
          </cell>
          <cell r="Q42"/>
          <cell r="R42"/>
          <cell r="S42"/>
          <cell r="T42"/>
          <cell r="U42"/>
          <cell r="V42"/>
          <cell r="W42"/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 t="e">
            <v>#DIV/0!</v>
          </cell>
        </row>
        <row r="43">
          <cell r="F43">
            <v>4987176314390</v>
          </cell>
          <cell r="G43">
            <v>4987176314390</v>
          </cell>
          <cell r="H43">
            <v>80841905</v>
          </cell>
          <cell r="I43" t="str">
            <v>Lenor 蘭諾 衣物芳香豆 雪松梔子花 特大補充包, 1.3L, 1包</v>
          </cell>
          <cell r="J43">
            <v>6</v>
          </cell>
          <cell r="K43">
            <v>367</v>
          </cell>
          <cell r="L43">
            <v>2326.86</v>
          </cell>
          <cell r="M43">
            <v>2262.89</v>
          </cell>
          <cell r="N43">
            <v>0</v>
          </cell>
          <cell r="O43">
            <v>0</v>
          </cell>
          <cell r="P43">
            <v>0</v>
          </cell>
          <cell r="Q43"/>
          <cell r="R43"/>
          <cell r="S43"/>
          <cell r="T43"/>
          <cell r="U43">
            <v>0.16666666666666666</v>
          </cell>
          <cell r="V43"/>
          <cell r="W43"/>
          <cell r="X43">
            <v>0</v>
          </cell>
          <cell r="Y43">
            <v>0.16666666666666666</v>
          </cell>
          <cell r="Z43"/>
          <cell r="AA43">
            <v>0</v>
          </cell>
          <cell r="AB43" t="e">
            <v>#DIV/0!</v>
          </cell>
        </row>
        <row r="44">
          <cell r="F44">
            <v>4987176314765</v>
          </cell>
          <cell r="G44">
            <v>4987176314765</v>
          </cell>
          <cell r="H44">
            <v>80842256</v>
          </cell>
          <cell r="I44" t="str">
            <v>Lenor 蘭諾 衣物芳香豆 青檸紫羅蘭 補充包, 440ml, 1包</v>
          </cell>
          <cell r="J44">
            <v>10</v>
          </cell>
          <cell r="K44">
            <v>136</v>
          </cell>
          <cell r="L44">
            <v>1440.3</v>
          </cell>
          <cell r="M44">
            <v>1396.23</v>
          </cell>
          <cell r="N44">
            <v>220</v>
          </cell>
          <cell r="O44">
            <v>220</v>
          </cell>
          <cell r="P44">
            <v>0</v>
          </cell>
          <cell r="Q44">
            <v>0</v>
          </cell>
          <cell r="R44">
            <v>0</v>
          </cell>
          <cell r="S44">
            <v>19.7</v>
          </cell>
          <cell r="T44">
            <v>78.8</v>
          </cell>
          <cell r="U44">
            <v>103.2</v>
          </cell>
          <cell r="V44">
            <v>65.699999999999989</v>
          </cell>
          <cell r="W44">
            <v>21.7</v>
          </cell>
          <cell r="X44">
            <v>440</v>
          </cell>
          <cell r="Y44">
            <v>289.09999999999997</v>
          </cell>
          <cell r="Z44">
            <v>150.90000000000003</v>
          </cell>
          <cell r="AA44">
            <v>217341.27000000005</v>
          </cell>
          <cell r="AB44">
            <v>100.94395718745358</v>
          </cell>
        </row>
        <row r="45">
          <cell r="F45">
            <v>4987176274922</v>
          </cell>
          <cell r="G45">
            <v>4987176274922</v>
          </cell>
          <cell r="H45">
            <v>80815410</v>
          </cell>
          <cell r="I45" t="str">
            <v>[DS]Lenor 蘭諾 台灣公司貨 衣物芳香豆補充包 春暖晨露, 455ml, 1包</v>
          </cell>
          <cell r="J45">
            <v>10</v>
          </cell>
          <cell r="K45">
            <v>138</v>
          </cell>
          <cell r="L45">
            <v>1440.3</v>
          </cell>
          <cell r="M45">
            <v>1396.23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/>
          <cell r="T45"/>
          <cell r="U45"/>
          <cell r="V45"/>
          <cell r="W45"/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e">
            <v>#DIV/0!</v>
          </cell>
        </row>
        <row r="46">
          <cell r="F46">
            <v>4987176274915</v>
          </cell>
          <cell r="G46">
            <v>4987176274915</v>
          </cell>
          <cell r="H46">
            <v>80815409</v>
          </cell>
          <cell r="I46" t="str">
            <v>[DS]Lenor 蘭諾 台灣公司貨 衣物芳香豆補充包 淨白純棉, 455ml, 1包</v>
          </cell>
          <cell r="J46">
            <v>10</v>
          </cell>
          <cell r="K46">
            <v>138</v>
          </cell>
          <cell r="L46">
            <v>1440.3</v>
          </cell>
          <cell r="M46">
            <v>1396.23</v>
          </cell>
          <cell r="N46">
            <v>73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6.7</v>
          </cell>
          <cell r="T46">
            <v>43.300000000000004</v>
          </cell>
          <cell r="U46">
            <v>21.4</v>
          </cell>
          <cell r="V46">
            <v>0.4</v>
          </cell>
          <cell r="W46"/>
          <cell r="X46">
            <v>73</v>
          </cell>
          <cell r="Y46">
            <v>71.800000000000011</v>
          </cell>
          <cell r="Z46">
            <v>1.1999999999999886</v>
          </cell>
          <cell r="AA46">
            <v>1728.3599999999835</v>
          </cell>
          <cell r="AB46" t="e">
            <v>#DIV/0!</v>
          </cell>
        </row>
        <row r="47">
          <cell r="F47">
            <v>4987176274892</v>
          </cell>
          <cell r="G47">
            <v>4987176274892</v>
          </cell>
          <cell r="H47">
            <v>80815407</v>
          </cell>
          <cell r="I47" t="str">
            <v>[DS]Lenor 蘭諾 台灣公司貨 衣物芳香豆 淨白純棉, 470ml, 1瓶</v>
          </cell>
          <cell r="J47">
            <v>6</v>
          </cell>
          <cell r="K47">
            <v>166</v>
          </cell>
          <cell r="L47">
            <v>1081.3</v>
          </cell>
          <cell r="M47">
            <v>1045.29</v>
          </cell>
          <cell r="N47">
            <v>76</v>
          </cell>
          <cell r="O47">
            <v>76</v>
          </cell>
          <cell r="P47">
            <v>74</v>
          </cell>
          <cell r="Q47">
            <v>0</v>
          </cell>
          <cell r="R47">
            <v>50</v>
          </cell>
          <cell r="S47">
            <v>16.5</v>
          </cell>
          <cell r="T47">
            <v>54.333333333333343</v>
          </cell>
          <cell r="U47">
            <v>99.5</v>
          </cell>
          <cell r="V47">
            <v>51</v>
          </cell>
          <cell r="W47"/>
          <cell r="X47">
            <v>276</v>
          </cell>
          <cell r="Y47">
            <v>221.33333333333334</v>
          </cell>
          <cell r="Z47">
            <v>54.666666666666657</v>
          </cell>
          <cell r="AA47">
            <v>59111.066666666651</v>
          </cell>
          <cell r="AB47" t="e">
            <v>#DIV/0!</v>
          </cell>
        </row>
        <row r="48">
          <cell r="F48">
            <v>4987176316158</v>
          </cell>
          <cell r="G48">
            <v>4987176316158</v>
          </cell>
          <cell r="H48">
            <v>80842984</v>
          </cell>
          <cell r="I48" t="str">
            <v>Lenor蘭諾 衣物芳香豆 淨白純棉, 260ml, 1瓶</v>
          </cell>
          <cell r="J48">
            <v>6</v>
          </cell>
          <cell r="K48">
            <v>105</v>
          </cell>
          <cell r="L48">
            <v>637.79999999999995</v>
          </cell>
          <cell r="M48">
            <v>611.75</v>
          </cell>
          <cell r="N48">
            <v>0</v>
          </cell>
          <cell r="O48">
            <v>0</v>
          </cell>
          <cell r="P48">
            <v>0</v>
          </cell>
          <cell r="Q48"/>
          <cell r="R48"/>
          <cell r="S48"/>
          <cell r="T48"/>
          <cell r="U48"/>
          <cell r="V48"/>
          <cell r="W48"/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#DIV/0!</v>
          </cell>
        </row>
        <row r="49">
          <cell r="F49">
            <v>4987176314383</v>
          </cell>
          <cell r="G49">
            <v>4987176314383</v>
          </cell>
          <cell r="H49">
            <v>80841904</v>
          </cell>
          <cell r="I49" t="str">
            <v>Lenor 蘭諾 衣物芳香豆 雪松梔子花, 260ml, 1瓶</v>
          </cell>
          <cell r="J49">
            <v>6</v>
          </cell>
          <cell r="K49">
            <v>105</v>
          </cell>
          <cell r="L49">
            <v>637.79999999999995</v>
          </cell>
          <cell r="M49">
            <v>611.75</v>
          </cell>
          <cell r="N49">
            <v>0</v>
          </cell>
          <cell r="O49">
            <v>0</v>
          </cell>
          <cell r="P49">
            <v>0</v>
          </cell>
          <cell r="Q49"/>
          <cell r="R49"/>
          <cell r="S49"/>
          <cell r="T49"/>
          <cell r="U49"/>
          <cell r="V49"/>
          <cell r="W49"/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e">
            <v>#DIV/0!</v>
          </cell>
        </row>
        <row r="50">
          <cell r="F50">
            <v>4987176250353</v>
          </cell>
          <cell r="G50">
            <v>4987176250353</v>
          </cell>
          <cell r="H50">
            <v>80789608</v>
          </cell>
          <cell r="I50" t="str">
            <v>[DS]OLAY 歐蕾 台灣公司貨 水感透白面膜, 5片, 1盒</v>
          </cell>
          <cell r="J50">
            <v>6</v>
          </cell>
          <cell r="K50">
            <v>263</v>
          </cell>
          <cell r="L50">
            <v>1691.58</v>
          </cell>
          <cell r="M50">
            <v>1641.87</v>
          </cell>
          <cell r="N50">
            <v>0</v>
          </cell>
          <cell r="O50">
            <v>40</v>
          </cell>
          <cell r="P50">
            <v>0</v>
          </cell>
          <cell r="Q50">
            <v>0</v>
          </cell>
          <cell r="R50">
            <v>63</v>
          </cell>
          <cell r="S50">
            <v>1.6666666666666665</v>
          </cell>
          <cell r="T50">
            <v>4.666666666666667</v>
          </cell>
          <cell r="U50">
            <v>2.5</v>
          </cell>
          <cell r="V50">
            <v>2.333333333333333</v>
          </cell>
          <cell r="W50">
            <v>3.833333333333333</v>
          </cell>
          <cell r="X50">
            <v>103</v>
          </cell>
          <cell r="Y50">
            <v>15</v>
          </cell>
          <cell r="Z50">
            <v>88</v>
          </cell>
          <cell r="AA50">
            <v>148859.03999999998</v>
          </cell>
          <cell r="AB50">
            <v>333.23983169705474</v>
          </cell>
        </row>
        <row r="51">
          <cell r="F51">
            <v>4987176190734</v>
          </cell>
          <cell r="G51">
            <v>4987176190734</v>
          </cell>
          <cell r="H51">
            <v>80765769</v>
          </cell>
          <cell r="I51" t="str">
            <v>[DS]OLAY 歐蕾 台灣公司貨 抗皺保濕面膜, 5片, 1盒</v>
          </cell>
          <cell r="J51">
            <v>12</v>
          </cell>
          <cell r="K51">
            <v>264</v>
          </cell>
          <cell r="L51">
            <v>3383.16</v>
          </cell>
          <cell r="M51">
            <v>3295.48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/>
          <cell r="T51"/>
          <cell r="U51"/>
          <cell r="V51"/>
          <cell r="W51"/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#DIV/0!</v>
          </cell>
        </row>
        <row r="52">
          <cell r="F52">
            <v>4987176271617</v>
          </cell>
          <cell r="G52">
            <v>4987176271617</v>
          </cell>
          <cell r="H52">
            <v>80813813</v>
          </cell>
          <cell r="I52" t="str">
            <v>OLAY 歐蕾 台灣公司貨 滋潤保濕霜 無添加色素香料, 100g, 1罐</v>
          </cell>
          <cell r="J52">
            <v>6</v>
          </cell>
          <cell r="K52">
            <v>220</v>
          </cell>
          <cell r="L52">
            <v>1458.4</v>
          </cell>
          <cell r="M52">
            <v>1413.93</v>
          </cell>
          <cell r="N52">
            <v>4</v>
          </cell>
          <cell r="O52">
            <v>4</v>
          </cell>
          <cell r="P52">
            <v>4</v>
          </cell>
          <cell r="Q52">
            <v>6</v>
          </cell>
          <cell r="R52">
            <v>31</v>
          </cell>
          <cell r="S52">
            <v>1.5</v>
          </cell>
          <cell r="T52">
            <v>2.333333333333333</v>
          </cell>
          <cell r="U52">
            <v>4</v>
          </cell>
          <cell r="V52">
            <v>3.666666666666667</v>
          </cell>
          <cell r="W52">
            <v>0.83333333333333326</v>
          </cell>
          <cell r="X52">
            <v>49</v>
          </cell>
          <cell r="Y52">
            <v>12.333333333333334</v>
          </cell>
          <cell r="Z52">
            <v>36.666666666666664</v>
          </cell>
          <cell r="AA52">
            <v>53474.666666666664</v>
          </cell>
          <cell r="AB52">
            <v>638.70967741935476</v>
          </cell>
        </row>
        <row r="53">
          <cell r="F53">
            <v>4987176271624</v>
          </cell>
          <cell r="G53">
            <v>4987176271624</v>
          </cell>
          <cell r="H53">
            <v>80813812</v>
          </cell>
          <cell r="I53" t="str">
            <v>OLAY 歐蕾 台灣公司貨 滋潤保溼霜, 100g, 1罐</v>
          </cell>
          <cell r="J53">
            <v>6</v>
          </cell>
          <cell r="K53">
            <v>220</v>
          </cell>
          <cell r="L53">
            <v>1458.4</v>
          </cell>
          <cell r="M53">
            <v>1413.93</v>
          </cell>
          <cell r="N53">
            <v>9</v>
          </cell>
          <cell r="O53">
            <v>9</v>
          </cell>
          <cell r="P53">
            <v>16</v>
          </cell>
          <cell r="Q53">
            <v>6</v>
          </cell>
          <cell r="R53">
            <v>11</v>
          </cell>
          <cell r="S53">
            <v>1.6666666666666667</v>
          </cell>
          <cell r="T53">
            <v>13.16666666666667</v>
          </cell>
          <cell r="U53">
            <v>3.8333333333333335</v>
          </cell>
          <cell r="V53">
            <v>10.666666666666666</v>
          </cell>
          <cell r="W53">
            <v>8.3333333333333339</v>
          </cell>
          <cell r="X53">
            <v>51</v>
          </cell>
          <cell r="Y53">
            <v>37.666666666666671</v>
          </cell>
          <cell r="Z53">
            <v>13.333333333333329</v>
          </cell>
          <cell r="AA53">
            <v>19445.333333333328</v>
          </cell>
          <cell r="AB53">
            <v>23.225806451612897</v>
          </cell>
        </row>
        <row r="54">
          <cell r="F54">
            <v>4902430056519</v>
          </cell>
          <cell r="G54">
            <v>4902430056519</v>
          </cell>
          <cell r="H54">
            <v>82330060</v>
          </cell>
          <cell r="I54" t="str">
            <v>[DS]OLAY 歐蕾 滋潤保濕乳液, 150ml, 1瓶</v>
          </cell>
          <cell r="J54">
            <v>6</v>
          </cell>
          <cell r="K54">
            <v>176</v>
          </cell>
          <cell r="L54">
            <v>1192</v>
          </cell>
          <cell r="M54">
            <v>1153.509</v>
          </cell>
          <cell r="N54">
            <v>17</v>
          </cell>
          <cell r="O54">
            <v>17</v>
          </cell>
          <cell r="P54">
            <v>17</v>
          </cell>
          <cell r="Q54"/>
          <cell r="R54"/>
          <cell r="S54">
            <v>1.8333333333333333</v>
          </cell>
          <cell r="T54">
            <v>9.6666666666666679</v>
          </cell>
          <cell r="U54">
            <v>4.666666666666667</v>
          </cell>
          <cell r="V54">
            <v>6.166666666666667</v>
          </cell>
          <cell r="W54">
            <v>6.3333333333333339</v>
          </cell>
          <cell r="X54">
            <v>51</v>
          </cell>
          <cell r="Y54">
            <v>28.666666666666671</v>
          </cell>
          <cell r="Z54">
            <v>22.333333333333329</v>
          </cell>
          <cell r="AA54">
            <v>26621.333333333328</v>
          </cell>
          <cell r="AB54">
            <v>51.188455008488944</v>
          </cell>
        </row>
        <row r="55">
          <cell r="F55">
            <v>4902430509695</v>
          </cell>
          <cell r="G55">
            <v>4902430509695</v>
          </cell>
          <cell r="H55">
            <v>82330058</v>
          </cell>
          <cell r="I55" t="str">
            <v>[DS]OLAY 歐蕾 長效保濕凝露, 50g, 1罐</v>
          </cell>
          <cell r="J55">
            <v>12</v>
          </cell>
          <cell r="K55">
            <v>196</v>
          </cell>
          <cell r="L55">
            <v>2570.6799999999998</v>
          </cell>
          <cell r="M55">
            <v>2501.2376340000001</v>
          </cell>
          <cell r="N55">
            <v>13</v>
          </cell>
          <cell r="O55">
            <v>13</v>
          </cell>
          <cell r="P55">
            <v>13</v>
          </cell>
          <cell r="Q55">
            <v>0</v>
          </cell>
          <cell r="R55">
            <v>25</v>
          </cell>
          <cell r="S55">
            <v>1.0833333333333333</v>
          </cell>
          <cell r="T55">
            <v>9.4166666666666661</v>
          </cell>
          <cell r="U55">
            <v>5.583333333333333</v>
          </cell>
          <cell r="V55">
            <v>6.4166666666666661</v>
          </cell>
          <cell r="W55">
            <v>1.3333333333333333</v>
          </cell>
          <cell r="X55">
            <v>64</v>
          </cell>
          <cell r="Y55">
            <v>23.833333333333332</v>
          </cell>
          <cell r="Z55">
            <v>40.166666666666671</v>
          </cell>
          <cell r="AA55">
            <v>103255.64666666667</v>
          </cell>
          <cell r="AB55">
            <v>437.29838709677432</v>
          </cell>
        </row>
        <row r="56">
          <cell r="F56">
            <v>9300618556502</v>
          </cell>
          <cell r="G56">
            <v>9300618556502</v>
          </cell>
          <cell r="H56">
            <v>82330061</v>
          </cell>
          <cell r="I56" t="str">
            <v>[DS]OLAY 歐蕾 滋潤保濕乳液, 150ml, 1瓶</v>
          </cell>
          <cell r="J56">
            <v>6</v>
          </cell>
          <cell r="K56">
            <v>176</v>
          </cell>
          <cell r="L56">
            <v>1192</v>
          </cell>
          <cell r="M56">
            <v>1153.509</v>
          </cell>
          <cell r="N56">
            <v>27</v>
          </cell>
          <cell r="O56">
            <v>27</v>
          </cell>
          <cell r="P56">
            <v>27</v>
          </cell>
          <cell r="Q56">
            <v>16</v>
          </cell>
          <cell r="R56">
            <v>40</v>
          </cell>
          <cell r="S56">
            <v>6.666666666666667</v>
          </cell>
          <cell r="T56">
            <v>28</v>
          </cell>
          <cell r="U56">
            <v>18.333333333333332</v>
          </cell>
          <cell r="V56">
            <v>17</v>
          </cell>
          <cell r="W56">
            <v>7.5</v>
          </cell>
          <cell r="X56">
            <v>137</v>
          </cell>
          <cell r="Y56">
            <v>77.5</v>
          </cell>
          <cell r="Z56">
            <v>59.5</v>
          </cell>
          <cell r="AA56">
            <v>70924</v>
          </cell>
          <cell r="AB56">
            <v>115.16129032258065</v>
          </cell>
        </row>
        <row r="57">
          <cell r="F57">
            <v>4902430396059</v>
          </cell>
          <cell r="G57">
            <v>4902430396059</v>
          </cell>
          <cell r="H57">
            <v>82330040</v>
          </cell>
          <cell r="I57" t="str">
            <v>[DS]OLAY 歐蕾 多元修護霜無香料配方, 50g , 1入</v>
          </cell>
          <cell r="J57">
            <v>6</v>
          </cell>
          <cell r="K57">
            <v>364.99999999999994</v>
          </cell>
          <cell r="L57">
            <v>2387.9899999999998</v>
          </cell>
          <cell r="M57">
            <v>2322.6490245</v>
          </cell>
          <cell r="N57">
            <v>14</v>
          </cell>
          <cell r="O57">
            <v>14</v>
          </cell>
          <cell r="P57">
            <v>10</v>
          </cell>
          <cell r="Q57">
            <v>0</v>
          </cell>
          <cell r="R57">
            <v>37</v>
          </cell>
          <cell r="S57">
            <v>2.8333333333333335</v>
          </cell>
          <cell r="T57">
            <v>11.833333333333334</v>
          </cell>
          <cell r="U57">
            <v>1.1666666666666667</v>
          </cell>
          <cell r="V57">
            <v>2.833333333333333</v>
          </cell>
          <cell r="W57">
            <v>1.3333333333333333</v>
          </cell>
          <cell r="X57">
            <v>75</v>
          </cell>
          <cell r="Y57">
            <v>20</v>
          </cell>
          <cell r="Z57">
            <v>55</v>
          </cell>
          <cell r="AA57">
            <v>131339.44999999998</v>
          </cell>
          <cell r="AB57">
            <v>598.79032258064535</v>
          </cell>
        </row>
        <row r="58">
          <cell r="F58">
            <v>4987176146700</v>
          </cell>
          <cell r="G58">
            <v>4987176146700</v>
          </cell>
          <cell r="H58">
            <v>80719240</v>
          </cell>
          <cell r="I58" t="str">
            <v>[DS]OLAY 歐蕾 台灣公司貨 多效防曬日霜優惠組, 1組</v>
          </cell>
          <cell r="J58">
            <v>12</v>
          </cell>
          <cell r="K58">
            <v>726</v>
          </cell>
          <cell r="L58">
            <v>9568</v>
          </cell>
          <cell r="M58">
            <v>9341.4678000000004</v>
          </cell>
          <cell r="N58">
            <v>5</v>
          </cell>
          <cell r="O58">
            <v>5</v>
          </cell>
          <cell r="P58">
            <v>5</v>
          </cell>
          <cell r="Q58">
            <v>7</v>
          </cell>
          <cell r="R58">
            <v>7</v>
          </cell>
          <cell r="S58">
            <v>0.66666666666666663</v>
          </cell>
          <cell r="T58">
            <v>6.416666666666667</v>
          </cell>
          <cell r="U58">
            <v>3.75</v>
          </cell>
          <cell r="V58">
            <v>7.083333333333333</v>
          </cell>
          <cell r="W58">
            <v>4.333333333333333</v>
          </cell>
          <cell r="X58">
            <v>29</v>
          </cell>
          <cell r="Y58">
            <v>22.25</v>
          </cell>
          <cell r="Z58">
            <v>6.75</v>
          </cell>
          <cell r="AA58">
            <v>64584</v>
          </cell>
          <cell r="AB58">
            <v>22.611662531017373</v>
          </cell>
        </row>
        <row r="59">
          <cell r="F59">
            <v>4902430056496</v>
          </cell>
          <cell r="G59">
            <v>4902430056496</v>
          </cell>
          <cell r="H59">
            <v>80682726</v>
          </cell>
          <cell r="I59" t="str">
            <v>[DS]OLAY 歐蕾 活膚菁華霜, 50g, 1罐</v>
          </cell>
          <cell r="J59">
            <v>6</v>
          </cell>
          <cell r="K59">
            <v>264</v>
          </cell>
          <cell r="L59">
            <v>1788</v>
          </cell>
          <cell r="M59">
            <v>1736.1288000000002</v>
          </cell>
          <cell r="N59">
            <v>30</v>
          </cell>
          <cell r="O59">
            <v>30</v>
          </cell>
          <cell r="P59">
            <v>30</v>
          </cell>
          <cell r="Q59">
            <v>0</v>
          </cell>
          <cell r="R59">
            <v>53</v>
          </cell>
          <cell r="S59">
            <v>2.6666666666666665</v>
          </cell>
          <cell r="T59">
            <v>15.333333333333334</v>
          </cell>
          <cell r="U59">
            <v>15.666666666666666</v>
          </cell>
          <cell r="V59">
            <v>13.166666666666666</v>
          </cell>
          <cell r="W59">
            <v>5.833333333333333</v>
          </cell>
          <cell r="X59">
            <v>143</v>
          </cell>
          <cell r="Y59">
            <v>52.666666666666664</v>
          </cell>
          <cell r="Z59">
            <v>90.333333333333343</v>
          </cell>
          <cell r="AA59">
            <v>161516.00000000003</v>
          </cell>
          <cell r="AB59">
            <v>224.79262672811063</v>
          </cell>
        </row>
        <row r="60">
          <cell r="F60">
            <v>4902430396066</v>
          </cell>
          <cell r="G60">
            <v>4902430396066</v>
          </cell>
          <cell r="H60">
            <v>82330039</v>
          </cell>
          <cell r="I60" t="str">
            <v>[DS]OLAY 歐蕾 多元修護晚霜(6066), 50g, 1罐</v>
          </cell>
          <cell r="J60">
            <v>12</v>
          </cell>
          <cell r="K60">
            <v>355</v>
          </cell>
          <cell r="L60">
            <v>4783.99</v>
          </cell>
          <cell r="M60">
            <v>4664.8588245000001</v>
          </cell>
          <cell r="N60">
            <v>13</v>
          </cell>
          <cell r="O60">
            <v>13</v>
          </cell>
          <cell r="P60">
            <v>5</v>
          </cell>
          <cell r="Q60">
            <v>13</v>
          </cell>
          <cell r="R60">
            <v>24</v>
          </cell>
          <cell r="S60">
            <v>1.75</v>
          </cell>
          <cell r="T60">
            <v>10.666666666666664</v>
          </cell>
          <cell r="U60">
            <v>6.5</v>
          </cell>
          <cell r="V60">
            <v>9.25</v>
          </cell>
          <cell r="W60">
            <v>5.4166666666666661</v>
          </cell>
          <cell r="X60">
            <v>68</v>
          </cell>
          <cell r="Y60">
            <v>33.583333333333329</v>
          </cell>
          <cell r="Z60">
            <v>34.416666666666671</v>
          </cell>
          <cell r="AA60">
            <v>164648.9891666667</v>
          </cell>
          <cell r="AB60">
            <v>92.23325062034742</v>
          </cell>
        </row>
        <row r="61">
          <cell r="F61">
            <v>4902430396073</v>
          </cell>
          <cell r="G61">
            <v>4902430396073</v>
          </cell>
          <cell r="H61">
            <v>80719241</v>
          </cell>
          <cell r="I61" t="str">
            <v>[DS]OLAY 歐蕾 多元修護日霜, 50g, 1罐</v>
          </cell>
          <cell r="J61">
            <v>12</v>
          </cell>
          <cell r="K61">
            <v>355</v>
          </cell>
          <cell r="L61">
            <v>4783.99</v>
          </cell>
          <cell r="M61">
            <v>4664.8588245000001</v>
          </cell>
          <cell r="N61">
            <v>16</v>
          </cell>
          <cell r="O61">
            <v>16</v>
          </cell>
          <cell r="P61">
            <v>5</v>
          </cell>
          <cell r="Q61">
            <v>6</v>
          </cell>
          <cell r="R61">
            <v>32</v>
          </cell>
          <cell r="S61">
            <v>2.3333333333333335</v>
          </cell>
          <cell r="T61">
            <v>6.583333333333333</v>
          </cell>
          <cell r="U61">
            <v>7.083333333333333</v>
          </cell>
          <cell r="V61">
            <v>10.666666666666668</v>
          </cell>
          <cell r="W61">
            <v>2.166666666666667</v>
          </cell>
          <cell r="X61">
            <v>75</v>
          </cell>
          <cell r="Y61">
            <v>28.833333333333336</v>
          </cell>
          <cell r="Z61">
            <v>46.166666666666664</v>
          </cell>
          <cell r="AA61">
            <v>220860.87166666664</v>
          </cell>
          <cell r="AB61">
            <v>309.30521091811414</v>
          </cell>
        </row>
        <row r="62">
          <cell r="F62">
            <v>4987176106438</v>
          </cell>
          <cell r="G62">
            <v>4987176106438</v>
          </cell>
          <cell r="H62"/>
          <cell r="I62" t="str">
            <v>[DS]OLAY 歐蕾水感透白光曜精華水, 150ml, 1瓶</v>
          </cell>
          <cell r="J62">
            <v>12</v>
          </cell>
          <cell r="K62">
            <v>502</v>
          </cell>
          <cell r="L62">
            <v>6626.4</v>
          </cell>
          <cell r="M62">
            <v>6465.906719999999</v>
          </cell>
          <cell r="N62">
            <v>0</v>
          </cell>
          <cell r="O62">
            <v>0</v>
          </cell>
          <cell r="P62">
            <v>0</v>
          </cell>
          <cell r="Q62">
            <v>20</v>
          </cell>
          <cell r="R62">
            <v>12</v>
          </cell>
          <cell r="S62"/>
          <cell r="T62"/>
          <cell r="U62"/>
          <cell r="V62">
            <v>1</v>
          </cell>
          <cell r="W62">
            <v>0.91666666666666674</v>
          </cell>
          <cell r="X62">
            <v>32</v>
          </cell>
          <cell r="Y62">
            <v>1.9166666666666667</v>
          </cell>
          <cell r="Z62">
            <v>30.083333333333332</v>
          </cell>
          <cell r="AA62">
            <v>199344.19999999998</v>
          </cell>
          <cell r="AB62">
            <v>476.39296187683277</v>
          </cell>
        </row>
        <row r="63">
          <cell r="F63">
            <v>4987176161734</v>
          </cell>
          <cell r="G63">
            <v>4987176161734</v>
          </cell>
          <cell r="H63"/>
          <cell r="I63" t="str">
            <v>[DS]OLAY 歐蕾 滋潤緊緻優惠組 護膚霜50g+護膚霜14g*2+精華水18ml*2, 1組</v>
          </cell>
          <cell r="J63"/>
          <cell r="K63">
            <v>565</v>
          </cell>
          <cell r="L63">
            <v>3708</v>
          </cell>
          <cell r="M63">
            <v>3613.0248000000001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/>
          <cell r="U63"/>
          <cell r="V63"/>
          <cell r="W63"/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 t="e">
            <v>#DIV/0!</v>
          </cell>
        </row>
        <row r="64">
          <cell r="F64">
            <v>14987176232882</v>
          </cell>
          <cell r="G64">
            <v>4987176232885</v>
          </cell>
          <cell r="H64">
            <v>80838270</v>
          </cell>
          <cell r="I64" t="str">
            <v>[DS][箱裝]Pampers 幫寶適 原廠公司貨 CP值之選清新幫拉拉褲/尿布, L, 9-14kg, 168片</v>
          </cell>
          <cell r="J64">
            <v>1</v>
          </cell>
          <cell r="K64">
            <v>1175</v>
          </cell>
          <cell r="L64">
            <v>1386</v>
          </cell>
          <cell r="M64">
            <v>1330.45</v>
          </cell>
          <cell r="N64">
            <v>677</v>
          </cell>
          <cell r="O64">
            <v>696</v>
          </cell>
          <cell r="P64">
            <v>2145</v>
          </cell>
          <cell r="Q64">
            <v>0</v>
          </cell>
          <cell r="R64">
            <v>1091</v>
          </cell>
          <cell r="S64">
            <v>79</v>
          </cell>
          <cell r="T64">
            <v>268</v>
          </cell>
          <cell r="U64">
            <v>601</v>
          </cell>
          <cell r="V64">
            <v>557</v>
          </cell>
          <cell r="W64">
            <v>519</v>
          </cell>
          <cell r="X64">
            <v>4609</v>
          </cell>
          <cell r="Y64">
            <v>2024</v>
          </cell>
          <cell r="Z64">
            <v>2585</v>
          </cell>
          <cell r="AA64">
            <v>3582810</v>
          </cell>
          <cell r="AB64">
            <v>72.300950960283416</v>
          </cell>
        </row>
        <row r="65">
          <cell r="F65">
            <v>14987176232899</v>
          </cell>
          <cell r="G65">
            <v>4987176232892</v>
          </cell>
          <cell r="H65">
            <v>80838271</v>
          </cell>
          <cell r="I65" t="str">
            <v>[DS][箱裝]Pampers 幫寶適 原廠公司貨 CP值之選清新幫拉拉褲/尿布, XL, 12-17kg, 152片</v>
          </cell>
          <cell r="J65">
            <v>1</v>
          </cell>
          <cell r="K65">
            <v>1175</v>
          </cell>
          <cell r="L65">
            <v>1386</v>
          </cell>
          <cell r="M65">
            <v>1330.45</v>
          </cell>
          <cell r="N65">
            <v>405</v>
          </cell>
          <cell r="O65">
            <v>414</v>
          </cell>
          <cell r="P65">
            <v>6767</v>
          </cell>
          <cell r="Q65">
            <v>0</v>
          </cell>
          <cell r="R65">
            <v>3295</v>
          </cell>
          <cell r="S65">
            <v>84</v>
          </cell>
          <cell r="T65">
            <v>716</v>
          </cell>
          <cell r="U65">
            <v>1571</v>
          </cell>
          <cell r="V65">
            <v>1673</v>
          </cell>
          <cell r="W65">
            <v>942</v>
          </cell>
          <cell r="X65">
            <v>10881</v>
          </cell>
          <cell r="Y65">
            <v>4986</v>
          </cell>
          <cell r="Z65">
            <v>5895</v>
          </cell>
          <cell r="AA65">
            <v>8170470</v>
          </cell>
          <cell r="AB65">
            <v>90.841380727347442</v>
          </cell>
        </row>
        <row r="66">
          <cell r="F66">
            <v>14987176232868</v>
          </cell>
          <cell r="G66">
            <v>4987176232861</v>
          </cell>
          <cell r="H66">
            <v>80838273</v>
          </cell>
          <cell r="I66" t="str">
            <v>[DS][箱裝]Pampers 幫寶適 原廠公司貨 CP值之選清新幫紙尿褲/尿布, 黏貼型, L, 9-14kg, 184片</v>
          </cell>
          <cell r="J66">
            <v>1</v>
          </cell>
          <cell r="K66">
            <v>1231</v>
          </cell>
          <cell r="L66">
            <v>1464</v>
          </cell>
          <cell r="M66">
            <v>1406.69</v>
          </cell>
          <cell r="N66">
            <v>500</v>
          </cell>
          <cell r="O66">
            <v>114</v>
          </cell>
          <cell r="P66">
            <v>300</v>
          </cell>
          <cell r="Q66">
            <v>0</v>
          </cell>
          <cell r="R66">
            <v>319</v>
          </cell>
          <cell r="S66">
            <v>4</v>
          </cell>
          <cell r="T66">
            <v>133</v>
          </cell>
          <cell r="U66">
            <v>128</v>
          </cell>
          <cell r="V66">
            <v>178</v>
          </cell>
          <cell r="W66">
            <v>61</v>
          </cell>
          <cell r="X66">
            <v>1233</v>
          </cell>
          <cell r="Y66">
            <v>504</v>
          </cell>
          <cell r="Z66">
            <v>729</v>
          </cell>
          <cell r="AA66">
            <v>1067256</v>
          </cell>
          <cell r="AB66">
            <v>173.47964040190377</v>
          </cell>
        </row>
        <row r="67">
          <cell r="F67">
            <v>14902430894439</v>
          </cell>
          <cell r="G67">
            <v>4902430894432</v>
          </cell>
          <cell r="H67">
            <v>80808258</v>
          </cell>
          <cell r="I67" t="str">
            <v>[DS][箱裝] Pampers 幫寶適 原廠公司貨 超薄乾爽 黏貼型尿布, L, 9~14kg, 156片</v>
          </cell>
          <cell r="J67">
            <v>1</v>
          </cell>
          <cell r="K67">
            <v>937</v>
          </cell>
          <cell r="L67">
            <v>1110.3599999999999</v>
          </cell>
          <cell r="M67">
            <v>1060.9936680000001</v>
          </cell>
          <cell r="N67">
            <v>0</v>
          </cell>
          <cell r="O67">
            <v>0</v>
          </cell>
          <cell r="P67">
            <v>0</v>
          </cell>
          <cell r="Q67"/>
          <cell r="R67"/>
          <cell r="S67">
            <v>188</v>
          </cell>
          <cell r="T67">
            <v>508</v>
          </cell>
          <cell r="U67">
            <v>386</v>
          </cell>
          <cell r="V67">
            <v>332</v>
          </cell>
          <cell r="W67">
            <v>105</v>
          </cell>
          <cell r="X67">
            <v>0</v>
          </cell>
          <cell r="Y67">
            <v>1519</v>
          </cell>
          <cell r="Z67"/>
          <cell r="AA67">
            <v>0</v>
          </cell>
          <cell r="AB67">
            <v>0</v>
          </cell>
        </row>
        <row r="68">
          <cell r="F68">
            <v>14987176337082</v>
          </cell>
          <cell r="G68">
            <v>4987176337085</v>
          </cell>
          <cell r="H68">
            <v>80858990</v>
          </cell>
          <cell r="I68" t="str">
            <v>[箱裝]Pampers 幫寶適 原廠公司貨 清新幫黏貼型尿布, M, 6~11kg, 216片</v>
          </cell>
          <cell r="J68">
            <v>1</v>
          </cell>
          <cell r="K68">
            <v>1231</v>
          </cell>
          <cell r="L68">
            <v>1464</v>
          </cell>
          <cell r="M68">
            <v>1406.69</v>
          </cell>
          <cell r="N68">
            <v>122</v>
          </cell>
          <cell r="O68">
            <v>70</v>
          </cell>
          <cell r="P68">
            <v>473</v>
          </cell>
          <cell r="Q68">
            <v>0</v>
          </cell>
          <cell r="R68">
            <v>215</v>
          </cell>
          <cell r="S68">
            <v>6</v>
          </cell>
          <cell r="T68">
            <v>78</v>
          </cell>
          <cell r="U68">
            <v>70</v>
          </cell>
          <cell r="V68">
            <v>134</v>
          </cell>
          <cell r="W68">
            <v>49</v>
          </cell>
          <cell r="X68">
            <v>880</v>
          </cell>
          <cell r="Y68">
            <v>337</v>
          </cell>
          <cell r="Z68">
            <v>543</v>
          </cell>
          <cell r="AA68">
            <v>794952</v>
          </cell>
          <cell r="AB68">
            <v>160.86240947992101</v>
          </cell>
        </row>
        <row r="69">
          <cell r="F69">
            <v>14987176232851</v>
          </cell>
          <cell r="G69">
            <v>4987176232854</v>
          </cell>
          <cell r="H69">
            <v>80838274</v>
          </cell>
          <cell r="I69" t="str">
            <v>[DS][箱裝]Pampers 幫寶適 原廠公司貨 CP值之選清新幫紙尿褲/尿布, 黏貼型, XL, 12~17kg, 152片, 1箱</v>
          </cell>
          <cell r="J69">
            <v>1</v>
          </cell>
          <cell r="K69">
            <v>1231</v>
          </cell>
          <cell r="L69">
            <v>1464</v>
          </cell>
          <cell r="M69">
            <v>1406.69</v>
          </cell>
          <cell r="N69">
            <v>720</v>
          </cell>
          <cell r="O69">
            <v>562</v>
          </cell>
          <cell r="P69">
            <v>1052</v>
          </cell>
          <cell r="Q69">
            <v>0</v>
          </cell>
          <cell r="R69">
            <v>715</v>
          </cell>
          <cell r="S69">
            <v>115</v>
          </cell>
          <cell r="T69">
            <v>646</v>
          </cell>
          <cell r="U69">
            <v>387</v>
          </cell>
          <cell r="V69">
            <v>334</v>
          </cell>
          <cell r="W69">
            <v>248</v>
          </cell>
          <cell r="X69">
            <v>3049</v>
          </cell>
          <cell r="Y69">
            <v>1730</v>
          </cell>
          <cell r="Z69">
            <v>1319</v>
          </cell>
          <cell r="AA69">
            <v>1931016</v>
          </cell>
          <cell r="AB69">
            <v>77.204734651404777</v>
          </cell>
        </row>
        <row r="70">
          <cell r="F70">
            <v>14987176337075</v>
          </cell>
          <cell r="G70">
            <v>4987176337078</v>
          </cell>
          <cell r="H70">
            <v>80858989</v>
          </cell>
          <cell r="I70" t="str">
            <v>[箱裝]Pampers 幫寶適 原廠公司貨 清新幫褲型尿布, M, 6~11kg, 200片</v>
          </cell>
          <cell r="J70">
            <v>1</v>
          </cell>
          <cell r="K70">
            <v>1175</v>
          </cell>
          <cell r="L70">
            <v>1386</v>
          </cell>
          <cell r="M70">
            <v>1330.45</v>
          </cell>
          <cell r="N70">
            <v>145</v>
          </cell>
          <cell r="O70">
            <v>111</v>
          </cell>
          <cell r="P70">
            <v>100</v>
          </cell>
          <cell r="Q70">
            <v>45</v>
          </cell>
          <cell r="R70">
            <v>173</v>
          </cell>
          <cell r="S70">
            <v>4</v>
          </cell>
          <cell r="T70">
            <v>83</v>
          </cell>
          <cell r="U70">
            <v>119</v>
          </cell>
          <cell r="V70">
            <v>78</v>
          </cell>
          <cell r="W70">
            <v>24</v>
          </cell>
          <cell r="X70">
            <v>574</v>
          </cell>
          <cell r="Y70">
            <v>308</v>
          </cell>
          <cell r="Z70">
            <v>266</v>
          </cell>
          <cell r="AA70">
            <v>368676</v>
          </cell>
          <cell r="AB70">
            <v>160.88709677419354</v>
          </cell>
        </row>
        <row r="71">
          <cell r="F71">
            <v>14902430894422</v>
          </cell>
          <cell r="G71">
            <v>4902430894425</v>
          </cell>
          <cell r="H71">
            <v>80808257</v>
          </cell>
          <cell r="I71" t="str">
            <v>[DS][箱裝] Pampers 幫寶適原廠公司貨 超薄乾爽 黏貼型尿布 , M, 6~11kg, 192片</v>
          </cell>
          <cell r="J71">
            <v>1</v>
          </cell>
          <cell r="K71">
            <v>937</v>
          </cell>
          <cell r="L71">
            <v>1110.54</v>
          </cell>
          <cell r="M71">
            <v>1061.169627</v>
          </cell>
          <cell r="N71">
            <v>744</v>
          </cell>
          <cell r="O71">
            <v>472</v>
          </cell>
          <cell r="P71">
            <v>0</v>
          </cell>
          <cell r="Q71"/>
          <cell r="R71"/>
          <cell r="S71">
            <v>14</v>
          </cell>
          <cell r="T71">
            <v>213</v>
          </cell>
          <cell r="U71">
            <v>259</v>
          </cell>
          <cell r="V71">
            <v>318</v>
          </cell>
          <cell r="W71">
            <v>111</v>
          </cell>
          <cell r="X71">
            <v>1216</v>
          </cell>
          <cell r="Y71">
            <v>915</v>
          </cell>
          <cell r="Z71">
            <v>301</v>
          </cell>
          <cell r="AA71">
            <v>334272.53999999998</v>
          </cell>
          <cell r="AB71">
            <v>39.363557105492589</v>
          </cell>
        </row>
        <row r="72">
          <cell r="F72">
            <v>16903148358167</v>
          </cell>
          <cell r="G72"/>
          <cell r="H72"/>
          <cell r="I72" t="str">
            <v>[箱裝]Pampers 幫寶適 原廠公司貨 史上最強一級幫散熱拉拉褲/尿布, L, 9~14kg, 8片, 6包_試用 夏日散熱不悶汗 (極上守護)</v>
          </cell>
          <cell r="J72"/>
          <cell r="K72"/>
          <cell r="L72"/>
          <cell r="M72"/>
          <cell r="N72">
            <v>0</v>
          </cell>
          <cell r="O72">
            <v>0</v>
          </cell>
          <cell r="P72">
            <v>0</v>
          </cell>
          <cell r="Q72"/>
          <cell r="R72"/>
          <cell r="S72"/>
          <cell r="T72"/>
          <cell r="U72"/>
          <cell r="V72"/>
          <cell r="W72"/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 t="e">
            <v>#DIV/0!</v>
          </cell>
        </row>
        <row r="73">
          <cell r="F73">
            <v>14987176174779</v>
          </cell>
          <cell r="G73"/>
          <cell r="H73">
            <v>80771060</v>
          </cell>
          <cell r="I73" t="str">
            <v>[箱裝]Pampers 幫寶適 巧虎安睡褲/拉拉褲/尿布 17kg以上適用, XXXL, 80片</v>
          </cell>
          <cell r="J73">
            <v>1</v>
          </cell>
          <cell r="K73">
            <v>1499</v>
          </cell>
          <cell r="L73">
            <v>1539.6</v>
          </cell>
          <cell r="M73">
            <v>1480.5972299999999</v>
          </cell>
          <cell r="N73">
            <v>0</v>
          </cell>
          <cell r="O73">
            <v>0</v>
          </cell>
          <cell r="P73">
            <v>0</v>
          </cell>
          <cell r="Q73"/>
          <cell r="R73"/>
          <cell r="S73"/>
          <cell r="T73"/>
          <cell r="U73"/>
          <cell r="V73"/>
          <cell r="W73"/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 t="e">
            <v>#DIV/0!</v>
          </cell>
        </row>
        <row r="74">
          <cell r="F74">
            <v>4987176232847</v>
          </cell>
          <cell r="G74">
            <v>4987176232847</v>
          </cell>
          <cell r="H74">
            <v>80838272</v>
          </cell>
          <cell r="I74" t="str">
            <v>Pampers 幫寶適 原廠公司貨 清新幫拉拉褲/褲型尿布, XXXL, 17kg, 22片</v>
          </cell>
          <cell r="J74">
            <v>4</v>
          </cell>
          <cell r="K74">
            <v>323</v>
          </cell>
          <cell r="L74">
            <v>1386</v>
          </cell>
          <cell r="M74">
            <v>1330.45</v>
          </cell>
          <cell r="N74">
            <v>0</v>
          </cell>
          <cell r="O74">
            <v>0</v>
          </cell>
          <cell r="P74">
            <v>0</v>
          </cell>
          <cell r="Q74">
            <v>18</v>
          </cell>
          <cell r="R74">
            <v>9</v>
          </cell>
          <cell r="S74"/>
          <cell r="T74"/>
          <cell r="U74"/>
          <cell r="V74">
            <v>13.25</v>
          </cell>
          <cell r="W74">
            <v>4</v>
          </cell>
          <cell r="X74">
            <v>27</v>
          </cell>
          <cell r="Y74">
            <v>17.25</v>
          </cell>
          <cell r="Z74">
            <v>9.75</v>
          </cell>
          <cell r="AA74">
            <v>13513.5</v>
          </cell>
          <cell r="AB74">
            <v>35.383064516129039</v>
          </cell>
        </row>
        <row r="75">
          <cell r="F75">
            <v>14987176232745</v>
          </cell>
          <cell r="G75"/>
          <cell r="H75"/>
          <cell r="I75" t="str">
            <v>[箱裝]Pampers 幫寶適 奢寵幫拉拉褲/褲型紙尿褲, XXL, 15kg以上, 72片</v>
          </cell>
          <cell r="J75"/>
          <cell r="K75"/>
          <cell r="L75"/>
          <cell r="M75"/>
          <cell r="N75">
            <v>0</v>
          </cell>
          <cell r="O75">
            <v>0</v>
          </cell>
          <cell r="P75">
            <v>0</v>
          </cell>
          <cell r="Q75"/>
          <cell r="R75"/>
          <cell r="S75"/>
          <cell r="T75"/>
          <cell r="U75"/>
          <cell r="V75"/>
          <cell r="W75"/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 t="e">
            <v>#DIV/0!</v>
          </cell>
        </row>
        <row r="76">
          <cell r="F76">
            <v>4987176232878</v>
          </cell>
          <cell r="G76">
            <v>4987176232878</v>
          </cell>
          <cell r="H76">
            <v>80838275</v>
          </cell>
          <cell r="I76" t="str">
            <v>Pampers 幫寶適 原廠公司貨 清新幫拉拉褲/褲型尿布, XXL, 15kg, 26片</v>
          </cell>
          <cell r="J76">
            <v>4</v>
          </cell>
          <cell r="K76">
            <v>323</v>
          </cell>
          <cell r="L76">
            <v>1386</v>
          </cell>
          <cell r="M76">
            <v>1330.45</v>
          </cell>
          <cell r="N76">
            <v>80</v>
          </cell>
          <cell r="O76">
            <v>23</v>
          </cell>
          <cell r="P76">
            <v>100</v>
          </cell>
          <cell r="Q76">
            <v>52</v>
          </cell>
          <cell r="R76">
            <v>32</v>
          </cell>
          <cell r="S76">
            <v>3.75</v>
          </cell>
          <cell r="T76">
            <v>99.25</v>
          </cell>
          <cell r="U76">
            <v>9.75</v>
          </cell>
          <cell r="V76">
            <v>97.5</v>
          </cell>
          <cell r="W76">
            <v>39.5</v>
          </cell>
          <cell r="X76">
            <v>287</v>
          </cell>
          <cell r="Y76">
            <v>249.75</v>
          </cell>
          <cell r="Z76">
            <v>37.25</v>
          </cell>
          <cell r="AA76">
            <v>51628.5</v>
          </cell>
          <cell r="AB76">
            <v>13.689260922825644</v>
          </cell>
        </row>
        <row r="77">
          <cell r="F77">
            <v>14987176232738</v>
          </cell>
          <cell r="G77"/>
          <cell r="H77"/>
          <cell r="I77" t="str">
            <v>[箱裝]Pampers 幫寶適 奢寵幫拉拉褲/褲型紙尿褲, XL, 12~17kg, 90片</v>
          </cell>
          <cell r="J77"/>
          <cell r="K77"/>
          <cell r="L77"/>
          <cell r="M77"/>
          <cell r="N77">
            <v>0</v>
          </cell>
          <cell r="O77">
            <v>0</v>
          </cell>
          <cell r="P77">
            <v>0</v>
          </cell>
          <cell r="Q77"/>
          <cell r="R77"/>
          <cell r="S77"/>
          <cell r="T77"/>
          <cell r="U77"/>
          <cell r="V77"/>
          <cell r="W77"/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 t="e">
            <v>#DIV/0!</v>
          </cell>
        </row>
        <row r="78">
          <cell r="F78">
            <v>16903148308414</v>
          </cell>
          <cell r="G78"/>
          <cell r="H78"/>
          <cell r="I78" t="str">
            <v>[箱裝]Pampers 幫寶適 奢寵幫黏貼型紙尿褲, L, 9~14kg, 96片</v>
          </cell>
          <cell r="J78"/>
          <cell r="K78"/>
          <cell r="L78"/>
          <cell r="M78"/>
          <cell r="N78">
            <v>0</v>
          </cell>
          <cell r="O78">
            <v>0</v>
          </cell>
          <cell r="P78">
            <v>0</v>
          </cell>
          <cell r="Q78"/>
          <cell r="R78"/>
          <cell r="S78"/>
          <cell r="T78"/>
          <cell r="U78"/>
          <cell r="V78"/>
          <cell r="W78"/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 t="e">
            <v>#DIV/0!</v>
          </cell>
        </row>
        <row r="79">
          <cell r="F79">
            <v>6903148358153</v>
          </cell>
          <cell r="G79">
            <v>6903148358153</v>
          </cell>
          <cell r="H79">
            <v>80821873</v>
          </cell>
          <cell r="I79" t="str">
            <v>[箱裝][DS]Pampers 幫寶適 原廠公司貨 史上最強一級幫散熱拉拉褲/尿布/褲型, L+, 10~15kg, 102片_(極上守護)</v>
          </cell>
          <cell r="J79">
            <v>1</v>
          </cell>
          <cell r="K79">
            <v>1056</v>
          </cell>
          <cell r="L79">
            <v>1168</v>
          </cell>
          <cell r="M79">
            <v>1117.3399999999999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/>
          <cell r="T79"/>
          <cell r="U79"/>
          <cell r="V79"/>
          <cell r="W79">
            <v>1</v>
          </cell>
          <cell r="X79">
            <v>0</v>
          </cell>
          <cell r="Y79">
            <v>1</v>
          </cell>
          <cell r="Z79"/>
          <cell r="AA79">
            <v>0</v>
          </cell>
          <cell r="AB79">
            <v>0</v>
          </cell>
        </row>
        <row r="80">
          <cell r="F80">
            <v>14987176232721</v>
          </cell>
          <cell r="G80"/>
          <cell r="H80"/>
          <cell r="I80" t="str">
            <v>[箱裝]Pampers 幫寶適 奢寵幫拉拉褲/褲型紙尿褲, L, 9~14kg, 102片</v>
          </cell>
          <cell r="J80"/>
          <cell r="K80"/>
          <cell r="L80"/>
          <cell r="M80"/>
          <cell r="N80">
            <v>0</v>
          </cell>
          <cell r="O80">
            <v>0</v>
          </cell>
          <cell r="P80">
            <v>0</v>
          </cell>
          <cell r="Q80"/>
          <cell r="R80"/>
          <cell r="S80"/>
          <cell r="T80"/>
          <cell r="U80"/>
          <cell r="V80"/>
          <cell r="W80"/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 t="e">
            <v>#DIV/0!</v>
          </cell>
        </row>
        <row r="81">
          <cell r="F81">
            <v>4987176232892</v>
          </cell>
          <cell r="G81">
            <v>4987176232892</v>
          </cell>
          <cell r="H81">
            <v>80838271</v>
          </cell>
          <cell r="I81" t="str">
            <v>Pampers 幫寶適 原廠公司貨 清新幫拉拉褲/褲型尿布, XL, 12~17kg, 38片</v>
          </cell>
          <cell r="J81">
            <v>4</v>
          </cell>
          <cell r="K81">
            <v>323</v>
          </cell>
          <cell r="L81">
            <v>1386</v>
          </cell>
          <cell r="M81">
            <v>1330.45</v>
          </cell>
          <cell r="N81">
            <v>95</v>
          </cell>
          <cell r="O81">
            <v>86</v>
          </cell>
          <cell r="P81">
            <v>593</v>
          </cell>
          <cell r="Q81">
            <v>0</v>
          </cell>
          <cell r="R81">
            <v>378</v>
          </cell>
          <cell r="S81">
            <v>7</v>
          </cell>
          <cell r="T81">
            <v>176.75</v>
          </cell>
          <cell r="U81">
            <v>133</v>
          </cell>
          <cell r="V81">
            <v>198.5</v>
          </cell>
          <cell r="W81">
            <v>251</v>
          </cell>
          <cell r="X81">
            <v>1152</v>
          </cell>
          <cell r="Y81">
            <v>766.25</v>
          </cell>
          <cell r="Z81">
            <v>385.75</v>
          </cell>
          <cell r="AA81">
            <v>534649.5</v>
          </cell>
          <cell r="AB81">
            <v>22.309150494795013</v>
          </cell>
        </row>
        <row r="82">
          <cell r="F82">
            <v>16903148308407</v>
          </cell>
          <cell r="G82"/>
          <cell r="H82"/>
          <cell r="I82" t="str">
            <v>[箱裝]Pampers 幫寶適 奢寵幫黏貼型紙尿褲, M, 6~11kg, 114片</v>
          </cell>
          <cell r="J82"/>
          <cell r="K82"/>
          <cell r="L82"/>
          <cell r="M82"/>
          <cell r="N82">
            <v>0</v>
          </cell>
          <cell r="O82">
            <v>0</v>
          </cell>
          <cell r="P82">
            <v>0</v>
          </cell>
          <cell r="Q82"/>
          <cell r="R82"/>
          <cell r="S82"/>
          <cell r="T82"/>
          <cell r="U82"/>
          <cell r="V82"/>
          <cell r="W82"/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#DIV/0!</v>
          </cell>
        </row>
        <row r="83">
          <cell r="F83">
            <v>4987176232885</v>
          </cell>
          <cell r="G83">
            <v>4987176232885</v>
          </cell>
          <cell r="H83">
            <v>80838270</v>
          </cell>
          <cell r="I83" t="str">
            <v>Pampers 幫寶適 原廠公司貨 清新幫拉拉褲/褲型尿布, L, 9~14kg, 42片</v>
          </cell>
          <cell r="J83">
            <v>4</v>
          </cell>
          <cell r="K83">
            <v>323</v>
          </cell>
          <cell r="L83">
            <v>1386</v>
          </cell>
          <cell r="M83">
            <v>1330.45</v>
          </cell>
          <cell r="N83">
            <v>115</v>
          </cell>
          <cell r="O83">
            <v>0</v>
          </cell>
          <cell r="P83">
            <v>154</v>
          </cell>
          <cell r="Q83">
            <v>0</v>
          </cell>
          <cell r="R83">
            <v>174</v>
          </cell>
          <cell r="S83">
            <v>7</v>
          </cell>
          <cell r="T83">
            <v>59.5</v>
          </cell>
          <cell r="U83">
            <v>53.25</v>
          </cell>
          <cell r="V83">
            <v>73.75</v>
          </cell>
          <cell r="W83">
            <v>66.5</v>
          </cell>
          <cell r="X83">
            <v>443</v>
          </cell>
          <cell r="Y83">
            <v>260</v>
          </cell>
          <cell r="Z83">
            <v>183</v>
          </cell>
          <cell r="AA83">
            <v>253638</v>
          </cell>
          <cell r="AB83">
            <v>39.946640795537228</v>
          </cell>
        </row>
        <row r="84">
          <cell r="F84">
            <v>4987176337078</v>
          </cell>
          <cell r="G84">
            <v>4987176337078</v>
          </cell>
          <cell r="H84">
            <v>80858989</v>
          </cell>
          <cell r="I84" t="str">
            <v>Pampers 幫寶適 原廠公司貨 清新幫拉拉褲/褲型尿布, M, 6~11kg, 50片</v>
          </cell>
          <cell r="J84">
            <v>4</v>
          </cell>
          <cell r="K84">
            <v>323</v>
          </cell>
          <cell r="L84">
            <v>1386</v>
          </cell>
          <cell r="M84">
            <v>1330.45</v>
          </cell>
          <cell r="N84">
            <v>16</v>
          </cell>
          <cell r="O84">
            <v>56</v>
          </cell>
          <cell r="P84">
            <v>71</v>
          </cell>
          <cell r="Q84">
            <v>0</v>
          </cell>
          <cell r="R84">
            <v>65</v>
          </cell>
          <cell r="S84">
            <v>1</v>
          </cell>
          <cell r="T84">
            <v>45.25</v>
          </cell>
          <cell r="U84">
            <v>35.5</v>
          </cell>
          <cell r="V84">
            <v>27.5</v>
          </cell>
          <cell r="W84">
            <v>26.75</v>
          </cell>
          <cell r="X84">
            <v>208</v>
          </cell>
          <cell r="Y84">
            <v>136</v>
          </cell>
          <cell r="Z84">
            <v>72</v>
          </cell>
          <cell r="AA84">
            <v>99792</v>
          </cell>
          <cell r="AB84">
            <v>39.07145010551703</v>
          </cell>
        </row>
        <row r="85">
          <cell r="F85">
            <v>4987176232854</v>
          </cell>
          <cell r="G85">
            <v>4987176232854</v>
          </cell>
          <cell r="H85">
            <v>80838274</v>
          </cell>
          <cell r="I85" t="str">
            <v>Pampers 幫寶適 原廠公司貨 清新幫黏貼型紙尿褲/尿布, XL, 12~17kg, 38片</v>
          </cell>
          <cell r="J85">
            <v>4</v>
          </cell>
          <cell r="K85">
            <v>339</v>
          </cell>
          <cell r="L85">
            <v>1464</v>
          </cell>
          <cell r="M85">
            <v>1406.69</v>
          </cell>
          <cell r="N85">
            <v>10</v>
          </cell>
          <cell r="O85">
            <v>69</v>
          </cell>
          <cell r="P85">
            <v>150</v>
          </cell>
          <cell r="Q85">
            <v>0</v>
          </cell>
          <cell r="R85">
            <v>76</v>
          </cell>
          <cell r="S85">
            <v>7.25</v>
          </cell>
          <cell r="T85">
            <v>44.5</v>
          </cell>
          <cell r="U85">
            <v>33.75</v>
          </cell>
          <cell r="V85">
            <v>39.75</v>
          </cell>
          <cell r="W85">
            <v>47.75</v>
          </cell>
          <cell r="X85">
            <v>305</v>
          </cell>
          <cell r="Y85">
            <v>173</v>
          </cell>
          <cell r="Z85">
            <v>132</v>
          </cell>
          <cell r="AA85">
            <v>193248</v>
          </cell>
          <cell r="AB85">
            <v>40.128356696503971</v>
          </cell>
        </row>
        <row r="86">
          <cell r="F86">
            <v>14987176231687</v>
          </cell>
          <cell r="G86"/>
          <cell r="H86"/>
          <cell r="I86" t="str">
            <v>[箱裝]Pampers 幫寶適 奢寵幫黏貼型紙尿褲, S, 4~8kg, 144片</v>
          </cell>
          <cell r="J86"/>
          <cell r="K86"/>
          <cell r="L86"/>
          <cell r="M86"/>
          <cell r="N86">
            <v>0</v>
          </cell>
          <cell r="O86">
            <v>0</v>
          </cell>
          <cell r="P86">
            <v>0</v>
          </cell>
          <cell r="Q86"/>
          <cell r="R86"/>
          <cell r="S86"/>
          <cell r="T86"/>
          <cell r="U86"/>
          <cell r="V86"/>
          <cell r="W86"/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#DIV/0!</v>
          </cell>
        </row>
        <row r="87">
          <cell r="F87">
            <v>4987176232861</v>
          </cell>
          <cell r="G87">
            <v>4987176232861</v>
          </cell>
          <cell r="H87">
            <v>80838273</v>
          </cell>
          <cell r="I87" t="str">
            <v>Pampers 幫寶適 原廠公司貨 清新幫黏貼型紙尿褲/尿布, L, 9~14kg, 46片</v>
          </cell>
          <cell r="J87">
            <v>4</v>
          </cell>
          <cell r="K87">
            <v>339</v>
          </cell>
          <cell r="L87">
            <v>1464</v>
          </cell>
          <cell r="M87">
            <v>1406.69</v>
          </cell>
          <cell r="N87">
            <v>63</v>
          </cell>
          <cell r="O87">
            <v>121</v>
          </cell>
          <cell r="P87">
            <v>30</v>
          </cell>
          <cell r="Q87">
            <v>0</v>
          </cell>
          <cell r="R87">
            <v>95</v>
          </cell>
          <cell r="S87">
            <v>0.75</v>
          </cell>
          <cell r="T87">
            <v>88.25</v>
          </cell>
          <cell r="U87">
            <v>49</v>
          </cell>
          <cell r="V87">
            <v>49.5</v>
          </cell>
          <cell r="W87">
            <v>52</v>
          </cell>
          <cell r="X87">
            <v>309</v>
          </cell>
          <cell r="Y87">
            <v>239.5</v>
          </cell>
          <cell r="Z87">
            <v>69.5</v>
          </cell>
          <cell r="AA87">
            <v>101748</v>
          </cell>
          <cell r="AB87">
            <v>19.401364764267989</v>
          </cell>
        </row>
        <row r="88">
          <cell r="F88">
            <v>4987176337085</v>
          </cell>
          <cell r="G88">
            <v>4987176337085</v>
          </cell>
          <cell r="H88">
            <v>80858990</v>
          </cell>
          <cell r="I88" t="str">
            <v>Pampers 幫寶適 原廠公司貨 清新幫黏貼型紙尿褲/尿布, M, 6~11kg, 54片</v>
          </cell>
          <cell r="J88">
            <v>4</v>
          </cell>
          <cell r="K88">
            <v>339</v>
          </cell>
          <cell r="L88">
            <v>1464</v>
          </cell>
          <cell r="M88">
            <v>1406.69</v>
          </cell>
          <cell r="N88">
            <v>0</v>
          </cell>
          <cell r="O88">
            <v>113</v>
          </cell>
          <cell r="P88">
            <v>0</v>
          </cell>
          <cell r="Q88">
            <v>0</v>
          </cell>
          <cell r="R88">
            <v>65</v>
          </cell>
          <cell r="S88"/>
          <cell r="T88">
            <v>0.25</v>
          </cell>
          <cell r="U88">
            <v>10.75</v>
          </cell>
          <cell r="V88">
            <v>38.5</v>
          </cell>
          <cell r="W88">
            <v>27.75</v>
          </cell>
          <cell r="X88">
            <v>178</v>
          </cell>
          <cell r="Y88">
            <v>77.25</v>
          </cell>
          <cell r="Z88">
            <v>100.75</v>
          </cell>
          <cell r="AA88">
            <v>147498</v>
          </cell>
          <cell r="AB88">
            <v>52.702702702702702</v>
          </cell>
        </row>
        <row r="89">
          <cell r="F89">
            <v>16903148308384</v>
          </cell>
          <cell r="G89"/>
          <cell r="H89"/>
          <cell r="I89" t="str">
            <v>[箱裝]Pampers 幫寶適 奢寵幫黏貼型紙尿褲, NB, 0~5kg, 162片</v>
          </cell>
          <cell r="J89"/>
          <cell r="K89"/>
          <cell r="L89"/>
          <cell r="M89"/>
          <cell r="N89">
            <v>0</v>
          </cell>
          <cell r="O89">
            <v>0</v>
          </cell>
          <cell r="P89">
            <v>0</v>
          </cell>
          <cell r="Q89"/>
          <cell r="R89"/>
          <cell r="S89"/>
          <cell r="T89"/>
          <cell r="U89"/>
          <cell r="V89"/>
          <cell r="W89"/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#DIV/0!</v>
          </cell>
        </row>
        <row r="90">
          <cell r="F90">
            <v>14987176180565</v>
          </cell>
          <cell r="G90"/>
          <cell r="H90">
            <v>80757535</v>
          </cell>
          <cell r="I90" t="str">
            <v>[DS][箱裝]Pampers 幫寶適 原廠公司貨 嬰兒濕紙巾 56張, 2包, 6袋</v>
          </cell>
          <cell r="J90">
            <v>1</v>
          </cell>
          <cell r="K90">
            <v>520</v>
          </cell>
          <cell r="L90">
            <v>628.32000000000005</v>
          </cell>
          <cell r="M90">
            <v>589.77546600000005</v>
          </cell>
          <cell r="N90">
            <v>0</v>
          </cell>
          <cell r="O90">
            <v>0</v>
          </cell>
          <cell r="P90">
            <v>0</v>
          </cell>
          <cell r="Q90"/>
          <cell r="R90"/>
          <cell r="S90"/>
          <cell r="T90"/>
          <cell r="U90"/>
          <cell r="V90"/>
          <cell r="W90"/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 t="e">
            <v>#DIV/0!</v>
          </cell>
        </row>
        <row r="91">
          <cell r="F91">
            <v>6903148358221</v>
          </cell>
          <cell r="G91">
            <v>6903148358221</v>
          </cell>
          <cell r="H91">
            <v>80821880</v>
          </cell>
          <cell r="I91" t="str">
            <v>[DS][箱裝]Pampers 幫寶適 原廠公司貨 史上最強一級幫散熱拉拉褲/尿布/褲型, M, 6~11kg, 152片_(極上守護)</v>
          </cell>
          <cell r="J91">
            <v>1</v>
          </cell>
          <cell r="K91">
            <v>1056</v>
          </cell>
          <cell r="L91">
            <v>1168</v>
          </cell>
          <cell r="M91">
            <v>1117.3399999999999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92</v>
          </cell>
          <cell r="T91">
            <v>294</v>
          </cell>
          <cell r="U91">
            <v>3</v>
          </cell>
          <cell r="V91"/>
          <cell r="W91"/>
          <cell r="X91">
            <v>0</v>
          </cell>
          <cell r="Y91">
            <v>389</v>
          </cell>
          <cell r="Z91"/>
          <cell r="AA91">
            <v>0</v>
          </cell>
          <cell r="AB91" t="e">
            <v>#DIV/0!</v>
          </cell>
        </row>
        <row r="92">
          <cell r="F92">
            <v>4987176337092</v>
          </cell>
          <cell r="G92">
            <v>4987176337092</v>
          </cell>
          <cell r="H92">
            <v>80858991</v>
          </cell>
          <cell r="I92" t="str">
            <v>Pampers 幫寶適 原廠公司貨 清新幫黏貼型紙尿褲/尿布, S, 4~8kg, 66片</v>
          </cell>
          <cell r="J92">
            <v>4</v>
          </cell>
          <cell r="K92">
            <v>339</v>
          </cell>
          <cell r="L92">
            <v>1464</v>
          </cell>
          <cell r="M92">
            <v>1406.69</v>
          </cell>
          <cell r="N92">
            <v>0</v>
          </cell>
          <cell r="O92">
            <v>0</v>
          </cell>
          <cell r="P92">
            <v>37</v>
          </cell>
          <cell r="Q92">
            <v>78</v>
          </cell>
          <cell r="R92">
            <v>105</v>
          </cell>
          <cell r="S92"/>
          <cell r="T92">
            <v>0</v>
          </cell>
          <cell r="U92">
            <v>10.5</v>
          </cell>
          <cell r="V92">
            <v>60.5</v>
          </cell>
          <cell r="W92">
            <v>44.5</v>
          </cell>
          <cell r="X92">
            <v>220</v>
          </cell>
          <cell r="Y92">
            <v>115.5</v>
          </cell>
          <cell r="Z92">
            <v>104.5</v>
          </cell>
          <cell r="AA92">
            <v>152988</v>
          </cell>
          <cell r="AB92">
            <v>34.088437839797031</v>
          </cell>
        </row>
        <row r="93">
          <cell r="F93">
            <v>14987176337099</v>
          </cell>
          <cell r="G93">
            <v>4987176337092</v>
          </cell>
          <cell r="H93">
            <v>80858991</v>
          </cell>
          <cell r="I93" t="str">
            <v>[箱裝]Pampers 幫寶適 原廠公司貨 清新幫黏貼型尿布, S, 4~8kg, 264片</v>
          </cell>
          <cell r="J93">
            <v>1</v>
          </cell>
          <cell r="K93">
            <v>1231</v>
          </cell>
          <cell r="L93">
            <v>1464</v>
          </cell>
          <cell r="M93">
            <v>1406.69</v>
          </cell>
          <cell r="N93">
            <v>0</v>
          </cell>
          <cell r="O93">
            <v>0</v>
          </cell>
          <cell r="P93">
            <v>240</v>
          </cell>
          <cell r="Q93">
            <v>0</v>
          </cell>
          <cell r="R93">
            <v>251</v>
          </cell>
          <cell r="S93"/>
          <cell r="T93"/>
          <cell r="U93">
            <v>6</v>
          </cell>
          <cell r="V93">
            <v>124</v>
          </cell>
          <cell r="W93">
            <v>53</v>
          </cell>
          <cell r="X93">
            <v>491</v>
          </cell>
          <cell r="Y93">
            <v>183</v>
          </cell>
          <cell r="Z93">
            <v>308</v>
          </cell>
          <cell r="AA93">
            <v>450912</v>
          </cell>
          <cell r="AB93">
            <v>84.357881923311027</v>
          </cell>
        </row>
        <row r="94">
          <cell r="F94">
            <v>16903148358105</v>
          </cell>
          <cell r="G94"/>
          <cell r="H94">
            <v>80821867</v>
          </cell>
          <cell r="I94" t="str">
            <v>[箱裝][DS]Pampers 幫寶適 原廠公司貨 史上最強一級幫黏貼型護膚尿布/紙尿褲, S, 4~8kg, 224片_夏日遠離紅屁屁 (極上守護)</v>
          </cell>
          <cell r="J94">
            <v>1</v>
          </cell>
          <cell r="K94">
            <v>1318</v>
          </cell>
          <cell r="L94">
            <v>1460</v>
          </cell>
          <cell r="M94">
            <v>1402.78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/>
          <cell r="T94"/>
          <cell r="U94"/>
          <cell r="V94"/>
          <cell r="W94"/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 t="e">
            <v>#DIV/0!</v>
          </cell>
        </row>
        <row r="95">
          <cell r="F95">
            <v>16903148358006</v>
          </cell>
          <cell r="G95"/>
          <cell r="H95">
            <v>80821859</v>
          </cell>
          <cell r="I95" t="str">
            <v>[箱裝][DS]Pampers 幫寶適 原廠公司貨 史上最強一級幫黏貼型護膚尿布/紙尿褲, NB, 5kg以下, 256片_夏日遠離紅屁屁 (極上守護)</v>
          </cell>
          <cell r="J95">
            <v>1</v>
          </cell>
          <cell r="K95">
            <v>1318</v>
          </cell>
          <cell r="L95">
            <v>1460</v>
          </cell>
          <cell r="M95">
            <v>1402.78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/>
          <cell r="T95"/>
          <cell r="U95"/>
          <cell r="V95"/>
          <cell r="W95"/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 t="e">
            <v>#DIV/0!</v>
          </cell>
        </row>
        <row r="96">
          <cell r="F96">
            <v>14902430894446</v>
          </cell>
          <cell r="G96">
            <v>4902430894449</v>
          </cell>
          <cell r="H96">
            <v>80808259</v>
          </cell>
          <cell r="I96" t="str">
            <v>[箱裝] Pampers 幫寶適 超薄乾爽 黏貼型尿布, XL, 12~17kg, 120片</v>
          </cell>
          <cell r="J96">
            <v>1</v>
          </cell>
          <cell r="K96">
            <v>929</v>
          </cell>
          <cell r="L96">
            <v>1101.24</v>
          </cell>
          <cell r="M96">
            <v>1052.0784120000001</v>
          </cell>
          <cell r="N96">
            <v>26</v>
          </cell>
          <cell r="O96">
            <v>0</v>
          </cell>
          <cell r="P96">
            <v>0</v>
          </cell>
          <cell r="Q96"/>
          <cell r="R96"/>
          <cell r="S96">
            <v>26</v>
          </cell>
          <cell r="T96"/>
          <cell r="U96"/>
          <cell r="V96">
            <v>6</v>
          </cell>
          <cell r="W96"/>
          <cell r="X96">
            <v>26</v>
          </cell>
          <cell r="Y96">
            <v>32</v>
          </cell>
          <cell r="Z96"/>
          <cell r="AA96">
            <v>0</v>
          </cell>
          <cell r="AB96" t="e">
            <v>#DIV/0!</v>
          </cell>
        </row>
        <row r="97">
          <cell r="F97">
            <v>14987176232844</v>
          </cell>
          <cell r="G97">
            <v>4987176232847</v>
          </cell>
          <cell r="H97">
            <v>80838272</v>
          </cell>
          <cell r="I97" t="str">
            <v>[DS][箱裝]Pampers 幫寶適 原廠公司貨 CP值之選清新幫拉拉褲/尿布, XXXL, 17kg以上, 88片</v>
          </cell>
          <cell r="J97">
            <v>1</v>
          </cell>
          <cell r="K97">
            <v>1175</v>
          </cell>
          <cell r="L97">
            <v>1386</v>
          </cell>
          <cell r="M97">
            <v>1330.45</v>
          </cell>
          <cell r="N97">
            <v>0</v>
          </cell>
          <cell r="O97">
            <v>0</v>
          </cell>
          <cell r="P97">
            <v>1350</v>
          </cell>
          <cell r="Q97">
            <v>0</v>
          </cell>
          <cell r="R97">
            <v>621</v>
          </cell>
          <cell r="S97"/>
          <cell r="T97"/>
          <cell r="U97">
            <v>223</v>
          </cell>
          <cell r="V97">
            <v>303</v>
          </cell>
          <cell r="W97">
            <v>219</v>
          </cell>
          <cell r="X97">
            <v>1971</v>
          </cell>
          <cell r="Y97">
            <v>745</v>
          </cell>
          <cell r="Z97">
            <v>1226</v>
          </cell>
          <cell r="AA97">
            <v>1699236</v>
          </cell>
          <cell r="AB97">
            <v>81.263809102960678</v>
          </cell>
        </row>
        <row r="98">
          <cell r="F98">
            <v>14987176232875</v>
          </cell>
          <cell r="G98">
            <v>4987176232878</v>
          </cell>
          <cell r="H98">
            <v>80838275</v>
          </cell>
          <cell r="I98" t="str">
            <v>[DS][箱裝]Pampers 幫寶適 原廠公司貨 CP值之選清新幫拉拉褲/尿布, XXL, 15kg以上, 104片</v>
          </cell>
          <cell r="J98">
            <v>1</v>
          </cell>
          <cell r="K98">
            <v>1175</v>
          </cell>
          <cell r="L98">
            <v>1386</v>
          </cell>
          <cell r="M98">
            <v>1330.45</v>
          </cell>
          <cell r="N98">
            <v>420</v>
          </cell>
          <cell r="O98">
            <v>477</v>
          </cell>
          <cell r="P98">
            <v>2281</v>
          </cell>
          <cell r="Q98">
            <v>0</v>
          </cell>
          <cell r="R98">
            <v>1707</v>
          </cell>
          <cell r="S98">
            <v>146</v>
          </cell>
          <cell r="T98">
            <v>768</v>
          </cell>
          <cell r="U98">
            <v>882</v>
          </cell>
          <cell r="V98">
            <v>868</v>
          </cell>
          <cell r="W98">
            <v>738</v>
          </cell>
          <cell r="X98">
            <v>4885</v>
          </cell>
          <cell r="Y98">
            <v>3402</v>
          </cell>
          <cell r="Z98">
            <v>1483</v>
          </cell>
          <cell r="AA98">
            <v>2055438</v>
          </cell>
          <cell r="AB98">
            <v>29.169944925255702</v>
          </cell>
        </row>
        <row r="99">
          <cell r="F99">
            <v>14902430739297</v>
          </cell>
          <cell r="G99">
            <v>4902430739290</v>
          </cell>
          <cell r="H99">
            <v>82311884</v>
          </cell>
          <cell r="I99" t="str">
            <v>[DS][箱裝] Pampers 幫寶適 原廠公司貨 超薄乾爽拉拉褲/尿布, 褲型, XL, 12~17kg, 192片</v>
          </cell>
          <cell r="J99">
            <v>1</v>
          </cell>
          <cell r="K99">
            <v>1394</v>
          </cell>
          <cell r="L99">
            <v>1640.23</v>
          </cell>
          <cell r="M99">
            <v>1578.9680865</v>
          </cell>
          <cell r="N99">
            <v>0</v>
          </cell>
          <cell r="O99">
            <v>0</v>
          </cell>
          <cell r="P99">
            <v>0</v>
          </cell>
          <cell r="Q99"/>
          <cell r="R99"/>
          <cell r="S99">
            <v>2</v>
          </cell>
          <cell r="T99"/>
          <cell r="U99"/>
          <cell r="V99"/>
          <cell r="W99"/>
          <cell r="X99">
            <v>0</v>
          </cell>
          <cell r="Y99">
            <v>2</v>
          </cell>
          <cell r="Z99"/>
          <cell r="AA99">
            <v>0</v>
          </cell>
          <cell r="AB99" t="e">
            <v>#DIV/0!</v>
          </cell>
        </row>
        <row r="100">
          <cell r="F100">
            <v>30772121009</v>
          </cell>
          <cell r="G100">
            <v>30772121009</v>
          </cell>
          <cell r="H100">
            <v>80822281</v>
          </cell>
          <cell r="I100" t="str">
            <v>[DS]Tide 汰漬 台灣公司貨 2倍超濃縮洗衣精, 3.9L, 1桶</v>
          </cell>
          <cell r="J100">
            <v>4</v>
          </cell>
          <cell r="K100">
            <v>563.99999999999989</v>
          </cell>
          <cell r="L100">
            <v>2376.48</v>
          </cell>
          <cell r="M100">
            <v>2311.4</v>
          </cell>
          <cell r="N100">
            <v>158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26.75</v>
          </cell>
          <cell r="T100">
            <v>89.75</v>
          </cell>
          <cell r="U100">
            <v>28.75</v>
          </cell>
          <cell r="V100">
            <v>2</v>
          </cell>
          <cell r="W100"/>
          <cell r="X100">
            <v>158</v>
          </cell>
          <cell r="Y100">
            <v>147.25</v>
          </cell>
          <cell r="Z100">
            <v>10.75</v>
          </cell>
          <cell r="AA100">
            <v>25547.16</v>
          </cell>
          <cell r="AB100" t="e">
            <v>#DIV/0!</v>
          </cell>
        </row>
        <row r="101">
          <cell r="F101">
            <v>4987176084378</v>
          </cell>
          <cell r="G101">
            <v>4987176084378</v>
          </cell>
          <cell r="H101">
            <v>80888194</v>
          </cell>
          <cell r="I101" t="str">
            <v>好自在熊抱安睡褲L 8片 WHP KOALA 9 BASE PANTS L 8SX6 SQ-HKTW</v>
          </cell>
          <cell r="J101">
            <v>6</v>
          </cell>
          <cell r="K101">
            <v>177</v>
          </cell>
          <cell r="L101">
            <v>1226.47</v>
          </cell>
          <cell r="M101">
            <v>1174.5</v>
          </cell>
          <cell r="N101">
            <v>200</v>
          </cell>
          <cell r="O101">
            <v>200</v>
          </cell>
          <cell r="P101">
            <v>0</v>
          </cell>
          <cell r="Q101">
            <v>0</v>
          </cell>
          <cell r="R101">
            <v>0</v>
          </cell>
          <cell r="S101">
            <v>16</v>
          </cell>
          <cell r="T101">
            <v>143.5</v>
          </cell>
          <cell r="U101">
            <v>153</v>
          </cell>
          <cell r="V101">
            <v>14.666666666666668</v>
          </cell>
          <cell r="W101">
            <v>19.5</v>
          </cell>
          <cell r="X101">
            <v>400</v>
          </cell>
          <cell r="Y101">
            <v>346.66666666666669</v>
          </cell>
          <cell r="Z101">
            <v>53.333333333333314</v>
          </cell>
          <cell r="AA101">
            <v>65411.733333333308</v>
          </cell>
          <cell r="AB101">
            <v>39.702233250620331</v>
          </cell>
        </row>
        <row r="102">
          <cell r="F102">
            <v>4987176122858</v>
          </cell>
          <cell r="G102">
            <v>4987176122858</v>
          </cell>
          <cell r="H102">
            <v>80701658</v>
          </cell>
          <cell r="I102" t="str">
            <v>[DS]whisper 好自在 台灣公司貨 熊抱安睡36cm量多夜用10片, 1包</v>
          </cell>
          <cell r="J102">
            <v>12</v>
          </cell>
          <cell r="K102">
            <v>60</v>
          </cell>
          <cell r="L102">
            <v>827.88</v>
          </cell>
          <cell r="M102">
            <v>784.85534399999995</v>
          </cell>
          <cell r="N102">
            <v>20</v>
          </cell>
          <cell r="O102">
            <v>20</v>
          </cell>
          <cell r="P102">
            <v>0</v>
          </cell>
          <cell r="Q102">
            <v>38</v>
          </cell>
          <cell r="R102">
            <v>16</v>
          </cell>
          <cell r="S102">
            <v>4.5</v>
          </cell>
          <cell r="T102">
            <v>15.833333333333334</v>
          </cell>
          <cell r="U102">
            <v>16.333333333333332</v>
          </cell>
          <cell r="V102">
            <v>15.583333333333334</v>
          </cell>
          <cell r="W102">
            <v>4.666666666666667</v>
          </cell>
          <cell r="X102">
            <v>94</v>
          </cell>
          <cell r="Y102">
            <v>56.916666666666671</v>
          </cell>
          <cell r="Z102">
            <v>37.083333333333329</v>
          </cell>
          <cell r="AA102">
            <v>30700.549999999996</v>
          </cell>
          <cell r="AB102">
            <v>115.35138248847925</v>
          </cell>
        </row>
        <row r="103">
          <cell r="F103">
            <v>4987176122865</v>
          </cell>
          <cell r="G103">
            <v>4987176122865</v>
          </cell>
          <cell r="H103">
            <v>80701659</v>
          </cell>
          <cell r="I103" t="str">
            <v>[DS]whisper 好自在 熊抱安睡42.5cm 量多夜用,7片,1包</v>
          </cell>
          <cell r="J103">
            <v>12</v>
          </cell>
          <cell r="K103">
            <v>60</v>
          </cell>
          <cell r="L103">
            <v>827.88</v>
          </cell>
          <cell r="M103">
            <v>784.85534399999995</v>
          </cell>
          <cell r="N103">
            <v>26</v>
          </cell>
          <cell r="O103">
            <v>26</v>
          </cell>
          <cell r="P103">
            <v>0</v>
          </cell>
          <cell r="Q103">
            <v>31</v>
          </cell>
          <cell r="R103">
            <v>23</v>
          </cell>
          <cell r="S103">
            <v>1.9166666666666667</v>
          </cell>
          <cell r="T103">
            <v>19.833333333333332</v>
          </cell>
          <cell r="U103">
            <v>29.916666666666668</v>
          </cell>
          <cell r="V103">
            <v>13.333333333333332</v>
          </cell>
          <cell r="W103">
            <v>8.25</v>
          </cell>
          <cell r="X103">
            <v>106</v>
          </cell>
          <cell r="Y103">
            <v>73.25</v>
          </cell>
          <cell r="Z103">
            <v>32.75</v>
          </cell>
          <cell r="AA103">
            <v>27113.07</v>
          </cell>
          <cell r="AB103">
            <v>57.624633431085037</v>
          </cell>
        </row>
        <row r="104">
          <cell r="F104">
            <v>4987176122919</v>
          </cell>
          <cell r="G104">
            <v>4987176122919</v>
          </cell>
          <cell r="H104">
            <v>80701798</v>
          </cell>
          <cell r="I104" t="str">
            <v>[DS]whisper 好自在 台灣公司貨 熊抱安睡36cm量多夜用(10片X2),1組</v>
          </cell>
          <cell r="J104">
            <v>12</v>
          </cell>
          <cell r="K104">
            <v>115</v>
          </cell>
          <cell r="L104">
            <v>1592.16</v>
          </cell>
          <cell r="M104">
            <v>1531.9772580000001</v>
          </cell>
          <cell r="N104">
            <v>9</v>
          </cell>
          <cell r="O104">
            <v>9</v>
          </cell>
          <cell r="P104">
            <v>10</v>
          </cell>
          <cell r="Q104">
            <v>0</v>
          </cell>
          <cell r="R104">
            <v>25</v>
          </cell>
          <cell r="S104">
            <v>0.91666666666666663</v>
          </cell>
          <cell r="T104">
            <v>6.833333333333333</v>
          </cell>
          <cell r="U104">
            <v>5.833333333333333</v>
          </cell>
          <cell r="V104">
            <v>4.75</v>
          </cell>
          <cell r="W104">
            <v>2.25</v>
          </cell>
          <cell r="X104">
            <v>53</v>
          </cell>
          <cell r="Y104">
            <v>20.583333333333332</v>
          </cell>
          <cell r="Z104">
            <v>32.416666666666671</v>
          </cell>
          <cell r="AA104">
            <v>51612.520000000011</v>
          </cell>
          <cell r="AB104">
            <v>209.1397849462366</v>
          </cell>
        </row>
        <row r="105">
          <cell r="F105">
            <v>4987176122933</v>
          </cell>
          <cell r="G105">
            <v>4987176122933</v>
          </cell>
          <cell r="H105">
            <v>80701800</v>
          </cell>
          <cell r="I105" t="str">
            <v>[DS]whisper 好自在 台灣公司貨 熊抱安睡425mm量多夜用衛生棉, 7片,2包,1組</v>
          </cell>
          <cell r="J105">
            <v>12</v>
          </cell>
          <cell r="K105">
            <v>120</v>
          </cell>
          <cell r="L105">
            <v>1592.16</v>
          </cell>
          <cell r="M105">
            <v>1531.9772580000001</v>
          </cell>
          <cell r="N105">
            <v>47</v>
          </cell>
          <cell r="O105">
            <v>47</v>
          </cell>
          <cell r="P105">
            <v>47</v>
          </cell>
          <cell r="Q105">
            <v>94</v>
          </cell>
          <cell r="R105">
            <v>59</v>
          </cell>
          <cell r="S105">
            <v>16.5</v>
          </cell>
          <cell r="T105">
            <v>62.166666666666679</v>
          </cell>
          <cell r="U105">
            <v>27.416666666666668</v>
          </cell>
          <cell r="V105">
            <v>58.499999999999993</v>
          </cell>
          <cell r="W105">
            <v>45.083333333333336</v>
          </cell>
          <cell r="X105">
            <v>294</v>
          </cell>
          <cell r="Y105">
            <v>209.66666666666669</v>
          </cell>
          <cell r="Z105">
            <v>84.333333333333314</v>
          </cell>
          <cell r="AA105">
            <v>134272.15999999997</v>
          </cell>
          <cell r="AB105">
            <v>27.154015860711937</v>
          </cell>
        </row>
        <row r="106">
          <cell r="F106">
            <v>4987176166739</v>
          </cell>
          <cell r="G106">
            <v>4987176166739</v>
          </cell>
          <cell r="H106">
            <v>80845894</v>
          </cell>
          <cell r="I106" t="str">
            <v>好自在熊抱安睡褲M 8片 WHP KOALA 8 BASE PANTS M 8SX6 SQ-HKTW</v>
          </cell>
          <cell r="J106">
            <v>6</v>
          </cell>
          <cell r="K106">
            <v>177</v>
          </cell>
          <cell r="L106">
            <v>1226.47</v>
          </cell>
          <cell r="M106">
            <v>1174.5</v>
          </cell>
          <cell r="N106">
            <v>100</v>
          </cell>
          <cell r="O106">
            <v>100</v>
          </cell>
          <cell r="P106">
            <v>0</v>
          </cell>
          <cell r="Q106">
            <v>80</v>
          </cell>
          <cell r="R106">
            <v>0</v>
          </cell>
          <cell r="S106">
            <v>9.3333333333333321</v>
          </cell>
          <cell r="T106">
            <v>100.66666666666667</v>
          </cell>
          <cell r="U106">
            <v>83.666666666666671</v>
          </cell>
          <cell r="V106">
            <v>27.666666666666664</v>
          </cell>
          <cell r="W106">
            <v>29.666666666666664</v>
          </cell>
          <cell r="X106">
            <v>280</v>
          </cell>
          <cell r="Y106">
            <v>251</v>
          </cell>
          <cell r="Z106">
            <v>29</v>
          </cell>
          <cell r="AA106">
            <v>35567.629999999997</v>
          </cell>
          <cell r="AB106">
            <v>14.189923885465749</v>
          </cell>
        </row>
        <row r="107">
          <cell r="F107">
            <v>4987176177841</v>
          </cell>
          <cell r="G107">
            <v>4987176177841</v>
          </cell>
          <cell r="H107">
            <v>80724055</v>
          </cell>
          <cell r="I107" t="str">
            <v>[DS]whisper 好自在 台灣公司貨 液體衛生棉清新淨味 24cm, 1包, 9片, 一般</v>
          </cell>
          <cell r="J107">
            <v>12</v>
          </cell>
          <cell r="K107">
            <v>89</v>
          </cell>
          <cell r="L107">
            <v>1208.8800000000001</v>
          </cell>
          <cell r="M107">
            <v>1157.3004000000001</v>
          </cell>
          <cell r="N107">
            <v>206</v>
          </cell>
          <cell r="O107">
            <v>199</v>
          </cell>
          <cell r="P107">
            <v>190</v>
          </cell>
          <cell r="Q107">
            <v>86</v>
          </cell>
          <cell r="R107">
            <v>226</v>
          </cell>
          <cell r="S107">
            <v>18.583333333333332</v>
          </cell>
          <cell r="T107">
            <v>187.41666666666671</v>
          </cell>
          <cell r="U107">
            <v>155.33333333333334</v>
          </cell>
          <cell r="V107">
            <v>155.75</v>
          </cell>
          <cell r="W107">
            <v>76.583333333333329</v>
          </cell>
          <cell r="X107">
            <v>907</v>
          </cell>
          <cell r="Y107">
            <v>593.66666666666674</v>
          </cell>
          <cell r="Z107">
            <v>313.33333333333326</v>
          </cell>
          <cell r="AA107">
            <v>378782.39999999997</v>
          </cell>
          <cell r="AB107">
            <v>59.391344027519388</v>
          </cell>
        </row>
        <row r="108">
          <cell r="F108">
            <v>4987176177858</v>
          </cell>
          <cell r="G108">
            <v>4987176177858</v>
          </cell>
          <cell r="H108">
            <v>80724056</v>
          </cell>
          <cell r="I108" t="str">
            <v>[DS]whisper 好自在 Radiant清新淨味 液體衛生棉/巾 棉柔表層 量多超薄 日用型, 27cm, 9片, 1盒</v>
          </cell>
          <cell r="J108">
            <v>12</v>
          </cell>
          <cell r="K108">
            <v>89</v>
          </cell>
          <cell r="L108">
            <v>1208.8800000000001</v>
          </cell>
          <cell r="M108">
            <v>1157.3018940000002</v>
          </cell>
          <cell r="N108">
            <v>293</v>
          </cell>
          <cell r="O108">
            <v>293</v>
          </cell>
          <cell r="P108">
            <v>292</v>
          </cell>
          <cell r="Q108">
            <v>86</v>
          </cell>
          <cell r="R108">
            <v>0</v>
          </cell>
          <cell r="S108">
            <v>89.25</v>
          </cell>
          <cell r="T108">
            <v>296.83333333333337</v>
          </cell>
          <cell r="U108">
            <v>225</v>
          </cell>
          <cell r="V108">
            <v>137.08333333333334</v>
          </cell>
          <cell r="W108">
            <v>59.083333333333329</v>
          </cell>
          <cell r="X108">
            <v>964</v>
          </cell>
          <cell r="Y108">
            <v>807.25000000000011</v>
          </cell>
          <cell r="Z108">
            <v>156.74999999999989</v>
          </cell>
          <cell r="AA108">
            <v>189491.93999999989</v>
          </cell>
          <cell r="AB108">
            <v>38.511761226625389</v>
          </cell>
        </row>
        <row r="109">
          <cell r="F109">
            <v>4987176177865</v>
          </cell>
          <cell r="G109">
            <v>4987176177865</v>
          </cell>
          <cell r="H109">
            <v>80724057</v>
          </cell>
          <cell r="I109" t="str">
            <v>[DS]whisper 好自在 台灣公司貨 液體衛生棉清新淨味 31.7cm, 1包, 9片, 一般</v>
          </cell>
          <cell r="J109">
            <v>12</v>
          </cell>
          <cell r="K109">
            <v>89</v>
          </cell>
          <cell r="L109">
            <v>1208.8800000000001</v>
          </cell>
          <cell r="M109">
            <v>1157.3004000000001</v>
          </cell>
          <cell r="N109">
            <v>72</v>
          </cell>
          <cell r="O109">
            <v>180</v>
          </cell>
          <cell r="P109">
            <v>127.75</v>
          </cell>
          <cell r="Q109">
            <v>132</v>
          </cell>
          <cell r="R109">
            <v>157</v>
          </cell>
          <cell r="S109">
            <v>44.083333333333336</v>
          </cell>
          <cell r="T109">
            <v>106.74999999999997</v>
          </cell>
          <cell r="U109">
            <v>111.08333333333333</v>
          </cell>
          <cell r="V109">
            <v>72</v>
          </cell>
          <cell r="W109">
            <v>15</v>
          </cell>
          <cell r="X109">
            <v>668.75</v>
          </cell>
          <cell r="Y109">
            <v>348.91666666666663</v>
          </cell>
          <cell r="Z109">
            <v>319.83333333333337</v>
          </cell>
          <cell r="AA109">
            <v>386640.12000000005</v>
          </cell>
          <cell r="AB109">
            <v>309.51612903225811</v>
          </cell>
        </row>
        <row r="110">
          <cell r="F110">
            <v>4987176179258</v>
          </cell>
          <cell r="G110">
            <v>4987176179258</v>
          </cell>
          <cell r="H110">
            <v>80741147</v>
          </cell>
          <cell r="I110" t="str">
            <v>[DS]whisper 好自在 台灣公司貨 INFINITY液體衛生棉 超長夜用 34cm, 10片, 夜用型, 1盒</v>
          </cell>
          <cell r="J110">
            <v>12</v>
          </cell>
          <cell r="K110">
            <v>82</v>
          </cell>
          <cell r="L110">
            <v>1208.8800000000001</v>
          </cell>
          <cell r="M110">
            <v>1157.3018940000002</v>
          </cell>
          <cell r="N110">
            <v>0</v>
          </cell>
          <cell r="O110">
            <v>0</v>
          </cell>
          <cell r="P110">
            <v>0</v>
          </cell>
          <cell r="Q110">
            <v>357</v>
          </cell>
          <cell r="R110">
            <v>188</v>
          </cell>
          <cell r="S110"/>
          <cell r="T110"/>
          <cell r="U110">
            <v>0.33333333333333331</v>
          </cell>
          <cell r="V110">
            <v>121.08333333333333</v>
          </cell>
          <cell r="W110">
            <v>88.333333333333343</v>
          </cell>
          <cell r="X110">
            <v>545</v>
          </cell>
          <cell r="Y110">
            <v>209.75</v>
          </cell>
          <cell r="Z110">
            <v>335.25</v>
          </cell>
          <cell r="AA110">
            <v>405277.02</v>
          </cell>
          <cell r="AB110">
            <v>55.092818015824705</v>
          </cell>
        </row>
        <row r="111">
          <cell r="F111">
            <v>4987176214720</v>
          </cell>
          <cell r="G111">
            <v>4987176214720</v>
          </cell>
          <cell r="H111">
            <v>80845897</v>
          </cell>
          <cell r="I111" t="str">
            <v>好自在熊抱安睡褲XL 8片 WHP KOALA 8 BASE PANTS XL 8SX6 SQ-HKTW</v>
          </cell>
          <cell r="J111">
            <v>6</v>
          </cell>
          <cell r="K111">
            <v>177</v>
          </cell>
          <cell r="L111">
            <v>1226.47</v>
          </cell>
          <cell r="M111">
            <v>1174.5</v>
          </cell>
          <cell r="N111">
            <v>200</v>
          </cell>
          <cell r="O111">
            <v>183</v>
          </cell>
          <cell r="P111">
            <v>0</v>
          </cell>
          <cell r="Q111">
            <v>308</v>
          </cell>
          <cell r="R111">
            <v>368</v>
          </cell>
          <cell r="S111">
            <v>46</v>
          </cell>
          <cell r="T111">
            <v>306.5</v>
          </cell>
          <cell r="U111">
            <v>2.8333333333333335</v>
          </cell>
          <cell r="V111">
            <v>66.5</v>
          </cell>
          <cell r="W111">
            <v>267.16666666666669</v>
          </cell>
          <cell r="X111">
            <v>1059</v>
          </cell>
          <cell r="Y111">
            <v>689</v>
          </cell>
          <cell r="Z111">
            <v>370</v>
          </cell>
          <cell r="AA111">
            <v>453793.9</v>
          </cell>
          <cell r="AB111">
            <v>20.103435091461574</v>
          </cell>
        </row>
        <row r="112">
          <cell r="F112">
            <v>4987176219985</v>
          </cell>
          <cell r="G112">
            <v>4987176219985</v>
          </cell>
          <cell r="H112">
            <v>80786358</v>
          </cell>
          <cell r="I112" t="str">
            <v>whisper 好自在 熊抱安睡褲, 內褲型, XL, 2片, 1包</v>
          </cell>
          <cell r="J112">
            <v>24</v>
          </cell>
          <cell r="K112">
            <v>41</v>
          </cell>
          <cell r="L112">
            <v>1128</v>
          </cell>
          <cell r="M112">
            <v>1078.24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/>
          <cell r="T112"/>
          <cell r="U112"/>
          <cell r="V112"/>
          <cell r="W112"/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 t="e">
            <v>#DIV/0!</v>
          </cell>
        </row>
        <row r="113">
          <cell r="F113">
            <v>4987176301017</v>
          </cell>
          <cell r="G113">
            <v>4987176301017</v>
          </cell>
          <cell r="H113">
            <v>80834591</v>
          </cell>
          <cell r="I113" t="str">
            <v>[DS]whisper 好自在 台灣公司貨 Air Dry 雲枕瞬吸衛生棉 日用量大加長, 32cm, 16片, 1袋</v>
          </cell>
          <cell r="J113">
            <v>12</v>
          </cell>
          <cell r="K113">
            <v>95.000000000000014</v>
          </cell>
          <cell r="L113">
            <v>1208.81</v>
          </cell>
          <cell r="M113">
            <v>1157.23</v>
          </cell>
          <cell r="N113">
            <v>14</v>
          </cell>
          <cell r="O113">
            <v>14</v>
          </cell>
          <cell r="P113">
            <v>0</v>
          </cell>
          <cell r="Q113">
            <v>0</v>
          </cell>
          <cell r="R113">
            <v>29</v>
          </cell>
          <cell r="S113">
            <v>1.5</v>
          </cell>
          <cell r="T113">
            <v>16.916666666666664</v>
          </cell>
          <cell r="U113">
            <v>8.75</v>
          </cell>
          <cell r="V113"/>
          <cell r="W113"/>
          <cell r="X113">
            <v>57</v>
          </cell>
          <cell r="Y113">
            <v>27.166666666666664</v>
          </cell>
          <cell r="Z113">
            <v>29.833333333333336</v>
          </cell>
          <cell r="AA113">
            <v>36062.831666666665</v>
          </cell>
          <cell r="AB113" t="e">
            <v>#DIV/0!</v>
          </cell>
        </row>
        <row r="114">
          <cell r="F114">
            <v>4987176301024</v>
          </cell>
          <cell r="G114">
            <v>4987176301024</v>
          </cell>
          <cell r="H114">
            <v>80841913</v>
          </cell>
          <cell r="I114" t="str">
            <v>[DS]whisper 好自在 台灣公司貨 Air Dry Fresh 草本健康衛生棉 量大加長, 32cm, 16片, 1袋</v>
          </cell>
          <cell r="J114">
            <v>12</v>
          </cell>
          <cell r="K114">
            <v>95.000000000000014</v>
          </cell>
          <cell r="L114">
            <v>1208.81</v>
          </cell>
          <cell r="M114">
            <v>1157.23</v>
          </cell>
          <cell r="N114">
            <v>12</v>
          </cell>
          <cell r="O114">
            <v>12</v>
          </cell>
          <cell r="P114">
            <v>0</v>
          </cell>
          <cell r="Q114">
            <v>0</v>
          </cell>
          <cell r="R114">
            <v>0</v>
          </cell>
          <cell r="S114">
            <v>3.75</v>
          </cell>
          <cell r="T114">
            <v>7.333333333333333</v>
          </cell>
          <cell r="U114">
            <v>3.8333333333333335</v>
          </cell>
          <cell r="V114">
            <v>1.9166666666666667</v>
          </cell>
          <cell r="W114">
            <v>6.0833333333333339</v>
          </cell>
          <cell r="X114">
            <v>24</v>
          </cell>
          <cell r="Y114">
            <v>22.916666666666664</v>
          </cell>
          <cell r="Z114">
            <v>1.0833333333333357</v>
          </cell>
          <cell r="AA114">
            <v>1309.5441666666695</v>
          </cell>
          <cell r="AB114">
            <v>2.5850640742377426</v>
          </cell>
        </row>
        <row r="115">
          <cell r="F115">
            <v>4987176325655</v>
          </cell>
          <cell r="G115">
            <v>4987176325655</v>
          </cell>
          <cell r="H115">
            <v>80849287</v>
          </cell>
          <cell r="I115" t="str">
            <v>WHP AIR DRY PRO (S3 10S+Mini 12S)x24</v>
          </cell>
          <cell r="J115">
            <v>24</v>
          </cell>
          <cell r="K115">
            <v>79</v>
          </cell>
          <cell r="L115">
            <v>1883.39</v>
          </cell>
          <cell r="M115">
            <v>1816.67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/>
          <cell r="T115"/>
          <cell r="U115"/>
          <cell r="V115"/>
          <cell r="W115"/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 t="e">
            <v>#DIV/0!</v>
          </cell>
        </row>
        <row r="116">
          <cell r="F116">
            <v>4987176325662</v>
          </cell>
          <cell r="G116">
            <v>4987176325662</v>
          </cell>
          <cell r="H116">
            <v>80849288</v>
          </cell>
          <cell r="I116" t="str">
            <v>WHP AIR DRY (S3 10S+Mini 12S)x24</v>
          </cell>
          <cell r="J116">
            <v>24</v>
          </cell>
          <cell r="K116">
            <v>79</v>
          </cell>
          <cell r="L116">
            <v>1883.39</v>
          </cell>
          <cell r="M116">
            <v>1816.67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/>
          <cell r="T116"/>
          <cell r="U116"/>
          <cell r="V116"/>
          <cell r="W116"/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 t="e">
            <v>#DIV/0!</v>
          </cell>
        </row>
        <row r="117">
          <cell r="F117">
            <v>4987176369345</v>
          </cell>
          <cell r="G117">
            <v>4987176369345</v>
          </cell>
          <cell r="H117">
            <v>80888287</v>
          </cell>
          <cell r="I117" t="str">
            <v>AirDry雲枕瞬吸日用普通(S1*9+Mini*3) WHP ArDy(S1 20SX9+Mini 12SX3)x1</v>
          </cell>
          <cell r="J117">
            <v>1</v>
          </cell>
          <cell r="K117">
            <v>883</v>
          </cell>
          <cell r="L117">
            <v>1015.44</v>
          </cell>
          <cell r="M117">
            <v>968.2</v>
          </cell>
          <cell r="N117">
            <v>0</v>
          </cell>
          <cell r="O117">
            <v>0</v>
          </cell>
          <cell r="P117">
            <v>22</v>
          </cell>
          <cell r="Q117">
            <v>0</v>
          </cell>
          <cell r="R117">
            <v>0</v>
          </cell>
          <cell r="S117"/>
          <cell r="T117"/>
          <cell r="U117"/>
          <cell r="V117"/>
          <cell r="W117"/>
          <cell r="X117">
            <v>22</v>
          </cell>
          <cell r="Y117">
            <v>0</v>
          </cell>
          <cell r="Z117">
            <v>22</v>
          </cell>
          <cell r="AA117">
            <v>22339.68</v>
          </cell>
          <cell r="AB117" t="e">
            <v>#DIV/0!</v>
          </cell>
        </row>
        <row r="118">
          <cell r="F118">
            <v>4987176369352</v>
          </cell>
          <cell r="G118">
            <v>4987176369352</v>
          </cell>
          <cell r="H118">
            <v>80888288</v>
          </cell>
          <cell r="I118" t="str">
            <v>AirDry雲枕瞬吸日用量大(S3*9+Mini*3) WHP ArDy(S3 20SX9+Mini 12SX3)x1</v>
          </cell>
          <cell r="J118">
            <v>1</v>
          </cell>
          <cell r="K118">
            <v>883</v>
          </cell>
          <cell r="L118">
            <v>1015.44</v>
          </cell>
          <cell r="M118">
            <v>968.2</v>
          </cell>
          <cell r="N118">
            <v>0</v>
          </cell>
          <cell r="O118">
            <v>0</v>
          </cell>
          <cell r="P118">
            <v>22</v>
          </cell>
          <cell r="Q118">
            <v>0</v>
          </cell>
          <cell r="R118">
            <v>0</v>
          </cell>
          <cell r="S118"/>
          <cell r="T118"/>
          <cell r="U118"/>
          <cell r="V118"/>
          <cell r="W118">
            <v>3</v>
          </cell>
          <cell r="X118">
            <v>22</v>
          </cell>
          <cell r="Y118">
            <v>3</v>
          </cell>
          <cell r="Z118">
            <v>19</v>
          </cell>
          <cell r="AA118">
            <v>19293.36</v>
          </cell>
          <cell r="AB118">
            <v>91.935483870967744</v>
          </cell>
        </row>
        <row r="119">
          <cell r="F119">
            <v>4987176369369</v>
          </cell>
          <cell r="G119">
            <v>4987176369369</v>
          </cell>
          <cell r="H119">
            <v>80888289</v>
          </cell>
          <cell r="I119" t="str">
            <v>AirDryFresh草本健康日用普通(S1*9+Mini*3) WHP ArDyPRO(S1 20SX9+Mini 12SX3)x1</v>
          </cell>
          <cell r="J119">
            <v>1</v>
          </cell>
          <cell r="K119">
            <v>883</v>
          </cell>
          <cell r="L119">
            <v>1015.44</v>
          </cell>
          <cell r="M119">
            <v>968.2</v>
          </cell>
          <cell r="N119">
            <v>0</v>
          </cell>
          <cell r="O119">
            <v>0</v>
          </cell>
          <cell r="P119">
            <v>12</v>
          </cell>
          <cell r="Q119">
            <v>0</v>
          </cell>
          <cell r="R119">
            <v>0</v>
          </cell>
          <cell r="S119"/>
          <cell r="T119"/>
          <cell r="U119"/>
          <cell r="V119"/>
          <cell r="W119"/>
          <cell r="X119">
            <v>12</v>
          </cell>
          <cell r="Y119">
            <v>0</v>
          </cell>
          <cell r="Z119">
            <v>12</v>
          </cell>
          <cell r="AA119">
            <v>12185.28</v>
          </cell>
          <cell r="AB119" t="e">
            <v>#DIV/0!</v>
          </cell>
        </row>
        <row r="120">
          <cell r="F120">
            <v>4987176369376</v>
          </cell>
          <cell r="G120">
            <v>4987176369376</v>
          </cell>
          <cell r="H120">
            <v>80888290</v>
          </cell>
          <cell r="I120" t="str">
            <v>AirDryFresh草本健康日用量大(S3*9+Mini*3) WHP ArDyPRO(S3 20SX9+Mini 12SX3)x1</v>
          </cell>
          <cell r="J120">
            <v>1</v>
          </cell>
          <cell r="K120">
            <v>883</v>
          </cell>
          <cell r="L120">
            <v>1015.44</v>
          </cell>
          <cell r="M120">
            <v>968.2</v>
          </cell>
          <cell r="N120">
            <v>0</v>
          </cell>
          <cell r="O120">
            <v>0</v>
          </cell>
          <cell r="P120">
            <v>12</v>
          </cell>
          <cell r="Q120">
            <v>0</v>
          </cell>
          <cell r="R120">
            <v>0</v>
          </cell>
          <cell r="S120"/>
          <cell r="T120"/>
          <cell r="U120"/>
          <cell r="V120"/>
          <cell r="W120"/>
          <cell r="X120">
            <v>12</v>
          </cell>
          <cell r="Y120">
            <v>0</v>
          </cell>
          <cell r="Z120">
            <v>12</v>
          </cell>
          <cell r="AA120">
            <v>12185.28</v>
          </cell>
          <cell r="AB120" t="e">
            <v>#DIV/0!</v>
          </cell>
        </row>
        <row r="121">
          <cell r="F121">
            <v>4987176369383</v>
          </cell>
          <cell r="G121">
            <v>4987176369383</v>
          </cell>
          <cell r="H121">
            <v>80888291</v>
          </cell>
          <cell r="I121" t="str">
            <v>AirDryFresh草本健康日用輕量Mini*22 WHP ArDyPRO(Mini 12SX22)x1</v>
          </cell>
          <cell r="J121">
            <v>1</v>
          </cell>
          <cell r="K121">
            <v>883</v>
          </cell>
          <cell r="L121">
            <v>1015.44</v>
          </cell>
          <cell r="M121">
            <v>968.2</v>
          </cell>
          <cell r="N121">
            <v>0</v>
          </cell>
          <cell r="O121">
            <v>32</v>
          </cell>
          <cell r="P121">
            <v>0</v>
          </cell>
          <cell r="Q121">
            <v>0</v>
          </cell>
          <cell r="R121">
            <v>0</v>
          </cell>
          <cell r="S121"/>
          <cell r="T121">
            <v>2</v>
          </cell>
          <cell r="U121">
            <v>5</v>
          </cell>
          <cell r="V121">
            <v>7</v>
          </cell>
          <cell r="W121">
            <v>5</v>
          </cell>
          <cell r="X121">
            <v>32</v>
          </cell>
          <cell r="Y121">
            <v>19</v>
          </cell>
          <cell r="Z121">
            <v>13</v>
          </cell>
          <cell r="AA121">
            <v>13200.720000000001</v>
          </cell>
          <cell r="AB121">
            <v>37.741935483870975</v>
          </cell>
        </row>
        <row r="122">
          <cell r="F122">
            <v>4987176372048</v>
          </cell>
          <cell r="G122">
            <v>4987176372048</v>
          </cell>
          <cell r="H122">
            <v>80889745</v>
          </cell>
          <cell r="I122" t="str">
            <v>好自在INFINITY34cm120s+清新淨味31.7cm36s WHP (INF F9 10sx12+ RDNT F7 9sx4)x1 BAO</v>
          </cell>
          <cell r="J122">
            <v>1</v>
          </cell>
          <cell r="K122">
            <v>1330</v>
          </cell>
          <cell r="L122">
            <v>1508</v>
          </cell>
          <cell r="M122">
            <v>1449.71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/>
          <cell r="T122"/>
          <cell r="U122"/>
          <cell r="V122"/>
          <cell r="W122"/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 t="e">
            <v>#DIV/0!</v>
          </cell>
        </row>
        <row r="123">
          <cell r="F123">
            <v>4987176372055</v>
          </cell>
          <cell r="G123">
            <v>4987176372055</v>
          </cell>
          <cell r="H123">
            <v>80889746</v>
          </cell>
          <cell r="I123" t="str">
            <v>好自在INFINITY29.5cm126s+清新淨味31.7cm36s WHP (INF F5 9sx14+ RDNT F7 9sx4)x1 BAO</v>
          </cell>
          <cell r="J123">
            <v>1</v>
          </cell>
          <cell r="K123">
            <v>1330</v>
          </cell>
          <cell r="L123">
            <v>1508</v>
          </cell>
          <cell r="M123">
            <v>1449.71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/>
          <cell r="T123"/>
          <cell r="U123"/>
          <cell r="V123"/>
          <cell r="W123"/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e">
            <v>#DIV/0!</v>
          </cell>
        </row>
        <row r="124">
          <cell r="F124">
            <v>4987176372079</v>
          </cell>
          <cell r="G124">
            <v>4987176372079</v>
          </cell>
          <cell r="H124">
            <v>80889748</v>
          </cell>
          <cell r="I124" t="str">
            <v>好自在INFINITY29.5cm81s+清新淨味31.7cm27s WHP (INF F5 9sx9+ RDNT F7 9sx3)x1 BAO</v>
          </cell>
          <cell r="J124">
            <v>1</v>
          </cell>
          <cell r="K124">
            <v>883</v>
          </cell>
          <cell r="L124">
            <v>1107</v>
          </cell>
          <cell r="M124">
            <v>1057.71</v>
          </cell>
          <cell r="N124">
            <v>0</v>
          </cell>
          <cell r="O124">
            <v>0</v>
          </cell>
          <cell r="P124">
            <v>10</v>
          </cell>
          <cell r="Q124">
            <v>120</v>
          </cell>
          <cell r="R124">
            <v>0</v>
          </cell>
          <cell r="S124"/>
          <cell r="T124"/>
          <cell r="U124">
            <v>10</v>
          </cell>
          <cell r="V124">
            <v>22</v>
          </cell>
          <cell r="W124">
            <v>54</v>
          </cell>
          <cell r="X124">
            <v>130</v>
          </cell>
          <cell r="Y124">
            <v>86</v>
          </cell>
          <cell r="Z124">
            <v>44</v>
          </cell>
          <cell r="AA124">
            <v>48708</v>
          </cell>
          <cell r="AB124">
            <v>11.82795698924731</v>
          </cell>
        </row>
        <row r="125">
          <cell r="F125">
            <v>4987176372086</v>
          </cell>
          <cell r="G125">
            <v>4987176372086</v>
          </cell>
          <cell r="H125">
            <v>80889749</v>
          </cell>
          <cell r="I125" t="str">
            <v>好自在INFINITY34cm90s+清新淨味31.7cm18s WHP (INF F9 10sx9+ RDNT F7 9sx2)x1 BAO</v>
          </cell>
          <cell r="J125">
            <v>1</v>
          </cell>
          <cell r="K125">
            <v>883</v>
          </cell>
          <cell r="L125">
            <v>1107</v>
          </cell>
          <cell r="M125">
            <v>1057.71</v>
          </cell>
          <cell r="N125">
            <v>0</v>
          </cell>
          <cell r="O125">
            <v>0</v>
          </cell>
          <cell r="P125">
            <v>22</v>
          </cell>
          <cell r="Q125">
            <v>100</v>
          </cell>
          <cell r="R125">
            <v>108</v>
          </cell>
          <cell r="S125"/>
          <cell r="T125"/>
          <cell r="U125">
            <v>22</v>
          </cell>
          <cell r="V125">
            <v>81</v>
          </cell>
          <cell r="W125">
            <v>49</v>
          </cell>
          <cell r="X125">
            <v>230</v>
          </cell>
          <cell r="Y125">
            <v>152</v>
          </cell>
          <cell r="Z125">
            <v>78</v>
          </cell>
          <cell r="AA125">
            <v>86346</v>
          </cell>
          <cell r="AB125">
            <v>23.107307439104673</v>
          </cell>
        </row>
        <row r="126">
          <cell r="F126">
            <v>4987176372093</v>
          </cell>
          <cell r="G126">
            <v>4987176372093</v>
          </cell>
          <cell r="H126">
            <v>80889750</v>
          </cell>
          <cell r="I126" t="str">
            <v>AirDryFresh草本健康日用量大(S3*5+Mini*2) WHP ArDyPRO(S3 20SX5+Mini 12SX2)x1</v>
          </cell>
          <cell r="J126">
            <v>1</v>
          </cell>
          <cell r="K126">
            <v>495</v>
          </cell>
          <cell r="L126">
            <v>507.72</v>
          </cell>
          <cell r="M126">
            <v>471.88</v>
          </cell>
          <cell r="N126">
            <v>0</v>
          </cell>
          <cell r="O126">
            <v>12</v>
          </cell>
          <cell r="P126">
            <v>0</v>
          </cell>
          <cell r="Q126">
            <v>0</v>
          </cell>
          <cell r="R126">
            <v>0</v>
          </cell>
          <cell r="S126"/>
          <cell r="T126"/>
          <cell r="U126"/>
          <cell r="V126">
            <v>0</v>
          </cell>
          <cell r="W126"/>
          <cell r="X126">
            <v>12</v>
          </cell>
          <cell r="Y126">
            <v>0</v>
          </cell>
          <cell r="Z126">
            <v>12</v>
          </cell>
          <cell r="AA126">
            <v>6092.64</v>
          </cell>
          <cell r="AB126" t="e">
            <v>#DIV/0!</v>
          </cell>
        </row>
        <row r="127">
          <cell r="F127">
            <v>4987176372116</v>
          </cell>
          <cell r="G127">
            <v>4987176372116</v>
          </cell>
          <cell r="H127">
            <v>80889752</v>
          </cell>
          <cell r="I127" t="str">
            <v>AirDry雲枕瞬吸日用量大(S3*5+Mini*2) WHP ArDy(S3 20SX5+Mini 12SX2)x1</v>
          </cell>
          <cell r="J127">
            <v>1</v>
          </cell>
          <cell r="K127">
            <v>495</v>
          </cell>
          <cell r="L127">
            <v>507.72</v>
          </cell>
          <cell r="M127">
            <v>471.88</v>
          </cell>
          <cell r="N127">
            <v>0</v>
          </cell>
          <cell r="O127">
            <v>10</v>
          </cell>
          <cell r="P127">
            <v>0</v>
          </cell>
          <cell r="Q127">
            <v>0</v>
          </cell>
          <cell r="R127">
            <v>0</v>
          </cell>
          <cell r="S127"/>
          <cell r="T127">
            <v>4</v>
          </cell>
          <cell r="U127">
            <v>4</v>
          </cell>
          <cell r="V127">
            <v>1</v>
          </cell>
          <cell r="W127"/>
          <cell r="X127">
            <v>10</v>
          </cell>
          <cell r="Y127">
            <v>9</v>
          </cell>
          <cell r="Z127">
            <v>1</v>
          </cell>
          <cell r="AA127">
            <v>507.72</v>
          </cell>
          <cell r="AB127" t="e">
            <v>#DIV/0!</v>
          </cell>
        </row>
        <row r="128">
          <cell r="F128">
            <v>4987176372123</v>
          </cell>
          <cell r="G128">
            <v>4987176372123</v>
          </cell>
          <cell r="H128">
            <v>80889753</v>
          </cell>
          <cell r="I128" t="str">
            <v>好自在INFINITY24cm126s+清新淨味24cm36s WHP F1 (INF 18sx7+ RDNT 9sx4)x1 BAO</v>
          </cell>
          <cell r="J128">
            <v>1</v>
          </cell>
          <cell r="K128">
            <v>1330</v>
          </cell>
          <cell r="L128">
            <v>1508</v>
          </cell>
          <cell r="M128">
            <v>1449.71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/>
          <cell r="T128"/>
          <cell r="U128"/>
          <cell r="V128"/>
          <cell r="W128"/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 t="e">
            <v>#DIV/0!</v>
          </cell>
        </row>
        <row r="129">
          <cell r="F129">
            <v>4987176372147</v>
          </cell>
          <cell r="G129">
            <v>4987176372147</v>
          </cell>
          <cell r="H129">
            <v>80889755</v>
          </cell>
          <cell r="I129" t="str">
            <v>好自在INFINITY27cm128s+清新淨味27cm36s WHP F3 (INF 16sx8+ RDNT 9sx4)x1 BAO</v>
          </cell>
          <cell r="J129">
            <v>1</v>
          </cell>
          <cell r="K129">
            <v>1330</v>
          </cell>
          <cell r="L129">
            <v>1508</v>
          </cell>
          <cell r="M129">
            <v>1449.71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/>
          <cell r="T129"/>
          <cell r="U129"/>
          <cell r="V129"/>
          <cell r="W129"/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 t="e">
            <v>#DIV/0!</v>
          </cell>
        </row>
        <row r="130">
          <cell r="F130">
            <v>4987176372154</v>
          </cell>
          <cell r="G130">
            <v>4987176372154</v>
          </cell>
          <cell r="H130">
            <v>80889756</v>
          </cell>
          <cell r="I130" t="str">
            <v>好自在INFINITY27cm80s+清新淨味27cm27s WHP F3 (INF 16sx5+ RDNT 9sx3)x1 BAO</v>
          </cell>
          <cell r="J130">
            <v>1</v>
          </cell>
          <cell r="K130">
            <v>883</v>
          </cell>
          <cell r="L130">
            <v>1107</v>
          </cell>
          <cell r="M130">
            <v>1057.71</v>
          </cell>
          <cell r="N130">
            <v>0</v>
          </cell>
          <cell r="O130">
            <v>0</v>
          </cell>
          <cell r="P130">
            <v>22</v>
          </cell>
          <cell r="Q130">
            <v>36</v>
          </cell>
          <cell r="R130">
            <v>0</v>
          </cell>
          <cell r="S130"/>
          <cell r="T130"/>
          <cell r="U130">
            <v>8</v>
          </cell>
          <cell r="V130">
            <v>16</v>
          </cell>
          <cell r="W130">
            <v>2</v>
          </cell>
          <cell r="X130">
            <v>58</v>
          </cell>
          <cell r="Y130">
            <v>26</v>
          </cell>
          <cell r="Z130">
            <v>32</v>
          </cell>
          <cell r="AA130">
            <v>35424</v>
          </cell>
          <cell r="AB130">
            <v>232.25806451612905</v>
          </cell>
        </row>
        <row r="131">
          <cell r="F131">
            <v>4987176372161</v>
          </cell>
          <cell r="G131">
            <v>4987176372161</v>
          </cell>
          <cell r="H131">
            <v>80889757</v>
          </cell>
          <cell r="I131" t="str">
            <v>好自在無痕奢柔褲 M-L 3片X11 WHP KOALA8 SP PANTS M-L (3Sx11)x1 BAO</v>
          </cell>
          <cell r="J131">
            <v>1</v>
          </cell>
          <cell r="K131">
            <v>853</v>
          </cell>
          <cell r="L131">
            <v>1015.44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/>
          <cell r="T131"/>
          <cell r="U131"/>
          <cell r="V131"/>
          <cell r="W131"/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 t="e">
            <v>#DIV/0!</v>
          </cell>
        </row>
        <row r="132">
          <cell r="F132">
            <v>4987176372185</v>
          </cell>
          <cell r="G132">
            <v>4987176372185</v>
          </cell>
          <cell r="H132">
            <v>80889759</v>
          </cell>
          <cell r="I132" t="str">
            <v>AirDryFresh草本健康日用普通(S1*5+Mini*2) WHP ArDyPRO(S1 20SX5+Mini 12SX2)x1</v>
          </cell>
          <cell r="J132">
            <v>1</v>
          </cell>
          <cell r="K132">
            <v>495</v>
          </cell>
          <cell r="L132">
            <v>507.72</v>
          </cell>
          <cell r="M132">
            <v>471.88</v>
          </cell>
          <cell r="N132">
            <v>0</v>
          </cell>
          <cell r="O132">
            <v>12</v>
          </cell>
          <cell r="P132">
            <v>0</v>
          </cell>
          <cell r="Q132">
            <v>0</v>
          </cell>
          <cell r="R132">
            <v>0</v>
          </cell>
          <cell r="S132"/>
          <cell r="T132"/>
          <cell r="U132"/>
          <cell r="V132">
            <v>3</v>
          </cell>
          <cell r="W132">
            <v>8</v>
          </cell>
          <cell r="X132">
            <v>12</v>
          </cell>
          <cell r="Y132">
            <v>11</v>
          </cell>
          <cell r="Z132">
            <v>1</v>
          </cell>
          <cell r="AA132">
            <v>507.72</v>
          </cell>
          <cell r="AB132">
            <v>1.8145161290322582</v>
          </cell>
        </row>
        <row r="133">
          <cell r="F133">
            <v>4987176372208</v>
          </cell>
          <cell r="G133">
            <v>4987176372208</v>
          </cell>
          <cell r="H133">
            <v>80889761</v>
          </cell>
          <cell r="I133" t="str">
            <v>AirDry雲枕瞬吸日用普通(S1*5+Mini*2) WHP ArDy(S1 20SX5+Mini 12SX2)x1</v>
          </cell>
          <cell r="J133">
            <v>1</v>
          </cell>
          <cell r="K133">
            <v>495</v>
          </cell>
          <cell r="L133">
            <v>507.72</v>
          </cell>
          <cell r="M133">
            <v>471.88</v>
          </cell>
          <cell r="N133">
            <v>0</v>
          </cell>
          <cell r="O133">
            <v>22</v>
          </cell>
          <cell r="P133">
            <v>0</v>
          </cell>
          <cell r="Q133">
            <v>0</v>
          </cell>
          <cell r="R133">
            <v>0</v>
          </cell>
          <cell r="S133"/>
          <cell r="T133"/>
          <cell r="U133">
            <v>4</v>
          </cell>
          <cell r="V133">
            <v>2</v>
          </cell>
          <cell r="W133">
            <v>8</v>
          </cell>
          <cell r="X133">
            <v>22</v>
          </cell>
          <cell r="Y133">
            <v>14</v>
          </cell>
          <cell r="Z133">
            <v>8</v>
          </cell>
          <cell r="AA133">
            <v>4061.76</v>
          </cell>
          <cell r="AB133">
            <v>14.516129032258066</v>
          </cell>
        </row>
        <row r="134">
          <cell r="F134">
            <v>4987176372239</v>
          </cell>
          <cell r="G134">
            <v>4987176372239</v>
          </cell>
          <cell r="H134">
            <v>80889764</v>
          </cell>
          <cell r="I134" t="str">
            <v>AirDryFresh草本健康日用輕量Mini*12 WHP ArDyPRO(Mini 12SX12)x1</v>
          </cell>
          <cell r="J134">
            <v>1</v>
          </cell>
          <cell r="K134">
            <v>495</v>
          </cell>
          <cell r="L134">
            <v>507.72</v>
          </cell>
          <cell r="M134">
            <v>471.88</v>
          </cell>
          <cell r="N134">
            <v>0</v>
          </cell>
          <cell r="O134">
            <v>30</v>
          </cell>
          <cell r="P134">
            <v>0</v>
          </cell>
          <cell r="Q134">
            <v>0</v>
          </cell>
          <cell r="R134">
            <v>0</v>
          </cell>
          <cell r="S134"/>
          <cell r="T134">
            <v>6</v>
          </cell>
          <cell r="U134">
            <v>11</v>
          </cell>
          <cell r="V134">
            <v>12</v>
          </cell>
          <cell r="W134"/>
          <cell r="X134">
            <v>30</v>
          </cell>
          <cell r="Y134">
            <v>29</v>
          </cell>
          <cell r="Z134">
            <v>1</v>
          </cell>
          <cell r="AA134">
            <v>507.72</v>
          </cell>
          <cell r="AB134" t="e">
            <v>#DIV/0!</v>
          </cell>
        </row>
        <row r="135">
          <cell r="F135">
            <v>4987176372284</v>
          </cell>
          <cell r="G135">
            <v>4987176372284</v>
          </cell>
          <cell r="H135">
            <v>80889769</v>
          </cell>
          <cell r="I135" t="str">
            <v>好自在INFINITY24cm90s+清新淨味24cm18s WHP F1 (INF 18sx5+ RDNT 9sx2)x1 BAO</v>
          </cell>
          <cell r="J135">
            <v>1</v>
          </cell>
          <cell r="K135">
            <v>883</v>
          </cell>
          <cell r="L135">
            <v>1107</v>
          </cell>
          <cell r="M135">
            <v>1057.71</v>
          </cell>
          <cell r="N135">
            <v>0</v>
          </cell>
          <cell r="O135">
            <v>0</v>
          </cell>
          <cell r="P135">
            <v>22</v>
          </cell>
          <cell r="Q135">
            <v>250</v>
          </cell>
          <cell r="R135">
            <v>0</v>
          </cell>
          <cell r="S135"/>
          <cell r="T135"/>
          <cell r="U135">
            <v>22</v>
          </cell>
          <cell r="V135">
            <v>94</v>
          </cell>
          <cell r="W135">
            <v>143</v>
          </cell>
          <cell r="X135">
            <v>272</v>
          </cell>
          <cell r="Y135">
            <v>259</v>
          </cell>
          <cell r="Z135">
            <v>13</v>
          </cell>
          <cell r="AA135">
            <v>14391</v>
          </cell>
          <cell r="AB135">
            <v>1.3196480938416424</v>
          </cell>
        </row>
        <row r="136">
          <cell r="F136">
            <v>4987176372291</v>
          </cell>
          <cell r="G136">
            <v>4987176372291</v>
          </cell>
          <cell r="H136">
            <v>80889770</v>
          </cell>
          <cell r="I136" t="str">
            <v>好自在無痕奢柔褲 XL 3片X11 WHP KOALA8 SP PANTS XL (3Sx11)x1 BAO</v>
          </cell>
          <cell r="J136">
            <v>1</v>
          </cell>
          <cell r="K136">
            <v>853</v>
          </cell>
          <cell r="L136">
            <v>1015.44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/>
          <cell r="T136"/>
          <cell r="U136"/>
          <cell r="V136"/>
          <cell r="W136"/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 t="e">
            <v>#DIV/0!</v>
          </cell>
        </row>
        <row r="137">
          <cell r="F137">
            <v>6903148138182</v>
          </cell>
          <cell r="G137">
            <v>6903148138182</v>
          </cell>
          <cell r="H137">
            <v>80817375</v>
          </cell>
          <cell r="I137" t="str">
            <v>[DS]whisper 好自在 台灣公司貨 Air Dry 雲枕瞬吸衛生棉 日用, 24cm, 10片, 1包</v>
          </cell>
          <cell r="J137">
            <v>24</v>
          </cell>
          <cell r="K137">
            <v>54</v>
          </cell>
          <cell r="L137">
            <v>1366.48</v>
          </cell>
          <cell r="M137">
            <v>1311.36</v>
          </cell>
          <cell r="N137">
            <v>24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6.3333333333333339</v>
          </cell>
          <cell r="T137">
            <v>17.375</v>
          </cell>
          <cell r="U137"/>
          <cell r="V137"/>
          <cell r="W137"/>
          <cell r="X137">
            <v>24</v>
          </cell>
          <cell r="Y137">
            <v>23.708333333333336</v>
          </cell>
          <cell r="Z137">
            <v>0.2916666666666643</v>
          </cell>
          <cell r="AA137">
            <v>398.55666666666343</v>
          </cell>
          <cell r="AB137" t="e">
            <v>#DIV/0!</v>
          </cell>
        </row>
        <row r="138">
          <cell r="F138">
            <v>6903148182383</v>
          </cell>
          <cell r="G138">
            <v>6903148182383</v>
          </cell>
          <cell r="H138">
            <v>82294318</v>
          </cell>
          <cell r="I138" t="str">
            <v>[DS]whisper 好自在 台灣公司貨 隱型透氣護墊, 自然無香, 40片, 1包</v>
          </cell>
          <cell r="J138">
            <v>24</v>
          </cell>
          <cell r="K138">
            <v>40</v>
          </cell>
          <cell r="L138">
            <v>1194</v>
          </cell>
          <cell r="M138">
            <v>1142.75595</v>
          </cell>
          <cell r="N138">
            <v>15</v>
          </cell>
          <cell r="O138">
            <v>15</v>
          </cell>
          <cell r="P138">
            <v>5</v>
          </cell>
          <cell r="Q138">
            <v>12</v>
          </cell>
          <cell r="R138">
            <v>20</v>
          </cell>
          <cell r="S138">
            <v>1.125</v>
          </cell>
          <cell r="T138">
            <v>13.458333333333336</v>
          </cell>
          <cell r="U138">
            <v>10.583333333333334</v>
          </cell>
          <cell r="V138">
            <v>8.375</v>
          </cell>
          <cell r="W138">
            <v>7.6666666666666661</v>
          </cell>
          <cell r="X138">
            <v>67</v>
          </cell>
          <cell r="Y138">
            <v>41.208333333333336</v>
          </cell>
          <cell r="Z138">
            <v>25.791666666666664</v>
          </cell>
          <cell r="AA138">
            <v>30795.249999999996</v>
          </cell>
          <cell r="AB138">
            <v>48.834151472650774</v>
          </cell>
        </row>
        <row r="139">
          <cell r="F139">
            <v>6903148182406</v>
          </cell>
          <cell r="G139">
            <v>6903148182406</v>
          </cell>
          <cell r="H139">
            <v>82294323</v>
          </cell>
          <cell r="I139" t="str">
            <v>[DS]好自在隱型清新護墊 淡香 40片,1包</v>
          </cell>
          <cell r="J139">
            <v>24</v>
          </cell>
          <cell r="K139">
            <v>40</v>
          </cell>
          <cell r="L139">
            <v>1194</v>
          </cell>
          <cell r="M139">
            <v>1142.75595</v>
          </cell>
          <cell r="N139">
            <v>13</v>
          </cell>
          <cell r="O139">
            <v>13</v>
          </cell>
          <cell r="P139">
            <v>0</v>
          </cell>
          <cell r="Q139">
            <v>8</v>
          </cell>
          <cell r="R139">
            <v>20</v>
          </cell>
          <cell r="S139">
            <v>1.5833333333333333</v>
          </cell>
          <cell r="T139">
            <v>9.2083333333333339</v>
          </cell>
          <cell r="U139">
            <v>5.666666666666667</v>
          </cell>
          <cell r="V139">
            <v>8.125</v>
          </cell>
          <cell r="W139">
            <v>2.208333333333333</v>
          </cell>
          <cell r="X139">
            <v>54</v>
          </cell>
          <cell r="Y139">
            <v>26.791666666666668</v>
          </cell>
          <cell r="Z139">
            <v>27.208333333333332</v>
          </cell>
          <cell r="AA139">
            <v>32486.75</v>
          </cell>
          <cell r="AB139">
            <v>178.84966524650031</v>
          </cell>
        </row>
        <row r="140">
          <cell r="F140">
            <v>6903148182680</v>
          </cell>
          <cell r="G140">
            <v>6903148182680</v>
          </cell>
          <cell r="H140">
            <v>82294320</v>
          </cell>
          <cell r="I140" t="str">
            <v>[DS]whisper 好自在 台灣公司貨 隱型乾爽護墊, 自然無香, 40片, 1包</v>
          </cell>
          <cell r="J140">
            <v>24</v>
          </cell>
          <cell r="K140">
            <v>40</v>
          </cell>
          <cell r="L140">
            <v>1194</v>
          </cell>
          <cell r="M140">
            <v>1142.75595</v>
          </cell>
          <cell r="N140">
            <v>11</v>
          </cell>
          <cell r="O140">
            <v>11</v>
          </cell>
          <cell r="P140">
            <v>5</v>
          </cell>
          <cell r="Q140">
            <v>0</v>
          </cell>
          <cell r="R140">
            <v>9</v>
          </cell>
          <cell r="S140">
            <v>1.6666666666666667</v>
          </cell>
          <cell r="T140">
            <v>7.4166666666666661</v>
          </cell>
          <cell r="U140">
            <v>4.458333333333333</v>
          </cell>
          <cell r="V140">
            <v>4.5833333333333339</v>
          </cell>
          <cell r="W140">
            <v>4.2083333333333339</v>
          </cell>
          <cell r="X140">
            <v>36</v>
          </cell>
          <cell r="Y140">
            <v>22.333333333333336</v>
          </cell>
          <cell r="Z140">
            <v>13.666666666666664</v>
          </cell>
          <cell r="AA140">
            <v>16317.999999999996</v>
          </cell>
          <cell r="AB140">
            <v>47.141488342382601</v>
          </cell>
        </row>
        <row r="141">
          <cell r="F141">
            <v>6903148224090</v>
          </cell>
          <cell r="G141">
            <v>6903148224090</v>
          </cell>
          <cell r="H141">
            <v>80852635</v>
          </cell>
          <cell r="I141" t="str">
            <v>好自在經典款液體衛生棉27cm16片X12 WHP INF F3 16CTX12-HP-HKTW-Fiona 2</v>
          </cell>
          <cell r="J141">
            <v>12</v>
          </cell>
          <cell r="K141">
            <v>131</v>
          </cell>
          <cell r="L141">
            <v>1853.54</v>
          </cell>
          <cell r="M141">
            <v>1787.49</v>
          </cell>
          <cell r="N141">
            <v>0</v>
          </cell>
          <cell r="O141">
            <v>0</v>
          </cell>
          <cell r="P141">
            <v>125</v>
          </cell>
          <cell r="Q141">
            <v>0</v>
          </cell>
          <cell r="R141">
            <v>250</v>
          </cell>
          <cell r="S141"/>
          <cell r="T141"/>
          <cell r="U141">
            <v>17</v>
          </cell>
          <cell r="V141">
            <v>103.83333333333334</v>
          </cell>
          <cell r="W141">
            <v>82.416666666666671</v>
          </cell>
          <cell r="X141">
            <v>375</v>
          </cell>
          <cell r="Y141">
            <v>203.25</v>
          </cell>
          <cell r="Z141">
            <v>171.75</v>
          </cell>
          <cell r="AA141">
            <v>318345.495</v>
          </cell>
          <cell r="AB141">
            <v>30.250497406960434</v>
          </cell>
        </row>
        <row r="142">
          <cell r="F142">
            <v>6903148224106</v>
          </cell>
          <cell r="G142">
            <v>6903148224106</v>
          </cell>
          <cell r="H142">
            <v>80852632</v>
          </cell>
          <cell r="I142" t="str">
            <v>好自在經典款液體衛生棉24cm18片X12 WHP INF F1 18CTX12-BUD-HKTW-Fiona 2</v>
          </cell>
          <cell r="J142">
            <v>12</v>
          </cell>
          <cell r="K142">
            <v>147</v>
          </cell>
          <cell r="L142">
            <v>2039.83</v>
          </cell>
          <cell r="M142">
            <v>1969.6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/>
          <cell r="T142"/>
          <cell r="U142"/>
          <cell r="V142"/>
          <cell r="W142"/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 t="e">
            <v>#DIV/0!</v>
          </cell>
        </row>
        <row r="143">
          <cell r="F143">
            <v>6903148300770</v>
          </cell>
          <cell r="G143">
            <v>6903148300770</v>
          </cell>
          <cell r="H143">
            <v>80817372</v>
          </cell>
          <cell r="I143" t="str">
            <v>[DS]whisper 好自在 台灣公司貨 Air Dry Fresh 純棉衛生棉 日用輕量型, 18cm, 12片, 1包</v>
          </cell>
          <cell r="J143">
            <v>24</v>
          </cell>
          <cell r="K143">
            <v>47</v>
          </cell>
          <cell r="L143">
            <v>1156.25</v>
          </cell>
          <cell r="M143">
            <v>1105.8499999999999</v>
          </cell>
          <cell r="N143">
            <v>9</v>
          </cell>
          <cell r="O143">
            <v>1</v>
          </cell>
          <cell r="P143">
            <v>0</v>
          </cell>
          <cell r="Q143">
            <v>0</v>
          </cell>
          <cell r="R143">
            <v>0</v>
          </cell>
          <cell r="S143">
            <v>0.33333333333333331</v>
          </cell>
          <cell r="T143">
            <v>7.5</v>
          </cell>
          <cell r="U143"/>
          <cell r="V143">
            <v>0.5</v>
          </cell>
          <cell r="W143">
            <v>0.16666666666666666</v>
          </cell>
          <cell r="X143">
            <v>10</v>
          </cell>
          <cell r="Y143">
            <v>8.4999999999999982</v>
          </cell>
          <cell r="Z143">
            <v>1.5000000000000018</v>
          </cell>
          <cell r="AA143">
            <v>1734.375000000002</v>
          </cell>
          <cell r="AB143">
            <v>130.64516129032276</v>
          </cell>
        </row>
        <row r="144">
          <cell r="F144">
            <v>6903148304761</v>
          </cell>
          <cell r="G144">
            <v>6903148304761</v>
          </cell>
          <cell r="H144">
            <v>80817373</v>
          </cell>
          <cell r="I144" t="str">
            <v>[DS]whisper 好自在 台灣公司貨 Air Dry 雲枕瞬吸衛生棉 日用, 24cm, 20片, 1袋</v>
          </cell>
          <cell r="J144">
            <v>12</v>
          </cell>
          <cell r="K144">
            <v>95.000000000000014</v>
          </cell>
          <cell r="L144">
            <v>1208.81</v>
          </cell>
          <cell r="M144">
            <v>1157.23</v>
          </cell>
          <cell r="N144">
            <v>63</v>
          </cell>
          <cell r="O144">
            <v>22</v>
          </cell>
          <cell r="P144">
            <v>118</v>
          </cell>
          <cell r="Q144">
            <v>0</v>
          </cell>
          <cell r="R144">
            <v>0</v>
          </cell>
          <cell r="S144">
            <v>7.5833333333333339</v>
          </cell>
          <cell r="T144">
            <v>51.583333333333343</v>
          </cell>
          <cell r="U144">
            <v>36</v>
          </cell>
          <cell r="V144">
            <v>49</v>
          </cell>
          <cell r="W144">
            <v>27.416666666666664</v>
          </cell>
          <cell r="X144">
            <v>203</v>
          </cell>
          <cell r="Y144">
            <v>171.58333333333334</v>
          </cell>
          <cell r="Z144">
            <v>31.416666666666657</v>
          </cell>
          <cell r="AA144">
            <v>37976.780833333323</v>
          </cell>
          <cell r="AB144">
            <v>16.633983723894492</v>
          </cell>
        </row>
        <row r="145">
          <cell r="F145">
            <v>6903148308752</v>
          </cell>
          <cell r="G145">
            <v>6903148308752</v>
          </cell>
          <cell r="H145">
            <v>80817377</v>
          </cell>
          <cell r="I145" t="str">
            <v>[DS]whisper 好自在 台灣公司貨 Air Dry 雲枕瞬吸衛生棉 日用輕量型, 18cm , 12片, 1包</v>
          </cell>
          <cell r="J145">
            <v>24</v>
          </cell>
          <cell r="K145">
            <v>47</v>
          </cell>
          <cell r="L145">
            <v>1156.25</v>
          </cell>
          <cell r="M145">
            <v>1105.8499999999999</v>
          </cell>
          <cell r="N145">
            <v>30</v>
          </cell>
          <cell r="O145">
            <v>30</v>
          </cell>
          <cell r="P145">
            <v>32</v>
          </cell>
          <cell r="Q145">
            <v>0</v>
          </cell>
          <cell r="R145">
            <v>0</v>
          </cell>
          <cell r="S145">
            <v>6.458333333333333</v>
          </cell>
          <cell r="T145">
            <v>38</v>
          </cell>
          <cell r="U145">
            <v>24.875</v>
          </cell>
          <cell r="V145">
            <v>20.625</v>
          </cell>
          <cell r="W145"/>
          <cell r="X145">
            <v>92</v>
          </cell>
          <cell r="Y145">
            <v>89.958333333333343</v>
          </cell>
          <cell r="Z145">
            <v>2.0416666666666572</v>
          </cell>
          <cell r="AA145">
            <v>2360.6770833333226</v>
          </cell>
          <cell r="AB145" t="e">
            <v>#DIV/0!</v>
          </cell>
        </row>
        <row r="146">
          <cell r="F146">
            <v>6903148345023</v>
          </cell>
          <cell r="G146">
            <v>6903148345023</v>
          </cell>
          <cell r="H146">
            <v>80852649</v>
          </cell>
          <cell r="I146" t="str">
            <v>好自在經典款液體衛生棉29.5cm9片X12 WHP INF F5 9CTX12 OVN-BUD-HKTW-Fiona 2</v>
          </cell>
          <cell r="J146">
            <v>12</v>
          </cell>
          <cell r="K146">
            <v>74</v>
          </cell>
          <cell r="L146">
            <v>1208.8800000000001</v>
          </cell>
          <cell r="M146">
            <v>1157.3</v>
          </cell>
          <cell r="N146">
            <v>0</v>
          </cell>
          <cell r="O146">
            <v>0</v>
          </cell>
          <cell r="P146">
            <v>0</v>
          </cell>
          <cell r="Q146">
            <v>60</v>
          </cell>
          <cell r="R146">
            <v>0</v>
          </cell>
          <cell r="S146"/>
          <cell r="T146"/>
          <cell r="U146"/>
          <cell r="V146">
            <v>34.333333333333329</v>
          </cell>
          <cell r="W146">
            <v>24.749999999999996</v>
          </cell>
          <cell r="X146">
            <v>60</v>
          </cell>
          <cell r="Y146">
            <v>59.083333333333329</v>
          </cell>
          <cell r="Z146">
            <v>0.9166666666666714</v>
          </cell>
          <cell r="AA146">
            <v>1108.1400000000058</v>
          </cell>
          <cell r="AB146">
            <v>0.53763440860215339</v>
          </cell>
        </row>
        <row r="147">
          <cell r="F147">
            <v>6903148352700</v>
          </cell>
          <cell r="G147">
            <v>6903148352700</v>
          </cell>
          <cell r="H147">
            <v>80882675</v>
          </cell>
          <cell r="I147" t="str">
            <v>好自在無痕奢柔褲 M-L 3片X16 WHP KOALA 8 SP PANTS M-L 3SX16-HKTW</v>
          </cell>
          <cell r="J147">
            <v>16</v>
          </cell>
          <cell r="K147">
            <v>78</v>
          </cell>
          <cell r="L147">
            <v>1431.63</v>
          </cell>
          <cell r="M147">
            <v>1375.05</v>
          </cell>
          <cell r="N147">
            <v>0</v>
          </cell>
          <cell r="O147">
            <v>2</v>
          </cell>
          <cell r="P147">
            <v>0</v>
          </cell>
          <cell r="Q147">
            <v>19</v>
          </cell>
          <cell r="R147">
            <v>26</v>
          </cell>
          <cell r="S147"/>
          <cell r="T147">
            <v>1.9375</v>
          </cell>
          <cell r="U147"/>
          <cell r="V147">
            <v>7.625</v>
          </cell>
          <cell r="W147">
            <v>10.75</v>
          </cell>
          <cell r="X147">
            <v>47</v>
          </cell>
          <cell r="Y147">
            <v>20.3125</v>
          </cell>
          <cell r="Z147">
            <v>26.6875</v>
          </cell>
          <cell r="AA147">
            <v>38206.625625000001</v>
          </cell>
          <cell r="AB147">
            <v>36.037134283570893</v>
          </cell>
        </row>
        <row r="148">
          <cell r="F148">
            <v>6903148354582</v>
          </cell>
          <cell r="G148">
            <v>6903148354582</v>
          </cell>
          <cell r="H148">
            <v>80817378</v>
          </cell>
          <cell r="I148" t="str">
            <v>[DS]whisper 好自在 台灣公司貨 Air Dry 雲枕瞬吸衛生棉 日用量大, 28cm, 20片, 1袋</v>
          </cell>
          <cell r="J148">
            <v>12</v>
          </cell>
          <cell r="K148">
            <v>95.000000000000014</v>
          </cell>
          <cell r="L148">
            <v>1208.81</v>
          </cell>
          <cell r="M148">
            <v>1157.23</v>
          </cell>
          <cell r="N148">
            <v>96</v>
          </cell>
          <cell r="O148">
            <v>96</v>
          </cell>
          <cell r="P148">
            <v>50</v>
          </cell>
          <cell r="Q148">
            <v>49</v>
          </cell>
          <cell r="R148">
            <v>0</v>
          </cell>
          <cell r="S148">
            <v>16.5</v>
          </cell>
          <cell r="T148">
            <v>102.83333333333331</v>
          </cell>
          <cell r="U148">
            <v>58.083333333333336</v>
          </cell>
          <cell r="V148">
            <v>57.333333333333336</v>
          </cell>
          <cell r="W148">
            <v>29.666666666666668</v>
          </cell>
          <cell r="X148">
            <v>291</v>
          </cell>
          <cell r="Y148">
            <v>264.41666666666669</v>
          </cell>
          <cell r="Z148">
            <v>26.583333333333314</v>
          </cell>
          <cell r="AA148">
            <v>32134.199166666644</v>
          </cell>
          <cell r="AB148">
            <v>13.007430228343592</v>
          </cell>
        </row>
        <row r="149">
          <cell r="F149">
            <v>6903148355947</v>
          </cell>
          <cell r="G149">
            <v>6903148355947</v>
          </cell>
          <cell r="H149">
            <v>80884855</v>
          </cell>
          <cell r="I149" t="str">
            <v>好自在無痕奢柔褲 XL 3片X16 WHP KOALA 8 SP PANTS XL 3SX16-HKTW</v>
          </cell>
          <cell r="J149">
            <v>16</v>
          </cell>
          <cell r="K149">
            <v>78</v>
          </cell>
          <cell r="L149">
            <v>1431.63</v>
          </cell>
          <cell r="M149">
            <v>1375.05</v>
          </cell>
          <cell r="N149">
            <v>0</v>
          </cell>
          <cell r="O149">
            <v>2</v>
          </cell>
          <cell r="P149">
            <v>0</v>
          </cell>
          <cell r="Q149">
            <v>23</v>
          </cell>
          <cell r="R149">
            <v>46</v>
          </cell>
          <cell r="S149"/>
          <cell r="T149">
            <v>2</v>
          </cell>
          <cell r="U149"/>
          <cell r="V149">
            <v>10.0625</v>
          </cell>
          <cell r="W149">
            <v>12.1875</v>
          </cell>
          <cell r="X149">
            <v>71</v>
          </cell>
          <cell r="Y149">
            <v>24.25</v>
          </cell>
          <cell r="Z149">
            <v>46.75</v>
          </cell>
          <cell r="AA149">
            <v>66928.702499999999</v>
          </cell>
          <cell r="AB149">
            <v>55.682382133995034</v>
          </cell>
        </row>
        <row r="150">
          <cell r="F150">
            <v>6903148355954</v>
          </cell>
          <cell r="G150">
            <v>6903148355954</v>
          </cell>
          <cell r="H150">
            <v>80878164</v>
          </cell>
          <cell r="I150" t="str">
            <v>好自在無痕早安褲 M-L 3片X16 WHP KOALA 8 Day PANTS L 3SX16-HKTW</v>
          </cell>
          <cell r="J150">
            <v>16</v>
          </cell>
          <cell r="K150">
            <v>78</v>
          </cell>
          <cell r="L150">
            <v>1431.63</v>
          </cell>
          <cell r="M150">
            <v>1375.05</v>
          </cell>
          <cell r="N150">
            <v>0</v>
          </cell>
          <cell r="O150">
            <v>2</v>
          </cell>
          <cell r="P150">
            <v>0</v>
          </cell>
          <cell r="Q150">
            <v>26</v>
          </cell>
          <cell r="R150">
            <v>12</v>
          </cell>
          <cell r="S150"/>
          <cell r="T150">
            <v>1.9375</v>
          </cell>
          <cell r="U150"/>
          <cell r="V150">
            <v>11.1875</v>
          </cell>
          <cell r="W150">
            <v>5.625</v>
          </cell>
          <cell r="X150">
            <v>40</v>
          </cell>
          <cell r="Y150">
            <v>18.75</v>
          </cell>
          <cell r="Z150">
            <v>21.25</v>
          </cell>
          <cell r="AA150">
            <v>30422.137500000001</v>
          </cell>
          <cell r="AB150">
            <v>54.838709677419352</v>
          </cell>
        </row>
        <row r="151">
          <cell r="F151">
            <v>6903148356982</v>
          </cell>
          <cell r="G151">
            <v>6903148356982</v>
          </cell>
          <cell r="H151">
            <v>80817371</v>
          </cell>
          <cell r="I151" t="str">
            <v>[DS]whisper 好自在 台灣公司貨 Air Dry 雲枕瞬吸衛生棉 日用量大加長, 32cm, 8片, 1包</v>
          </cell>
          <cell r="J151">
            <v>24</v>
          </cell>
          <cell r="K151">
            <v>54</v>
          </cell>
          <cell r="L151">
            <v>1366.48</v>
          </cell>
          <cell r="M151">
            <v>1311.36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30</v>
          </cell>
          <cell r="S151"/>
          <cell r="T151"/>
          <cell r="U151"/>
          <cell r="V151"/>
          <cell r="W151"/>
          <cell r="X151">
            <v>30</v>
          </cell>
          <cell r="Y151">
            <v>0</v>
          </cell>
          <cell r="Z151">
            <v>30</v>
          </cell>
          <cell r="AA151">
            <v>40994.400000000001</v>
          </cell>
          <cell r="AB151" t="e">
            <v>#DIV/0!</v>
          </cell>
        </row>
        <row r="152">
          <cell r="F152">
            <v>6903148356999</v>
          </cell>
          <cell r="G152">
            <v>6903148356999</v>
          </cell>
          <cell r="H152">
            <v>80817374</v>
          </cell>
          <cell r="I152" t="str">
            <v>[DS]whisper 好自在 台灣公司貨 Air Dry 雲枕瞬吸衛生棉 日用量大, 28cm, 10片, 1包</v>
          </cell>
          <cell r="J152">
            <v>24</v>
          </cell>
          <cell r="K152">
            <v>54</v>
          </cell>
          <cell r="L152">
            <v>1366.48</v>
          </cell>
          <cell r="M152">
            <v>1311.36</v>
          </cell>
          <cell r="N152">
            <v>26</v>
          </cell>
          <cell r="O152">
            <v>0</v>
          </cell>
          <cell r="P152">
            <v>0</v>
          </cell>
          <cell r="Q152">
            <v>0</v>
          </cell>
          <cell r="R152">
            <v>18</v>
          </cell>
          <cell r="S152">
            <v>0.75</v>
          </cell>
          <cell r="T152">
            <v>4.8750000000000009</v>
          </cell>
          <cell r="U152">
            <v>4.583333333333333</v>
          </cell>
          <cell r="V152">
            <v>5.666666666666667</v>
          </cell>
          <cell r="W152">
            <v>8.3333333333333321</v>
          </cell>
          <cell r="X152">
            <v>44</v>
          </cell>
          <cell r="Y152">
            <v>24.208333333333332</v>
          </cell>
          <cell r="Z152">
            <v>19.791666666666668</v>
          </cell>
          <cell r="AA152">
            <v>27044.916666666668</v>
          </cell>
          <cell r="AB152">
            <v>34.475806451612918</v>
          </cell>
        </row>
        <row r="153">
          <cell r="F153">
            <v>6903148357002</v>
          </cell>
          <cell r="G153">
            <v>6903148357002</v>
          </cell>
          <cell r="H153">
            <v>80841909</v>
          </cell>
          <cell r="I153" t="str">
            <v>[DS]whisper 好自在 台灣公司貨 Air Dry Fresh 草本健康衛生棉 日用量大, 28cm, 20片, 1袋</v>
          </cell>
          <cell r="J153">
            <v>12</v>
          </cell>
          <cell r="K153">
            <v>95.000000000000014</v>
          </cell>
          <cell r="L153">
            <v>1208.81</v>
          </cell>
          <cell r="M153">
            <v>1157.23</v>
          </cell>
          <cell r="N153">
            <v>29</v>
          </cell>
          <cell r="O153">
            <v>29</v>
          </cell>
          <cell r="P153">
            <v>0</v>
          </cell>
          <cell r="Q153">
            <v>0</v>
          </cell>
          <cell r="R153">
            <v>29</v>
          </cell>
          <cell r="S153">
            <v>2.8333333333333335</v>
          </cell>
          <cell r="T153">
            <v>14.166666666666664</v>
          </cell>
          <cell r="U153">
            <v>11.333333333333334</v>
          </cell>
          <cell r="V153">
            <v>16.25</v>
          </cell>
          <cell r="W153">
            <v>3.166666666666667</v>
          </cell>
          <cell r="X153">
            <v>87</v>
          </cell>
          <cell r="Y153">
            <v>47.749999999999993</v>
          </cell>
          <cell r="Z153">
            <v>39.250000000000007</v>
          </cell>
          <cell r="AA153">
            <v>47445.792500000003</v>
          </cell>
          <cell r="AB153">
            <v>179.92359932088286</v>
          </cell>
        </row>
        <row r="154">
          <cell r="F154">
            <v>6903148357019</v>
          </cell>
          <cell r="G154">
            <v>6903148357019</v>
          </cell>
          <cell r="H154">
            <v>80841912</v>
          </cell>
          <cell r="I154" t="str">
            <v>[DS]whisper 好自在 台灣公司貨 Air Dry Fresh 草本健康衛生棉 日用普通, 24cm, 10片, 1包</v>
          </cell>
          <cell r="J154">
            <v>24</v>
          </cell>
          <cell r="K154">
            <v>54</v>
          </cell>
          <cell r="L154">
            <v>1366.48</v>
          </cell>
          <cell r="M154">
            <v>1311.36</v>
          </cell>
          <cell r="N154">
            <v>12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7.0416666666666661</v>
          </cell>
          <cell r="T154">
            <v>4.625</v>
          </cell>
          <cell r="U154"/>
          <cell r="V154"/>
          <cell r="W154"/>
          <cell r="X154">
            <v>12</v>
          </cell>
          <cell r="Y154">
            <v>11.666666666666666</v>
          </cell>
          <cell r="Z154">
            <v>0.33333333333333393</v>
          </cell>
          <cell r="AA154">
            <v>455.49333333333414</v>
          </cell>
          <cell r="AB154" t="e">
            <v>#DIV/0!</v>
          </cell>
        </row>
        <row r="155">
          <cell r="F155">
            <v>6903148357026</v>
          </cell>
          <cell r="G155">
            <v>6903148357026</v>
          </cell>
          <cell r="H155">
            <v>80841911</v>
          </cell>
          <cell r="I155" t="str">
            <v>[DS]whisper 好自在 台灣公司貨 Air Dry Fresh 草本健康衛生棉 量大加長, 32cm, 8片, 1包</v>
          </cell>
          <cell r="J155">
            <v>24</v>
          </cell>
          <cell r="K155">
            <v>54</v>
          </cell>
          <cell r="L155">
            <v>1366.48</v>
          </cell>
          <cell r="M155">
            <v>1311.36</v>
          </cell>
          <cell r="N155">
            <v>6</v>
          </cell>
          <cell r="O155">
            <v>0</v>
          </cell>
          <cell r="P155">
            <v>0</v>
          </cell>
          <cell r="Q155">
            <v>0</v>
          </cell>
          <cell r="R155">
            <v>10</v>
          </cell>
          <cell r="S155"/>
          <cell r="T155">
            <v>0.41666666666666663</v>
          </cell>
          <cell r="U155">
            <v>0.58333333333333337</v>
          </cell>
          <cell r="V155">
            <v>1.9583333333333335</v>
          </cell>
          <cell r="W155">
            <v>3.0416666666666665</v>
          </cell>
          <cell r="X155">
            <v>16</v>
          </cell>
          <cell r="Y155">
            <v>6</v>
          </cell>
          <cell r="Z155">
            <v>10</v>
          </cell>
          <cell r="AA155">
            <v>13664.8</v>
          </cell>
          <cell r="AB155">
            <v>47.724259832081302</v>
          </cell>
        </row>
        <row r="156">
          <cell r="F156">
            <v>6903148357033</v>
          </cell>
          <cell r="G156">
            <v>6903148357033</v>
          </cell>
          <cell r="H156">
            <v>80841910</v>
          </cell>
          <cell r="I156" t="str">
            <v>[DS]whisper 好自在 台灣公司貨 Air Dry Fresh 草本健康衛生棉 日用量大, 28cm, 10片, 1包</v>
          </cell>
          <cell r="J156">
            <v>24</v>
          </cell>
          <cell r="K156">
            <v>54</v>
          </cell>
          <cell r="L156">
            <v>1366.48</v>
          </cell>
          <cell r="M156">
            <v>1311.36</v>
          </cell>
          <cell r="N156">
            <v>15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0.29166666666666663</v>
          </cell>
          <cell r="T156">
            <v>5</v>
          </cell>
          <cell r="U156">
            <v>1.7083333333333333</v>
          </cell>
          <cell r="V156">
            <v>1.625</v>
          </cell>
          <cell r="W156">
            <v>1.5833333333333335</v>
          </cell>
          <cell r="X156">
            <v>15</v>
          </cell>
          <cell r="Y156">
            <v>10.208333333333334</v>
          </cell>
          <cell r="Z156">
            <v>4.7916666666666661</v>
          </cell>
          <cell r="AA156">
            <v>6547.7166666666662</v>
          </cell>
          <cell r="AB156">
            <v>43.930390492359919</v>
          </cell>
        </row>
        <row r="157">
          <cell r="F157">
            <v>6903148357040</v>
          </cell>
          <cell r="G157">
            <v>6903148357040</v>
          </cell>
          <cell r="H157">
            <v>80841908</v>
          </cell>
          <cell r="I157" t="str">
            <v>[DS]whisper 好自在 台灣公司貨 Air Dry Fresh 草本健康衛生棉 日用普通, 24cm, 20片, 1袋</v>
          </cell>
          <cell r="J157">
            <v>12</v>
          </cell>
          <cell r="K157">
            <v>95.000000000000014</v>
          </cell>
          <cell r="L157">
            <v>1208.81</v>
          </cell>
          <cell r="M157">
            <v>1157.23</v>
          </cell>
          <cell r="N157">
            <v>23</v>
          </cell>
          <cell r="O157">
            <v>11</v>
          </cell>
          <cell r="P157">
            <v>0</v>
          </cell>
          <cell r="Q157">
            <v>0</v>
          </cell>
          <cell r="R157">
            <v>0</v>
          </cell>
          <cell r="S157">
            <v>5.4166666666666661</v>
          </cell>
          <cell r="T157">
            <v>15.25</v>
          </cell>
          <cell r="U157">
            <v>11.75</v>
          </cell>
          <cell r="V157"/>
          <cell r="W157"/>
          <cell r="X157">
            <v>34</v>
          </cell>
          <cell r="Y157">
            <v>32.416666666666664</v>
          </cell>
          <cell r="Z157">
            <v>1.5833333333333357</v>
          </cell>
          <cell r="AA157">
            <v>1913.9491666666695</v>
          </cell>
          <cell r="AB157" t="e">
            <v>#DIV/0!</v>
          </cell>
        </row>
        <row r="158">
          <cell r="F158">
            <v>4987176372314</v>
          </cell>
          <cell r="G158">
            <v>4987176372314</v>
          </cell>
          <cell r="H158"/>
          <cell r="I158" t="str">
            <v>[箱裝]whisper 好自在 無痕早安褲, 內褲型, M-L, 3片, 11包, 1組</v>
          </cell>
          <cell r="J158">
            <v>1</v>
          </cell>
          <cell r="K158">
            <v>853</v>
          </cell>
          <cell r="L158">
            <v>1015.44</v>
          </cell>
          <cell r="M158">
            <v>968.2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/>
          <cell r="T158"/>
          <cell r="U158"/>
          <cell r="V158"/>
          <cell r="W158"/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 t="e">
            <v>#DIV/0!</v>
          </cell>
        </row>
        <row r="159">
          <cell r="F159">
            <v>4987176372222</v>
          </cell>
          <cell r="G159">
            <v>4987176372222</v>
          </cell>
          <cell r="H159"/>
          <cell r="I159" t="str">
            <v>[箱裝]whisper 好自在 無痕早安褲, 內褲型, M-L, 3片, 6包, 1組</v>
          </cell>
          <cell r="J159">
            <v>1</v>
          </cell>
          <cell r="K159">
            <v>465</v>
          </cell>
          <cell r="L159">
            <v>507.72</v>
          </cell>
          <cell r="M159">
            <v>471.88</v>
          </cell>
          <cell r="N159">
            <v>0</v>
          </cell>
          <cell r="O159">
            <v>0</v>
          </cell>
          <cell r="P159">
            <v>0</v>
          </cell>
          <cell r="Q159">
            <v>354</v>
          </cell>
          <cell r="R159">
            <v>0</v>
          </cell>
          <cell r="S159"/>
          <cell r="T159"/>
          <cell r="U159"/>
          <cell r="V159">
            <v>7</v>
          </cell>
          <cell r="W159">
            <v>14</v>
          </cell>
          <cell r="X159">
            <v>354</v>
          </cell>
          <cell r="Y159">
            <v>21</v>
          </cell>
          <cell r="Z159">
            <v>333</v>
          </cell>
          <cell r="AA159">
            <v>169070.76</v>
          </cell>
          <cell r="AB159">
            <v>345.27649769585253</v>
          </cell>
        </row>
        <row r="160">
          <cell r="F160">
            <v>4987176372192</v>
          </cell>
          <cell r="G160">
            <v>4987176372192</v>
          </cell>
          <cell r="H160"/>
          <cell r="I160" t="str">
            <v>[箱裝]whisper 好自在 無痕奢柔褲, 內褲型,  M-L, 3片, 6包, 1組</v>
          </cell>
          <cell r="J160">
            <v>1</v>
          </cell>
          <cell r="K160">
            <v>465</v>
          </cell>
          <cell r="L160">
            <v>507.72</v>
          </cell>
          <cell r="M160">
            <v>471.88</v>
          </cell>
          <cell r="N160">
            <v>0</v>
          </cell>
          <cell r="O160">
            <v>0</v>
          </cell>
          <cell r="P160">
            <v>0</v>
          </cell>
          <cell r="Q160">
            <v>140</v>
          </cell>
          <cell r="R160">
            <v>0</v>
          </cell>
          <cell r="S160"/>
          <cell r="T160"/>
          <cell r="U160"/>
          <cell r="V160">
            <v>9</v>
          </cell>
          <cell r="W160">
            <v>40</v>
          </cell>
          <cell r="X160">
            <v>140</v>
          </cell>
          <cell r="Y160">
            <v>49</v>
          </cell>
          <cell r="Z160">
            <v>91</v>
          </cell>
          <cell r="AA160">
            <v>46202.520000000004</v>
          </cell>
          <cell r="AB160">
            <v>33.024193548387096</v>
          </cell>
        </row>
        <row r="161">
          <cell r="F161">
            <v>4987176372130</v>
          </cell>
          <cell r="G161">
            <v>4987176372130</v>
          </cell>
          <cell r="H161"/>
          <cell r="I161" t="str">
            <v>[箱裝]whisper 好自在 無痕奢柔褲, 內褲型,  XL, 3片, 6包, 1組</v>
          </cell>
          <cell r="J161">
            <v>1</v>
          </cell>
          <cell r="K161">
            <v>465</v>
          </cell>
          <cell r="L161">
            <v>507.72</v>
          </cell>
          <cell r="M161">
            <v>471.88</v>
          </cell>
          <cell r="N161">
            <v>0</v>
          </cell>
          <cell r="O161">
            <v>0</v>
          </cell>
          <cell r="P161">
            <v>0</v>
          </cell>
          <cell r="Q161">
            <v>154</v>
          </cell>
          <cell r="R161">
            <v>0</v>
          </cell>
          <cell r="S161"/>
          <cell r="T161"/>
          <cell r="U161"/>
          <cell r="V161">
            <v>9</v>
          </cell>
          <cell r="W161">
            <v>26</v>
          </cell>
          <cell r="X161">
            <v>154</v>
          </cell>
          <cell r="Y161">
            <v>35</v>
          </cell>
          <cell r="Z161">
            <v>119</v>
          </cell>
          <cell r="AA161">
            <v>60418.68</v>
          </cell>
          <cell r="AB161">
            <v>66.439205955334984</v>
          </cell>
        </row>
        <row r="162">
          <cell r="F162">
            <v>4987176372307</v>
          </cell>
          <cell r="G162">
            <v>4987176372307</v>
          </cell>
          <cell r="H162"/>
          <cell r="I162" t="str">
            <v>[箱裝]whisper 好自在 熊抱安睡褲, 內褲型, L, 8片, 3包, 1組</v>
          </cell>
          <cell r="J162">
            <v>1</v>
          </cell>
          <cell r="K162">
            <v>495</v>
          </cell>
          <cell r="L162">
            <v>507.72</v>
          </cell>
          <cell r="M162">
            <v>471.88</v>
          </cell>
          <cell r="N162">
            <v>0</v>
          </cell>
          <cell r="O162">
            <v>0</v>
          </cell>
          <cell r="P162">
            <v>431</v>
          </cell>
          <cell r="Q162">
            <v>200</v>
          </cell>
          <cell r="R162">
            <v>510</v>
          </cell>
          <cell r="S162"/>
          <cell r="T162"/>
          <cell r="U162">
            <v>118</v>
          </cell>
          <cell r="V162">
            <v>474</v>
          </cell>
          <cell r="W162">
            <v>114</v>
          </cell>
          <cell r="X162">
            <v>1141</v>
          </cell>
          <cell r="Y162">
            <v>706</v>
          </cell>
          <cell r="Z162">
            <v>435</v>
          </cell>
          <cell r="AA162">
            <v>220858.2</v>
          </cell>
          <cell r="AB162">
            <v>55.39049235993209</v>
          </cell>
        </row>
        <row r="163">
          <cell r="F163">
            <v>4987176372178</v>
          </cell>
          <cell r="G163">
            <v>4987176372178</v>
          </cell>
          <cell r="H163"/>
          <cell r="I163" t="str">
            <v>[箱裝]whisper 好自在 熊抱安睡褲, 內褲型, L, 44片, 1組</v>
          </cell>
          <cell r="J163">
            <v>1</v>
          </cell>
          <cell r="K163">
            <v>895</v>
          </cell>
          <cell r="L163">
            <v>1015.44</v>
          </cell>
          <cell r="M163">
            <v>968.2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/>
          <cell r="T163"/>
          <cell r="U163"/>
          <cell r="V163"/>
          <cell r="W163"/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 t="e">
            <v>#DIV/0!</v>
          </cell>
        </row>
        <row r="164">
          <cell r="F164">
            <v>4987176372062</v>
          </cell>
          <cell r="G164">
            <v>4987176372062</v>
          </cell>
          <cell r="H164"/>
          <cell r="I164" t="str">
            <v>[箱裝]whisper 好自在 熊抱安睡褲, 內褲型, M, 8片, 3包, 1組</v>
          </cell>
          <cell r="J164">
            <v>1</v>
          </cell>
          <cell r="K164">
            <v>495</v>
          </cell>
          <cell r="L164">
            <v>507.72</v>
          </cell>
          <cell r="M164">
            <v>471.88</v>
          </cell>
          <cell r="N164">
            <v>0</v>
          </cell>
          <cell r="O164">
            <v>0</v>
          </cell>
          <cell r="P164">
            <v>278</v>
          </cell>
          <cell r="Q164">
            <v>200</v>
          </cell>
          <cell r="R164">
            <v>227</v>
          </cell>
          <cell r="S164"/>
          <cell r="T164"/>
          <cell r="U164">
            <v>32</v>
          </cell>
          <cell r="V164">
            <v>213</v>
          </cell>
          <cell r="W164">
            <v>173</v>
          </cell>
          <cell r="X164">
            <v>705</v>
          </cell>
          <cell r="Y164">
            <v>418</v>
          </cell>
          <cell r="Z164">
            <v>287</v>
          </cell>
          <cell r="AA164">
            <v>145715.64000000001</v>
          </cell>
          <cell r="AB164">
            <v>24.081670706694016</v>
          </cell>
        </row>
        <row r="165">
          <cell r="F165">
            <v>4987176372253</v>
          </cell>
          <cell r="G165">
            <v>4987176372253</v>
          </cell>
          <cell r="H165"/>
          <cell r="I165" t="str">
            <v>[箱裝]whisper 好自在 熊抱安睡褲, 內褲型, M, 44片, 1組</v>
          </cell>
          <cell r="J165">
            <v>1</v>
          </cell>
          <cell r="K165">
            <v>895</v>
          </cell>
          <cell r="L165">
            <v>1015.44</v>
          </cell>
          <cell r="M165">
            <v>968.2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/>
          <cell r="T165"/>
          <cell r="U165"/>
          <cell r="V165"/>
          <cell r="W165"/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 t="e">
            <v>#DIV/0!</v>
          </cell>
        </row>
        <row r="166">
          <cell r="F166">
            <v>4987176372321</v>
          </cell>
          <cell r="G166">
            <v>4987176372321</v>
          </cell>
          <cell r="H166"/>
          <cell r="I166" t="str">
            <v>[箱裝]whisper 好自在 熊抱安睡褲, 內褲型, XL, 8片, 3包, 1組</v>
          </cell>
          <cell r="J166">
            <v>1</v>
          </cell>
          <cell r="K166">
            <v>495</v>
          </cell>
          <cell r="L166">
            <v>507.72</v>
          </cell>
          <cell r="M166">
            <v>471.88</v>
          </cell>
          <cell r="N166">
            <v>0</v>
          </cell>
          <cell r="O166">
            <v>0</v>
          </cell>
          <cell r="P166">
            <v>1138</v>
          </cell>
          <cell r="Q166">
            <v>284</v>
          </cell>
          <cell r="R166">
            <v>600</v>
          </cell>
          <cell r="S166"/>
          <cell r="T166"/>
          <cell r="U166">
            <v>140</v>
          </cell>
          <cell r="V166">
            <v>865</v>
          </cell>
          <cell r="W166">
            <v>280</v>
          </cell>
          <cell r="X166">
            <v>2022</v>
          </cell>
          <cell r="Y166">
            <v>1285</v>
          </cell>
          <cell r="Z166">
            <v>737</v>
          </cell>
          <cell r="AA166">
            <v>374189.64</v>
          </cell>
          <cell r="AB166">
            <v>38.208525345622114</v>
          </cell>
        </row>
        <row r="167">
          <cell r="F167">
            <v>4987176372277</v>
          </cell>
          <cell r="G167">
            <v>4987176372277</v>
          </cell>
          <cell r="H167"/>
          <cell r="I167" t="str">
            <v>[箱裝]whisper 好自在 熊抱安睡褲, 內褲型, XL, 44片, 1組</v>
          </cell>
          <cell r="J167">
            <v>1</v>
          </cell>
          <cell r="K167">
            <v>895</v>
          </cell>
          <cell r="L167">
            <v>1015.44</v>
          </cell>
          <cell r="M167">
            <v>968.2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/>
          <cell r="T167"/>
          <cell r="U167"/>
          <cell r="V167"/>
          <cell r="W167"/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 t="e">
            <v>#DIV/0!</v>
          </cell>
        </row>
        <row r="168">
          <cell r="F168">
            <v>4987176372109</v>
          </cell>
          <cell r="G168">
            <v>4987176372109</v>
          </cell>
          <cell r="H168"/>
          <cell r="I168" t="str">
            <v>[箱裝]whisper 好自在 液體衛生棉24cm 36片+清新淨味液體衛生棉24cm 18片, 1組</v>
          </cell>
          <cell r="J168">
            <v>1</v>
          </cell>
          <cell r="K168">
            <v>435</v>
          </cell>
          <cell r="L168">
            <v>507.72</v>
          </cell>
          <cell r="M168">
            <v>471.88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/>
          <cell r="T168"/>
          <cell r="U168"/>
          <cell r="V168"/>
          <cell r="W168"/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 t="e">
            <v>#DIV/0!</v>
          </cell>
        </row>
        <row r="169">
          <cell r="F169">
            <v>4987176372246</v>
          </cell>
          <cell r="G169">
            <v>4987176372246</v>
          </cell>
          <cell r="H169"/>
          <cell r="I169" t="str">
            <v>[箱裝]whisper 好自在 液體衛生棉27cm 32片+清新淨味液體衛生棉27cm 18片, 1組</v>
          </cell>
          <cell r="J169">
            <v>1</v>
          </cell>
          <cell r="K169">
            <v>435</v>
          </cell>
          <cell r="L169">
            <v>507.72</v>
          </cell>
          <cell r="M169">
            <v>471.88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/>
          <cell r="T169"/>
          <cell r="U169"/>
          <cell r="V169"/>
          <cell r="W169"/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 t="e">
            <v>#DIV/0!</v>
          </cell>
        </row>
        <row r="170">
          <cell r="F170">
            <v>4987176372260</v>
          </cell>
          <cell r="G170">
            <v>4987176372260</v>
          </cell>
          <cell r="H170"/>
          <cell r="I170" t="str">
            <v>[箱裝]whisper 好自在 液體衛生棉29.5cm 36片+清新淨味液體衛生棉31.7cm 18片, 1組</v>
          </cell>
          <cell r="J170">
            <v>1</v>
          </cell>
          <cell r="K170">
            <v>435</v>
          </cell>
          <cell r="L170">
            <v>507.72</v>
          </cell>
          <cell r="M170">
            <v>471.88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/>
          <cell r="T170"/>
          <cell r="U170"/>
          <cell r="V170"/>
          <cell r="W170"/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 t="e">
            <v>#DIV/0!</v>
          </cell>
        </row>
        <row r="171">
          <cell r="F171">
            <v>4987176372215</v>
          </cell>
          <cell r="G171">
            <v>4987176372215</v>
          </cell>
          <cell r="H171"/>
          <cell r="I171" t="str">
            <v>[箱裝]whisper 好自在 液體衛生棉34cm 30片+清新淨味液體衛生棉31.7cm 18片, 1組</v>
          </cell>
          <cell r="J171">
            <v>1</v>
          </cell>
          <cell r="K171">
            <v>435</v>
          </cell>
          <cell r="L171">
            <v>507.72</v>
          </cell>
          <cell r="M171">
            <v>471.88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/>
          <cell r="T171"/>
          <cell r="U171"/>
          <cell r="V171"/>
          <cell r="W171"/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 t="e">
            <v>#DIV/0!</v>
          </cell>
        </row>
        <row r="172">
          <cell r="F172">
            <v>6903148355923</v>
          </cell>
          <cell r="G172"/>
          <cell r="H172"/>
          <cell r="I172" t="str">
            <v>whisper 好自在 無痕早安褲, 內褲型, XL, 3片, 1包</v>
          </cell>
          <cell r="J172">
            <v>16</v>
          </cell>
          <cell r="K172">
            <v>78</v>
          </cell>
          <cell r="L172">
            <v>1431.63</v>
          </cell>
          <cell r="M172">
            <v>1375.0512000000001</v>
          </cell>
          <cell r="N172">
            <v>0</v>
          </cell>
          <cell r="O172">
            <v>0</v>
          </cell>
          <cell r="P172"/>
          <cell r="Q172">
            <v>1</v>
          </cell>
          <cell r="R172">
            <v>21</v>
          </cell>
          <cell r="S172"/>
          <cell r="T172"/>
          <cell r="U172"/>
          <cell r="V172"/>
          <cell r="W172"/>
          <cell r="X172">
            <v>22</v>
          </cell>
          <cell r="Y172">
            <v>0</v>
          </cell>
          <cell r="Z172">
            <v>22</v>
          </cell>
          <cell r="AA172">
            <v>31495.86</v>
          </cell>
          <cell r="AB172" t="e">
            <v>#DIV/0!</v>
          </cell>
        </row>
        <row r="173">
          <cell r="F173">
            <v>4987176373922</v>
          </cell>
          <cell r="G173"/>
          <cell r="H173"/>
          <cell r="I173" t="str">
            <v>Lenor 蘭諾 衣物芳香豆 甜花石榴香 補充包, 900ml, 1個</v>
          </cell>
          <cell r="J173">
            <v>8</v>
          </cell>
          <cell r="K173">
            <v>272</v>
          </cell>
          <cell r="L173">
            <v>2310.4</v>
          </cell>
          <cell r="M173">
            <v>2246.8000000000002</v>
          </cell>
          <cell r="N173"/>
          <cell r="O173"/>
          <cell r="P173">
            <v>3</v>
          </cell>
          <cell r="Q173">
            <v>89</v>
          </cell>
          <cell r="R173">
            <v>115</v>
          </cell>
          <cell r="S173"/>
          <cell r="T173"/>
          <cell r="U173">
            <v>1.375</v>
          </cell>
          <cell r="V173">
            <v>30.375</v>
          </cell>
          <cell r="W173">
            <v>29.75</v>
          </cell>
          <cell r="X173">
            <v>207</v>
          </cell>
          <cell r="Y173">
            <v>61.5</v>
          </cell>
          <cell r="Z173">
            <v>145.5</v>
          </cell>
          <cell r="AA173">
            <v>336163.2</v>
          </cell>
          <cell r="AB173">
            <v>70.994849552724318</v>
          </cell>
        </row>
        <row r="174">
          <cell r="F174">
            <v>4987176373939</v>
          </cell>
          <cell r="G174"/>
          <cell r="H174"/>
          <cell r="I174" t="str">
            <v>Lenor 蘭諾 衣物芳香豆 雪松梔子花 補充包, 900ml, 1個</v>
          </cell>
          <cell r="J174">
            <v>8</v>
          </cell>
          <cell r="K174">
            <v>272</v>
          </cell>
          <cell r="L174">
            <v>2310.4</v>
          </cell>
          <cell r="M174">
            <v>2246.8000000000002</v>
          </cell>
          <cell r="N174"/>
          <cell r="O174"/>
          <cell r="P174">
            <v>231</v>
          </cell>
          <cell r="Q174">
            <v>207</v>
          </cell>
          <cell r="R174">
            <v>142</v>
          </cell>
          <cell r="S174"/>
          <cell r="T174"/>
          <cell r="U174">
            <v>20.625</v>
          </cell>
          <cell r="V174">
            <v>249.125</v>
          </cell>
          <cell r="W174">
            <v>109.875</v>
          </cell>
          <cell r="X174">
            <v>580</v>
          </cell>
          <cell r="Y174">
            <v>379.625</v>
          </cell>
          <cell r="Z174">
            <v>200.375</v>
          </cell>
          <cell r="AA174">
            <v>462946.4</v>
          </cell>
          <cell r="AB174">
            <v>26.472531102058792</v>
          </cell>
        </row>
        <row r="175">
          <cell r="F175">
            <v>4987176373861</v>
          </cell>
          <cell r="G175"/>
          <cell r="H175"/>
          <cell r="I175" t="str">
            <v>Lenor 蘭諾 衣物芳香豆 清晨草木 補充包, 900ml, 1個</v>
          </cell>
          <cell r="J175">
            <v>8</v>
          </cell>
          <cell r="K175">
            <v>272</v>
          </cell>
          <cell r="L175">
            <v>2310.4</v>
          </cell>
          <cell r="M175">
            <v>2246.8000000000002</v>
          </cell>
          <cell r="N175"/>
          <cell r="O175"/>
          <cell r="P175">
            <v>225</v>
          </cell>
          <cell r="Q175">
            <v>92</v>
          </cell>
          <cell r="R175">
            <v>257</v>
          </cell>
          <cell r="S175"/>
          <cell r="T175"/>
          <cell r="U175">
            <v>12.875</v>
          </cell>
          <cell r="V175">
            <v>107.75</v>
          </cell>
          <cell r="W175">
            <v>49.125</v>
          </cell>
          <cell r="X175">
            <v>574</v>
          </cell>
          <cell r="Y175">
            <v>169.75</v>
          </cell>
          <cell r="Z175">
            <v>404.25</v>
          </cell>
          <cell r="AA175">
            <v>933979.20000000007</v>
          </cell>
          <cell r="AB175">
            <v>119.4533366165969</v>
          </cell>
        </row>
        <row r="176">
          <cell r="F176">
            <v>4987176373878</v>
          </cell>
          <cell r="G176"/>
          <cell r="H176"/>
          <cell r="I176" t="str">
            <v>Lenor 蘭諾 衣物芳香豆 青檸紫羅蘭 補充包, 900ml, 1個</v>
          </cell>
          <cell r="J176">
            <v>8</v>
          </cell>
          <cell r="K176">
            <v>272</v>
          </cell>
          <cell r="L176">
            <v>2310.4</v>
          </cell>
          <cell r="M176">
            <v>2246.8000000000002</v>
          </cell>
          <cell r="N176"/>
          <cell r="O176"/>
          <cell r="P176">
            <v>2</v>
          </cell>
          <cell r="Q176">
            <v>48</v>
          </cell>
          <cell r="R176">
            <v>91</v>
          </cell>
          <cell r="S176"/>
          <cell r="T176"/>
          <cell r="U176">
            <v>0.25</v>
          </cell>
          <cell r="V176">
            <v>16.875</v>
          </cell>
          <cell r="W176">
            <v>17.75</v>
          </cell>
          <cell r="X176">
            <v>141</v>
          </cell>
          <cell r="Y176">
            <v>34.875</v>
          </cell>
          <cell r="Z176">
            <v>106.125</v>
          </cell>
          <cell r="AA176">
            <v>245191.2</v>
          </cell>
          <cell r="AB176">
            <v>86.790095411176722</v>
          </cell>
        </row>
        <row r="177">
          <cell r="F177">
            <v>4987176373892</v>
          </cell>
          <cell r="G177"/>
          <cell r="H177"/>
          <cell r="I177" t="str">
            <v>Lenor 蘭諾 衣物芳香豆 甜柔麝香 補充包, 900ml, 1個</v>
          </cell>
          <cell r="J177">
            <v>8</v>
          </cell>
          <cell r="K177">
            <v>272</v>
          </cell>
          <cell r="L177">
            <v>2310.4</v>
          </cell>
          <cell r="M177">
            <v>2246.8000000000002</v>
          </cell>
          <cell r="N177"/>
          <cell r="O177"/>
          <cell r="P177">
            <v>188</v>
          </cell>
          <cell r="Q177">
            <v>120</v>
          </cell>
          <cell r="R177">
            <v>120</v>
          </cell>
          <cell r="S177"/>
          <cell r="T177"/>
          <cell r="U177">
            <v>10</v>
          </cell>
          <cell r="V177">
            <v>147.875</v>
          </cell>
          <cell r="W177">
            <v>62.625</v>
          </cell>
          <cell r="X177">
            <v>428</v>
          </cell>
          <cell r="Y177">
            <v>220.5</v>
          </cell>
          <cell r="Z177">
            <v>207.5</v>
          </cell>
          <cell r="AA177">
            <v>479408</v>
          </cell>
          <cell r="AB177">
            <v>48.09735367973731</v>
          </cell>
        </row>
        <row r="178">
          <cell r="F178">
            <v>14987176373936</v>
          </cell>
          <cell r="G178"/>
          <cell r="H178"/>
          <cell r="I178" t="str">
            <v>[箱裝]Lenor 蘭諾 衣物芳香豆 雪松梔子花 補充包, 900ml, 8個</v>
          </cell>
          <cell r="J178">
            <v>1</v>
          </cell>
          <cell r="K178">
            <v>2176</v>
          </cell>
          <cell r="L178">
            <v>2310.4</v>
          </cell>
          <cell r="M178">
            <v>2246.8000000000002</v>
          </cell>
          <cell r="N178"/>
          <cell r="O178"/>
          <cell r="P178">
            <v>0</v>
          </cell>
          <cell r="Q178"/>
          <cell r="R178"/>
          <cell r="S178"/>
          <cell r="T178"/>
          <cell r="U178"/>
          <cell r="V178"/>
          <cell r="W178"/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 t="e">
            <v>#DIV/0!</v>
          </cell>
        </row>
        <row r="179">
          <cell r="F179">
            <v>14987176373929</v>
          </cell>
          <cell r="G179"/>
          <cell r="H179"/>
          <cell r="I179" t="str">
            <v>[箱裝]Lenor 蘭諾 衣物芳香豆 甜花石榴香 補充包, 900ml, 8個</v>
          </cell>
          <cell r="J179">
            <v>1</v>
          </cell>
          <cell r="K179">
            <v>2176</v>
          </cell>
          <cell r="L179">
            <v>2310.4</v>
          </cell>
          <cell r="M179">
            <v>2246.8000000000002</v>
          </cell>
          <cell r="N179"/>
          <cell r="O179"/>
          <cell r="P179">
            <v>0</v>
          </cell>
          <cell r="Q179"/>
          <cell r="R179"/>
          <cell r="S179"/>
          <cell r="T179"/>
          <cell r="U179"/>
          <cell r="V179"/>
          <cell r="W179"/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 t="e">
            <v>#DIV/0!</v>
          </cell>
        </row>
        <row r="180">
          <cell r="F180">
            <v>14987176373868</v>
          </cell>
          <cell r="G180"/>
          <cell r="H180"/>
          <cell r="I180" t="str">
            <v>[箱裝]Lenor 蘭諾 衣物芳香豆 清晨草木 補充包, 900ml, 8個</v>
          </cell>
          <cell r="J180">
            <v>1</v>
          </cell>
          <cell r="K180">
            <v>2176</v>
          </cell>
          <cell r="L180">
            <v>2310.4</v>
          </cell>
          <cell r="M180">
            <v>2246.8000000000002</v>
          </cell>
          <cell r="N180"/>
          <cell r="O180"/>
          <cell r="P180">
            <v>0</v>
          </cell>
          <cell r="Q180"/>
          <cell r="R180"/>
          <cell r="S180"/>
          <cell r="T180"/>
          <cell r="U180"/>
          <cell r="V180"/>
          <cell r="W180"/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 t="e">
            <v>#DIV/0!</v>
          </cell>
        </row>
        <row r="181">
          <cell r="F181">
            <v>14987176373875</v>
          </cell>
          <cell r="G181"/>
          <cell r="H181"/>
          <cell r="I181" t="str">
            <v>[箱裝]Lenor 蘭諾 衣物芳香豆 青檸紫羅蘭 補充包, 900ml, 8個</v>
          </cell>
          <cell r="J181">
            <v>1</v>
          </cell>
          <cell r="K181">
            <v>2176</v>
          </cell>
          <cell r="L181">
            <v>2310.4</v>
          </cell>
          <cell r="M181">
            <v>2246.8000000000002</v>
          </cell>
          <cell r="N181"/>
          <cell r="O181"/>
          <cell r="P181">
            <v>0</v>
          </cell>
          <cell r="Q181"/>
          <cell r="R181"/>
          <cell r="S181"/>
          <cell r="T181"/>
          <cell r="U181"/>
          <cell r="V181"/>
          <cell r="W181"/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 t="e">
            <v>#DIV/0!</v>
          </cell>
        </row>
        <row r="182">
          <cell r="F182">
            <v>14987176373899</v>
          </cell>
          <cell r="G182"/>
          <cell r="H182"/>
          <cell r="I182" t="str">
            <v>[箱裝]Lenor 蘭諾 衣物芳香豆 甜柔麝香 補充包, 900ml, 8個</v>
          </cell>
          <cell r="J182">
            <v>1</v>
          </cell>
          <cell r="K182">
            <v>2176</v>
          </cell>
          <cell r="L182">
            <v>2310.4</v>
          </cell>
          <cell r="M182">
            <v>2246.8000000000002</v>
          </cell>
          <cell r="N182"/>
          <cell r="O182"/>
          <cell r="P182">
            <v>0</v>
          </cell>
          <cell r="Q182"/>
          <cell r="R182"/>
          <cell r="S182"/>
          <cell r="T182"/>
          <cell r="U182"/>
          <cell r="V182"/>
          <cell r="W182"/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 t="e">
            <v>#DIV/0!</v>
          </cell>
        </row>
        <row r="183">
          <cell r="F183">
            <v>4987176373885</v>
          </cell>
          <cell r="G183"/>
          <cell r="H183"/>
          <cell r="I183" t="str">
            <v>Lenor 蘭諾 衣物芳香豆 運動衣物抗臭 補充包, 880ml, 1個</v>
          </cell>
          <cell r="J183">
            <v>8</v>
          </cell>
          <cell r="K183">
            <v>272</v>
          </cell>
          <cell r="L183">
            <v>2310.4</v>
          </cell>
          <cell r="M183">
            <v>2246.8000000000002</v>
          </cell>
          <cell r="N183"/>
          <cell r="O183"/>
          <cell r="P183">
            <v>193</v>
          </cell>
          <cell r="Q183">
            <v>169</v>
          </cell>
          <cell r="R183">
            <v>49</v>
          </cell>
          <cell r="S183"/>
          <cell r="T183"/>
          <cell r="U183">
            <v>10.75</v>
          </cell>
          <cell r="V183">
            <v>114.375</v>
          </cell>
          <cell r="W183">
            <v>53.25</v>
          </cell>
          <cell r="X183">
            <v>411</v>
          </cell>
          <cell r="Y183">
            <v>178.375</v>
          </cell>
          <cell r="Z183">
            <v>232.625</v>
          </cell>
          <cell r="AA183">
            <v>537456.80000000005</v>
          </cell>
          <cell r="AB183">
            <v>63.414357110404367</v>
          </cell>
        </row>
        <row r="184">
          <cell r="F184">
            <v>4987176373915</v>
          </cell>
          <cell r="G184"/>
          <cell r="H184"/>
          <cell r="I184" t="str">
            <v>Lenor 蘭諾 衣物芳香豆 潮濕天氣抗臭 補充包, 880ml, 1個</v>
          </cell>
          <cell r="J184">
            <v>8</v>
          </cell>
          <cell r="K184">
            <v>272</v>
          </cell>
          <cell r="L184">
            <v>2310.4</v>
          </cell>
          <cell r="M184">
            <v>2246.8000000000002</v>
          </cell>
          <cell r="N184"/>
          <cell r="O184"/>
          <cell r="P184">
            <v>232</v>
          </cell>
          <cell r="Q184">
            <v>0</v>
          </cell>
          <cell r="R184">
            <v>73</v>
          </cell>
          <cell r="S184"/>
          <cell r="T184"/>
          <cell r="U184">
            <v>1</v>
          </cell>
          <cell r="V184">
            <v>34.125</v>
          </cell>
          <cell r="W184">
            <v>19.25</v>
          </cell>
          <cell r="X184">
            <v>305</v>
          </cell>
          <cell r="Y184">
            <v>54.375</v>
          </cell>
          <cell r="Z184">
            <v>250.625</v>
          </cell>
          <cell r="AA184">
            <v>579044</v>
          </cell>
          <cell r="AB184">
            <v>188.99245915374945</v>
          </cell>
        </row>
        <row r="185">
          <cell r="F185">
            <v>14987176373882</v>
          </cell>
          <cell r="G185"/>
          <cell r="H185"/>
          <cell r="I185" t="str">
            <v>[箱裝]Lenor 蘭諾 衣物芳香豆 運動衣物抗臭 補充包, 880ml, 8個</v>
          </cell>
          <cell r="J185">
            <v>1</v>
          </cell>
          <cell r="K185">
            <v>2176</v>
          </cell>
          <cell r="L185">
            <v>2310.4</v>
          </cell>
          <cell r="M185">
            <v>2246.8000000000002</v>
          </cell>
          <cell r="N185"/>
          <cell r="O185"/>
          <cell r="P185">
            <v>0</v>
          </cell>
          <cell r="Q185"/>
          <cell r="R185"/>
          <cell r="S185"/>
          <cell r="T185"/>
          <cell r="U185"/>
          <cell r="V185"/>
          <cell r="W185"/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 t="e">
            <v>#DIV/0!</v>
          </cell>
        </row>
        <row r="186">
          <cell r="F186">
            <v>14987176373912</v>
          </cell>
          <cell r="G186"/>
          <cell r="H186"/>
          <cell r="I186" t="str">
            <v>[箱裝]Lenor 蘭諾 衣物芳香豆 潮濕天氣抗臭 補充包, 880ml, 8個</v>
          </cell>
          <cell r="J186">
            <v>1</v>
          </cell>
          <cell r="K186">
            <v>2176</v>
          </cell>
          <cell r="L186">
            <v>2310.4</v>
          </cell>
          <cell r="M186">
            <v>2246.8000000000002</v>
          </cell>
          <cell r="N186"/>
          <cell r="O186"/>
          <cell r="P186">
            <v>0</v>
          </cell>
          <cell r="Q186"/>
          <cell r="R186"/>
          <cell r="S186"/>
          <cell r="T186"/>
          <cell r="U186"/>
          <cell r="V186"/>
          <cell r="W186"/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 t="e">
            <v>#DIV/0!</v>
          </cell>
        </row>
        <row r="187">
          <cell r="F187">
            <v>4987176373908</v>
          </cell>
          <cell r="G187"/>
          <cell r="H187"/>
          <cell r="I187" t="str">
            <v>Lenor 蘭諾 衣物芳香豆 淨白純棉 補充包, 940ml, 1個</v>
          </cell>
          <cell r="J187">
            <v>8</v>
          </cell>
          <cell r="K187">
            <v>272</v>
          </cell>
          <cell r="L187">
            <v>2310.4</v>
          </cell>
          <cell r="M187">
            <v>2246.8000000000002</v>
          </cell>
          <cell r="N187"/>
          <cell r="O187"/>
          <cell r="P187">
            <v>49</v>
          </cell>
          <cell r="Q187">
            <v>80</v>
          </cell>
          <cell r="R187">
            <v>50</v>
          </cell>
          <cell r="S187"/>
          <cell r="T187"/>
          <cell r="U187">
            <v>3.125</v>
          </cell>
          <cell r="V187">
            <v>58.75</v>
          </cell>
          <cell r="W187">
            <v>22.75</v>
          </cell>
          <cell r="X187">
            <v>179</v>
          </cell>
          <cell r="Y187">
            <v>84.625</v>
          </cell>
          <cell r="Z187">
            <v>94.375</v>
          </cell>
          <cell r="AA187">
            <v>218044</v>
          </cell>
          <cell r="AB187">
            <v>60.218007798652962</v>
          </cell>
        </row>
        <row r="188">
          <cell r="F188">
            <v>4987176373854</v>
          </cell>
          <cell r="G188"/>
          <cell r="H188"/>
          <cell r="I188" t="str">
            <v>Lenor 蘭諾 衣物芳香豆 春暖晨露 補充包, 940ml, 1個</v>
          </cell>
          <cell r="J188">
            <v>8</v>
          </cell>
          <cell r="K188">
            <v>272</v>
          </cell>
          <cell r="L188">
            <v>2310.4</v>
          </cell>
          <cell r="M188">
            <v>2246.8000000000002</v>
          </cell>
          <cell r="N188"/>
          <cell r="O188"/>
          <cell r="P188">
            <v>33</v>
          </cell>
          <cell r="Q188">
            <v>78</v>
          </cell>
          <cell r="R188">
            <v>45</v>
          </cell>
          <cell r="S188"/>
          <cell r="T188"/>
          <cell r="U188">
            <v>4.375</v>
          </cell>
          <cell r="V188">
            <v>48.75</v>
          </cell>
          <cell r="W188">
            <v>16.625</v>
          </cell>
          <cell r="X188">
            <v>156</v>
          </cell>
          <cell r="Y188">
            <v>69.75</v>
          </cell>
          <cell r="Z188">
            <v>86.25</v>
          </cell>
          <cell r="AA188">
            <v>199272</v>
          </cell>
          <cell r="AB188">
            <v>75.309240844045604</v>
          </cell>
        </row>
        <row r="189">
          <cell r="F189">
            <v>14987176373851</v>
          </cell>
          <cell r="G189"/>
          <cell r="H189"/>
          <cell r="I189" t="str">
            <v>[箱裝]Lenor 蘭諾 衣物芳香豆 春暖晨露 補充包, 940ml, 8個</v>
          </cell>
          <cell r="J189">
            <v>1</v>
          </cell>
          <cell r="K189">
            <v>2176</v>
          </cell>
          <cell r="L189">
            <v>2310.4</v>
          </cell>
          <cell r="M189">
            <v>2246.8000000000002</v>
          </cell>
          <cell r="N189"/>
          <cell r="O189"/>
          <cell r="P189">
            <v>0</v>
          </cell>
          <cell r="Q189"/>
          <cell r="R189"/>
          <cell r="S189"/>
          <cell r="T189"/>
          <cell r="U189"/>
          <cell r="V189"/>
          <cell r="W189"/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 t="e">
            <v>#DIV/0!</v>
          </cell>
        </row>
        <row r="190">
          <cell r="F190">
            <v>14987176373905</v>
          </cell>
          <cell r="G190"/>
          <cell r="H190"/>
          <cell r="I190" t="str">
            <v>[箱裝]Lenor 蘭諾 衣物芳香豆 淨白純棉 補充包, 940ml, 8個</v>
          </cell>
          <cell r="J190">
            <v>1</v>
          </cell>
          <cell r="K190">
            <v>2176</v>
          </cell>
          <cell r="L190">
            <v>2310.4</v>
          </cell>
          <cell r="M190">
            <v>2246.8000000000002</v>
          </cell>
          <cell r="N190"/>
          <cell r="O190"/>
          <cell r="P190">
            <v>0</v>
          </cell>
          <cell r="Q190"/>
          <cell r="R190"/>
          <cell r="S190"/>
          <cell r="T190"/>
          <cell r="U190"/>
          <cell r="V190"/>
          <cell r="W190"/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 t="e">
            <v>#DIV/0!</v>
          </cell>
        </row>
        <row r="191">
          <cell r="F191">
            <v>4987176280800</v>
          </cell>
          <cell r="G191"/>
          <cell r="H191"/>
          <cell r="I191" t="str">
            <v>[DS]ARIEL 台灣公司貨 4D抗菌洗衣膠囊補充包 抗菌去漬型, 64顆, 1袋</v>
          </cell>
          <cell r="J191">
            <v>4</v>
          </cell>
          <cell r="K191"/>
          <cell r="L191">
            <v>1746.4</v>
          </cell>
          <cell r="M191"/>
          <cell r="N191"/>
          <cell r="O191"/>
          <cell r="P191"/>
          <cell r="Q191"/>
          <cell r="R191"/>
          <cell r="S191"/>
          <cell r="T191"/>
          <cell r="U191">
            <v>0.25</v>
          </cell>
          <cell r="V191"/>
          <cell r="W191"/>
          <cell r="X191">
            <v>0</v>
          </cell>
          <cell r="Y191">
            <v>0.25</v>
          </cell>
          <cell r="Z191"/>
          <cell r="AA191">
            <v>0</v>
          </cell>
          <cell r="AB191" t="e">
            <v>#DIV/0!</v>
          </cell>
        </row>
        <row r="192">
          <cell r="F192">
            <v>4987176283856</v>
          </cell>
          <cell r="G192"/>
          <cell r="H192"/>
          <cell r="I192" t="str">
            <v>[DS]ARIEL 台灣公司貨 超濃縮 新升級 抗菌洗衣精補充包, 室內晾衣型, 1690g, 1包</v>
          </cell>
          <cell r="J192">
            <v>6</v>
          </cell>
          <cell r="K192">
            <v>193</v>
          </cell>
          <cell r="L192">
            <v>1283.4000000000001</v>
          </cell>
          <cell r="M192">
            <v>1242.8599999999999</v>
          </cell>
          <cell r="N192"/>
          <cell r="O192"/>
          <cell r="P192"/>
          <cell r="Q192"/>
          <cell r="R192"/>
          <cell r="S192"/>
          <cell r="T192"/>
          <cell r="U192">
            <v>0.83333333333333337</v>
          </cell>
          <cell r="V192">
            <v>1.3333333333333333</v>
          </cell>
          <cell r="W192">
            <v>0.33333333333333331</v>
          </cell>
          <cell r="X192">
            <v>0</v>
          </cell>
          <cell r="Y192">
            <v>2.5</v>
          </cell>
          <cell r="Z192"/>
          <cell r="AA192">
            <v>0</v>
          </cell>
          <cell r="AB192">
            <v>0</v>
          </cell>
        </row>
        <row r="193">
          <cell r="F193">
            <v>4987176283788</v>
          </cell>
          <cell r="G193"/>
          <cell r="H193"/>
          <cell r="I193" t="str">
            <v>[DS]ARIEL 台灣公司貨 超濃縮 新升級 抗菌洗衣精補充包, 自然微香型, 1690g, 1包</v>
          </cell>
          <cell r="J193">
            <v>6</v>
          </cell>
          <cell r="K193">
            <v>193</v>
          </cell>
          <cell r="L193">
            <v>1283.4000000000001</v>
          </cell>
          <cell r="M193">
            <v>1242.8599999999999</v>
          </cell>
          <cell r="N193"/>
          <cell r="O193"/>
          <cell r="P193"/>
          <cell r="Q193"/>
          <cell r="R193"/>
          <cell r="S193"/>
          <cell r="T193"/>
          <cell r="U193">
            <v>0.16666666666666666</v>
          </cell>
          <cell r="V193"/>
          <cell r="W193"/>
          <cell r="X193">
            <v>0</v>
          </cell>
          <cell r="Y193">
            <v>0.16666666666666666</v>
          </cell>
          <cell r="Z193"/>
          <cell r="AA193">
            <v>0</v>
          </cell>
          <cell r="AB193" t="e">
            <v>#DIV/0!</v>
          </cell>
        </row>
        <row r="194">
          <cell r="F194">
            <v>4987176148858</v>
          </cell>
          <cell r="G194"/>
          <cell r="H194"/>
          <cell r="I194" t="str">
            <v>[DS]Lenor 蘭諾 台灣公司貨 衣物芳香抗菌豆 補充包 清爽海洋香, 430ml, 1包</v>
          </cell>
          <cell r="J194">
            <v>10</v>
          </cell>
          <cell r="K194"/>
          <cell r="L194">
            <v>1463</v>
          </cell>
          <cell r="M194"/>
          <cell r="N194"/>
          <cell r="O194"/>
          <cell r="P194"/>
          <cell r="Q194"/>
          <cell r="R194"/>
          <cell r="S194"/>
          <cell r="T194"/>
          <cell r="U194">
            <v>1</v>
          </cell>
          <cell r="V194"/>
          <cell r="W194"/>
          <cell r="X194">
            <v>0</v>
          </cell>
          <cell r="Y194">
            <v>1</v>
          </cell>
          <cell r="Z194"/>
          <cell r="AA194">
            <v>0</v>
          </cell>
          <cell r="AB194" t="e">
            <v>#DIV/0!</v>
          </cell>
        </row>
        <row r="195">
          <cell r="F195">
            <v>4987176116093</v>
          </cell>
          <cell r="G195"/>
          <cell r="H195"/>
          <cell r="I195" t="str">
            <v>[DS]Lenor 蘭諾 衣物芳香豆 補充包 清晨草木, 455ml, 1包</v>
          </cell>
          <cell r="J195">
            <v>10</v>
          </cell>
          <cell r="K195"/>
          <cell r="L195">
            <v>1365</v>
          </cell>
          <cell r="M195"/>
          <cell r="N195"/>
          <cell r="O195"/>
          <cell r="P195"/>
          <cell r="Q195"/>
          <cell r="R195"/>
          <cell r="S195"/>
          <cell r="T195"/>
          <cell r="U195">
            <v>0.7</v>
          </cell>
          <cell r="V195">
            <v>0.2</v>
          </cell>
          <cell r="W195"/>
          <cell r="X195">
            <v>0</v>
          </cell>
          <cell r="Y195">
            <v>0.89999999999999991</v>
          </cell>
          <cell r="Z195"/>
          <cell r="AA195">
            <v>0</v>
          </cell>
          <cell r="AB195" t="e">
            <v>#DIV/0!</v>
          </cell>
        </row>
        <row r="196">
          <cell r="F196">
            <v>4987176116024</v>
          </cell>
          <cell r="G196"/>
          <cell r="H196"/>
          <cell r="I196" t="str">
            <v>[DS]Lenor 蘭諾 台灣公司貨 衣物芳香豆晨曦玫瑰, 520ml,, 1瓶</v>
          </cell>
          <cell r="J196">
            <v>6</v>
          </cell>
          <cell r="K196"/>
          <cell r="L196">
            <v>1230</v>
          </cell>
          <cell r="M196"/>
          <cell r="N196"/>
          <cell r="O196"/>
          <cell r="P196"/>
          <cell r="Q196"/>
          <cell r="R196"/>
          <cell r="S196"/>
          <cell r="T196"/>
          <cell r="U196">
            <v>1.6666666666666667</v>
          </cell>
          <cell r="V196">
            <v>-0.66666666666666663</v>
          </cell>
          <cell r="W196"/>
          <cell r="X196">
            <v>0</v>
          </cell>
          <cell r="Y196">
            <v>1</v>
          </cell>
          <cell r="Z196"/>
          <cell r="AA196">
            <v>0</v>
          </cell>
          <cell r="AB196" t="e">
            <v>#DIV/0!</v>
          </cell>
        </row>
        <row r="197">
          <cell r="F197">
            <v>4987176148841</v>
          </cell>
          <cell r="G197"/>
          <cell r="H197"/>
          <cell r="I197" t="str">
            <v>[DS]Lenor 蘭諾 台灣公司貨 衣物芳香抗菌豆, 陽光森林香, 490ml, 1瓶</v>
          </cell>
          <cell r="J197">
            <v>6</v>
          </cell>
          <cell r="K197"/>
          <cell r="L197">
            <v>1230</v>
          </cell>
          <cell r="M197"/>
          <cell r="N197"/>
          <cell r="O197"/>
          <cell r="P197"/>
          <cell r="Q197"/>
          <cell r="R197"/>
          <cell r="S197"/>
          <cell r="T197"/>
          <cell r="U197">
            <v>0.16666666666666666</v>
          </cell>
          <cell r="V197"/>
          <cell r="W197"/>
          <cell r="X197">
            <v>0</v>
          </cell>
          <cell r="Y197">
            <v>0.16666666666666666</v>
          </cell>
          <cell r="Z197"/>
          <cell r="AA197">
            <v>0</v>
          </cell>
          <cell r="AB197" t="e">
            <v>#DIV/0!</v>
          </cell>
        </row>
        <row r="198">
          <cell r="F198">
            <v>16903148358341</v>
          </cell>
          <cell r="G198"/>
          <cell r="H198"/>
          <cell r="I198" t="str">
            <v>[箱裝][DS]Pampers 幫寶適 原廠公司貨 史上最強一級幫散熱拉拉褲/尿布, XL, 12~17kg, 108片_夏日散熱不悶汗 (極上守護)</v>
          </cell>
          <cell r="J198">
            <v>1</v>
          </cell>
          <cell r="K198"/>
          <cell r="L198">
            <v>1231</v>
          </cell>
          <cell r="M198"/>
          <cell r="N198"/>
          <cell r="O198"/>
          <cell r="P198"/>
          <cell r="Q198"/>
          <cell r="R198"/>
          <cell r="S198"/>
          <cell r="T198"/>
          <cell r="U198">
            <v>4</v>
          </cell>
          <cell r="V198">
            <v>1</v>
          </cell>
          <cell r="W198"/>
          <cell r="X198">
            <v>0</v>
          </cell>
          <cell r="Y198">
            <v>5</v>
          </cell>
          <cell r="Z198"/>
          <cell r="AA198">
            <v>0</v>
          </cell>
          <cell r="AB198" t="e">
            <v>#DIV/0!</v>
          </cell>
        </row>
        <row r="199">
          <cell r="F199">
            <v>16903148358068</v>
          </cell>
          <cell r="G199"/>
          <cell r="H199"/>
          <cell r="I199" t="str">
            <v>[箱裝][DS]Pampers 幫寶適 原廠公司貨 史上最強一級幫黏貼型護膚尿布/紙尿褲, M, 6~11kg, 156片_夏日遠離紅屁屁 (極上守護)</v>
          </cell>
          <cell r="J199">
            <v>1</v>
          </cell>
          <cell r="K199"/>
          <cell r="L199">
            <v>1239</v>
          </cell>
          <cell r="M199"/>
          <cell r="N199"/>
          <cell r="O199"/>
          <cell r="P199"/>
          <cell r="Q199">
            <v>0</v>
          </cell>
          <cell r="R199">
            <v>0</v>
          </cell>
          <cell r="S199"/>
          <cell r="T199"/>
          <cell r="U199">
            <v>8</v>
          </cell>
          <cell r="V199">
            <v>2</v>
          </cell>
          <cell r="W199"/>
          <cell r="X199">
            <v>0</v>
          </cell>
          <cell r="Y199">
            <v>10</v>
          </cell>
          <cell r="Z199"/>
          <cell r="AA199">
            <v>0</v>
          </cell>
          <cell r="AB199" t="e">
            <v>#DIV/0!</v>
          </cell>
        </row>
        <row r="200">
          <cell r="F200">
            <v>14902430746004</v>
          </cell>
          <cell r="G200"/>
          <cell r="H200"/>
          <cell r="I200" t="str">
            <v>[DS][箱裝]Pampers 幫寶適 原廠公司貨 2023版一級幫黏貼型尿布, L (9~14kg), 168片, 1箱</v>
          </cell>
          <cell r="J200">
            <v>1</v>
          </cell>
          <cell r="K200"/>
          <cell r="L200">
            <v>1789.61</v>
          </cell>
          <cell r="M200"/>
          <cell r="N200"/>
          <cell r="O200"/>
          <cell r="P200"/>
          <cell r="Q200"/>
          <cell r="R200"/>
          <cell r="S200"/>
          <cell r="T200"/>
          <cell r="U200">
            <v>1</v>
          </cell>
          <cell r="V200"/>
          <cell r="W200"/>
          <cell r="X200">
            <v>0</v>
          </cell>
          <cell r="Y200">
            <v>1</v>
          </cell>
          <cell r="Z200"/>
          <cell r="AA200">
            <v>0</v>
          </cell>
          <cell r="AB200" t="e">
            <v>#DIV/0!</v>
          </cell>
        </row>
        <row r="201">
          <cell r="F201">
            <v>4987176179234</v>
          </cell>
          <cell r="G201"/>
          <cell r="H201"/>
          <cell r="I201" t="str">
            <v>[DS]whisper 好自在 原廠公司貨 INFINITY 液體衛生棉, 量多日用型, 27cm, 10片, 1包</v>
          </cell>
          <cell r="J201">
            <v>12</v>
          </cell>
          <cell r="K201"/>
          <cell r="L201">
            <v>1208.8800000000001</v>
          </cell>
          <cell r="M201"/>
          <cell r="N201"/>
          <cell r="O201"/>
          <cell r="P201"/>
          <cell r="Q201"/>
          <cell r="R201"/>
          <cell r="S201"/>
          <cell r="T201"/>
          <cell r="U201">
            <v>11.083333333333334</v>
          </cell>
          <cell r="V201">
            <v>3.833333333333333</v>
          </cell>
          <cell r="W201"/>
          <cell r="X201">
            <v>0</v>
          </cell>
          <cell r="Y201">
            <v>14.916666666666668</v>
          </cell>
          <cell r="Z201"/>
          <cell r="AA201">
            <v>0</v>
          </cell>
          <cell r="AB201" t="e">
            <v>#DIV/0!</v>
          </cell>
        </row>
        <row r="202">
          <cell r="F202">
            <v>4902430836982</v>
          </cell>
          <cell r="G202"/>
          <cell r="H202"/>
          <cell r="I202" t="str">
            <v>[DS]whisper 好自在 台灣公司貨 熊抱安睡褲, M, 4片, 1包</v>
          </cell>
          <cell r="J202">
            <v>12</v>
          </cell>
          <cell r="K202"/>
          <cell r="L202">
            <v>1270.8</v>
          </cell>
          <cell r="M202"/>
          <cell r="N202"/>
          <cell r="O202"/>
          <cell r="P202"/>
          <cell r="Q202"/>
          <cell r="R202"/>
          <cell r="S202"/>
          <cell r="T202"/>
          <cell r="U202">
            <v>0.16666666666666666</v>
          </cell>
          <cell r="V202"/>
          <cell r="W202">
            <v>0.66666666666666663</v>
          </cell>
          <cell r="X202">
            <v>0</v>
          </cell>
          <cell r="Y202">
            <v>0.83333333333333326</v>
          </cell>
          <cell r="Z202"/>
          <cell r="AA202">
            <v>0</v>
          </cell>
          <cell r="AB202">
            <v>0</v>
          </cell>
        </row>
        <row r="203">
          <cell r="F203">
            <v>14987176179248</v>
          </cell>
          <cell r="G203"/>
          <cell r="H203"/>
          <cell r="I203" t="str">
            <v>[DS][箱裝]whisper 好自在 台灣公司貨 日用液體衛生棉, 24cm, 10片, 12盒</v>
          </cell>
          <cell r="J203">
            <v>1</v>
          </cell>
          <cell r="K203"/>
          <cell r="L203">
            <v>1208.8800000000001</v>
          </cell>
          <cell r="M203"/>
          <cell r="N203"/>
          <cell r="O203"/>
          <cell r="P203"/>
          <cell r="Q203"/>
          <cell r="R203"/>
          <cell r="S203"/>
          <cell r="T203"/>
          <cell r="U203">
            <v>2</v>
          </cell>
          <cell r="V203"/>
          <cell r="W203"/>
          <cell r="X203">
            <v>0</v>
          </cell>
          <cell r="Y203">
            <v>2</v>
          </cell>
          <cell r="Z203"/>
          <cell r="AA203">
            <v>0</v>
          </cell>
          <cell r="AB203" t="e">
            <v>#DIV/0!</v>
          </cell>
        </row>
        <row r="204">
          <cell r="F204">
            <v>4987176122841</v>
          </cell>
          <cell r="G204"/>
          <cell r="H204"/>
          <cell r="I204" t="str">
            <v>[DS]whisper 好自在 台灣公司貨 熊抱安睡 量多日夜用衛生棉, 317mm,12片,1包</v>
          </cell>
          <cell r="J204">
            <v>12</v>
          </cell>
          <cell r="K204"/>
          <cell r="L204">
            <v>827.88</v>
          </cell>
          <cell r="M204"/>
          <cell r="N204"/>
          <cell r="O204"/>
          <cell r="P204"/>
          <cell r="Q204"/>
          <cell r="R204"/>
          <cell r="S204"/>
          <cell r="T204"/>
          <cell r="U204">
            <v>1.1666666666666667</v>
          </cell>
          <cell r="V204"/>
          <cell r="W204"/>
          <cell r="X204">
            <v>0</v>
          </cell>
          <cell r="Y204">
            <v>1.1666666666666667</v>
          </cell>
          <cell r="Z204"/>
          <cell r="AA204">
            <v>0</v>
          </cell>
          <cell r="AB204" t="e">
            <v>#DIV/0!</v>
          </cell>
        </row>
        <row r="205">
          <cell r="F205">
            <v>4987176340894</v>
          </cell>
          <cell r="G205">
            <v>4987176340894</v>
          </cell>
          <cell r="H205"/>
          <cell r="I205" t="str">
            <v>ARIEL 原廠公司貨 抗菌洗衣精, 抗菌去漬型, 1.9kg , 1瓶</v>
          </cell>
          <cell r="J205">
            <v>6</v>
          </cell>
          <cell r="K205">
            <v>202</v>
          </cell>
          <cell r="L205">
            <v>1329.6</v>
          </cell>
          <cell r="M205">
            <v>1288.02</v>
          </cell>
          <cell r="N205"/>
          <cell r="O205"/>
          <cell r="P205"/>
          <cell r="Q205">
            <v>150</v>
          </cell>
          <cell r="R205">
            <v>204</v>
          </cell>
          <cell r="S205"/>
          <cell r="T205"/>
          <cell r="U205"/>
          <cell r="V205">
            <v>51.333333333333336</v>
          </cell>
          <cell r="W205">
            <v>47.5</v>
          </cell>
          <cell r="X205">
            <v>354</v>
          </cell>
          <cell r="Y205">
            <v>98.833333333333343</v>
          </cell>
          <cell r="Z205">
            <v>255.16666666666666</v>
          </cell>
          <cell r="AA205">
            <v>339269.6</v>
          </cell>
          <cell r="AB205">
            <v>77.979626485568772</v>
          </cell>
        </row>
        <row r="206">
          <cell r="F206">
            <v>4987176340863</v>
          </cell>
          <cell r="G206">
            <v>4987176340863</v>
          </cell>
          <cell r="H206"/>
          <cell r="I206" t="str">
            <v>ARIEL 原廠公司貨 抗菌洗衣精, 室內晾衣型, 1.9kg , 1瓶</v>
          </cell>
          <cell r="J206">
            <v>6</v>
          </cell>
          <cell r="K206">
            <v>202</v>
          </cell>
          <cell r="L206">
            <v>1329.6</v>
          </cell>
          <cell r="M206">
            <v>1288.02</v>
          </cell>
          <cell r="N206"/>
          <cell r="O206"/>
          <cell r="P206"/>
          <cell r="Q206">
            <v>33</v>
          </cell>
          <cell r="R206">
            <v>41</v>
          </cell>
          <cell r="S206"/>
          <cell r="T206"/>
          <cell r="U206"/>
          <cell r="V206">
            <v>9.3333333333333339</v>
          </cell>
          <cell r="W206">
            <v>10.166666666666668</v>
          </cell>
          <cell r="X206">
            <v>74</v>
          </cell>
          <cell r="Y206">
            <v>19.5</v>
          </cell>
          <cell r="Z206">
            <v>54.5</v>
          </cell>
          <cell r="AA206">
            <v>72463.199999999997</v>
          </cell>
          <cell r="AB206">
            <v>77.815970386039126</v>
          </cell>
        </row>
        <row r="207">
          <cell r="F207">
            <v>4987176340917</v>
          </cell>
          <cell r="G207">
            <v>4987176340917</v>
          </cell>
          <cell r="H207"/>
          <cell r="I207" t="str">
            <v>ARIEL 抗菌洗衣精 抗菌去漬型, 800g, 1個</v>
          </cell>
          <cell r="J207">
            <v>12</v>
          </cell>
          <cell r="K207">
            <v>122</v>
          </cell>
          <cell r="L207">
            <v>1620</v>
          </cell>
          <cell r="M207">
            <v>1571.9</v>
          </cell>
          <cell r="N207"/>
          <cell r="O207"/>
          <cell r="P207"/>
          <cell r="Q207">
            <v>0</v>
          </cell>
          <cell r="R207">
            <v>0</v>
          </cell>
          <cell r="S207"/>
          <cell r="T207"/>
          <cell r="U207"/>
          <cell r="V207"/>
          <cell r="W207"/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 t="e">
            <v>#DIV/0!</v>
          </cell>
        </row>
        <row r="208">
          <cell r="F208">
            <v>4987176340931</v>
          </cell>
          <cell r="G208">
            <v>4987176340931</v>
          </cell>
          <cell r="H208"/>
          <cell r="I208" t="str">
            <v>ARIEL 抗菌洗衣精 室內晾衣型, 800g, 1瓶</v>
          </cell>
          <cell r="J208">
            <v>12</v>
          </cell>
          <cell r="K208">
            <v>122</v>
          </cell>
          <cell r="L208">
            <v>1620</v>
          </cell>
          <cell r="M208">
            <v>1571.9</v>
          </cell>
          <cell r="N208"/>
          <cell r="O208"/>
          <cell r="P208"/>
          <cell r="Q208">
            <v>0</v>
          </cell>
          <cell r="R208">
            <v>0</v>
          </cell>
          <cell r="S208"/>
          <cell r="T208"/>
          <cell r="U208"/>
          <cell r="V208"/>
          <cell r="W208"/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 t="e">
            <v>#DIV/0!</v>
          </cell>
        </row>
        <row r="209">
          <cell r="F209">
            <v>4987176392343</v>
          </cell>
          <cell r="G209">
            <v>4987176392343</v>
          </cell>
          <cell r="H209"/>
          <cell r="I209" t="str">
            <v>BOLD原廠公司貨 四合一洗衣膠囊 清淨花香, 14顆 ,1盒</v>
          </cell>
          <cell r="J209">
            <v>6</v>
          </cell>
          <cell r="K209"/>
          <cell r="L209">
            <v>838.8</v>
          </cell>
          <cell r="M209">
            <v>808.24</v>
          </cell>
          <cell r="N209"/>
          <cell r="O209"/>
          <cell r="P209"/>
          <cell r="Q209">
            <v>0</v>
          </cell>
          <cell r="R209">
            <v>0</v>
          </cell>
          <cell r="S209"/>
          <cell r="T209"/>
          <cell r="U209"/>
          <cell r="V209"/>
          <cell r="W209"/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 t="e">
            <v>#DIV/0!</v>
          </cell>
        </row>
        <row r="210">
          <cell r="F210">
            <v>4987176392350</v>
          </cell>
          <cell r="G210">
            <v>4987176392350</v>
          </cell>
          <cell r="H210"/>
          <cell r="I210" t="str">
            <v>BOLD原廠公司貨 四合一洗衣膠囊 淡雅花香, 14顆 ,1盒</v>
          </cell>
          <cell r="J210">
            <v>6</v>
          </cell>
          <cell r="K210"/>
          <cell r="L210">
            <v>838.8</v>
          </cell>
          <cell r="M210">
            <v>808.24</v>
          </cell>
          <cell r="N210"/>
          <cell r="O210"/>
          <cell r="P210"/>
          <cell r="Q210">
            <v>0</v>
          </cell>
          <cell r="R210">
            <v>0</v>
          </cell>
          <cell r="S210"/>
          <cell r="T210"/>
          <cell r="U210"/>
          <cell r="V210"/>
          <cell r="W210"/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 t="e">
            <v>#DIV/0!</v>
          </cell>
        </row>
        <row r="211">
          <cell r="F211">
            <v>4987176339928</v>
          </cell>
          <cell r="G211">
            <v>4987176339928</v>
          </cell>
          <cell r="H211"/>
          <cell r="I211" t="str">
            <v>Bold 原廠公司貨 四合一洗衣膠囊 清淨花香, 57個裝, 1套</v>
          </cell>
          <cell r="J211">
            <v>5</v>
          </cell>
          <cell r="K211">
            <v>368</v>
          </cell>
          <cell r="L211">
            <v>1955</v>
          </cell>
          <cell r="M211">
            <v>1899.38</v>
          </cell>
          <cell r="N211"/>
          <cell r="O211"/>
          <cell r="P211"/>
          <cell r="Q211">
            <v>0</v>
          </cell>
          <cell r="R211">
            <v>0</v>
          </cell>
          <cell r="S211"/>
          <cell r="T211"/>
          <cell r="U211"/>
          <cell r="V211"/>
          <cell r="W211"/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 t="e">
            <v>#DIV/0!</v>
          </cell>
        </row>
        <row r="212">
          <cell r="F212">
            <v>4987176386762</v>
          </cell>
          <cell r="G212">
            <v>4987176386762</v>
          </cell>
          <cell r="H212"/>
          <cell r="I212" t="str">
            <v>[箱裝]Pampers 幫寶適 原廠公司貨 史上最強一級幫黏貼型護膚尿布/紙尿褲, S, 4~8kg, 198片_夏日遠離紅屁屁 (極上守護)</v>
          </cell>
          <cell r="J212">
            <v>1</v>
          </cell>
          <cell r="K212">
            <v>1232</v>
          </cell>
          <cell r="L212">
            <v>1168</v>
          </cell>
          <cell r="M212">
            <v>1117.3397</v>
          </cell>
          <cell r="N212"/>
          <cell r="O212"/>
          <cell r="P212"/>
          <cell r="Q212">
            <v>0</v>
          </cell>
          <cell r="R212">
            <v>0</v>
          </cell>
          <cell r="S212"/>
          <cell r="T212"/>
          <cell r="U212"/>
          <cell r="V212"/>
          <cell r="W212"/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 t="e">
            <v>#DIV/0!</v>
          </cell>
        </row>
        <row r="213">
          <cell r="F213">
            <v>4987176386724</v>
          </cell>
          <cell r="G213">
            <v>4987176386724</v>
          </cell>
          <cell r="H213"/>
          <cell r="I213" t="str">
            <v>[箱裝]Pampers 幫寶適 原廠公司貨 史上最強一級幫散熱拉拉褲/尿布/褲型, M, 6~11kg, 150片_夏日遠離紅屁屁 (極上守護)</v>
          </cell>
          <cell r="J213">
            <v>1</v>
          </cell>
          <cell r="K213">
            <v>1232</v>
          </cell>
          <cell r="L213">
            <v>1168</v>
          </cell>
          <cell r="M213">
            <v>1117.3397</v>
          </cell>
          <cell r="N213"/>
          <cell r="O213"/>
          <cell r="P213"/>
          <cell r="Q213">
            <v>0</v>
          </cell>
          <cell r="R213">
            <v>0</v>
          </cell>
          <cell r="S213"/>
          <cell r="T213"/>
          <cell r="U213"/>
          <cell r="V213"/>
          <cell r="W213"/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 t="e">
            <v>#DIV/0!</v>
          </cell>
        </row>
        <row r="214">
          <cell r="F214">
            <v>4987176386694</v>
          </cell>
          <cell r="G214">
            <v>4987176386694</v>
          </cell>
          <cell r="H214"/>
          <cell r="I214" t="str">
            <v>[箱裝]Pampers 幫寶適 原廠公司貨 史上最強一級幫散熱拉拉褲/尿布/褲型, L+, 10~15kg, 102片_夏日遠離紅屁屁 (極上守護)</v>
          </cell>
          <cell r="J214">
            <v>1</v>
          </cell>
          <cell r="K214">
            <v>1232</v>
          </cell>
          <cell r="L214">
            <v>1168</v>
          </cell>
          <cell r="M214">
            <v>1117.3397</v>
          </cell>
          <cell r="N214"/>
          <cell r="O214"/>
          <cell r="P214"/>
          <cell r="Q214">
            <v>0</v>
          </cell>
          <cell r="R214">
            <v>0</v>
          </cell>
          <cell r="S214"/>
          <cell r="T214"/>
          <cell r="U214"/>
          <cell r="V214"/>
          <cell r="W214"/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 t="e">
            <v>#DIV/0!</v>
          </cell>
        </row>
        <row r="215">
          <cell r="F215">
            <v>4987176386793</v>
          </cell>
          <cell r="G215">
            <v>4987176386793</v>
          </cell>
          <cell r="H215"/>
          <cell r="I215" t="str">
            <v>[箱裝]Pampers 幫寶適 原廠公司貨 史上最強一級幫散熱拉拉褲/尿布/褲型, XXXL, 17kg以上, 78片_夏日遠離紅屁屁 (極上守護)</v>
          </cell>
          <cell r="J215">
            <v>1</v>
          </cell>
          <cell r="K215">
            <v>1232</v>
          </cell>
          <cell r="L215">
            <v>1168</v>
          </cell>
          <cell r="M215">
            <v>1117.3397</v>
          </cell>
          <cell r="N215"/>
          <cell r="O215"/>
          <cell r="P215"/>
          <cell r="Q215">
            <v>0</v>
          </cell>
          <cell r="R215">
            <v>0</v>
          </cell>
          <cell r="S215"/>
          <cell r="T215"/>
          <cell r="U215"/>
          <cell r="V215"/>
          <cell r="W215"/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 t="e">
            <v>#DIV/0!</v>
          </cell>
        </row>
        <row r="216">
          <cell r="F216">
            <v>14987176287004</v>
          </cell>
          <cell r="G216"/>
          <cell r="H216"/>
          <cell r="I216" t="str">
            <v>[箱裝]Pampers 幫寶適 原廠公司貨 史上最強一級幫紙尿褲/尿布禮盒/彌月禮盒組(黏貼型尿布-NB 32片+S112片), 144片, 1盒_(極上守護)</v>
          </cell>
          <cell r="J216">
            <v>1</v>
          </cell>
          <cell r="K216">
            <v>806</v>
          </cell>
          <cell r="L216">
            <v>856.4</v>
          </cell>
          <cell r="M216">
            <v>812.74</v>
          </cell>
          <cell r="N216"/>
          <cell r="O216"/>
          <cell r="P216"/>
          <cell r="Q216">
            <v>528</v>
          </cell>
          <cell r="R216">
            <v>0</v>
          </cell>
          <cell r="S216"/>
          <cell r="T216"/>
          <cell r="U216"/>
          <cell r="V216">
            <v>75</v>
          </cell>
          <cell r="W216">
            <v>209</v>
          </cell>
          <cell r="X216">
            <v>528</v>
          </cell>
          <cell r="Y216">
            <v>284</v>
          </cell>
          <cell r="Z216">
            <v>244</v>
          </cell>
          <cell r="AA216">
            <v>208961.6</v>
          </cell>
          <cell r="AB216">
            <v>16.947059731440035</v>
          </cell>
        </row>
        <row r="217">
          <cell r="F217">
            <v>4987176393326</v>
          </cell>
          <cell r="G217">
            <v>4987176393326</v>
          </cell>
          <cell r="H217"/>
          <cell r="I217" t="str">
            <v>Tide 汰漬 台灣公司貨 2倍超濃縮洗衣精, 3.69L, 1桶</v>
          </cell>
          <cell r="J217">
            <v>4</v>
          </cell>
          <cell r="K217"/>
          <cell r="L217">
            <v>2376.48</v>
          </cell>
          <cell r="M217">
            <v>2311.4</v>
          </cell>
          <cell r="N217"/>
          <cell r="O217"/>
          <cell r="P217"/>
          <cell r="Q217">
            <v>0</v>
          </cell>
          <cell r="R217">
            <v>107</v>
          </cell>
          <cell r="S217"/>
          <cell r="T217"/>
          <cell r="U217"/>
          <cell r="V217"/>
          <cell r="W217">
            <v>3</v>
          </cell>
          <cell r="X217">
            <v>107</v>
          </cell>
          <cell r="Y217">
            <v>3</v>
          </cell>
          <cell r="Z217">
            <v>104</v>
          </cell>
          <cell r="AA217">
            <v>247153.92000000001</v>
          </cell>
          <cell r="AB217">
            <v>503.22580645161287</v>
          </cell>
        </row>
        <row r="218">
          <cell r="F218">
            <v>4987176134578</v>
          </cell>
          <cell r="G218">
            <v>4987176134578</v>
          </cell>
          <cell r="H218"/>
          <cell r="I218" t="str">
            <v>Gillette 吉列 Labs 極光系列 刮鬍刀組, 刀架 + 刀頭 2個 + 刀座, 1組</v>
          </cell>
          <cell r="J218">
            <v>6</v>
          </cell>
          <cell r="K218">
            <v>580</v>
          </cell>
          <cell r="L218">
            <v>3652.8</v>
          </cell>
          <cell r="M218">
            <v>3559.0640400000002</v>
          </cell>
          <cell r="N218"/>
          <cell r="O218"/>
          <cell r="P218"/>
          <cell r="Q218">
            <v>0</v>
          </cell>
          <cell r="R218">
            <v>41</v>
          </cell>
          <cell r="S218"/>
          <cell r="T218"/>
          <cell r="U218"/>
          <cell r="V218"/>
          <cell r="W218"/>
          <cell r="X218">
            <v>41</v>
          </cell>
          <cell r="Y218">
            <v>0</v>
          </cell>
          <cell r="Z218">
            <v>41</v>
          </cell>
          <cell r="AA218">
            <v>149764.80000000002</v>
          </cell>
          <cell r="AB218" t="e">
            <v>#DIV/0!</v>
          </cell>
        </row>
        <row r="219">
          <cell r="F219">
            <v>4902430340526</v>
          </cell>
          <cell r="G219">
            <v>4902430340526</v>
          </cell>
          <cell r="H219"/>
          <cell r="I219" t="str">
            <v>Gillette 吉列 Mach3 Turbo 鋒速突破系列刮鬍刀頭, 4個, 1盒</v>
          </cell>
          <cell r="J219">
            <v>12</v>
          </cell>
          <cell r="K219">
            <v>295</v>
          </cell>
          <cell r="L219">
            <v>3693.6</v>
          </cell>
          <cell r="M219">
            <v>3598.9480800000001</v>
          </cell>
          <cell r="N219"/>
          <cell r="O219"/>
          <cell r="P219"/>
          <cell r="Q219">
            <v>0</v>
          </cell>
          <cell r="R219">
            <v>4</v>
          </cell>
          <cell r="S219"/>
          <cell r="T219"/>
          <cell r="U219"/>
          <cell r="V219"/>
          <cell r="W219"/>
          <cell r="X219">
            <v>4</v>
          </cell>
          <cell r="Y219">
            <v>0</v>
          </cell>
          <cell r="Z219">
            <v>4</v>
          </cell>
          <cell r="AA219">
            <v>14774.4</v>
          </cell>
          <cell r="AB219" t="e">
            <v>#DIV/0!</v>
          </cell>
        </row>
        <row r="220">
          <cell r="F220">
            <v>4902430341820</v>
          </cell>
          <cell r="G220">
            <v>4902430341820</v>
          </cell>
          <cell r="H220"/>
          <cell r="I220" t="str">
            <v>Gillette 吉列 台灣公司貨 Mach3 鋒速系列刮鬍刀頭, 8個, 1盒</v>
          </cell>
          <cell r="J220">
            <v>12</v>
          </cell>
          <cell r="K220">
            <v>435</v>
          </cell>
          <cell r="L220">
            <v>5492.4</v>
          </cell>
          <cell r="M220">
            <v>5357.3650199999993</v>
          </cell>
          <cell r="N220"/>
          <cell r="O220"/>
          <cell r="P220"/>
          <cell r="Q220">
            <v>0</v>
          </cell>
          <cell r="R220">
            <v>12</v>
          </cell>
          <cell r="S220"/>
          <cell r="T220"/>
          <cell r="U220"/>
          <cell r="V220"/>
          <cell r="W220"/>
          <cell r="X220">
            <v>12</v>
          </cell>
          <cell r="Y220">
            <v>0</v>
          </cell>
          <cell r="Z220">
            <v>12</v>
          </cell>
          <cell r="AA220">
            <v>65908.799999999988</v>
          </cell>
          <cell r="AB220" t="e">
            <v>#DIV/0!</v>
          </cell>
        </row>
        <row r="221">
          <cell r="F221">
            <v>4987176247681</v>
          </cell>
          <cell r="G221">
            <v>4987176247681</v>
          </cell>
          <cell r="H221"/>
          <cell r="I221" t="str">
            <v>Gillette 吉列 台灣公司貨 Mach3 Turbo 鋒速突破系列刮鬍刀組, 刀架+刀頭*2, 1盒</v>
          </cell>
          <cell r="J221">
            <v>4</v>
          </cell>
          <cell r="K221">
            <v>180</v>
          </cell>
          <cell r="L221">
            <v>758.8</v>
          </cell>
          <cell r="M221">
            <v>730.03433999999993</v>
          </cell>
          <cell r="N221"/>
          <cell r="O221"/>
          <cell r="P221"/>
          <cell r="Q221">
            <v>0</v>
          </cell>
          <cell r="R221">
            <v>12</v>
          </cell>
          <cell r="S221"/>
          <cell r="T221"/>
          <cell r="U221"/>
          <cell r="V221"/>
          <cell r="W221"/>
          <cell r="X221">
            <v>12</v>
          </cell>
          <cell r="Y221">
            <v>0</v>
          </cell>
          <cell r="Z221">
            <v>12</v>
          </cell>
          <cell r="AA221">
            <v>9105.5999999999985</v>
          </cell>
          <cell r="AB221" t="e">
            <v>#DIV/0!</v>
          </cell>
        </row>
        <row r="222">
          <cell r="F222">
            <v>4987176132185</v>
          </cell>
          <cell r="G222">
            <v>4987176132185</v>
          </cell>
          <cell r="H222"/>
          <cell r="I222" t="str">
            <v>Gillette 吉列 台灣公司貨 Labs 極光系列 刮鬍刀頭, 8個, 1盒</v>
          </cell>
          <cell r="J222">
            <v>10</v>
          </cell>
          <cell r="K222">
            <v>920</v>
          </cell>
          <cell r="L222">
            <v>9712</v>
          </cell>
          <cell r="M222">
            <v>9482.2350000000006</v>
          </cell>
          <cell r="N222"/>
          <cell r="O222"/>
          <cell r="P222"/>
          <cell r="Q222">
            <v>0</v>
          </cell>
          <cell r="R222">
            <v>24</v>
          </cell>
          <cell r="S222"/>
          <cell r="T222"/>
          <cell r="U222"/>
          <cell r="V222"/>
          <cell r="W222"/>
          <cell r="X222">
            <v>24</v>
          </cell>
          <cell r="Y222">
            <v>0</v>
          </cell>
          <cell r="Z222">
            <v>24</v>
          </cell>
          <cell r="AA222">
            <v>233088</v>
          </cell>
          <cell r="AB222" t="e">
            <v>#DIV/0!</v>
          </cell>
        </row>
        <row r="223">
          <cell r="F223">
            <v>4987176132178</v>
          </cell>
          <cell r="G223">
            <v>4987176132178</v>
          </cell>
          <cell r="H223"/>
          <cell r="I223" t="str">
            <v>Gillette 吉列 台灣公司貨 Labs 極光系列 刮鬍刀頭, 4個, 1盒</v>
          </cell>
          <cell r="J223">
            <v>10</v>
          </cell>
          <cell r="K223">
            <v>610</v>
          </cell>
          <cell r="L223">
            <v>6420</v>
          </cell>
          <cell r="M223">
            <v>6264.1404000000002</v>
          </cell>
          <cell r="N223"/>
          <cell r="O223"/>
          <cell r="P223"/>
          <cell r="Q223">
            <v>0</v>
          </cell>
          <cell r="R223">
            <v>0</v>
          </cell>
          <cell r="S223"/>
          <cell r="T223"/>
          <cell r="U223"/>
          <cell r="V223"/>
          <cell r="W223"/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 t="e">
            <v>#DIV/0!</v>
          </cell>
        </row>
        <row r="224">
          <cell r="F224">
            <v>4987176272768</v>
          </cell>
          <cell r="G224">
            <v>4987176272768</v>
          </cell>
          <cell r="H224"/>
          <cell r="I224" t="str">
            <v>Gillette 吉列 原廠公司貨 Proglide無感系列刮鬍刀頭, 1組, 4個</v>
          </cell>
          <cell r="J224">
            <v>20</v>
          </cell>
          <cell r="K224">
            <v>470</v>
          </cell>
          <cell r="L224">
            <v>9034</v>
          </cell>
          <cell r="M224">
            <v>8819.4599999999991</v>
          </cell>
          <cell r="N224"/>
          <cell r="O224"/>
          <cell r="P224"/>
          <cell r="Q224">
            <v>0</v>
          </cell>
          <cell r="R224">
            <v>0</v>
          </cell>
          <cell r="S224"/>
          <cell r="T224"/>
          <cell r="U224"/>
          <cell r="V224"/>
          <cell r="W224"/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 t="e">
            <v>#DIV/0!</v>
          </cell>
        </row>
        <row r="225">
          <cell r="F225">
            <v>4987176272799</v>
          </cell>
          <cell r="G225">
            <v>4987176272799</v>
          </cell>
          <cell r="H225"/>
          <cell r="I225" t="str">
            <v>Gillette 吉列 原廠公司貨 ProShield鋒護系列 刮鬍刀頭, 4個, 1組</v>
          </cell>
          <cell r="J225">
            <v>20</v>
          </cell>
          <cell r="K225">
            <v>525</v>
          </cell>
          <cell r="L225">
            <v>10223.219999999999</v>
          </cell>
          <cell r="M225">
            <v>10470</v>
          </cell>
          <cell r="N225"/>
          <cell r="O225"/>
          <cell r="P225"/>
          <cell r="Q225">
            <v>0</v>
          </cell>
          <cell r="R225">
            <v>0</v>
          </cell>
          <cell r="S225"/>
          <cell r="T225"/>
          <cell r="U225"/>
          <cell r="V225"/>
          <cell r="W225"/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 t="e">
            <v>#DIV/0!</v>
          </cell>
        </row>
        <row r="226">
          <cell r="F226">
            <v>4987176293374</v>
          </cell>
          <cell r="G226">
            <v>4987176293374</v>
          </cell>
          <cell r="H226"/>
          <cell r="I226" t="str">
            <v>Gillette 吉列 服貼滑順輕便刮鬍刀, 10支, 1包</v>
          </cell>
          <cell r="J226">
            <v>12</v>
          </cell>
          <cell r="K226">
            <v>93</v>
          </cell>
          <cell r="L226">
            <v>1032</v>
          </cell>
          <cell r="M226">
            <v>997.1</v>
          </cell>
          <cell r="N226"/>
          <cell r="O226"/>
          <cell r="P226"/>
          <cell r="Q226">
            <v>0</v>
          </cell>
          <cell r="R226">
            <v>96</v>
          </cell>
          <cell r="S226"/>
          <cell r="T226"/>
          <cell r="U226"/>
          <cell r="V226"/>
          <cell r="W226">
            <v>0.41666666666666669</v>
          </cell>
          <cell r="X226">
            <v>96</v>
          </cell>
          <cell r="Y226">
            <v>0.41666666666666669</v>
          </cell>
          <cell r="Z226">
            <v>95.583333333333329</v>
          </cell>
          <cell r="AA226">
            <v>98642</v>
          </cell>
          <cell r="AB226">
            <v>3329.9999999999995</v>
          </cell>
        </row>
        <row r="227">
          <cell r="F227">
            <v>4987176274168</v>
          </cell>
          <cell r="G227">
            <v>4987176274168</v>
          </cell>
          <cell r="H227"/>
          <cell r="I227" t="str">
            <v>Gillette 吉列 SkinGuard 紳適系列刮鬍刀頭, 4個, 1組</v>
          </cell>
          <cell r="J227">
            <v>20</v>
          </cell>
          <cell r="K227">
            <v>419</v>
          </cell>
          <cell r="L227">
            <v>8808</v>
          </cell>
          <cell r="M227">
            <v>8598.5300000000007</v>
          </cell>
          <cell r="N227"/>
          <cell r="O227"/>
          <cell r="P227"/>
          <cell r="Q227">
            <v>9</v>
          </cell>
          <cell r="R227">
            <v>0</v>
          </cell>
          <cell r="S227"/>
          <cell r="T227"/>
          <cell r="U227"/>
          <cell r="V227">
            <v>0.8</v>
          </cell>
          <cell r="W227">
            <v>1.1499999999999999</v>
          </cell>
          <cell r="X227">
            <v>9</v>
          </cell>
          <cell r="Y227">
            <v>1.95</v>
          </cell>
          <cell r="Z227">
            <v>7.05</v>
          </cell>
          <cell r="AA227">
            <v>62096.4</v>
          </cell>
          <cell r="AB227">
            <v>88.990182328190755</v>
          </cell>
        </row>
        <row r="228">
          <cell r="F228">
            <v>4987176134608</v>
          </cell>
          <cell r="G228">
            <v>4987176134608</v>
          </cell>
          <cell r="H228"/>
          <cell r="I228" t="str">
            <v>Gillette 吉列 Labs 極光系列 刮鬍刀組, 刀架 + 刀頭 5個 + 刀座 + 旅行盒, 1組</v>
          </cell>
          <cell r="J228">
            <v>6</v>
          </cell>
          <cell r="K228">
            <v>995</v>
          </cell>
          <cell r="L228">
            <v>6275.4</v>
          </cell>
          <cell r="M228">
            <v>6122.7866700000004</v>
          </cell>
          <cell r="N228"/>
          <cell r="O228"/>
          <cell r="P228"/>
          <cell r="Q228">
            <v>21</v>
          </cell>
          <cell r="R228">
            <v>34</v>
          </cell>
          <cell r="S228"/>
          <cell r="T228"/>
          <cell r="U228"/>
          <cell r="V228">
            <v>5.166666666666667</v>
          </cell>
          <cell r="W228">
            <v>5</v>
          </cell>
          <cell r="X228">
            <v>55</v>
          </cell>
          <cell r="Y228">
            <v>10.166666666666668</v>
          </cell>
          <cell r="Z228">
            <v>44.833333333333329</v>
          </cell>
          <cell r="AA228">
            <v>281347.09999999998</v>
          </cell>
          <cell r="AB228">
            <v>130.16129032258064</v>
          </cell>
        </row>
        <row r="229">
          <cell r="F229">
            <v>4987176039507</v>
          </cell>
          <cell r="G229">
            <v>4987176039507</v>
          </cell>
          <cell r="H229"/>
          <cell r="I229" t="str">
            <v>Gillette 吉列 維納斯 敏感肌適用除毛刀頭, 4個, 1盒</v>
          </cell>
          <cell r="J229">
            <v>4</v>
          </cell>
          <cell r="K229">
            <v>428</v>
          </cell>
          <cell r="L229">
            <v>1780</v>
          </cell>
          <cell r="M229">
            <v>1728.31</v>
          </cell>
          <cell r="N229"/>
          <cell r="O229"/>
          <cell r="P229"/>
          <cell r="Q229">
            <v>0</v>
          </cell>
          <cell r="R229">
            <v>39</v>
          </cell>
          <cell r="S229"/>
          <cell r="T229"/>
          <cell r="U229"/>
          <cell r="V229"/>
          <cell r="W229"/>
          <cell r="X229">
            <v>39</v>
          </cell>
          <cell r="Y229">
            <v>0</v>
          </cell>
          <cell r="Z229">
            <v>39</v>
          </cell>
          <cell r="AA229">
            <v>69420</v>
          </cell>
          <cell r="AB229" t="e">
            <v>#DIV/0!</v>
          </cell>
        </row>
        <row r="230">
          <cell r="F230">
            <v>4987176324023</v>
          </cell>
          <cell r="G230">
            <v>4987176324023</v>
          </cell>
          <cell r="H230"/>
          <cell r="I230" t="str">
            <v>Gillette 吉列 維納斯 敏感肌適用除毛刀, 1刀架+2刀頭, 1組</v>
          </cell>
          <cell r="J230">
            <v>4</v>
          </cell>
          <cell r="K230">
            <v>289</v>
          </cell>
          <cell r="L230">
            <v>1203.5999999999999</v>
          </cell>
          <cell r="M230">
            <v>1164.8499999999999</v>
          </cell>
          <cell r="N230"/>
          <cell r="O230"/>
          <cell r="P230"/>
          <cell r="Q230">
            <v>19</v>
          </cell>
          <cell r="R230">
            <v>29</v>
          </cell>
          <cell r="S230"/>
          <cell r="T230"/>
          <cell r="U230"/>
          <cell r="V230">
            <v>1.25</v>
          </cell>
          <cell r="W230">
            <v>1.25</v>
          </cell>
          <cell r="X230">
            <v>48</v>
          </cell>
          <cell r="Y230">
            <v>2.5</v>
          </cell>
          <cell r="Z230">
            <v>45.5</v>
          </cell>
          <cell r="AA230">
            <v>54763.799999999996</v>
          </cell>
          <cell r="AB230">
            <v>528.38709677419354</v>
          </cell>
        </row>
        <row r="231">
          <cell r="F231">
            <v>4987176176172</v>
          </cell>
          <cell r="G231">
            <v>4987176176172</v>
          </cell>
          <cell r="H231"/>
          <cell r="I231" t="str">
            <v>Gillette 吉列 Fusion鋒隱系列刮鬍刀頭, 1組, 4個</v>
          </cell>
          <cell r="J231">
            <v>20</v>
          </cell>
          <cell r="K231">
            <v>323</v>
          </cell>
          <cell r="L231">
            <v>7163.15</v>
          </cell>
          <cell r="M231">
            <v>6990.6066825000007</v>
          </cell>
          <cell r="N231"/>
          <cell r="O231"/>
          <cell r="P231"/>
          <cell r="Q231">
            <v>12</v>
          </cell>
          <cell r="R231">
            <v>14</v>
          </cell>
          <cell r="S231"/>
          <cell r="T231"/>
          <cell r="U231"/>
          <cell r="V231">
            <v>1</v>
          </cell>
          <cell r="W231">
            <v>1.4</v>
          </cell>
          <cell r="X231">
            <v>26</v>
          </cell>
          <cell r="Y231">
            <v>2.4</v>
          </cell>
          <cell r="Z231">
            <v>23.6</v>
          </cell>
          <cell r="AA231">
            <v>169050.34</v>
          </cell>
          <cell r="AB231">
            <v>244.70046082949312</v>
          </cell>
        </row>
        <row r="232">
          <cell r="F232">
            <v>4987176169914</v>
          </cell>
          <cell r="G232">
            <v>4987176169914</v>
          </cell>
          <cell r="H232"/>
          <cell r="I232" t="str">
            <v>Gillette 吉列 Fusion鋒隱系列刮鬍刀頭 (8刀頭)</v>
          </cell>
          <cell r="J232">
            <v>10</v>
          </cell>
          <cell r="K232">
            <v>557</v>
          </cell>
          <cell r="L232">
            <v>5963.4</v>
          </cell>
          <cell r="M232">
            <v>5817.7910699999993</v>
          </cell>
          <cell r="N232"/>
          <cell r="O232"/>
          <cell r="P232"/>
          <cell r="Q232">
            <v>36</v>
          </cell>
          <cell r="R232">
            <v>100</v>
          </cell>
          <cell r="S232"/>
          <cell r="T232"/>
          <cell r="U232"/>
          <cell r="V232">
            <v>1.8</v>
          </cell>
          <cell r="W232">
            <v>11.3</v>
          </cell>
          <cell r="X232">
            <v>136</v>
          </cell>
          <cell r="Y232">
            <v>13.100000000000001</v>
          </cell>
          <cell r="Z232">
            <v>122.9</v>
          </cell>
          <cell r="AA232">
            <v>732901.86</v>
          </cell>
          <cell r="AB232">
            <v>157.87896089066516</v>
          </cell>
        </row>
        <row r="233">
          <cell r="F233">
            <v>4987176169921</v>
          </cell>
          <cell r="G233">
            <v>4987176169921</v>
          </cell>
          <cell r="H233"/>
          <cell r="I233" t="str">
            <v>Gillette 吉列 Fusion 鋒隱系列 刮鬍刀, 刀架*1+刀頭*2, 1組</v>
          </cell>
          <cell r="J233">
            <v>6</v>
          </cell>
          <cell r="K233">
            <v>185</v>
          </cell>
          <cell r="L233">
            <v>1210.2</v>
          </cell>
          <cell r="M233">
            <v>1171.3004100000001</v>
          </cell>
          <cell r="N233"/>
          <cell r="O233"/>
          <cell r="P233"/>
          <cell r="Q233">
            <v>57</v>
          </cell>
          <cell r="R233">
            <v>72</v>
          </cell>
          <cell r="S233"/>
          <cell r="T233"/>
          <cell r="U233"/>
          <cell r="V233">
            <v>2</v>
          </cell>
          <cell r="W233">
            <v>3.9999999999999996</v>
          </cell>
          <cell r="X233">
            <v>129</v>
          </cell>
          <cell r="Y233">
            <v>6</v>
          </cell>
          <cell r="Z233">
            <v>123</v>
          </cell>
          <cell r="AA233">
            <v>148854.6</v>
          </cell>
          <cell r="AB233">
            <v>446.37096774193554</v>
          </cell>
        </row>
        <row r="234">
          <cell r="F234">
            <v>4987176169952</v>
          </cell>
          <cell r="G234">
            <v>4987176169952</v>
          </cell>
          <cell r="H234"/>
          <cell r="I234" t="str">
            <v>Gillette 吉列 Proglide 無感系列 刮鬍刀, 刀架*1+刀頭*2, 1組</v>
          </cell>
          <cell r="J234">
            <v>6</v>
          </cell>
          <cell r="K234">
            <v>228</v>
          </cell>
          <cell r="L234">
            <v>1527.6</v>
          </cell>
          <cell r="M234">
            <v>1481.5747799999999</v>
          </cell>
          <cell r="N234"/>
          <cell r="O234"/>
          <cell r="P234"/>
          <cell r="Q234">
            <v>6</v>
          </cell>
          <cell r="R234">
            <v>113</v>
          </cell>
          <cell r="S234"/>
          <cell r="T234"/>
          <cell r="U234"/>
          <cell r="V234">
            <v>3.833333333333333</v>
          </cell>
          <cell r="W234">
            <v>6.1666666666666661</v>
          </cell>
          <cell r="X234">
            <v>119</v>
          </cell>
          <cell r="Y234">
            <v>10</v>
          </cell>
          <cell r="Z234">
            <v>109</v>
          </cell>
          <cell r="AA234">
            <v>166508.4</v>
          </cell>
          <cell r="AB234">
            <v>256.58238884045335</v>
          </cell>
        </row>
        <row r="235">
          <cell r="F235">
            <v>4987176169969</v>
          </cell>
          <cell r="G235">
            <v>4987176169969</v>
          </cell>
          <cell r="H235"/>
          <cell r="I235" t="str">
            <v>Gillette 吉列 Proshield鋒護系列刮鬍刀, 刀架*1+刀頭*2, 1組</v>
          </cell>
          <cell r="J235">
            <v>6</v>
          </cell>
          <cell r="K235">
            <v>268</v>
          </cell>
          <cell r="L235">
            <v>1793.4</v>
          </cell>
          <cell r="M235">
            <v>1741.4075700000003</v>
          </cell>
          <cell r="N235"/>
          <cell r="O235"/>
          <cell r="P235"/>
          <cell r="Q235">
            <v>0</v>
          </cell>
          <cell r="R235">
            <v>0</v>
          </cell>
          <cell r="S235"/>
          <cell r="T235"/>
          <cell r="U235"/>
          <cell r="V235"/>
          <cell r="W235"/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 t="e">
            <v>#DIV/0!</v>
          </cell>
        </row>
        <row r="236">
          <cell r="F236">
            <v>4902430341844</v>
          </cell>
          <cell r="G236">
            <v>4902430341844</v>
          </cell>
          <cell r="H236"/>
          <cell r="I236" t="str">
            <v>Gillette 吉列 Mach3 鋒速系列刮鬍刀頭 4刀入</v>
          </cell>
          <cell r="J236">
            <v>12</v>
          </cell>
          <cell r="K236">
            <v>260</v>
          </cell>
          <cell r="L236">
            <v>3271.2</v>
          </cell>
          <cell r="M236">
            <v>3186.0309600000001</v>
          </cell>
          <cell r="N236"/>
          <cell r="O236"/>
          <cell r="P236"/>
          <cell r="Q236">
            <v>3</v>
          </cell>
          <cell r="R236">
            <v>6</v>
          </cell>
          <cell r="S236"/>
          <cell r="T236"/>
          <cell r="U236"/>
          <cell r="V236"/>
          <cell r="W236">
            <v>3.333333333333333</v>
          </cell>
          <cell r="X236">
            <v>9</v>
          </cell>
          <cell r="Y236">
            <v>3.333333333333333</v>
          </cell>
          <cell r="Z236">
            <v>5.666666666666667</v>
          </cell>
          <cell r="AA236">
            <v>18536.8</v>
          </cell>
          <cell r="AB236">
            <v>24.677419354838712</v>
          </cell>
        </row>
        <row r="237">
          <cell r="F237">
            <v>4987176247674</v>
          </cell>
          <cell r="G237">
            <v>4987176247674</v>
          </cell>
          <cell r="H237"/>
          <cell r="I237" t="str">
            <v>Gillette 吉列 Mach3 鋒速系列刮鬍刀 1刀架2刀頭</v>
          </cell>
          <cell r="J237">
            <v>4</v>
          </cell>
          <cell r="K237">
            <v>165</v>
          </cell>
          <cell r="L237">
            <v>698</v>
          </cell>
          <cell r="M237">
            <v>670.59930000000008</v>
          </cell>
          <cell r="N237"/>
          <cell r="O237"/>
          <cell r="P237"/>
          <cell r="Q237">
            <v>10</v>
          </cell>
          <cell r="R237">
            <v>50</v>
          </cell>
          <cell r="S237"/>
          <cell r="T237"/>
          <cell r="U237"/>
          <cell r="V237"/>
          <cell r="W237">
            <v>2.75</v>
          </cell>
          <cell r="X237">
            <v>60</v>
          </cell>
          <cell r="Y237">
            <v>2.75</v>
          </cell>
          <cell r="Z237">
            <v>57.25</v>
          </cell>
          <cell r="AA237">
            <v>39960.5</v>
          </cell>
          <cell r="AB237">
            <v>302.19941348973612</v>
          </cell>
        </row>
        <row r="238">
          <cell r="F238">
            <v>4987176357526</v>
          </cell>
          <cell r="G238">
            <v>4987176357526</v>
          </cell>
          <cell r="H238"/>
          <cell r="I238" t="str">
            <v>OLAY 歐蕾 台灣公司貨 胜肽專研密集奢護面膜, 5片, 1盒</v>
          </cell>
          <cell r="J238">
            <v>12</v>
          </cell>
          <cell r="K238">
            <v>280</v>
          </cell>
          <cell r="L238">
            <v>3520.8</v>
          </cell>
          <cell r="M238">
            <v>3430.03</v>
          </cell>
          <cell r="N238"/>
          <cell r="O238"/>
          <cell r="P238"/>
          <cell r="Q238">
            <v>0</v>
          </cell>
          <cell r="R238">
            <v>18</v>
          </cell>
          <cell r="S238"/>
          <cell r="T238"/>
          <cell r="U238"/>
          <cell r="V238"/>
          <cell r="W238">
            <v>8.3333333333333329E-2</v>
          </cell>
          <cell r="X238">
            <v>18</v>
          </cell>
          <cell r="Y238">
            <v>8.3333333333333329E-2</v>
          </cell>
          <cell r="Z238">
            <v>17.916666666666668</v>
          </cell>
          <cell r="AA238">
            <v>63081.000000000007</v>
          </cell>
          <cell r="AB238">
            <v>3120.9677419354848</v>
          </cell>
        </row>
        <row r="239">
          <cell r="F239">
            <v>4987176376886</v>
          </cell>
          <cell r="G239">
            <v>4987176376886</v>
          </cell>
          <cell r="I239" t="str">
            <v>Crest 多效淨白牙膏 清爽薄荷, 120g , 1條</v>
          </cell>
          <cell r="J239">
            <v>24</v>
          </cell>
          <cell r="K239">
            <v>57</v>
          </cell>
          <cell r="L239">
            <v>1586.4</v>
          </cell>
          <cell r="M239">
            <v>1539.05</v>
          </cell>
          <cell r="N239"/>
          <cell r="O239"/>
          <cell r="P239"/>
          <cell r="Q239">
            <v>0</v>
          </cell>
          <cell r="R239">
            <v>15</v>
          </cell>
          <cell r="S239"/>
          <cell r="T239"/>
          <cell r="U239"/>
          <cell r="V239"/>
          <cell r="W239"/>
          <cell r="X239">
            <v>15</v>
          </cell>
          <cell r="Y239">
            <v>0</v>
          </cell>
          <cell r="Z239">
            <v>15</v>
          </cell>
          <cell r="AA239">
            <v>23796</v>
          </cell>
          <cell r="AB239" t="e">
            <v>#DIV/0!</v>
          </cell>
        </row>
        <row r="240">
          <cell r="F240">
            <v>4987176376879</v>
          </cell>
          <cell r="G240">
            <v>4987176376879</v>
          </cell>
          <cell r="I240" t="str">
            <v>Crest 多效淨白牙膏 檸檬青茶, 120g , 1條</v>
          </cell>
          <cell r="J240">
            <v>24</v>
          </cell>
          <cell r="K240">
            <v>57</v>
          </cell>
          <cell r="L240">
            <v>1586.4</v>
          </cell>
          <cell r="M240">
            <v>1539.05</v>
          </cell>
          <cell r="N240"/>
          <cell r="O240"/>
          <cell r="P240"/>
          <cell r="Q240">
            <v>0</v>
          </cell>
          <cell r="R240">
            <v>15</v>
          </cell>
          <cell r="S240"/>
          <cell r="T240"/>
          <cell r="U240"/>
          <cell r="V240"/>
          <cell r="W240"/>
          <cell r="X240">
            <v>15</v>
          </cell>
          <cell r="Y240">
            <v>0</v>
          </cell>
          <cell r="Z240">
            <v>15</v>
          </cell>
          <cell r="AA240">
            <v>23796</v>
          </cell>
          <cell r="AB240" t="e">
            <v>#DIV/0!</v>
          </cell>
        </row>
        <row r="241">
          <cell r="F241">
            <v>4987176376893</v>
          </cell>
          <cell r="G241">
            <v>4987176376893</v>
          </cell>
          <cell r="I241" t="str">
            <v>Crest 多效淨白牙膏 清新茉莉, 120g, 1條</v>
          </cell>
          <cell r="J241">
            <v>24</v>
          </cell>
          <cell r="K241">
            <v>57</v>
          </cell>
          <cell r="L241">
            <v>1586.4</v>
          </cell>
          <cell r="M241">
            <v>1539.05</v>
          </cell>
          <cell r="N241"/>
          <cell r="O241"/>
          <cell r="P241"/>
          <cell r="Q241">
            <v>0</v>
          </cell>
          <cell r="R241">
            <v>15</v>
          </cell>
          <cell r="S241"/>
          <cell r="T241"/>
          <cell r="U241"/>
          <cell r="V241"/>
          <cell r="W241"/>
          <cell r="X241">
            <v>15</v>
          </cell>
          <cell r="Y241">
            <v>0</v>
          </cell>
          <cell r="Z241">
            <v>15</v>
          </cell>
          <cell r="AA241">
            <v>23796</v>
          </cell>
          <cell r="AB241" t="e">
            <v>#DIV/0!</v>
          </cell>
        </row>
        <row r="242">
          <cell r="F242">
            <v>44987176376884</v>
          </cell>
          <cell r="G242">
            <v>44987176376884</v>
          </cell>
          <cell r="I242" t="str">
            <v>Crest 多效淨白牙膏 清爽薄荷, 120g, 6條</v>
          </cell>
          <cell r="J242">
            <v>4</v>
          </cell>
          <cell r="K242">
            <v>342</v>
          </cell>
          <cell r="L242">
            <v>1586.4</v>
          </cell>
          <cell r="M242">
            <v>1539.05</v>
          </cell>
          <cell r="N242"/>
          <cell r="O242"/>
          <cell r="P242"/>
          <cell r="Q242">
            <v>0</v>
          </cell>
          <cell r="R242">
            <v>49</v>
          </cell>
          <cell r="S242"/>
          <cell r="T242"/>
          <cell r="U242"/>
          <cell r="V242"/>
          <cell r="W242"/>
          <cell r="X242">
            <v>49</v>
          </cell>
          <cell r="Y242">
            <v>0</v>
          </cell>
          <cell r="Z242">
            <v>49</v>
          </cell>
          <cell r="AA242">
            <v>77733.600000000006</v>
          </cell>
          <cell r="AB242" t="e">
            <v>#DIV/0!</v>
          </cell>
        </row>
        <row r="243">
          <cell r="F243">
            <v>44987176376877</v>
          </cell>
          <cell r="G243">
            <v>44987176376877</v>
          </cell>
          <cell r="I243" t="str">
            <v>Crest 多效淨白牙膏 檸檬青茶, 120g, 6條</v>
          </cell>
          <cell r="J243">
            <v>4</v>
          </cell>
          <cell r="K243">
            <v>342</v>
          </cell>
          <cell r="L243">
            <v>1586.4</v>
          </cell>
          <cell r="M243">
            <v>1539.05</v>
          </cell>
          <cell r="N243"/>
          <cell r="O243"/>
          <cell r="P243"/>
          <cell r="Q243">
            <v>0</v>
          </cell>
          <cell r="R243">
            <v>49</v>
          </cell>
          <cell r="S243"/>
          <cell r="T243"/>
          <cell r="U243"/>
          <cell r="V243"/>
          <cell r="W243"/>
          <cell r="X243">
            <v>49</v>
          </cell>
          <cell r="Y243">
            <v>0</v>
          </cell>
          <cell r="Z243">
            <v>49</v>
          </cell>
          <cell r="AA243">
            <v>77733.600000000006</v>
          </cell>
          <cell r="AB243" t="e">
            <v>#DIV/0!</v>
          </cell>
        </row>
        <row r="244">
          <cell r="F244">
            <v>44987176376891</v>
          </cell>
          <cell r="G244">
            <v>44987176376891</v>
          </cell>
          <cell r="I244" t="str">
            <v>Crest 多效淨白牙膏 清新茉莉, 120g, 6條</v>
          </cell>
          <cell r="J244">
            <v>4</v>
          </cell>
          <cell r="K244">
            <v>342</v>
          </cell>
          <cell r="L244">
            <v>1586.4</v>
          </cell>
          <cell r="M244">
            <v>1539.05</v>
          </cell>
          <cell r="N244"/>
          <cell r="O244"/>
          <cell r="P244"/>
          <cell r="Q244">
            <v>0</v>
          </cell>
          <cell r="R244">
            <v>49</v>
          </cell>
          <cell r="S244"/>
          <cell r="T244"/>
          <cell r="U244"/>
          <cell r="V244"/>
          <cell r="W244"/>
          <cell r="X244">
            <v>49</v>
          </cell>
          <cell r="Y244">
            <v>0</v>
          </cell>
          <cell r="Z244">
            <v>49</v>
          </cell>
          <cell r="AA244">
            <v>77733.600000000006</v>
          </cell>
          <cell r="AB244" t="e">
            <v>#DIV/0!</v>
          </cell>
        </row>
        <row r="245">
          <cell r="F245">
            <v>4902430826846</v>
          </cell>
          <cell r="G245">
            <v>4902430826846</v>
          </cell>
          <cell r="I245" t="str">
            <v>Oral-B 歐樂B 抗敏護齦牙膏 極速抗敏, 海洋薄荷, 90g, 1條</v>
          </cell>
          <cell r="J245">
            <v>12</v>
          </cell>
          <cell r="K245">
            <v>99</v>
          </cell>
          <cell r="L245">
            <v>1209.5999999999999</v>
          </cell>
          <cell r="M245">
            <v>1170.71</v>
          </cell>
          <cell r="N245"/>
          <cell r="O245"/>
          <cell r="P245"/>
          <cell r="Q245"/>
          <cell r="R245">
            <v>113</v>
          </cell>
          <cell r="S245"/>
          <cell r="T245"/>
          <cell r="U245"/>
          <cell r="V245"/>
          <cell r="W245"/>
          <cell r="X245">
            <v>113</v>
          </cell>
          <cell r="Y245">
            <v>0</v>
          </cell>
          <cell r="Z245">
            <v>113</v>
          </cell>
          <cell r="AA245">
            <v>136684.79999999999</v>
          </cell>
          <cell r="AB245" t="e">
            <v>#DIV/0!</v>
          </cell>
        </row>
        <row r="246">
          <cell r="F246">
            <v>4902430826815</v>
          </cell>
          <cell r="G246">
            <v>4902430826815</v>
          </cell>
          <cell r="I246" t="str">
            <v>Oral-B 歐樂B 抗敏護齦牙膏 專業修護, 森林薄荷, 90g, 1條</v>
          </cell>
          <cell r="J246">
            <v>12</v>
          </cell>
          <cell r="K246">
            <v>99</v>
          </cell>
          <cell r="L246">
            <v>1209.5999999999999</v>
          </cell>
          <cell r="M246">
            <v>1170.71</v>
          </cell>
          <cell r="N246"/>
          <cell r="O246"/>
          <cell r="P246"/>
          <cell r="Q246"/>
          <cell r="R246">
            <v>0</v>
          </cell>
          <cell r="S246"/>
          <cell r="T246"/>
          <cell r="U246"/>
          <cell r="V246"/>
          <cell r="W246"/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 t="e">
            <v>#DIV/0!</v>
          </cell>
        </row>
        <row r="247">
          <cell r="F247">
            <v>4902430825801</v>
          </cell>
          <cell r="G247">
            <v>14902430825801</v>
          </cell>
          <cell r="H247">
            <v>82330135</v>
          </cell>
          <cell r="I247" t="str">
            <v>PANTENE 潘婷 miracles奇蹟系列 煥活根源洗髮露, 500ml, 1瓶</v>
          </cell>
          <cell r="J247">
            <v>9</v>
          </cell>
          <cell r="K247">
            <v>234</v>
          </cell>
          <cell r="L247">
            <v>2397</v>
          </cell>
          <cell r="M247">
            <v>2331.4567499999998</v>
          </cell>
          <cell r="N247"/>
          <cell r="O247"/>
          <cell r="P247"/>
          <cell r="Q247">
            <v>44</v>
          </cell>
          <cell r="R247">
            <v>15</v>
          </cell>
          <cell r="S247"/>
          <cell r="T247"/>
          <cell r="U247"/>
          <cell r="V247">
            <v>2.666666666666667</v>
          </cell>
          <cell r="W247">
            <v>4.8888888888888884</v>
          </cell>
          <cell r="X247">
            <v>59</v>
          </cell>
          <cell r="Y247">
            <v>7.5555555555555554</v>
          </cell>
          <cell r="Z247">
            <v>51.444444444444443</v>
          </cell>
          <cell r="AA247">
            <v>123312.33333333333</v>
          </cell>
          <cell r="AB247">
            <v>152.74926686217009</v>
          </cell>
        </row>
        <row r="248">
          <cell r="F248">
            <v>4902430900614</v>
          </cell>
          <cell r="G248">
            <v>14902430900614</v>
          </cell>
          <cell r="H248">
            <v>82326072</v>
          </cell>
          <cell r="I248" t="str">
            <v>PANTENE 潘婷 miracles 奇蹟系列柔亮護色護髮精華素, 500g, 1瓶</v>
          </cell>
          <cell r="J248">
            <v>9</v>
          </cell>
          <cell r="K248">
            <v>234</v>
          </cell>
          <cell r="L248">
            <v>2397</v>
          </cell>
          <cell r="M248">
            <v>2331.4567499999998</v>
          </cell>
          <cell r="N248"/>
          <cell r="O248"/>
          <cell r="P248"/>
          <cell r="Q248">
            <v>66</v>
          </cell>
          <cell r="R248">
            <v>44</v>
          </cell>
          <cell r="S248"/>
          <cell r="T248"/>
          <cell r="U248"/>
          <cell r="V248">
            <v>3.6666666666666665</v>
          </cell>
          <cell r="W248">
            <v>8.5555555555555554</v>
          </cell>
          <cell r="X248">
            <v>110</v>
          </cell>
          <cell r="Y248">
            <v>12.222222222222221</v>
          </cell>
          <cell r="Z248">
            <v>97.777777777777771</v>
          </cell>
          <cell r="AA248">
            <v>234373.33333333331</v>
          </cell>
          <cell r="AB248">
            <v>165.89861751152074</v>
          </cell>
        </row>
        <row r="249">
          <cell r="F249">
            <v>4902430900591</v>
          </cell>
          <cell r="G249">
            <v>14902430900591</v>
          </cell>
          <cell r="I249" t="str">
            <v>PANTENE 潘婷 miracles奇蹟系列 柔亮護色洗髮露, 500ml, 1瓶</v>
          </cell>
          <cell r="J249">
            <v>9</v>
          </cell>
          <cell r="K249">
            <v>234</v>
          </cell>
          <cell r="L249">
            <v>2397</v>
          </cell>
          <cell r="M249">
            <v>2331.4567499999998</v>
          </cell>
          <cell r="N249"/>
          <cell r="O249"/>
          <cell r="P249"/>
          <cell r="Q249">
            <v>0</v>
          </cell>
          <cell r="R249">
            <v>83</v>
          </cell>
          <cell r="S249"/>
          <cell r="T249"/>
          <cell r="U249"/>
          <cell r="V249"/>
          <cell r="W249">
            <v>1.6666666666666667</v>
          </cell>
          <cell r="X249">
            <v>83</v>
          </cell>
          <cell r="Y249">
            <v>1.6666666666666667</v>
          </cell>
          <cell r="Z249">
            <v>81.333333333333329</v>
          </cell>
          <cell r="AA249">
            <v>194956</v>
          </cell>
          <cell r="AB249">
            <v>708.38709677419342</v>
          </cell>
        </row>
        <row r="250">
          <cell r="F250">
            <v>4987176040589</v>
          </cell>
          <cell r="G250">
            <v>4987176040589</v>
          </cell>
          <cell r="H250">
            <v>80811156</v>
          </cell>
          <cell r="I250" t="str">
            <v>Pert 飛柔 免沖洗瞬效護髮精華滋養修護 按壓瓶 380g, 1瓶</v>
          </cell>
          <cell r="J250">
            <v>6</v>
          </cell>
          <cell r="K250">
            <v>173</v>
          </cell>
          <cell r="L250">
            <v>1161</v>
          </cell>
          <cell r="M250">
            <v>1123.2049500000001</v>
          </cell>
          <cell r="N250"/>
          <cell r="O250"/>
          <cell r="P250"/>
          <cell r="Q250">
            <v>200</v>
          </cell>
          <cell r="R250">
            <v>36</v>
          </cell>
          <cell r="S250"/>
          <cell r="T250"/>
          <cell r="U250"/>
          <cell r="V250">
            <v>20.166666666666668</v>
          </cell>
          <cell r="W250">
            <v>49.333333333333336</v>
          </cell>
          <cell r="X250">
            <v>236</v>
          </cell>
          <cell r="Y250">
            <v>69.5</v>
          </cell>
          <cell r="Z250">
            <v>166.5</v>
          </cell>
          <cell r="AA250">
            <v>193306.5</v>
          </cell>
          <cell r="AB250">
            <v>48.991935483870968</v>
          </cell>
        </row>
        <row r="251">
          <cell r="F251">
            <v>4987176151322</v>
          </cell>
          <cell r="G251">
            <v>4987176151322</v>
          </cell>
          <cell r="I251" t="str">
            <v>PERT 飛柔 免沖洗瞬效護髮精華, 清爽修護, 380g, 1瓶</v>
          </cell>
          <cell r="J251">
            <v>6</v>
          </cell>
          <cell r="K251">
            <v>170</v>
          </cell>
          <cell r="L251">
            <v>1161</v>
          </cell>
          <cell r="M251">
            <v>1123.2049500000001</v>
          </cell>
          <cell r="N251"/>
          <cell r="O251"/>
          <cell r="P251"/>
          <cell r="Q251">
            <v>120</v>
          </cell>
          <cell r="R251">
            <v>63</v>
          </cell>
          <cell r="S251"/>
          <cell r="T251"/>
          <cell r="U251"/>
          <cell r="V251">
            <v>9</v>
          </cell>
          <cell r="W251">
            <v>14.5</v>
          </cell>
          <cell r="X251">
            <v>183</v>
          </cell>
          <cell r="Y251">
            <v>23.5</v>
          </cell>
          <cell r="Z251">
            <v>159.5</v>
          </cell>
          <cell r="AA251">
            <v>185179.5</v>
          </cell>
          <cell r="AB251">
            <v>159.67741935483869</v>
          </cell>
        </row>
        <row r="252">
          <cell r="F252">
            <v>4902430720038</v>
          </cell>
          <cell r="G252">
            <v>4902430720038</v>
          </cell>
          <cell r="H252">
            <v>80768602</v>
          </cell>
          <cell r="I252" t="str">
            <v>PANTENE 潘婷 3 MINUTE MIRACLE乳液護髮精華, 180ml, 1條</v>
          </cell>
          <cell r="J252">
            <v>12</v>
          </cell>
          <cell r="K252">
            <v>140</v>
          </cell>
          <cell r="L252">
            <v>1767.43</v>
          </cell>
          <cell r="M252">
            <v>1716.0205965</v>
          </cell>
          <cell r="N252"/>
          <cell r="O252"/>
          <cell r="P252"/>
          <cell r="Q252"/>
          <cell r="R252"/>
          <cell r="S252"/>
          <cell r="T252"/>
          <cell r="U252"/>
          <cell r="V252">
            <v>0.33333333333333331</v>
          </cell>
          <cell r="W252"/>
          <cell r="X252">
            <v>0</v>
          </cell>
          <cell r="Y252">
            <v>0.33333333333333331</v>
          </cell>
          <cell r="Z252"/>
          <cell r="AA252">
            <v>0</v>
          </cell>
          <cell r="AB252" t="e">
            <v>#DIV/0!</v>
          </cell>
        </row>
        <row r="253">
          <cell r="F253">
            <v>4902430789639</v>
          </cell>
          <cell r="G253">
            <v>4902430789639</v>
          </cell>
          <cell r="I253" t="str">
            <v>Oral-B 舒適深潔牙線, 清新薄荷, 40m, 1個</v>
          </cell>
          <cell r="J253">
            <v>24</v>
          </cell>
          <cell r="K253">
            <v>65.000000000000199</v>
          </cell>
          <cell r="L253">
            <v>1857.6</v>
          </cell>
          <cell r="M253">
            <v>1804.1662800000001</v>
          </cell>
          <cell r="N253"/>
          <cell r="O253"/>
          <cell r="P253"/>
          <cell r="Q253"/>
          <cell r="R253"/>
          <cell r="S253"/>
          <cell r="T253"/>
          <cell r="U253"/>
          <cell r="V253">
            <v>8.3333333333333329E-2</v>
          </cell>
          <cell r="W253"/>
          <cell r="X253">
            <v>0</v>
          </cell>
          <cell r="Y253">
            <v>8.3333333333333329E-2</v>
          </cell>
          <cell r="Z253"/>
          <cell r="AA253">
            <v>0</v>
          </cell>
          <cell r="AB253" t="e">
            <v>#DIV/0!</v>
          </cell>
        </row>
        <row r="254">
          <cell r="F254">
            <v>4987176294388</v>
          </cell>
          <cell r="G254">
            <v>4987176294388</v>
          </cell>
          <cell r="I254" t="str">
            <v>Gillette 吉列 刮鬍泡, 敏感肌適用, 333g, 1罐</v>
          </cell>
          <cell r="J254">
            <v>6</v>
          </cell>
          <cell r="K254">
            <v>112</v>
          </cell>
          <cell r="L254">
            <v>672</v>
          </cell>
          <cell r="M254">
            <v>645.17999999999995</v>
          </cell>
          <cell r="N254"/>
          <cell r="O254"/>
          <cell r="P254"/>
          <cell r="Q254"/>
          <cell r="R254"/>
          <cell r="S254"/>
          <cell r="T254"/>
          <cell r="U254"/>
          <cell r="V254">
            <v>0.16666666666666666</v>
          </cell>
          <cell r="W254"/>
          <cell r="X254">
            <v>0</v>
          </cell>
          <cell r="Y254">
            <v>0.16666666666666666</v>
          </cell>
          <cell r="Z254"/>
          <cell r="AA254">
            <v>0</v>
          </cell>
          <cell r="AB254" t="e">
            <v>#DIV/0!</v>
          </cell>
        </row>
        <row r="255">
          <cell r="F255">
            <v>4902430661898</v>
          </cell>
          <cell r="G255">
            <v>4902430661898</v>
          </cell>
          <cell r="I255" t="str">
            <v>HAIR RECIPE 髪的食譜 蘋果生薑防斷修護洗髮露, 530ml, 1瓶</v>
          </cell>
          <cell r="J255">
            <v>9</v>
          </cell>
          <cell r="K255">
            <v>257</v>
          </cell>
          <cell r="L255">
            <v>2452.9699999999998</v>
          </cell>
          <cell r="M255">
            <v>2386.1702234999998</v>
          </cell>
          <cell r="N255"/>
          <cell r="O255"/>
          <cell r="P255"/>
          <cell r="Q255"/>
          <cell r="R255">
            <v>121</v>
          </cell>
          <cell r="S255"/>
          <cell r="T255"/>
          <cell r="U255"/>
          <cell r="V255"/>
          <cell r="W255">
            <v>20.777777777777779</v>
          </cell>
          <cell r="X255">
            <v>121</v>
          </cell>
          <cell r="Y255">
            <v>20.777777777777779</v>
          </cell>
          <cell r="Z255">
            <v>100.22222222222223</v>
          </cell>
          <cell r="AA255">
            <v>245842.10444444444</v>
          </cell>
          <cell r="AB255">
            <v>70.018975332068308</v>
          </cell>
        </row>
        <row r="256">
          <cell r="F256">
            <v>4902430659567</v>
          </cell>
          <cell r="G256">
            <v>4902430659567</v>
          </cell>
          <cell r="I256" t="str">
            <v>HAIR RECIPE 髮的食譜 蘋果生薑防斷修護潤髮乳, 530g, 1瓶</v>
          </cell>
          <cell r="J256">
            <v>9</v>
          </cell>
          <cell r="K256">
            <v>257</v>
          </cell>
          <cell r="L256">
            <v>2452.9699999999998</v>
          </cell>
          <cell r="M256">
            <v>2386.1702234999998</v>
          </cell>
          <cell r="N256"/>
          <cell r="O256"/>
          <cell r="P256"/>
          <cell r="Q256"/>
          <cell r="R256">
            <v>61</v>
          </cell>
          <cell r="S256"/>
          <cell r="T256"/>
          <cell r="U256"/>
          <cell r="V256"/>
          <cell r="W256">
            <v>6.7777777777777777</v>
          </cell>
          <cell r="X256">
            <v>61</v>
          </cell>
          <cell r="Y256">
            <v>6.7777777777777777</v>
          </cell>
          <cell r="Z256">
            <v>54.222222222222221</v>
          </cell>
          <cell r="AA256">
            <v>133005.48444444445</v>
          </cell>
          <cell r="AB256">
            <v>116.12903225806451</v>
          </cell>
        </row>
        <row r="257">
          <cell r="F257">
            <v>4987176030351</v>
          </cell>
          <cell r="G257">
            <v>4987176030351</v>
          </cell>
          <cell r="I257" t="str">
            <v>Febreze 風倍清 浴廁用抗菌消臭防臭劑, 清爽皂香, 6ml, 2入,1組</v>
          </cell>
          <cell r="J257">
            <v>12</v>
          </cell>
          <cell r="K257">
            <v>196</v>
          </cell>
          <cell r="L257">
            <v>2734.8</v>
          </cell>
          <cell r="M257">
            <v>2661.6731400000003</v>
          </cell>
          <cell r="N257"/>
          <cell r="O257"/>
          <cell r="P257"/>
          <cell r="Q257"/>
          <cell r="R257"/>
          <cell r="S257"/>
          <cell r="T257"/>
          <cell r="U257"/>
          <cell r="V257"/>
          <cell r="W257">
            <v>8.3333333333333329E-2</v>
          </cell>
          <cell r="X257"/>
          <cell r="Y257"/>
          <cell r="Z257">
            <v>0</v>
          </cell>
          <cell r="AA257">
            <v>0</v>
          </cell>
          <cell r="AB257">
            <v>0</v>
          </cell>
        </row>
        <row r="258">
          <cell r="F258">
            <v>4987176154040</v>
          </cell>
          <cell r="G258">
            <v>4987176154040</v>
          </cell>
          <cell r="I258" t="str">
            <v>PANTENE 潘婷 爆水精華系列 爆水膠囊髮膜 Pro-V高濃保濕髮膜, 強韌防斷, 12ml, 8個</v>
          </cell>
          <cell r="J258">
            <v>12</v>
          </cell>
          <cell r="K258">
            <v>207</v>
          </cell>
          <cell r="L258">
            <v>2820</v>
          </cell>
          <cell r="M258">
            <v>2744.9603999999999</v>
          </cell>
          <cell r="N258"/>
          <cell r="O258"/>
          <cell r="P258"/>
          <cell r="Q258"/>
          <cell r="R258"/>
          <cell r="S258"/>
          <cell r="T258"/>
          <cell r="U258"/>
          <cell r="V258"/>
          <cell r="W258">
            <v>8.3333333333333329E-2</v>
          </cell>
          <cell r="X258"/>
          <cell r="Y258"/>
          <cell r="Z258">
            <v>0</v>
          </cell>
          <cell r="AA258">
            <v>0</v>
          </cell>
          <cell r="AB258">
            <v>0</v>
          </cell>
        </row>
        <row r="259">
          <cell r="F259">
            <v>4987176150035</v>
          </cell>
          <cell r="G259">
            <v>4987176150035</v>
          </cell>
          <cell r="I259" t="str">
            <v>PERT 飛柔 潤髮乳, 精萃潤養, 750g, 1瓶</v>
          </cell>
          <cell r="J259">
            <v>6</v>
          </cell>
          <cell r="K259">
            <v>113.00000000000001</v>
          </cell>
          <cell r="L259">
            <v>782.4</v>
          </cell>
          <cell r="M259">
            <v>753.10451999999998</v>
          </cell>
          <cell r="N259"/>
          <cell r="O259"/>
          <cell r="P259"/>
          <cell r="Q259"/>
          <cell r="R259"/>
          <cell r="S259"/>
          <cell r="T259"/>
          <cell r="U259"/>
          <cell r="V259"/>
          <cell r="W259">
            <v>0.33333333333333331</v>
          </cell>
          <cell r="X259"/>
          <cell r="Y259"/>
          <cell r="Z259">
            <v>0</v>
          </cell>
          <cell r="AA259">
            <v>0</v>
          </cell>
          <cell r="AB259">
            <v>0</v>
          </cell>
        </row>
        <row r="260">
          <cell r="F260">
            <v>4987176156563</v>
          </cell>
          <cell r="G260">
            <v>4987176156563</v>
          </cell>
          <cell r="I260" t="str">
            <v>Febreze 風倍清 浴廁用防霉防臭劑, 柔和花香, 7ml, 1入</v>
          </cell>
          <cell r="J260">
            <v>24</v>
          </cell>
          <cell r="K260">
            <v>126</v>
          </cell>
          <cell r="L260">
            <v>3285.6</v>
          </cell>
          <cell r="M260">
            <v>3200.1076800000001</v>
          </cell>
          <cell r="N260"/>
          <cell r="O260"/>
          <cell r="P260"/>
          <cell r="Q260"/>
          <cell r="R260"/>
          <cell r="S260"/>
          <cell r="T260"/>
          <cell r="U260"/>
          <cell r="V260"/>
          <cell r="W260">
            <v>0.16666666666666666</v>
          </cell>
          <cell r="X260"/>
          <cell r="Y260"/>
          <cell r="Z260">
            <v>0</v>
          </cell>
          <cell r="AA260">
            <v>0</v>
          </cell>
          <cell r="AB260">
            <v>0</v>
          </cell>
        </row>
        <row r="261">
          <cell r="F261">
            <v>4987176100658</v>
          </cell>
          <cell r="G261">
            <v>4987176100658</v>
          </cell>
          <cell r="I261" t="str">
            <v>[箱裝] whisper 好自在 超柔氣墊衛生棉, 28cm, 20片, 5包</v>
          </cell>
          <cell r="J261">
            <v>1</v>
          </cell>
          <cell r="K261">
            <v>479</v>
          </cell>
          <cell r="L261">
            <v>568.65</v>
          </cell>
          <cell r="M261">
            <v>531.45000000000005</v>
          </cell>
          <cell r="N261"/>
          <cell r="O261"/>
          <cell r="P261"/>
          <cell r="Q261"/>
          <cell r="R261"/>
          <cell r="S261"/>
          <cell r="T261"/>
          <cell r="U261"/>
          <cell r="V261"/>
          <cell r="W261">
            <v>1</v>
          </cell>
          <cell r="X261"/>
          <cell r="Y261"/>
          <cell r="Z261">
            <v>0</v>
          </cell>
          <cell r="AA261">
            <v>0</v>
          </cell>
          <cell r="AB261">
            <v>0</v>
          </cell>
        </row>
        <row r="262">
          <cell r="F262">
            <v>4987176277138</v>
          </cell>
          <cell r="G262">
            <v>4987176277138</v>
          </cell>
          <cell r="I262" t="str">
            <v>ARIEL抗菌洗衣精, 室內晾衣型, 800g, 1瓶</v>
          </cell>
          <cell r="J262">
            <v>9</v>
          </cell>
          <cell r="K262">
            <v>135</v>
          </cell>
          <cell r="L262">
            <v>1215</v>
          </cell>
          <cell r="M262">
            <v>1175.99</v>
          </cell>
          <cell r="N262"/>
          <cell r="O262"/>
          <cell r="P262"/>
          <cell r="Q262"/>
          <cell r="R262"/>
          <cell r="S262"/>
          <cell r="T262"/>
          <cell r="U262"/>
          <cell r="V262"/>
          <cell r="W262">
            <v>0.1111111111111111</v>
          </cell>
          <cell r="X262"/>
          <cell r="Y262"/>
          <cell r="Z262">
            <v>0</v>
          </cell>
          <cell r="AA262">
            <v>0</v>
          </cell>
          <cell r="AB262">
            <v>0</v>
          </cell>
        </row>
        <row r="263">
          <cell r="F263">
            <v>4987176276605</v>
          </cell>
          <cell r="G263">
            <v>4987176276605</v>
          </cell>
          <cell r="I263" t="str">
            <v>HAIR RECIPE 髪的食譜 生薑清茶防斷豐盈洗髮露, 530ml, 1瓶</v>
          </cell>
          <cell r="J263">
            <v>9</v>
          </cell>
          <cell r="K263">
            <v>257</v>
          </cell>
          <cell r="L263">
            <v>2452.9699999999998</v>
          </cell>
          <cell r="M263">
            <v>2386.17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>
            <v>0.1111111111111111</v>
          </cell>
          <cell r="X263"/>
          <cell r="Y263"/>
          <cell r="Z263">
            <v>0</v>
          </cell>
          <cell r="AA263">
            <v>0</v>
          </cell>
          <cell r="AB263">
            <v>0</v>
          </cell>
        </row>
        <row r="264">
          <cell r="N264">
            <v>8328</v>
          </cell>
          <cell r="O264">
            <v>7024</v>
          </cell>
          <cell r="P264">
            <v>24010.75</v>
          </cell>
          <cell r="Q264">
            <v>8203</v>
          </cell>
          <cell r="R264">
            <v>21168</v>
          </cell>
          <cell r="S264">
            <v>1460.0166666666664</v>
          </cell>
          <cell r="T264">
            <v>7559.2333333333327</v>
          </cell>
          <cell r="U264">
            <v>8185.0833333333312</v>
          </cell>
          <cell r="V264">
            <v>12589.600000000002</v>
          </cell>
          <cell r="W264">
            <v>9140.1263888888898</v>
          </cell>
          <cell r="X264">
            <v>68733.75</v>
          </cell>
          <cell r="Y264">
            <v>38932.170833333337</v>
          </cell>
          <cell r="Z264">
            <v>31765.579166666663</v>
          </cell>
          <cell r="AA264">
            <v>47404917.859930538</v>
          </cell>
          <cell r="AB264" t="e">
            <v>#DIV/0!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2"/>
      <sheetName val="Demand inbond in Sep"/>
    </sheetNames>
    <sheetDataSet>
      <sheetData sheetId="0"/>
      <sheetData sheetId="1">
        <row r="3">
          <cell r="B3"/>
          <cell r="C3"/>
          <cell r="D3"/>
          <cell r="E3"/>
          <cell r="F3"/>
          <cell r="H3">
            <v>56383</v>
          </cell>
        </row>
        <row r="4">
          <cell r="B4" t="str">
            <v>skuid</v>
          </cell>
          <cell r="C4" t="str">
            <v>Bardcode</v>
          </cell>
          <cell r="D4" t="str">
            <v>永豐料號</v>
          </cell>
          <cell r="E4" t="str">
            <v>SKU Name</v>
          </cell>
          <cell r="F4" t="str">
            <v>cogs</v>
          </cell>
          <cell r="G4" t="str">
            <v>Carton Per Unit</v>
          </cell>
          <cell r="H4" t="str">
            <v xml:space="preserve">9月總下單需求 </v>
          </cell>
          <cell r="I4" t="str">
            <v>品類</v>
          </cell>
          <cell r="J4" t="str">
            <v>PG CODE</v>
          </cell>
          <cell r="K4" t="str">
            <v>9月需求成箱</v>
          </cell>
          <cell r="L4" t="str">
            <v>備註</v>
          </cell>
          <cell r="M4" t="str">
            <v>9月Supply (CS)</v>
          </cell>
        </row>
        <row r="5">
          <cell r="B5">
            <v>439981382254592</v>
          </cell>
          <cell r="C5">
            <v>4987176247728</v>
          </cell>
          <cell r="D5">
            <v>4987176247728</v>
          </cell>
          <cell r="E5" t="str">
            <v>ARIEL 抗菌抗臭洗衣精補充包, 室內晾衣型, 1030g, 1包</v>
          </cell>
          <cell r="F5">
            <v>112</v>
          </cell>
          <cell r="G5">
            <v>8</v>
          </cell>
          <cell r="H5">
            <v>7102</v>
          </cell>
          <cell r="I5" t="str">
            <v>Fabric</v>
          </cell>
          <cell r="K5">
            <v>887</v>
          </cell>
          <cell r="M5">
            <v>0</v>
          </cell>
        </row>
        <row r="6">
          <cell r="B6">
            <v>439981382270976</v>
          </cell>
          <cell r="C6">
            <v>4987176247711</v>
          </cell>
          <cell r="D6">
            <v>4987176247711</v>
          </cell>
          <cell r="E6" t="str">
            <v>ARIEL 抗菌抗臭洗衣精補充包, 抗菌去漬型, 1030g, 1包</v>
          </cell>
          <cell r="F6">
            <v>112</v>
          </cell>
          <cell r="G6">
            <v>8</v>
          </cell>
          <cell r="H6">
            <v>8655</v>
          </cell>
          <cell r="I6" t="str">
            <v>Fabric</v>
          </cell>
          <cell r="K6">
            <v>1081</v>
          </cell>
          <cell r="M6">
            <v>0</v>
          </cell>
        </row>
        <row r="7">
          <cell r="B7">
            <v>522244896166679</v>
          </cell>
          <cell r="C7">
            <v>14987176340907</v>
          </cell>
          <cell r="D7">
            <v>4987176340900</v>
          </cell>
          <cell r="E7" t="str">
            <v>[箱裝]ARIEL 抗菌洗衣精補充包, 抗菌去漬型, 1690g, 6包</v>
          </cell>
          <cell r="F7">
            <v>1158</v>
          </cell>
          <cell r="G7">
            <v>1</v>
          </cell>
          <cell r="H7">
            <v>220</v>
          </cell>
          <cell r="I7" t="str">
            <v>Fabric</v>
          </cell>
          <cell r="K7">
            <v>220</v>
          </cell>
          <cell r="M7"/>
        </row>
        <row r="8">
          <cell r="B8">
            <v>522244896166694</v>
          </cell>
          <cell r="C8">
            <v>14987176340877</v>
          </cell>
          <cell r="D8">
            <v>4987176340870</v>
          </cell>
          <cell r="E8" t="str">
            <v>[箱裝]ARIEL 抗菌洗衣精補充包, 高效除螨, 1690g, 6包</v>
          </cell>
          <cell r="F8">
            <v>1158</v>
          </cell>
          <cell r="G8">
            <v>1</v>
          </cell>
          <cell r="H8">
            <v>0</v>
          </cell>
          <cell r="I8" t="str">
            <v>Fabric</v>
          </cell>
          <cell r="K8">
            <v>0</v>
          </cell>
          <cell r="M8">
            <v>0</v>
          </cell>
        </row>
        <row r="9">
          <cell r="B9">
            <v>522244896172125</v>
          </cell>
          <cell r="C9">
            <v>14987176340921</v>
          </cell>
          <cell r="D9">
            <v>4987176340924</v>
          </cell>
          <cell r="E9" t="str">
            <v>[箱裝]ARIEL 抗菌洗衣精補充包, 自然微香型, 1690g, 6包</v>
          </cell>
          <cell r="F9">
            <v>1158</v>
          </cell>
          <cell r="G9">
            <v>1</v>
          </cell>
          <cell r="H9">
            <v>48</v>
          </cell>
          <cell r="I9" t="str">
            <v>Fabric</v>
          </cell>
          <cell r="K9">
            <v>48</v>
          </cell>
          <cell r="M9">
            <v>5</v>
          </cell>
        </row>
        <row r="10">
          <cell r="B10">
            <v>522244896175851</v>
          </cell>
          <cell r="C10">
            <v>4987176340856</v>
          </cell>
          <cell r="D10">
            <v>4987176340856</v>
          </cell>
          <cell r="E10" t="str">
            <v>ARIEL 抗菌洗衣精補充 室內晾衣型, 1690g, 1個</v>
          </cell>
          <cell r="F10">
            <v>193</v>
          </cell>
          <cell r="G10">
            <v>6</v>
          </cell>
          <cell r="H10">
            <v>11447</v>
          </cell>
          <cell r="I10" t="str">
            <v>Fabric</v>
          </cell>
          <cell r="K10">
            <v>1907</v>
          </cell>
          <cell r="M10">
            <v>700</v>
          </cell>
        </row>
        <row r="11">
          <cell r="B11">
            <v>522244896175852</v>
          </cell>
          <cell r="C11">
            <v>4987176340900</v>
          </cell>
          <cell r="D11">
            <v>4987176340900</v>
          </cell>
          <cell r="E11" t="str">
            <v>ARIEL 抗菌洗衣精補充 抗菌去漬型, 1690g, 1個</v>
          </cell>
          <cell r="F11">
            <v>193</v>
          </cell>
          <cell r="G11">
            <v>6</v>
          </cell>
          <cell r="H11">
            <v>11650</v>
          </cell>
          <cell r="I11" t="str">
            <v>Fabric</v>
          </cell>
          <cell r="K11">
            <v>1941</v>
          </cell>
          <cell r="M11">
            <v>773</v>
          </cell>
        </row>
        <row r="12">
          <cell r="B12">
            <v>522244896175853</v>
          </cell>
          <cell r="C12">
            <v>4987176340917</v>
          </cell>
          <cell r="D12">
            <v>4987176340917</v>
          </cell>
          <cell r="E12" t="str">
            <v>ARIEL 抗菌洗衣精 抗菌去漬型, 800g, 1個</v>
          </cell>
          <cell r="F12">
            <v>122</v>
          </cell>
          <cell r="G12">
            <v>12</v>
          </cell>
          <cell r="H12">
            <v>3463</v>
          </cell>
          <cell r="I12" t="str">
            <v>Fabric</v>
          </cell>
          <cell r="K12">
            <v>288</v>
          </cell>
          <cell r="M12">
            <v>0</v>
          </cell>
        </row>
        <row r="13">
          <cell r="B13">
            <v>522244896175854</v>
          </cell>
          <cell r="C13">
            <v>4987176340924</v>
          </cell>
          <cell r="D13">
            <v>4987176340924</v>
          </cell>
          <cell r="E13" t="str">
            <v>ARIEL 抗菌洗衣精補充 自然微香型, 1690g, 1個</v>
          </cell>
          <cell r="F13">
            <v>193</v>
          </cell>
          <cell r="G13">
            <v>6</v>
          </cell>
          <cell r="H13">
            <v>1814</v>
          </cell>
          <cell r="I13" t="str">
            <v>Fabric</v>
          </cell>
          <cell r="K13">
            <v>302</v>
          </cell>
          <cell r="M13">
            <v>150</v>
          </cell>
        </row>
        <row r="14">
          <cell r="B14">
            <v>522244896175855</v>
          </cell>
          <cell r="C14">
            <v>4987176340887</v>
          </cell>
          <cell r="D14">
            <v>4987176340887</v>
          </cell>
          <cell r="E14" t="str">
            <v>ARIEL 抗菌洗衣精 自然微香型, 800g, 1個</v>
          </cell>
          <cell r="F14">
            <v>122</v>
          </cell>
          <cell r="G14">
            <v>12</v>
          </cell>
          <cell r="H14">
            <v>914</v>
          </cell>
          <cell r="I14" t="str">
            <v>Fabric</v>
          </cell>
          <cell r="K14">
            <v>76</v>
          </cell>
          <cell r="M14">
            <v>0</v>
          </cell>
        </row>
        <row r="15">
          <cell r="B15">
            <v>522244896175856</v>
          </cell>
          <cell r="C15">
            <v>4987176340931</v>
          </cell>
          <cell r="D15">
            <v>4987176340931</v>
          </cell>
          <cell r="E15" t="str">
            <v>ARIEL 抗菌洗衣精 室內晾衣型, 800g, 1瓶</v>
          </cell>
          <cell r="F15">
            <v>122</v>
          </cell>
          <cell r="G15">
            <v>12</v>
          </cell>
          <cell r="H15">
            <v>5782</v>
          </cell>
          <cell r="I15" t="str">
            <v>Fabric</v>
          </cell>
          <cell r="K15">
            <v>481</v>
          </cell>
          <cell r="M15">
            <v>0</v>
          </cell>
        </row>
        <row r="16">
          <cell r="B16">
            <v>522244896175857</v>
          </cell>
          <cell r="C16">
            <v>4987176340870</v>
          </cell>
          <cell r="D16">
            <v>4987176340870</v>
          </cell>
          <cell r="E16" t="str">
            <v>ARIEL 抗菌洗衣精補充 高效除蟎, 1690g, 1個</v>
          </cell>
          <cell r="F16">
            <v>193</v>
          </cell>
          <cell r="G16">
            <v>6</v>
          </cell>
          <cell r="H16">
            <v>1034</v>
          </cell>
          <cell r="I16" t="str">
            <v>Fabric</v>
          </cell>
          <cell r="K16">
            <v>172</v>
          </cell>
          <cell r="M16">
            <v>773</v>
          </cell>
        </row>
        <row r="17">
          <cell r="B17">
            <v>522244896175860</v>
          </cell>
          <cell r="C17">
            <v>4987176337146</v>
          </cell>
          <cell r="D17">
            <v>4987176337146</v>
          </cell>
          <cell r="E17" t="str">
            <v>ARIEL 4D抗菌洗衣膠囊補充包 自然微香型, 30個裝, 1套</v>
          </cell>
          <cell r="F17">
            <v>208</v>
          </cell>
          <cell r="G17">
            <v>10</v>
          </cell>
          <cell r="H17">
            <v>389</v>
          </cell>
          <cell r="I17" t="str">
            <v>Fabric</v>
          </cell>
          <cell r="K17">
            <v>38</v>
          </cell>
          <cell r="M17">
            <v>147</v>
          </cell>
        </row>
        <row r="18">
          <cell r="B18">
            <v>522244896175861</v>
          </cell>
          <cell r="C18">
            <v>4987176337153</v>
          </cell>
          <cell r="D18">
            <v>4987176337153</v>
          </cell>
          <cell r="E18" t="str">
            <v>ARIEL 4D抗菌洗衣膠囊補充包 抗菌去漬型, 30個裝, 1套</v>
          </cell>
          <cell r="F18">
            <v>208</v>
          </cell>
          <cell r="G18">
            <v>10</v>
          </cell>
          <cell r="H18">
            <v>8396</v>
          </cell>
          <cell r="I18" t="str">
            <v>Fabric</v>
          </cell>
          <cell r="K18">
            <v>839</v>
          </cell>
          <cell r="M18">
            <v>367</v>
          </cell>
        </row>
        <row r="19">
          <cell r="B19">
            <v>522244896175862</v>
          </cell>
          <cell r="C19">
            <v>4987176340948</v>
          </cell>
          <cell r="D19">
            <v>4987176340948</v>
          </cell>
          <cell r="E19" t="str">
            <v>ARIEL 抗菌洗衣精 高效除蟎, 800g, 1個</v>
          </cell>
          <cell r="F19">
            <v>122</v>
          </cell>
          <cell r="G19">
            <v>12</v>
          </cell>
          <cell r="H19">
            <v>2139</v>
          </cell>
          <cell r="I19" t="str">
            <v>Fabric</v>
          </cell>
          <cell r="K19">
            <v>178</v>
          </cell>
          <cell r="M19">
            <v>0</v>
          </cell>
        </row>
        <row r="20">
          <cell r="B20">
            <v>522244896175863</v>
          </cell>
          <cell r="C20">
            <v>4987176337160</v>
          </cell>
          <cell r="D20">
            <v>4987176337160</v>
          </cell>
          <cell r="E20" t="str">
            <v>ARIEL 4D抗菌洗衣膠囊補充包 室內晾衣型, 30個裝, 1套</v>
          </cell>
          <cell r="F20">
            <v>208</v>
          </cell>
          <cell r="G20">
            <v>10</v>
          </cell>
          <cell r="H20">
            <v>6758</v>
          </cell>
          <cell r="I20" t="str">
            <v>Fabric</v>
          </cell>
          <cell r="K20">
            <v>675</v>
          </cell>
          <cell r="M20">
            <v>220</v>
          </cell>
        </row>
        <row r="21">
          <cell r="B21">
            <v>522244896192055</v>
          </cell>
          <cell r="C21">
            <v>14987176340853</v>
          </cell>
          <cell r="D21">
            <v>4987176340856</v>
          </cell>
          <cell r="E21" t="str">
            <v>[箱裝]ARIEL 抗菌洗衣精補充包, 室內晾衣型, 1690g, 6包</v>
          </cell>
          <cell r="F21">
            <v>1158</v>
          </cell>
          <cell r="G21">
            <v>1</v>
          </cell>
          <cell r="H21">
            <v>578</v>
          </cell>
          <cell r="I21" t="str">
            <v>Fabric</v>
          </cell>
          <cell r="K21">
            <v>578</v>
          </cell>
          <cell r="M21"/>
        </row>
        <row r="22">
          <cell r="B22">
            <v>522244896293692</v>
          </cell>
          <cell r="C22">
            <v>4987176405289</v>
          </cell>
          <cell r="D22">
            <v>4987176405289</v>
          </cell>
          <cell r="E22" t="str">
            <v>ARIEL 4D抗菌洗衣膠囊補充包 抗菌去漬型, 80顆, 1袋</v>
          </cell>
          <cell r="F22">
            <v>447</v>
          </cell>
          <cell r="G22">
            <v>4</v>
          </cell>
          <cell r="H22">
            <v>2936</v>
          </cell>
          <cell r="I22" t="str">
            <v>Fabric</v>
          </cell>
          <cell r="K22">
            <v>734</v>
          </cell>
          <cell r="M22">
            <v>950</v>
          </cell>
        </row>
        <row r="23">
          <cell r="B23">
            <v>522244896371912</v>
          </cell>
          <cell r="C23">
            <v>4987176340863</v>
          </cell>
          <cell r="D23">
            <v>4987176340863</v>
          </cell>
          <cell r="E23" t="str">
            <v>ARIEL 原廠公司貨 抗菌洗衣精, 室內晾衣型, 1.9kg , 1瓶</v>
          </cell>
          <cell r="F23">
            <v>202</v>
          </cell>
          <cell r="G23">
            <v>6</v>
          </cell>
          <cell r="H23">
            <v>218</v>
          </cell>
          <cell r="I23" t="str">
            <v>Fabric</v>
          </cell>
          <cell r="K23">
            <v>36</v>
          </cell>
          <cell r="M23"/>
        </row>
        <row r="24">
          <cell r="B24">
            <v>522244896371913</v>
          </cell>
          <cell r="C24">
            <v>4987176340894</v>
          </cell>
          <cell r="D24">
            <v>4987176340894</v>
          </cell>
          <cell r="E24" t="str">
            <v>ARIEL 原廠公司貨 抗菌洗衣精, 抗菌去漬型, 1.9kg , 1瓶</v>
          </cell>
          <cell r="F24">
            <v>202</v>
          </cell>
          <cell r="G24">
            <v>6</v>
          </cell>
          <cell r="H24">
            <v>1482</v>
          </cell>
          <cell r="I24" t="str">
            <v>Fabric</v>
          </cell>
          <cell r="K24">
            <v>247</v>
          </cell>
          <cell r="M24">
            <v>0</v>
          </cell>
        </row>
        <row r="25">
          <cell r="B25">
            <v>522244895993400</v>
          </cell>
          <cell r="C25">
            <v>4987176339928</v>
          </cell>
          <cell r="D25">
            <v>4987176339928</v>
          </cell>
          <cell r="E25" t="str">
            <v>Bold 原廠公司貨 四合一洗衣膠囊 清淨花香, 57個裝, 1套</v>
          </cell>
          <cell r="F25">
            <v>368</v>
          </cell>
          <cell r="G25">
            <v>5</v>
          </cell>
          <cell r="H25">
            <v>1302</v>
          </cell>
          <cell r="I25" t="str">
            <v>Fabric</v>
          </cell>
          <cell r="K25">
            <v>260</v>
          </cell>
          <cell r="L25" t="str">
            <v>停產</v>
          </cell>
          <cell r="M25">
            <v>0</v>
          </cell>
        </row>
        <row r="26">
          <cell r="B26">
            <v>522244896442066</v>
          </cell>
          <cell r="C26">
            <v>4987176339935</v>
          </cell>
          <cell r="D26">
            <v>4987176339935</v>
          </cell>
          <cell r="E26" t="str">
            <v>BOLD原廠公司貨 四合一洗衣膠囊 清淨花香, 31顆 ,1袋</v>
          </cell>
          <cell r="F26">
            <v>200</v>
          </cell>
          <cell r="G26">
            <v>10</v>
          </cell>
          <cell r="H26">
            <v>187</v>
          </cell>
          <cell r="I26" t="str">
            <v>Fabric</v>
          </cell>
          <cell r="K26">
            <v>18</v>
          </cell>
          <cell r="M26">
            <v>330</v>
          </cell>
        </row>
        <row r="27">
          <cell r="B27">
            <v>522244896442065</v>
          </cell>
          <cell r="C27">
            <v>4987176339898</v>
          </cell>
          <cell r="D27">
            <v>4987176339898</v>
          </cell>
          <cell r="E27" t="str">
            <v>BOLD原廠公司貨 四合一洗衣膠囊 淡雅花香, 31顆 ,1袋</v>
          </cell>
          <cell r="F27">
            <v>200</v>
          </cell>
          <cell r="G27">
            <v>10</v>
          </cell>
          <cell r="H27">
            <v>140</v>
          </cell>
          <cell r="I27" t="str">
            <v>Fabric</v>
          </cell>
          <cell r="K27">
            <v>14</v>
          </cell>
          <cell r="M27">
            <v>330</v>
          </cell>
        </row>
        <row r="28">
          <cell r="B28">
            <v>207661639352320</v>
          </cell>
          <cell r="C28">
            <v>889714000434</v>
          </cell>
          <cell r="D28">
            <v>889714000434</v>
          </cell>
          <cell r="E28" t="str">
            <v>Crest 3D White 美白牙貼高效組 溫和型, 14次, 28片, 1盒</v>
          </cell>
          <cell r="F28">
            <v>503</v>
          </cell>
          <cell r="G28">
            <v>8</v>
          </cell>
          <cell r="H28">
            <v>729</v>
          </cell>
          <cell r="I28" t="str">
            <v>OCM</v>
          </cell>
          <cell r="K28">
            <v>91</v>
          </cell>
          <cell r="L28" t="str">
            <v>停產</v>
          </cell>
          <cell r="M28">
            <v>0</v>
          </cell>
        </row>
        <row r="29">
          <cell r="B29">
            <v>268212218314754</v>
          </cell>
          <cell r="C29">
            <v>4987176252227</v>
          </cell>
          <cell r="D29">
            <v>4987176252227</v>
          </cell>
          <cell r="E29" t="str">
            <v>Crest 台灣公司貨 香氛鎖白牙膏, 清新雪櫻, 120g, 1條</v>
          </cell>
          <cell r="F29">
            <v>91</v>
          </cell>
          <cell r="G29">
            <v>12</v>
          </cell>
          <cell r="H29">
            <v>521</v>
          </cell>
          <cell r="I29" t="str">
            <v>OCM</v>
          </cell>
          <cell r="K29">
            <v>43</v>
          </cell>
          <cell r="M29">
            <v>0</v>
          </cell>
        </row>
        <row r="30">
          <cell r="B30">
            <v>268213258534917</v>
          </cell>
          <cell r="C30">
            <v>4987176252210</v>
          </cell>
          <cell r="D30">
            <v>4987176252210</v>
          </cell>
          <cell r="E30" t="str">
            <v>Crest 台灣公司貨 香氛鎖白牙膏 海洋薄荷, 120g, 1條</v>
          </cell>
          <cell r="F30">
            <v>91</v>
          </cell>
          <cell r="G30">
            <v>12</v>
          </cell>
          <cell r="H30">
            <v>838</v>
          </cell>
          <cell r="I30" t="str">
            <v>OCM</v>
          </cell>
          <cell r="K30">
            <v>69</v>
          </cell>
          <cell r="M30">
            <v>20</v>
          </cell>
        </row>
        <row r="31">
          <cell r="B31">
            <v>270341020565504</v>
          </cell>
          <cell r="C31">
            <v>4987176139429</v>
          </cell>
          <cell r="D31">
            <v>4987176139429</v>
          </cell>
          <cell r="E31" t="str">
            <v>Crest 香氛鎖白牙膏 岡山夢白桃, 120g, 1條</v>
          </cell>
          <cell r="F31">
            <v>87</v>
          </cell>
          <cell r="G31">
            <v>12</v>
          </cell>
          <cell r="H31">
            <v>2293</v>
          </cell>
          <cell r="I31" t="str">
            <v>OCM</v>
          </cell>
          <cell r="K31">
            <v>191</v>
          </cell>
          <cell r="M31">
            <v>50</v>
          </cell>
        </row>
        <row r="32">
          <cell r="B32">
            <v>270341960073216</v>
          </cell>
          <cell r="C32">
            <v>4987176139436</v>
          </cell>
          <cell r="D32">
            <v>4987176139436</v>
          </cell>
          <cell r="E32" t="str">
            <v>Crest 原廠公司貨 香氛鎖白牙膏 清柚白茶,120g, 1條</v>
          </cell>
          <cell r="F32">
            <v>91</v>
          </cell>
          <cell r="G32">
            <v>12</v>
          </cell>
          <cell r="H32">
            <v>2286</v>
          </cell>
          <cell r="I32" t="str">
            <v>OCM</v>
          </cell>
          <cell r="K32">
            <v>190</v>
          </cell>
          <cell r="M32">
            <v>50</v>
          </cell>
        </row>
        <row r="33">
          <cell r="B33">
            <v>321088244383744</v>
          </cell>
          <cell r="C33">
            <v>4987176191557</v>
          </cell>
          <cell r="D33">
            <v>4987176191557</v>
          </cell>
          <cell r="E33" t="str">
            <v>Crest 極致鑽白牙膏 鑽感薄荷, 110g, 1條</v>
          </cell>
          <cell r="F33">
            <v>85</v>
          </cell>
          <cell r="G33">
            <v>12</v>
          </cell>
          <cell r="H33">
            <v>1768</v>
          </cell>
          <cell r="I33" t="str">
            <v>OCM</v>
          </cell>
          <cell r="K33">
            <v>147</v>
          </cell>
          <cell r="M33">
            <v>0</v>
          </cell>
        </row>
        <row r="34">
          <cell r="B34">
            <v>321088244400128</v>
          </cell>
          <cell r="C34">
            <v>4987176191540</v>
          </cell>
          <cell r="D34">
            <v>4987176191540</v>
          </cell>
          <cell r="E34" t="str">
            <v>Crest 原廠公司貨 極致鑽白牙膏 鑽亮炫白, 110g, 1條</v>
          </cell>
          <cell r="F34">
            <v>85</v>
          </cell>
          <cell r="G34">
            <v>12</v>
          </cell>
          <cell r="H34">
            <v>16755</v>
          </cell>
          <cell r="I34" t="str">
            <v>OCM</v>
          </cell>
          <cell r="K34">
            <v>1396</v>
          </cell>
          <cell r="M34">
            <v>0</v>
          </cell>
        </row>
        <row r="35">
          <cell r="B35">
            <v>333402561511427</v>
          </cell>
          <cell r="C35">
            <v>24987176191551</v>
          </cell>
          <cell r="D35">
            <v>24987176191551</v>
          </cell>
          <cell r="E35" t="str">
            <v xml:space="preserve">Crest 台灣公司貨 極致鑽白牙膏 鑽感薄荷, 110g, 6條 </v>
          </cell>
          <cell r="F35">
            <v>510</v>
          </cell>
          <cell r="G35">
            <v>2</v>
          </cell>
          <cell r="H35">
            <v>600</v>
          </cell>
          <cell r="I35" t="str">
            <v>OCM</v>
          </cell>
          <cell r="K35">
            <v>300</v>
          </cell>
          <cell r="M35">
            <v>0</v>
          </cell>
        </row>
        <row r="36">
          <cell r="B36">
            <v>333402561544193</v>
          </cell>
          <cell r="C36">
            <v>24987176191544</v>
          </cell>
          <cell r="D36">
            <v>24987176191544</v>
          </cell>
          <cell r="E36" t="str">
            <v xml:space="preserve">Crest 台灣公司貨 極致鑽白牙膏 鑽亮炫白, 110g, 6條 </v>
          </cell>
          <cell r="F36">
            <v>508</v>
          </cell>
          <cell r="G36">
            <v>2</v>
          </cell>
          <cell r="H36">
            <v>780</v>
          </cell>
          <cell r="I36" t="str">
            <v>OCM</v>
          </cell>
          <cell r="K36">
            <v>390</v>
          </cell>
          <cell r="M36">
            <v>0</v>
          </cell>
        </row>
        <row r="37">
          <cell r="B37">
            <v>333402561544194</v>
          </cell>
          <cell r="C37">
            <v>4987176191564</v>
          </cell>
          <cell r="D37">
            <v>4987176191564</v>
          </cell>
          <cell r="E37" t="str">
            <v>Crest 台灣公司貨 極致鑽白牙膏 亮白防蛀, 110g, 1條</v>
          </cell>
          <cell r="F37">
            <v>85</v>
          </cell>
          <cell r="G37">
            <v>12</v>
          </cell>
          <cell r="H37">
            <v>5895</v>
          </cell>
          <cell r="I37" t="str">
            <v>OCM</v>
          </cell>
          <cell r="K37">
            <v>491</v>
          </cell>
          <cell r="M37">
            <v>0</v>
          </cell>
        </row>
        <row r="38">
          <cell r="B38">
            <v>333402565738496</v>
          </cell>
          <cell r="C38">
            <v>24987176191568</v>
          </cell>
          <cell r="D38">
            <v>24987176191568</v>
          </cell>
          <cell r="E38" t="str">
            <v xml:space="preserve">Crest 台灣公司貨 極致鑽白牙膏 亮白防蛀, 110g, 6條 </v>
          </cell>
          <cell r="F38">
            <v>516</v>
          </cell>
          <cell r="G38">
            <v>2</v>
          </cell>
          <cell r="H38">
            <v>272</v>
          </cell>
          <cell r="I38" t="str">
            <v>OCM</v>
          </cell>
          <cell r="K38">
            <v>136</v>
          </cell>
          <cell r="M38">
            <v>100</v>
          </cell>
        </row>
        <row r="39">
          <cell r="B39">
            <v>522244896416515</v>
          </cell>
          <cell r="C39">
            <v>4987176376886</v>
          </cell>
          <cell r="D39">
            <v>4987176376886</v>
          </cell>
          <cell r="E39" t="str">
            <v>Crest 多效淨白牙膏 清爽薄荷, 120g , 1條</v>
          </cell>
          <cell r="F39">
            <v>57</v>
          </cell>
          <cell r="G39">
            <v>24</v>
          </cell>
          <cell r="H39">
            <v>187</v>
          </cell>
          <cell r="I39" t="str">
            <v>OCM</v>
          </cell>
          <cell r="K39">
            <v>7</v>
          </cell>
          <cell r="M39">
            <v>20</v>
          </cell>
        </row>
        <row r="40">
          <cell r="B40">
            <v>522244896416516</v>
          </cell>
          <cell r="C40">
            <v>4987176376879</v>
          </cell>
          <cell r="D40">
            <v>4987176376879</v>
          </cell>
          <cell r="E40" t="str">
            <v>Crest 多效淨白牙膏 檸檬青茶, 120g , 1條</v>
          </cell>
          <cell r="F40">
            <v>57</v>
          </cell>
          <cell r="G40">
            <v>24</v>
          </cell>
          <cell r="H40">
            <v>187</v>
          </cell>
          <cell r="I40" t="str">
            <v>OCM</v>
          </cell>
          <cell r="K40">
            <v>7</v>
          </cell>
          <cell r="M40">
            <v>8</v>
          </cell>
        </row>
        <row r="41">
          <cell r="B41">
            <v>522244896416517</v>
          </cell>
          <cell r="C41">
            <v>4987176376893</v>
          </cell>
          <cell r="D41">
            <v>4987176376893</v>
          </cell>
          <cell r="E41" t="str">
            <v>Crest 多效淨白牙膏 清新茉莉, 120g, 1條</v>
          </cell>
          <cell r="F41">
            <v>57</v>
          </cell>
          <cell r="G41">
            <v>24</v>
          </cell>
          <cell r="H41">
            <v>187</v>
          </cell>
          <cell r="I41" t="str">
            <v>OCM</v>
          </cell>
          <cell r="K41">
            <v>7</v>
          </cell>
          <cell r="M41">
            <v>8</v>
          </cell>
        </row>
        <row r="42">
          <cell r="B42">
            <v>522244896416691</v>
          </cell>
          <cell r="C42">
            <v>44987176376877</v>
          </cell>
          <cell r="D42">
            <v>44987176376877</v>
          </cell>
          <cell r="E42" t="str">
            <v>Crest 多效淨白牙膏 檸檬青茶, 120g, 6條</v>
          </cell>
          <cell r="F42">
            <v>342</v>
          </cell>
          <cell r="G42">
            <v>4</v>
          </cell>
          <cell r="H42">
            <v>94</v>
          </cell>
          <cell r="I42" t="str">
            <v>OCM</v>
          </cell>
          <cell r="K42">
            <v>23</v>
          </cell>
          <cell r="M42">
            <v>24</v>
          </cell>
        </row>
        <row r="43">
          <cell r="B43">
            <v>522244896416692</v>
          </cell>
          <cell r="C43">
            <v>44987176376884</v>
          </cell>
          <cell r="D43">
            <v>44987176376884</v>
          </cell>
          <cell r="E43" t="str">
            <v>Crest 多效淨白牙膏 清爽薄荷, 120g, 6條</v>
          </cell>
          <cell r="F43">
            <v>342</v>
          </cell>
          <cell r="G43">
            <v>4</v>
          </cell>
          <cell r="H43">
            <v>94</v>
          </cell>
          <cell r="I43" t="str">
            <v>OCM</v>
          </cell>
          <cell r="K43">
            <v>23</v>
          </cell>
          <cell r="M43">
            <v>24</v>
          </cell>
        </row>
        <row r="44">
          <cell r="B44">
            <v>522244896416693</v>
          </cell>
          <cell r="C44">
            <v>44987176376891</v>
          </cell>
          <cell r="D44">
            <v>44987176376891</v>
          </cell>
          <cell r="E44" t="str">
            <v>Crest 多效淨白牙膏 清新茉莉, 120g, 6條</v>
          </cell>
          <cell r="F44">
            <v>342</v>
          </cell>
          <cell r="G44">
            <v>4</v>
          </cell>
          <cell r="H44">
            <v>94</v>
          </cell>
          <cell r="I44" t="str">
            <v>OCM</v>
          </cell>
          <cell r="K44">
            <v>23</v>
          </cell>
          <cell r="M44">
            <v>24</v>
          </cell>
        </row>
        <row r="45">
          <cell r="B45">
            <v>123251334266884</v>
          </cell>
          <cell r="C45">
            <v>4987176030382</v>
          </cell>
          <cell r="D45">
            <v>4987176030382</v>
          </cell>
          <cell r="E45" t="str">
            <v>febreze 風倍清 台灣公司貨 浴廁用抗菌消臭防臭劑山谷微香, 6ml, 1入</v>
          </cell>
          <cell r="F45">
            <v>104</v>
          </cell>
          <cell r="G45">
            <v>24</v>
          </cell>
          <cell r="H45">
            <v>0</v>
          </cell>
          <cell r="I45" t="str">
            <v>Home</v>
          </cell>
          <cell r="K45">
            <v>0</v>
          </cell>
          <cell r="M45">
            <v>0</v>
          </cell>
        </row>
        <row r="46">
          <cell r="B46">
            <v>123251506233357</v>
          </cell>
          <cell r="C46">
            <v>4902430363938</v>
          </cell>
          <cell r="D46">
            <v>4902430363938</v>
          </cell>
          <cell r="E46" t="str">
            <v>Febreze 風倍清 織物除菌消臭噴霧 綠茶清香 370ml,1瓶</v>
          </cell>
          <cell r="F46">
            <v>106</v>
          </cell>
          <cell r="G46">
            <v>12</v>
          </cell>
          <cell r="H46">
            <v>1701</v>
          </cell>
          <cell r="I46" t="str">
            <v>Home</v>
          </cell>
          <cell r="K46">
            <v>141</v>
          </cell>
          <cell r="M46">
            <v>100</v>
          </cell>
        </row>
        <row r="47">
          <cell r="B47">
            <v>123251506233358</v>
          </cell>
          <cell r="C47">
            <v>4902430520294</v>
          </cell>
          <cell r="D47">
            <v>4902430520294</v>
          </cell>
          <cell r="E47" t="str">
            <v>Febreze 風倍清 織物除菌消臭噴霧 無香型,370ml, 1瓶</v>
          </cell>
          <cell r="F47">
            <v>106</v>
          </cell>
          <cell r="G47">
            <v>12</v>
          </cell>
          <cell r="H47">
            <v>924</v>
          </cell>
          <cell r="I47" t="str">
            <v>Home</v>
          </cell>
          <cell r="K47">
            <v>77</v>
          </cell>
          <cell r="L47" t="str">
            <v>停產</v>
          </cell>
          <cell r="M47">
            <v>0</v>
          </cell>
        </row>
        <row r="48">
          <cell r="B48">
            <v>123251564953603</v>
          </cell>
          <cell r="C48">
            <v>4987176030344</v>
          </cell>
          <cell r="D48">
            <v>4987176030344</v>
          </cell>
          <cell r="E48" t="str">
            <v>Febreze 風倍清 浴廁用抗菌消臭防臭劑 清爽皂香, 6ml, 1入</v>
          </cell>
          <cell r="F48">
            <v>105</v>
          </cell>
          <cell r="G48">
            <v>24</v>
          </cell>
          <cell r="H48">
            <v>0</v>
          </cell>
          <cell r="I48" t="str">
            <v>Home</v>
          </cell>
          <cell r="K48">
            <v>0</v>
          </cell>
          <cell r="M48">
            <v>0</v>
          </cell>
        </row>
        <row r="49">
          <cell r="B49">
            <v>123251585925132</v>
          </cell>
          <cell r="C49">
            <v>4902430910255</v>
          </cell>
          <cell r="D49">
            <v>4902430910255</v>
          </cell>
          <cell r="E49" t="str">
            <v>febreze 風倍清 織物除菌消臭噴霧 無香酒精+, 370ml, 1瓶</v>
          </cell>
          <cell r="F49">
            <v>106</v>
          </cell>
          <cell r="G49">
            <v>12</v>
          </cell>
          <cell r="H49">
            <v>311</v>
          </cell>
          <cell r="I49" t="str">
            <v>Home</v>
          </cell>
          <cell r="K49">
            <v>25</v>
          </cell>
          <cell r="M49">
            <v>50</v>
          </cell>
        </row>
        <row r="50">
          <cell r="B50">
            <v>123251627868166</v>
          </cell>
          <cell r="C50">
            <v>4902430363921</v>
          </cell>
          <cell r="D50">
            <v>4902430363921</v>
          </cell>
          <cell r="E50" t="str">
            <v>febreze 風倍清 台灣公司貨 織物除菌消臭噴霧 高效除菌, 370ml, 1瓶</v>
          </cell>
          <cell r="F50">
            <v>106</v>
          </cell>
          <cell r="G50">
            <v>12</v>
          </cell>
          <cell r="H50">
            <v>3416</v>
          </cell>
          <cell r="I50" t="str">
            <v>Home</v>
          </cell>
          <cell r="K50">
            <v>284</v>
          </cell>
          <cell r="M50">
            <v>150</v>
          </cell>
        </row>
        <row r="51">
          <cell r="B51">
            <v>123251669811221</v>
          </cell>
          <cell r="C51">
            <v>4902430955102</v>
          </cell>
          <cell r="D51">
            <v>4902430955102</v>
          </cell>
          <cell r="E51" t="str">
            <v>Febreze 風倍清 織物除菌消臭噴霧 補充包 ,綠茶清香, 320ml, 1包</v>
          </cell>
          <cell r="F51">
            <v>81</v>
          </cell>
          <cell r="G51">
            <v>24</v>
          </cell>
          <cell r="H51">
            <v>1225</v>
          </cell>
          <cell r="I51" t="str">
            <v>Home</v>
          </cell>
          <cell r="K51">
            <v>51</v>
          </cell>
          <cell r="M51">
            <v>51</v>
          </cell>
        </row>
        <row r="52">
          <cell r="B52">
            <v>123251669811224</v>
          </cell>
          <cell r="C52">
            <v>4902430910279</v>
          </cell>
          <cell r="D52">
            <v>4902430910279</v>
          </cell>
          <cell r="E52" t="str">
            <v>febreze 風倍清 織物除菌消臭噴霧 補充包無香含酒精, 320ml, 1包</v>
          </cell>
          <cell r="F52">
            <v>81</v>
          </cell>
          <cell r="G52">
            <v>24</v>
          </cell>
          <cell r="H52">
            <v>306</v>
          </cell>
          <cell r="I52" t="str">
            <v>Home</v>
          </cell>
          <cell r="K52">
            <v>12</v>
          </cell>
          <cell r="L52" t="str">
            <v>停產</v>
          </cell>
        </row>
        <row r="53">
          <cell r="B53">
            <v>123251770507265</v>
          </cell>
          <cell r="C53">
            <v>4902430113205</v>
          </cell>
          <cell r="D53">
            <v>4902430113205</v>
          </cell>
          <cell r="E53" t="str">
            <v>febreze 風倍清 織物除菌消臭噴霧補充包, 高效除菌, 320ml, 1包</v>
          </cell>
          <cell r="F53">
            <v>81</v>
          </cell>
          <cell r="G53">
            <v>24</v>
          </cell>
          <cell r="H53">
            <v>3774</v>
          </cell>
          <cell r="I53" t="str">
            <v>Home</v>
          </cell>
          <cell r="K53">
            <v>157</v>
          </cell>
          <cell r="M53">
            <v>150</v>
          </cell>
        </row>
        <row r="54">
          <cell r="B54">
            <v>123251871154180</v>
          </cell>
          <cell r="C54">
            <v>4987176030368</v>
          </cell>
          <cell r="D54">
            <v>4987176030368</v>
          </cell>
          <cell r="E54" t="str">
            <v>Febreze 風倍清 浴廁用抗菌消臭防臭劑 薄荷綠香,6ml 1入</v>
          </cell>
          <cell r="F54">
            <v>104</v>
          </cell>
          <cell r="G54">
            <v>24</v>
          </cell>
          <cell r="H54">
            <v>0</v>
          </cell>
          <cell r="I54" t="str">
            <v>Home</v>
          </cell>
          <cell r="K54">
            <v>0</v>
          </cell>
          <cell r="M54">
            <v>0</v>
          </cell>
        </row>
        <row r="55">
          <cell r="B55">
            <v>149777425580032</v>
          </cell>
          <cell r="C55">
            <v>4987176030399</v>
          </cell>
          <cell r="D55">
            <v>4987176030399</v>
          </cell>
          <cell r="E55" t="str">
            <v>febreze 風倍清 台灣公司貨 浴廁用抗菌消臭防臭劑 山谷微香, 6ml, 2入,1組</v>
          </cell>
          <cell r="F55">
            <v>201</v>
          </cell>
          <cell r="G55">
            <v>12</v>
          </cell>
          <cell r="H55">
            <v>1915</v>
          </cell>
          <cell r="I55" t="str">
            <v>Home</v>
          </cell>
          <cell r="K55">
            <v>159</v>
          </cell>
          <cell r="M55">
            <v>100</v>
          </cell>
        </row>
        <row r="56">
          <cell r="B56">
            <v>149777803100160</v>
          </cell>
          <cell r="C56">
            <v>4987176030351</v>
          </cell>
          <cell r="D56">
            <v>4987176030351</v>
          </cell>
          <cell r="E56" t="str">
            <v>febreze 風倍清 台灣公司貨 浴廁用抗菌消臭防臭劑, 清爽皂香, 6ml, 2入,1組</v>
          </cell>
          <cell r="F56">
            <v>196</v>
          </cell>
          <cell r="G56">
            <v>12</v>
          </cell>
          <cell r="H56">
            <v>3675</v>
          </cell>
          <cell r="I56" t="str">
            <v>Home</v>
          </cell>
          <cell r="K56">
            <v>306</v>
          </cell>
          <cell r="M56">
            <v>150</v>
          </cell>
        </row>
        <row r="57">
          <cell r="B57">
            <v>149778167988224</v>
          </cell>
          <cell r="C57">
            <v>4987176030375</v>
          </cell>
          <cell r="D57">
            <v>4987176030375</v>
          </cell>
          <cell r="E57" t="str">
            <v>febreze 風倍清 台灣公司貨 浴廁用抗菌消臭防臭劑 薄荷綠香 6ml, 2入, 1組</v>
          </cell>
          <cell r="F57">
            <v>197</v>
          </cell>
          <cell r="G57">
            <v>12</v>
          </cell>
          <cell r="H57">
            <v>1710</v>
          </cell>
          <cell r="I57" t="str">
            <v>Home</v>
          </cell>
          <cell r="K57">
            <v>142</v>
          </cell>
          <cell r="M57">
            <v>100</v>
          </cell>
        </row>
        <row r="58">
          <cell r="B58">
            <v>150831605202944</v>
          </cell>
          <cell r="C58">
            <v>4902430341479</v>
          </cell>
          <cell r="D58">
            <v>4902430341479</v>
          </cell>
          <cell r="E58" t="str">
            <v xml:space="preserve"> febreze 風倍清 台灣公司貨 Naturis天然織物噴霧, 大馬士革玫瑰&amp;天竺葵, 370ml, 1瓶</v>
          </cell>
          <cell r="F58">
            <v>135</v>
          </cell>
          <cell r="G58">
            <v>12</v>
          </cell>
          <cell r="H58">
            <v>509</v>
          </cell>
          <cell r="I58" t="str">
            <v>Home</v>
          </cell>
          <cell r="K58">
            <v>42</v>
          </cell>
        </row>
        <row r="59">
          <cell r="B59">
            <v>254116773183488</v>
          </cell>
          <cell r="C59">
            <v>4987176156570</v>
          </cell>
          <cell r="D59">
            <v>4987176156570</v>
          </cell>
          <cell r="E59" t="str">
            <v>febreze 風倍清  台灣公司貨  新包裝升級 浴廁用防霉防臭劑, 清新柑橘, 7ml, 1入</v>
          </cell>
          <cell r="F59">
            <v>118</v>
          </cell>
          <cell r="G59">
            <v>24</v>
          </cell>
          <cell r="H59">
            <v>0</v>
          </cell>
          <cell r="I59" t="str">
            <v>Home</v>
          </cell>
          <cell r="K59">
            <v>0</v>
          </cell>
          <cell r="M59">
            <v>0</v>
          </cell>
        </row>
        <row r="60">
          <cell r="B60">
            <v>254117733711873</v>
          </cell>
          <cell r="C60">
            <v>4987176156587</v>
          </cell>
          <cell r="D60">
            <v>4987176156587</v>
          </cell>
          <cell r="E60" t="str">
            <v>febreze 風倍清 台灣公司貨 新包裝升級 浴廁用防霉防臭劑, 柔和花香, 7ml, 2入,1組</v>
          </cell>
          <cell r="F60">
            <v>224</v>
          </cell>
          <cell r="G60">
            <v>12</v>
          </cell>
          <cell r="H60">
            <v>9711</v>
          </cell>
          <cell r="I60" t="str">
            <v>Home</v>
          </cell>
          <cell r="K60">
            <v>809</v>
          </cell>
          <cell r="M60">
            <v>350</v>
          </cell>
        </row>
        <row r="61">
          <cell r="B61">
            <v>254118593527808</v>
          </cell>
          <cell r="C61">
            <v>4987176156563</v>
          </cell>
          <cell r="D61">
            <v>4987176156563</v>
          </cell>
          <cell r="E61" t="str">
            <v>febreze 風倍清 台灣公司貨 新包裝升級 浴廁用防霉防臭劑, 柔和花香, 7ml, 1入</v>
          </cell>
          <cell r="F61">
            <v>126</v>
          </cell>
          <cell r="G61">
            <v>24</v>
          </cell>
          <cell r="H61">
            <v>140</v>
          </cell>
          <cell r="I61" t="str">
            <v>Home</v>
          </cell>
          <cell r="K61">
            <v>5</v>
          </cell>
          <cell r="M61">
            <v>6</v>
          </cell>
        </row>
        <row r="62">
          <cell r="B62">
            <v>254118593527810</v>
          </cell>
          <cell r="C62">
            <v>4987176156594</v>
          </cell>
          <cell r="D62">
            <v>4987176156594</v>
          </cell>
          <cell r="E62" t="str">
            <v>febreze 風倍清 台灣公司貨 新包裝升級浴廁用防霉防臭劑, 清新柑橘, 7ml, 2入,1組</v>
          </cell>
          <cell r="F62">
            <v>224</v>
          </cell>
          <cell r="G62">
            <v>12</v>
          </cell>
          <cell r="H62">
            <v>661</v>
          </cell>
          <cell r="I62" t="str">
            <v>Home</v>
          </cell>
          <cell r="K62">
            <v>55</v>
          </cell>
          <cell r="M62">
            <v>55</v>
          </cell>
        </row>
        <row r="63">
          <cell r="B63">
            <v>490667281137664</v>
          </cell>
          <cell r="C63">
            <v>4987176291929</v>
          </cell>
          <cell r="D63">
            <v>4987176291929</v>
          </cell>
          <cell r="E63" t="str">
            <v>febreze 風倍清 台灣公司貨 室內用抗菌消臭防臭劑 清爽皂香, 7ml, 1個</v>
          </cell>
          <cell r="F63">
            <v>132</v>
          </cell>
          <cell r="G63">
            <v>24</v>
          </cell>
          <cell r="H63">
            <v>634</v>
          </cell>
          <cell r="I63" t="str">
            <v>Home</v>
          </cell>
          <cell r="K63">
            <v>26</v>
          </cell>
          <cell r="M63">
            <v>26</v>
          </cell>
        </row>
        <row r="64">
          <cell r="B64">
            <v>490667281186816</v>
          </cell>
          <cell r="C64">
            <v>4987176291936</v>
          </cell>
          <cell r="D64">
            <v>4987176291936</v>
          </cell>
          <cell r="E64" t="str">
            <v>febreze 風倍清 台灣公司貨 室內用抗菌消臭防臭劑 清新白茶, 7ml, 1個</v>
          </cell>
          <cell r="F64">
            <v>132</v>
          </cell>
          <cell r="G64">
            <v>24</v>
          </cell>
          <cell r="H64">
            <v>1436</v>
          </cell>
          <cell r="I64" t="str">
            <v>Home</v>
          </cell>
          <cell r="K64">
            <v>59</v>
          </cell>
          <cell r="M64">
            <v>60</v>
          </cell>
        </row>
        <row r="65">
          <cell r="B65">
            <v>253709195886592</v>
          </cell>
          <cell r="C65">
            <v>4987176176172</v>
          </cell>
          <cell r="D65">
            <v>4987176176172</v>
          </cell>
          <cell r="E65" t="str">
            <v>Gillette 吉列 Fusion鋒隱系列刮鬍刀頭, 4個, 1組</v>
          </cell>
          <cell r="F65">
            <v>323</v>
          </cell>
          <cell r="G65">
            <v>20</v>
          </cell>
          <cell r="H65">
            <v>0</v>
          </cell>
          <cell r="I65" t="str">
            <v xml:space="preserve">Shave </v>
          </cell>
          <cell r="K65">
            <v>0</v>
          </cell>
          <cell r="M65">
            <v>23</v>
          </cell>
        </row>
        <row r="66">
          <cell r="B66">
            <v>253709195886593</v>
          </cell>
          <cell r="C66">
            <v>4987176169914</v>
          </cell>
          <cell r="D66">
            <v>4987176169914</v>
          </cell>
          <cell r="E66" t="str">
            <v>Gillette 吉列 台灣公司貨 Fusion鋒隱系列刮鬍刀頭, 8入,1組</v>
          </cell>
          <cell r="F66">
            <v>557</v>
          </cell>
          <cell r="G66">
            <v>10</v>
          </cell>
          <cell r="H66">
            <v>0</v>
          </cell>
          <cell r="I66" t="str">
            <v xml:space="preserve">Shave </v>
          </cell>
          <cell r="K66">
            <v>0</v>
          </cell>
          <cell r="M66">
            <v>122</v>
          </cell>
        </row>
        <row r="67">
          <cell r="B67">
            <v>253710156414978</v>
          </cell>
          <cell r="C67">
            <v>4987176169921</v>
          </cell>
          <cell r="D67">
            <v>4987176169921</v>
          </cell>
          <cell r="E67" t="str">
            <v>Gillette 吉列 台灣公司貨 Fusion 鋒隱系列 刮鬍刀, 刀架*1+刀頭*2, 1組</v>
          </cell>
          <cell r="F67">
            <v>185</v>
          </cell>
          <cell r="G67">
            <v>6</v>
          </cell>
          <cell r="H67">
            <v>0</v>
          </cell>
          <cell r="I67" t="str">
            <v xml:space="preserve">Shave </v>
          </cell>
          <cell r="K67">
            <v>0</v>
          </cell>
          <cell r="M67">
            <v>119</v>
          </cell>
        </row>
        <row r="68">
          <cell r="B68">
            <v>253710156414979</v>
          </cell>
          <cell r="C68">
            <v>4987176169952</v>
          </cell>
          <cell r="D68">
            <v>4987176169952</v>
          </cell>
          <cell r="E68" t="str">
            <v>Gillette 吉列 Proglide 無感系列 刮鬍刀, 刀架 + 刀頭 2個, 1盒</v>
          </cell>
          <cell r="F68">
            <v>228</v>
          </cell>
          <cell r="G68">
            <v>6</v>
          </cell>
          <cell r="H68">
            <v>0</v>
          </cell>
          <cell r="I68" t="str">
            <v xml:space="preserve">Shave </v>
          </cell>
          <cell r="K68">
            <v>0</v>
          </cell>
          <cell r="M68">
            <v>183</v>
          </cell>
        </row>
        <row r="69">
          <cell r="B69">
            <v>253711012036610</v>
          </cell>
          <cell r="C69">
            <v>4987176169969</v>
          </cell>
          <cell r="D69">
            <v>4987176169969</v>
          </cell>
          <cell r="E69" t="str">
            <v>Gillette 吉列 Proshield鋒護系列刮鬍刀, 刀架*1+刀頭*2, 1組</v>
          </cell>
          <cell r="F69">
            <v>268</v>
          </cell>
          <cell r="G69">
            <v>6</v>
          </cell>
          <cell r="H69">
            <v>187</v>
          </cell>
          <cell r="I69" t="str">
            <v xml:space="preserve">Shave </v>
          </cell>
          <cell r="K69">
            <v>31</v>
          </cell>
          <cell r="L69" t="str">
            <v>停產</v>
          </cell>
          <cell r="M69">
            <v>0</v>
          </cell>
        </row>
        <row r="70">
          <cell r="B70">
            <v>341387962695681</v>
          </cell>
          <cell r="C70">
            <v>4987176134608</v>
          </cell>
          <cell r="D70">
            <v>4987176134608</v>
          </cell>
          <cell r="E70" t="str">
            <v>Gillette 吉列 Labs 極光系列 刮鬍刀組, 刀架 + 刀頭 5個 + 刀座 + 旅行盒, 1組</v>
          </cell>
          <cell r="F70">
            <v>995</v>
          </cell>
          <cell r="G70">
            <v>6</v>
          </cell>
          <cell r="H70">
            <v>0</v>
          </cell>
          <cell r="I70" t="str">
            <v xml:space="preserve">Shave </v>
          </cell>
          <cell r="K70">
            <v>0</v>
          </cell>
          <cell r="M70">
            <v>50</v>
          </cell>
        </row>
        <row r="71">
          <cell r="B71">
            <v>341387966922752</v>
          </cell>
          <cell r="C71">
            <v>4987176134578</v>
          </cell>
          <cell r="D71">
            <v>4987176134578</v>
          </cell>
          <cell r="E71" t="str">
            <v>Gillette 吉列 Labs 極光系列 刮鬍刀組, 刀架 + 刀頭 2個 + 刀座, 1組</v>
          </cell>
          <cell r="F71">
            <v>580</v>
          </cell>
          <cell r="G71">
            <v>6</v>
          </cell>
          <cell r="H71">
            <v>0</v>
          </cell>
          <cell r="I71" t="str">
            <v xml:space="preserve">Shave </v>
          </cell>
          <cell r="K71">
            <v>0</v>
          </cell>
          <cell r="M71">
            <v>50</v>
          </cell>
        </row>
        <row r="72">
          <cell r="B72">
            <v>410946287632384</v>
          </cell>
          <cell r="C72">
            <v>4987176039545</v>
          </cell>
          <cell r="D72">
            <v>4987176039545</v>
          </cell>
          <cell r="E72" t="str">
            <v>Gillette 吉列 台灣公司貨 維納斯零瑕疵除毛刀頭, 4個, 1盒</v>
          </cell>
          <cell r="F72">
            <v>350</v>
          </cell>
          <cell r="G72">
            <v>4</v>
          </cell>
          <cell r="H72">
            <v>50</v>
          </cell>
          <cell r="I72" t="str">
            <v>Shave</v>
          </cell>
          <cell r="K72">
            <v>12</v>
          </cell>
          <cell r="L72" t="str">
            <v>停產</v>
          </cell>
        </row>
        <row r="73">
          <cell r="B73">
            <v>410946287665152</v>
          </cell>
          <cell r="C73">
            <v>4902430340526</v>
          </cell>
          <cell r="D73">
            <v>4902430340526</v>
          </cell>
          <cell r="E73" t="str">
            <v>Gillette 吉列 Mach3 Turbo 鋒速突破系列刮鬍刀頭, 4個, 1盒</v>
          </cell>
          <cell r="F73">
            <v>295</v>
          </cell>
          <cell r="G73">
            <v>12</v>
          </cell>
          <cell r="H73">
            <v>2</v>
          </cell>
          <cell r="I73" t="str">
            <v xml:space="preserve">Shave </v>
          </cell>
          <cell r="K73">
            <v>0</v>
          </cell>
          <cell r="L73" t="str">
            <v>停產</v>
          </cell>
        </row>
        <row r="74">
          <cell r="B74">
            <v>410946287665154</v>
          </cell>
          <cell r="C74">
            <v>4902430341844</v>
          </cell>
          <cell r="D74">
            <v>4902430341844</v>
          </cell>
          <cell r="E74" t="str">
            <v>Gillette 吉列 台灣公司貨 Mach3 鋒速系列刮鬍刀頭, 4個, 1盒</v>
          </cell>
          <cell r="F74">
            <v>260</v>
          </cell>
          <cell r="G74">
            <v>12</v>
          </cell>
          <cell r="H74">
            <v>114</v>
          </cell>
          <cell r="I74" t="str">
            <v xml:space="preserve">Shave </v>
          </cell>
          <cell r="K74">
            <v>9</v>
          </cell>
          <cell r="M74">
            <v>16</v>
          </cell>
        </row>
        <row r="75">
          <cell r="B75">
            <v>410946287681536</v>
          </cell>
          <cell r="C75">
            <v>4902430341820</v>
          </cell>
          <cell r="D75">
            <v>4902430341820</v>
          </cell>
          <cell r="E75" t="str">
            <v>Gillette 吉列 台灣公司貨 Mach3 鋒速系列刮鬍刀頭, 8個, 1盒</v>
          </cell>
          <cell r="F75">
            <v>435</v>
          </cell>
          <cell r="G75">
            <v>12</v>
          </cell>
          <cell r="H75">
            <v>0</v>
          </cell>
          <cell r="I75" t="str">
            <v xml:space="preserve">Shave </v>
          </cell>
          <cell r="K75">
            <v>0</v>
          </cell>
          <cell r="M75">
            <v>50</v>
          </cell>
        </row>
        <row r="76">
          <cell r="B76">
            <v>410946291843072</v>
          </cell>
          <cell r="C76">
            <v>4987176247681</v>
          </cell>
          <cell r="D76">
            <v>4987176247681</v>
          </cell>
          <cell r="E76" t="str">
            <v>Gillette 吉列 台灣公司貨 Mach3 Turbo 鋒速突破系列刮鬍刀組, 刀架+刀頭*2, 1盒</v>
          </cell>
          <cell r="F76">
            <v>180</v>
          </cell>
          <cell r="G76">
            <v>4</v>
          </cell>
          <cell r="H76">
            <v>2</v>
          </cell>
          <cell r="I76" t="str">
            <v xml:space="preserve">Shave </v>
          </cell>
          <cell r="J76"/>
          <cell r="K76">
            <v>0</v>
          </cell>
          <cell r="L76" t="str">
            <v>停產</v>
          </cell>
        </row>
        <row r="77">
          <cell r="B77">
            <v>410946291875844</v>
          </cell>
          <cell r="C77">
            <v>4987176247674</v>
          </cell>
          <cell r="D77">
            <v>4987176247674</v>
          </cell>
          <cell r="E77" t="str">
            <v>Gillette 吉列 台灣公司貨 Mach3 鋒速系列刮鬍刀組, 刀架+刀頭*2, 1盒</v>
          </cell>
          <cell r="F77">
            <v>165</v>
          </cell>
          <cell r="G77">
            <v>4</v>
          </cell>
          <cell r="H77">
            <v>0</v>
          </cell>
          <cell r="I77" t="str">
            <v xml:space="preserve">Shave </v>
          </cell>
          <cell r="K77">
            <v>0</v>
          </cell>
          <cell r="M77">
            <v>66</v>
          </cell>
        </row>
        <row r="78">
          <cell r="B78">
            <v>412848148660224</v>
          </cell>
          <cell r="C78">
            <v>4987176132185</v>
          </cell>
          <cell r="D78">
            <v>4987176132185</v>
          </cell>
          <cell r="E78" t="str">
            <v>Gillette 吉列 台灣公司貨 Labs 極光系列 刮鬍刀頭, 8個, 1盒</v>
          </cell>
          <cell r="F78">
            <v>920</v>
          </cell>
          <cell r="G78">
            <v>10</v>
          </cell>
          <cell r="H78">
            <v>0</v>
          </cell>
          <cell r="I78" t="str">
            <v xml:space="preserve">Shave </v>
          </cell>
          <cell r="K78">
            <v>0</v>
          </cell>
          <cell r="M78">
            <v>50</v>
          </cell>
        </row>
        <row r="79">
          <cell r="B79">
            <v>412848148676608</v>
          </cell>
          <cell r="C79">
            <v>4987176132178</v>
          </cell>
          <cell r="D79">
            <v>4987176132178</v>
          </cell>
          <cell r="E79" t="str">
            <v>Gillette 吉列 台灣公司貨 Labs 極光系列 刮鬍刀頭, 4個, 1盒</v>
          </cell>
          <cell r="F79">
            <v>610</v>
          </cell>
          <cell r="G79">
            <v>10</v>
          </cell>
          <cell r="H79">
            <v>123</v>
          </cell>
          <cell r="I79" t="str">
            <v xml:space="preserve">Shave </v>
          </cell>
          <cell r="K79">
            <v>12</v>
          </cell>
          <cell r="M79">
            <v>50</v>
          </cell>
        </row>
        <row r="80">
          <cell r="B80">
            <v>495828028325888</v>
          </cell>
          <cell r="C80">
            <v>4987176272768</v>
          </cell>
          <cell r="D80">
            <v>4987176272768</v>
          </cell>
          <cell r="E80" t="str">
            <v>Gillette 吉列 原廠公司貨 Proglide無感系列刮鬍刀頭, 1組, 4個</v>
          </cell>
          <cell r="F80">
            <v>470</v>
          </cell>
          <cell r="G80">
            <v>20</v>
          </cell>
          <cell r="H80">
            <v>308</v>
          </cell>
          <cell r="I80" t="str">
            <v xml:space="preserve">Shave </v>
          </cell>
          <cell r="K80">
            <v>15</v>
          </cell>
          <cell r="M80">
            <v>50</v>
          </cell>
        </row>
        <row r="81">
          <cell r="B81">
            <v>513596253454336</v>
          </cell>
          <cell r="C81">
            <v>4987176272799</v>
          </cell>
          <cell r="D81">
            <v>4987176272799</v>
          </cell>
          <cell r="E81" t="str">
            <v>Gillette 吉列 原廠公司貨 ProShield鋒護系列 刮鬍刀頭, 4個, 1組</v>
          </cell>
          <cell r="F81">
            <v>525</v>
          </cell>
          <cell r="G81">
            <v>20</v>
          </cell>
          <cell r="H81">
            <v>316</v>
          </cell>
          <cell r="I81" t="str">
            <v xml:space="preserve">Shave </v>
          </cell>
          <cell r="K81">
            <v>15</v>
          </cell>
          <cell r="M81">
            <v>50</v>
          </cell>
        </row>
        <row r="82">
          <cell r="B82">
            <v>522244895785282</v>
          </cell>
          <cell r="C82">
            <v>4987176294395</v>
          </cell>
          <cell r="D82">
            <v>4987176294395</v>
          </cell>
          <cell r="E82" t="str">
            <v>Gillette 吉列 台灣公司貨 刮鬍泡 清新檸檬, 333g, 1罐</v>
          </cell>
          <cell r="F82">
            <v>112</v>
          </cell>
          <cell r="G82">
            <v>6</v>
          </cell>
          <cell r="H82">
            <v>872</v>
          </cell>
          <cell r="I82" t="str">
            <v>Shave</v>
          </cell>
          <cell r="K82">
            <v>145</v>
          </cell>
          <cell r="M82">
            <v>500</v>
          </cell>
        </row>
        <row r="83">
          <cell r="B83">
            <v>522244895785283</v>
          </cell>
          <cell r="C83">
            <v>4987176294388</v>
          </cell>
          <cell r="D83">
            <v>4987176294388</v>
          </cell>
          <cell r="E83" t="str">
            <v>Gillette 吉列 台灣公司貨 刮鬍泡 敏感肌適用, 333g, 1罐</v>
          </cell>
          <cell r="F83">
            <v>112</v>
          </cell>
          <cell r="G83">
            <v>6</v>
          </cell>
          <cell r="H83">
            <v>1070</v>
          </cell>
          <cell r="I83" t="str">
            <v>Shave</v>
          </cell>
          <cell r="K83">
            <v>178</v>
          </cell>
        </row>
        <row r="84">
          <cell r="B84">
            <v>522244895785284</v>
          </cell>
          <cell r="C84">
            <v>4987176048950</v>
          </cell>
          <cell r="D84">
            <v>4987176048950</v>
          </cell>
          <cell r="E84" t="str">
            <v>Gillette 吉列 台灣公司貨 刮鬍泡 冰涼清爽型, 245g, 1罐</v>
          </cell>
          <cell r="F84">
            <v>112</v>
          </cell>
          <cell r="G84">
            <v>6</v>
          </cell>
          <cell r="H84">
            <v>384</v>
          </cell>
          <cell r="I84" t="str">
            <v>Shave</v>
          </cell>
          <cell r="K84">
            <v>64</v>
          </cell>
        </row>
        <row r="85">
          <cell r="B85">
            <v>522244895806737</v>
          </cell>
          <cell r="C85">
            <v>4987176293374</v>
          </cell>
          <cell r="D85">
            <v>4987176293374</v>
          </cell>
          <cell r="E85" t="str">
            <v>Gillette 吉列 服貼滑順輕便刮鬍刀, 10支, 1包</v>
          </cell>
          <cell r="F85">
            <v>93</v>
          </cell>
          <cell r="G85">
            <v>12</v>
          </cell>
          <cell r="H85">
            <v>0</v>
          </cell>
          <cell r="I85" t="str">
            <v xml:space="preserve">Shave </v>
          </cell>
          <cell r="K85">
            <v>0</v>
          </cell>
          <cell r="M85">
            <v>117</v>
          </cell>
        </row>
        <row r="86">
          <cell r="B86">
            <v>522244895873196</v>
          </cell>
          <cell r="C86">
            <v>4987176274168</v>
          </cell>
          <cell r="D86">
            <v>4987176274168</v>
          </cell>
          <cell r="E86" t="str">
            <v>Gillette 吉列 SkinGuard 紳適系列刮鬍刀頭, 4個, 1組</v>
          </cell>
          <cell r="F86">
            <v>419</v>
          </cell>
          <cell r="G86">
            <v>20</v>
          </cell>
          <cell r="H86">
            <v>31</v>
          </cell>
          <cell r="I86" t="str">
            <v xml:space="preserve">Shave </v>
          </cell>
          <cell r="K86">
            <v>1</v>
          </cell>
          <cell r="M86">
            <v>50</v>
          </cell>
        </row>
        <row r="87">
          <cell r="B87">
            <v>341102418706432</v>
          </cell>
          <cell r="C87">
            <v>4987176039569</v>
          </cell>
          <cell r="D87">
            <v>4987176039569</v>
          </cell>
          <cell r="E87" t="str">
            <v>Gillette 吉列 維納斯零瑕疵除毛刀 1刀架+2刀頭, 1組</v>
          </cell>
          <cell r="F87">
            <v>260</v>
          </cell>
          <cell r="G87">
            <v>4</v>
          </cell>
          <cell r="H87">
            <v>79</v>
          </cell>
          <cell r="I87" t="str">
            <v>Shave</v>
          </cell>
          <cell r="K87">
            <v>19</v>
          </cell>
          <cell r="L87" t="str">
            <v>停產</v>
          </cell>
        </row>
        <row r="88">
          <cell r="B88">
            <v>522244896371575</v>
          </cell>
          <cell r="C88">
            <v>4987176324023</v>
          </cell>
          <cell r="D88">
            <v>4987176324023</v>
          </cell>
          <cell r="E88" t="str">
            <v>Gillette 吉列 維納斯 敏感肌適用除毛刀, 1刀架+2刀頭, 1組</v>
          </cell>
          <cell r="F88">
            <v>289</v>
          </cell>
          <cell r="G88">
            <v>4</v>
          </cell>
          <cell r="H88">
            <v>57</v>
          </cell>
          <cell r="I88" t="str">
            <v xml:space="preserve">Shave </v>
          </cell>
          <cell r="K88">
            <v>14</v>
          </cell>
          <cell r="M88">
            <v>100</v>
          </cell>
        </row>
        <row r="89">
          <cell r="B89">
            <v>522244896412138</v>
          </cell>
          <cell r="C89">
            <v>4987176039507</v>
          </cell>
          <cell r="D89">
            <v>4987176039507</v>
          </cell>
          <cell r="E89" t="str">
            <v>Gillette 吉列 維納斯 敏感肌適用除毛刀頭, 4個, 1盒</v>
          </cell>
          <cell r="F89">
            <v>428</v>
          </cell>
          <cell r="G89">
            <v>4</v>
          </cell>
          <cell r="H89">
            <v>94</v>
          </cell>
          <cell r="I89" t="str">
            <v xml:space="preserve">Shave </v>
          </cell>
          <cell r="K89">
            <v>23</v>
          </cell>
          <cell r="M89">
            <v>100</v>
          </cell>
        </row>
        <row r="90">
          <cell r="B90">
            <v>122903878139906</v>
          </cell>
          <cell r="C90">
            <v>4902430661898</v>
          </cell>
          <cell r="D90">
            <v>4902430661898</v>
          </cell>
          <cell r="E90" t="str">
            <v>HAIR RECIPE 髪的食譜 蘋果生薑防斷修護洗髮露, 530ml, 1瓶</v>
          </cell>
          <cell r="F90">
            <v>257</v>
          </cell>
          <cell r="G90">
            <v>9</v>
          </cell>
          <cell r="H90">
            <v>0</v>
          </cell>
          <cell r="I90" t="str">
            <v>Hair</v>
          </cell>
          <cell r="K90">
            <v>0</v>
          </cell>
          <cell r="M90">
            <v>115</v>
          </cell>
        </row>
        <row r="91">
          <cell r="B91">
            <v>122904054284301</v>
          </cell>
          <cell r="C91">
            <v>4902430586177</v>
          </cell>
          <cell r="D91">
            <v>4902430586177</v>
          </cell>
          <cell r="E91" t="str">
            <v>HAIR RECIPE 髮的食譜 清爽豐盈洗髮露, 奇異果無花果, 530ml, 1瓶</v>
          </cell>
          <cell r="F91">
            <v>257</v>
          </cell>
          <cell r="G91">
            <v>9</v>
          </cell>
          <cell r="H91">
            <v>4536</v>
          </cell>
          <cell r="I91" t="str">
            <v>Hair</v>
          </cell>
          <cell r="K91">
            <v>504</v>
          </cell>
        </row>
        <row r="92">
          <cell r="B92">
            <v>122904234672129</v>
          </cell>
          <cell r="C92">
            <v>4902430659567</v>
          </cell>
          <cell r="D92">
            <v>4902430659567</v>
          </cell>
          <cell r="E92" t="str">
            <v>HAIR RECIPE 髪的料理 蘋果生薑防斷修護潤髮乳, 530g, 1瓶</v>
          </cell>
          <cell r="F92">
            <v>257</v>
          </cell>
          <cell r="G92">
            <v>9</v>
          </cell>
          <cell r="H92">
            <v>0</v>
          </cell>
          <cell r="I92" t="str">
            <v>Hair</v>
          </cell>
          <cell r="K92">
            <v>0</v>
          </cell>
          <cell r="M92">
            <v>20</v>
          </cell>
        </row>
        <row r="93">
          <cell r="B93">
            <v>122904310153222</v>
          </cell>
          <cell r="C93">
            <v>4902430587983</v>
          </cell>
          <cell r="D93">
            <v>4902430587983</v>
          </cell>
          <cell r="E93" t="str">
            <v>HAIR RECIPE 髪的料理 奇異果無花果清爽豐盈潤髮乳, 530g, 1瓶</v>
          </cell>
          <cell r="F93">
            <v>257</v>
          </cell>
          <cell r="G93">
            <v>9</v>
          </cell>
          <cell r="H93">
            <v>1495</v>
          </cell>
          <cell r="I93" t="str">
            <v>Hair</v>
          </cell>
          <cell r="K93">
            <v>166</v>
          </cell>
        </row>
        <row r="94">
          <cell r="B94">
            <v>206621296803840</v>
          </cell>
          <cell r="C94">
            <v>4987176074010</v>
          </cell>
          <cell r="D94">
            <v>4987176074010</v>
          </cell>
          <cell r="E94" t="str">
            <v>HAIR RECIPE 髮的食譜 水潤亮澤潤髮乳, 蜂蜜石榴, 530g, 1瓶</v>
          </cell>
          <cell r="F94">
            <v>257</v>
          </cell>
          <cell r="G94">
            <v>9</v>
          </cell>
          <cell r="H94">
            <v>661</v>
          </cell>
          <cell r="I94" t="str">
            <v>Hair</v>
          </cell>
          <cell r="K94">
            <v>73</v>
          </cell>
        </row>
        <row r="95">
          <cell r="B95">
            <v>206653882351616</v>
          </cell>
          <cell r="C95">
            <v>4987176074003</v>
          </cell>
          <cell r="D95">
            <v>4987176074003</v>
          </cell>
          <cell r="E95" t="str">
            <v>HAIR RECIPE 髮的食譜 水潤亮澤洗髮露, 蜂蜜石榴, 530ml, 1瓶</v>
          </cell>
          <cell r="F95">
            <v>257</v>
          </cell>
          <cell r="G95">
            <v>9</v>
          </cell>
          <cell r="H95">
            <v>966</v>
          </cell>
          <cell r="I95" t="str">
            <v>Hair</v>
          </cell>
          <cell r="K95">
            <v>107</v>
          </cell>
        </row>
        <row r="96">
          <cell r="B96">
            <v>252996164239360</v>
          </cell>
          <cell r="C96">
            <v>4987176064004</v>
          </cell>
          <cell r="D96">
            <v>4987176064004</v>
          </cell>
          <cell r="E96" t="str">
            <v>HAIR RECIPE 髮的食譜 米糠溫養豐盈洗髮露, 檸檬青檸, 350ml, 1瓶</v>
          </cell>
          <cell r="F96">
            <v>402</v>
          </cell>
          <cell r="G96">
            <v>9</v>
          </cell>
          <cell r="H96">
            <v>1689</v>
          </cell>
          <cell r="I96" t="str">
            <v>Hair</v>
          </cell>
          <cell r="K96">
            <v>187</v>
          </cell>
        </row>
        <row r="97">
          <cell r="B97">
            <v>252997019860993</v>
          </cell>
          <cell r="C97">
            <v>4987176064028</v>
          </cell>
          <cell r="D97">
            <v>4987176064028</v>
          </cell>
          <cell r="E97" t="str">
            <v>HAIR RECIPE 髮的食譜米糠溫養豐盈護髮精華素, 檸檬青檸香氛, 350g, 1瓶</v>
          </cell>
          <cell r="F97">
            <v>402</v>
          </cell>
          <cell r="G97">
            <v>9</v>
          </cell>
          <cell r="H97">
            <v>427</v>
          </cell>
          <cell r="I97" t="str">
            <v>Hair</v>
          </cell>
          <cell r="K97">
            <v>47</v>
          </cell>
        </row>
        <row r="98">
          <cell r="B98">
            <v>253728745553920</v>
          </cell>
          <cell r="C98">
            <v>4987176063960</v>
          </cell>
          <cell r="D98">
            <v>4987176063960</v>
          </cell>
          <cell r="E98" t="str">
            <v>HAIR RECIPE 髮的食譜米糠溫養修護護髮精華素, 檸檬生薑, 350ml, 1瓶</v>
          </cell>
          <cell r="F98">
            <v>402</v>
          </cell>
          <cell r="G98">
            <v>9</v>
          </cell>
          <cell r="H98">
            <v>314</v>
          </cell>
          <cell r="I98" t="str">
            <v>Hair</v>
          </cell>
          <cell r="K98">
            <v>34</v>
          </cell>
        </row>
        <row r="99">
          <cell r="B99">
            <v>253728745553923</v>
          </cell>
          <cell r="C99">
            <v>4987176063953</v>
          </cell>
          <cell r="D99">
            <v>4987176063953</v>
          </cell>
          <cell r="E99" t="str">
            <v>HAIR RECIPE 髮的食譜 米糠溫養修護洗髮露 生薑檸檬香氛, 350ml, 1瓶</v>
          </cell>
          <cell r="F99">
            <v>402</v>
          </cell>
          <cell r="G99">
            <v>9</v>
          </cell>
          <cell r="H99">
            <v>653</v>
          </cell>
          <cell r="I99" t="str">
            <v>Hair</v>
          </cell>
          <cell r="K99">
            <v>72</v>
          </cell>
        </row>
        <row r="100">
          <cell r="B100">
            <v>318210087813121</v>
          </cell>
          <cell r="C100">
            <v>4987176186317</v>
          </cell>
          <cell r="D100">
            <v>4987176186317</v>
          </cell>
          <cell r="E100" t="str">
            <v>HAIR RECIPE 髮的食譜綠茶柚子淨油保濕水感洗髮露, 1瓶, 530ml</v>
          </cell>
          <cell r="F100">
            <v>257</v>
          </cell>
          <cell r="G100">
            <v>9</v>
          </cell>
          <cell r="H100">
            <v>6990</v>
          </cell>
          <cell r="I100" t="str">
            <v>Hair</v>
          </cell>
          <cell r="K100">
            <v>776</v>
          </cell>
        </row>
        <row r="101">
          <cell r="B101">
            <v>318526598365194</v>
          </cell>
          <cell r="C101">
            <v>4987176186300</v>
          </cell>
          <cell r="D101">
            <v>4987176186300</v>
          </cell>
          <cell r="E101" t="str">
            <v>HAIR RECIPE 髮的食譜頭皮頭髮精華髮膜 6個, 1盒, 12ml</v>
          </cell>
          <cell r="F101">
            <v>189</v>
          </cell>
          <cell r="G101">
            <v>12</v>
          </cell>
          <cell r="H101">
            <v>1536</v>
          </cell>
          <cell r="I101" t="str">
            <v>Hair</v>
          </cell>
          <cell r="K101">
            <v>128</v>
          </cell>
        </row>
        <row r="102">
          <cell r="B102">
            <v>522244895884742</v>
          </cell>
          <cell r="C102">
            <v>4987176276605</v>
          </cell>
          <cell r="D102">
            <v>4987176276605</v>
          </cell>
          <cell r="E102" t="str">
            <v>HAIR RECIPE 髪的食譜 原廠公司貨 生薑清茶防斷豐盈洗髮露, 530ml, 1瓶</v>
          </cell>
          <cell r="F102">
            <v>257</v>
          </cell>
          <cell r="G102">
            <v>9</v>
          </cell>
          <cell r="H102">
            <v>2436</v>
          </cell>
          <cell r="I102" t="str">
            <v>Hair</v>
          </cell>
          <cell r="K102">
            <v>270</v>
          </cell>
        </row>
        <row r="103">
          <cell r="B103">
            <v>522244895891553</v>
          </cell>
          <cell r="C103">
            <v>4987176309655</v>
          </cell>
          <cell r="D103">
            <v>4987176309655</v>
          </cell>
          <cell r="E103" t="str">
            <v>HAIR RECIPE 髮的食譜 綠茶柚子清爽保濕洗髮露, 280ml, 1瓶</v>
          </cell>
          <cell r="F103">
            <v>135</v>
          </cell>
          <cell r="G103">
            <v>12</v>
          </cell>
          <cell r="H103">
            <v>1098</v>
          </cell>
          <cell r="I103" t="str">
            <v>Hair</v>
          </cell>
          <cell r="K103">
            <v>91</v>
          </cell>
        </row>
        <row r="104">
          <cell r="B104">
            <v>122904041734152</v>
          </cell>
          <cell r="C104">
            <v>4987176092724</v>
          </cell>
          <cell r="D104">
            <v>4987176092724</v>
          </cell>
          <cell r="E104" t="str">
            <v>head &amp; shoulders 海倫仙度絲 台灣公司貨 科研去屑洗髮露, 去油淨透, 300g, 1瓶</v>
          </cell>
          <cell r="F104">
            <v>213</v>
          </cell>
          <cell r="G104">
            <v>12</v>
          </cell>
          <cell r="H104">
            <v>927</v>
          </cell>
          <cell r="I104" t="str">
            <v>Hair</v>
          </cell>
          <cell r="K104">
            <v>77</v>
          </cell>
        </row>
        <row r="105">
          <cell r="B105">
            <v>253727889932290</v>
          </cell>
          <cell r="C105">
            <v>4987176092731</v>
          </cell>
          <cell r="D105">
            <v>4987176092731</v>
          </cell>
          <cell r="E105" t="str">
            <v>head &amp; shoulders 海倫仙度絲 科研去屑洗髮露, 瞬效止癢, 300g, 1瓶</v>
          </cell>
          <cell r="F105">
            <v>213</v>
          </cell>
          <cell r="G105">
            <v>12</v>
          </cell>
          <cell r="H105">
            <v>2361</v>
          </cell>
          <cell r="I105" t="str">
            <v>Hair</v>
          </cell>
          <cell r="K105">
            <v>196</v>
          </cell>
        </row>
        <row r="106">
          <cell r="B106">
            <v>268228529995786</v>
          </cell>
          <cell r="C106">
            <v>4987176273024</v>
          </cell>
          <cell r="D106">
            <v>4987176273024</v>
          </cell>
          <cell r="E106" t="str">
            <v>head&amp;shoulders 海倫仙度絲 去屑護理洗髮露, 淨爽止癢, 650g, 1瓶</v>
          </cell>
          <cell r="F106">
            <v>210</v>
          </cell>
          <cell r="G106">
            <v>12</v>
          </cell>
          <cell r="H106">
            <v>2126</v>
          </cell>
          <cell r="I106" t="str">
            <v>Hair</v>
          </cell>
          <cell r="K106">
            <v>177</v>
          </cell>
          <cell r="L106" t="str">
            <v>停產</v>
          </cell>
        </row>
        <row r="107">
          <cell r="B107">
            <v>313913262424069</v>
          </cell>
          <cell r="C107">
            <v>4902430699525</v>
          </cell>
          <cell r="D107">
            <v>4902430699525</v>
          </cell>
          <cell r="E107" t="str">
            <v>head&amp;shoulders 海倫仙度絲 去屑洗髮乳 絲滑柔順, 1kg + 200g, 1組</v>
          </cell>
          <cell r="F107">
            <v>241</v>
          </cell>
          <cell r="G107">
            <v>6</v>
          </cell>
          <cell r="H107">
            <v>76</v>
          </cell>
          <cell r="I107" t="str">
            <v>Hair</v>
          </cell>
          <cell r="K107">
            <v>12</v>
          </cell>
        </row>
        <row r="108">
          <cell r="B108">
            <v>410690057617408</v>
          </cell>
          <cell r="C108">
            <v>4987176222978</v>
          </cell>
          <cell r="D108">
            <v>4987176222978</v>
          </cell>
          <cell r="E108" t="str">
            <v>head&amp;shoulders 海倫仙度絲 台灣公司貨 去屑頭皮護理洗髮露 保水舒緩型, 650g, 1瓶</v>
          </cell>
          <cell r="F108">
            <v>210</v>
          </cell>
          <cell r="G108">
            <v>12</v>
          </cell>
          <cell r="H108">
            <v>832</v>
          </cell>
          <cell r="I108" t="str">
            <v>Hair</v>
          </cell>
          <cell r="K108">
            <v>69</v>
          </cell>
          <cell r="L108" t="str">
            <v>停產</v>
          </cell>
        </row>
        <row r="109">
          <cell r="B109">
            <v>410690057633793</v>
          </cell>
          <cell r="C109">
            <v>4987176222961</v>
          </cell>
          <cell r="D109">
            <v>4987176222961</v>
          </cell>
          <cell r="E109" t="str">
            <v>head&amp;shoulders 海倫仙度絲 台灣公司貨 去屑頭皮護理洗髮露 控油蓬鬆型, 650g, 1瓶</v>
          </cell>
          <cell r="F109">
            <v>210</v>
          </cell>
          <cell r="G109">
            <v>12</v>
          </cell>
          <cell r="H109">
            <v>3256</v>
          </cell>
          <cell r="I109" t="str">
            <v>Hair</v>
          </cell>
          <cell r="K109">
            <v>271</v>
          </cell>
          <cell r="L109" t="str">
            <v>停產</v>
          </cell>
        </row>
        <row r="110">
          <cell r="B110">
            <v>522244895884743</v>
          </cell>
          <cell r="C110">
            <v>4987176291561</v>
          </cell>
          <cell r="D110">
            <v>4987176291561</v>
          </cell>
          <cell r="E110" t="str">
            <v>head&amp;shoulders 海倫仙度絲 原廠公司貨 去屑頭皮護理洗髮露 淨爽止癢型, 350g, 1瓶</v>
          </cell>
          <cell r="F110">
            <v>146</v>
          </cell>
          <cell r="G110">
            <v>12</v>
          </cell>
          <cell r="H110">
            <v>1307</v>
          </cell>
          <cell r="I110" t="str">
            <v>Hair</v>
          </cell>
          <cell r="K110">
            <v>108</v>
          </cell>
        </row>
        <row r="111">
          <cell r="B111">
            <v>522244895884744</v>
          </cell>
          <cell r="C111">
            <v>4987176291554</v>
          </cell>
          <cell r="D111">
            <v>4987176291554</v>
          </cell>
          <cell r="E111" t="str">
            <v>head&amp;shoulders 海倫仙度絲 原廠公司貨 去屑頭皮護理洗髮露 控油蓬鬆型, 350g, 1瓶</v>
          </cell>
          <cell r="F111">
            <v>146</v>
          </cell>
          <cell r="G111">
            <v>12</v>
          </cell>
          <cell r="H111">
            <v>642</v>
          </cell>
          <cell r="I111" t="str">
            <v>Hair</v>
          </cell>
          <cell r="K111">
            <v>53</v>
          </cell>
        </row>
        <row r="112">
          <cell r="B112">
            <v>522244895983168</v>
          </cell>
          <cell r="C112">
            <v>4987176331823</v>
          </cell>
          <cell r="D112">
            <v>4987176331823</v>
          </cell>
          <cell r="E112" t="str">
            <v>head&amp;shoulders 海倫仙度絲 公司貨 2025 360度新升級 去屑洗髮露 強根韌髮, 680g, 1個</v>
          </cell>
          <cell r="F112">
            <v>199</v>
          </cell>
          <cell r="G112">
            <v>6</v>
          </cell>
          <cell r="H112">
            <v>131</v>
          </cell>
          <cell r="I112" t="str">
            <v>Hair</v>
          </cell>
          <cell r="K112">
            <v>21</v>
          </cell>
        </row>
        <row r="113">
          <cell r="B113">
            <v>522244895983169</v>
          </cell>
          <cell r="C113">
            <v>4987176311047</v>
          </cell>
          <cell r="D113">
            <v>4987176311047</v>
          </cell>
          <cell r="E113" t="str">
            <v>head&amp;shoulders 海倫仙度絲 公司貨 2025 360度新升級 去屑洗髮露 海洋清新, 680g, 1個</v>
          </cell>
          <cell r="F113">
            <v>199</v>
          </cell>
          <cell r="G113">
            <v>6</v>
          </cell>
          <cell r="H113">
            <v>949</v>
          </cell>
          <cell r="I113" t="str">
            <v>Hair</v>
          </cell>
          <cell r="K113">
            <v>158</v>
          </cell>
        </row>
        <row r="114">
          <cell r="B114">
            <v>522244895983170</v>
          </cell>
          <cell r="C114">
            <v>4987176311122</v>
          </cell>
          <cell r="D114">
            <v>4987176311122</v>
          </cell>
          <cell r="E114" t="str">
            <v>head&amp;shoulders 海倫仙度絲 公司貨 2025 360度新升級 舒緩去屑洗髮露 朝曦橙花, 680g, 1個</v>
          </cell>
          <cell r="F114">
            <v>199</v>
          </cell>
          <cell r="G114">
            <v>6</v>
          </cell>
          <cell r="H114">
            <v>222</v>
          </cell>
          <cell r="I114" t="str">
            <v>Hair</v>
          </cell>
          <cell r="K114">
            <v>37</v>
          </cell>
        </row>
        <row r="115">
          <cell r="B115">
            <v>522244895983171</v>
          </cell>
          <cell r="C115">
            <v>4987176311191</v>
          </cell>
          <cell r="D115">
            <v>4987176311191</v>
          </cell>
          <cell r="E115" t="str">
            <v>head&amp;shoulders 海倫仙度絲 公司貨 男用 2025 360度新升級 去屑洗髮露 健髮強韌, 680g, 1個</v>
          </cell>
          <cell r="F115">
            <v>199</v>
          </cell>
          <cell r="G115">
            <v>6</v>
          </cell>
          <cell r="H115">
            <v>184</v>
          </cell>
          <cell r="I115" t="str">
            <v>Hair</v>
          </cell>
          <cell r="K115">
            <v>30</v>
          </cell>
        </row>
        <row r="116">
          <cell r="B116">
            <v>522244895983172</v>
          </cell>
          <cell r="C116">
            <v>4987176311085</v>
          </cell>
          <cell r="D116">
            <v>4987176311085</v>
          </cell>
          <cell r="E116" t="str">
            <v>head&amp;shoulders 海倫仙度絲 公司貨 男用 2025 360度新升級 去屑洗髮露 淨爽控油, 680g, 1個</v>
          </cell>
          <cell r="F116">
            <v>199</v>
          </cell>
          <cell r="G116">
            <v>6</v>
          </cell>
          <cell r="H116">
            <v>143</v>
          </cell>
          <cell r="I116" t="str">
            <v>Hair</v>
          </cell>
          <cell r="K116">
            <v>23</v>
          </cell>
        </row>
        <row r="117">
          <cell r="B117">
            <v>474068608303106</v>
          </cell>
          <cell r="C117">
            <v>4987176274922</v>
          </cell>
          <cell r="D117">
            <v>4987176274922</v>
          </cell>
          <cell r="E117" t="str">
            <v>Lenor 蘭諾 衣物芳香豆 春暖晨露, 455ml, 1包</v>
          </cell>
          <cell r="F117">
            <v>145</v>
          </cell>
          <cell r="G117">
            <v>10</v>
          </cell>
          <cell r="H117">
            <v>0</v>
          </cell>
          <cell r="I117" t="str">
            <v>Fabric</v>
          </cell>
          <cell r="K117">
            <v>0</v>
          </cell>
          <cell r="L117" t="str">
            <v>停產</v>
          </cell>
          <cell r="M117">
            <v>0</v>
          </cell>
        </row>
        <row r="118">
          <cell r="B118">
            <v>474068608303107</v>
          </cell>
          <cell r="C118">
            <v>4987176274908</v>
          </cell>
          <cell r="D118">
            <v>4987176274908</v>
          </cell>
          <cell r="E118" t="str">
            <v>Lenor 蘭諾 衣物芳香豆 春暖晨露, 470ml, 1瓶</v>
          </cell>
          <cell r="F118">
            <v>175</v>
          </cell>
          <cell r="G118">
            <v>6</v>
          </cell>
          <cell r="H118">
            <v>398</v>
          </cell>
          <cell r="I118" t="str">
            <v>Fabric</v>
          </cell>
          <cell r="K118">
            <v>66</v>
          </cell>
          <cell r="M118">
            <v>61</v>
          </cell>
        </row>
        <row r="119">
          <cell r="B119">
            <v>474068608303118</v>
          </cell>
          <cell r="C119">
            <v>4987176274915</v>
          </cell>
          <cell r="D119">
            <v>4987176274915</v>
          </cell>
          <cell r="E119" t="str">
            <v>Lenor 蘭諾 衣物芳香豆 淨白純棉, 455ml, 1包</v>
          </cell>
          <cell r="F119">
            <v>145</v>
          </cell>
          <cell r="G119">
            <v>10</v>
          </cell>
          <cell r="H119">
            <v>626</v>
          </cell>
          <cell r="I119" t="str">
            <v>Fabric</v>
          </cell>
          <cell r="K119">
            <v>62</v>
          </cell>
          <cell r="L119" t="str">
            <v>停產</v>
          </cell>
          <cell r="M119">
            <v>0</v>
          </cell>
        </row>
        <row r="120">
          <cell r="B120">
            <v>474068608335874</v>
          </cell>
          <cell r="C120">
            <v>4987176274892</v>
          </cell>
          <cell r="D120">
            <v>4987176274892</v>
          </cell>
          <cell r="E120" t="str">
            <v>Lenor 蘭諾 衣物芳香豆 淨白純棉, 470ml, 1瓶</v>
          </cell>
          <cell r="F120">
            <v>175</v>
          </cell>
          <cell r="G120">
            <v>6</v>
          </cell>
          <cell r="H120">
            <v>1080</v>
          </cell>
          <cell r="I120" t="str">
            <v>Fabric</v>
          </cell>
          <cell r="K120">
            <v>180</v>
          </cell>
          <cell r="M120">
            <v>112</v>
          </cell>
        </row>
        <row r="121">
          <cell r="B121">
            <v>522244895806718</v>
          </cell>
          <cell r="C121">
            <v>4987176314772</v>
          </cell>
          <cell r="D121">
            <v>4987176314772</v>
          </cell>
          <cell r="E121" t="str">
            <v>Lenor 蘭諾 衣物芳香豆 雪松梔子花 補充包, 440ml, 1包</v>
          </cell>
          <cell r="F121">
            <v>143</v>
          </cell>
          <cell r="G121">
            <v>10</v>
          </cell>
          <cell r="H121">
            <v>4123</v>
          </cell>
          <cell r="I121" t="str">
            <v>Fabric</v>
          </cell>
          <cell r="K121">
            <v>412</v>
          </cell>
          <cell r="L121" t="str">
            <v>停產</v>
          </cell>
          <cell r="M121">
            <v>0</v>
          </cell>
        </row>
        <row r="122">
          <cell r="B122">
            <v>522244895806719</v>
          </cell>
          <cell r="C122">
            <v>4987176314277</v>
          </cell>
          <cell r="D122">
            <v>4987176314277</v>
          </cell>
          <cell r="E122" t="str">
            <v>Lenor 蘭諾 衣物芳香豆 甜柔麝香, 450ml, 1瓶</v>
          </cell>
          <cell r="F122">
            <v>183.00000000000003</v>
          </cell>
          <cell r="G122">
            <v>6</v>
          </cell>
          <cell r="H122">
            <v>932</v>
          </cell>
          <cell r="I122" t="str">
            <v>Fabric</v>
          </cell>
          <cell r="K122">
            <v>155</v>
          </cell>
          <cell r="M122">
            <v>204</v>
          </cell>
        </row>
        <row r="123">
          <cell r="B123">
            <v>522244895806720</v>
          </cell>
          <cell r="C123">
            <v>4987176314338</v>
          </cell>
          <cell r="D123">
            <v>4987176314338</v>
          </cell>
          <cell r="E123" t="str">
            <v>Lenor 蘭諾 衣物芳香豆 甜花石榴香, 450ml, 1瓶</v>
          </cell>
          <cell r="F123">
            <v>183.00000000000003</v>
          </cell>
          <cell r="G123">
            <v>6</v>
          </cell>
          <cell r="H123">
            <v>2168</v>
          </cell>
          <cell r="I123" t="str">
            <v>Fabric</v>
          </cell>
          <cell r="K123">
            <v>361</v>
          </cell>
          <cell r="M123">
            <v>204</v>
          </cell>
        </row>
        <row r="124">
          <cell r="B124">
            <v>522244895806721</v>
          </cell>
          <cell r="C124">
            <v>4987176314413</v>
          </cell>
          <cell r="D124">
            <v>4987176314413</v>
          </cell>
          <cell r="E124" t="str">
            <v>Lenor 蘭諾 衣物芳香豆 青檸紫羅蘭, 450ml, 1瓶</v>
          </cell>
          <cell r="F124">
            <v>183.00000000000003</v>
          </cell>
          <cell r="G124">
            <v>6</v>
          </cell>
          <cell r="H124">
            <v>438</v>
          </cell>
          <cell r="I124" t="str">
            <v>Fabric</v>
          </cell>
          <cell r="K124">
            <v>73</v>
          </cell>
          <cell r="M124">
            <v>111</v>
          </cell>
        </row>
        <row r="125">
          <cell r="B125">
            <v>522244895806722</v>
          </cell>
          <cell r="C125">
            <v>4987176314406</v>
          </cell>
          <cell r="D125">
            <v>4987176314406</v>
          </cell>
          <cell r="E125" t="str">
            <v>Lenor 蘭諾 衣物芳香豆 清晨草木, 450ml, 1瓶</v>
          </cell>
          <cell r="F125">
            <v>183.00000000000003</v>
          </cell>
          <cell r="G125">
            <v>6</v>
          </cell>
          <cell r="H125">
            <v>703</v>
          </cell>
          <cell r="I125" t="str">
            <v>Fabric</v>
          </cell>
          <cell r="K125">
            <v>117</v>
          </cell>
          <cell r="M125">
            <v>204</v>
          </cell>
        </row>
        <row r="126">
          <cell r="B126">
            <v>522244895806723</v>
          </cell>
          <cell r="C126">
            <v>4987176314222</v>
          </cell>
          <cell r="D126">
            <v>4987176314222</v>
          </cell>
          <cell r="E126" t="str">
            <v>Lenor 蘭諾 衣物芳香豆 雪松梔子花, 450ml, 1瓶</v>
          </cell>
          <cell r="F126">
            <v>183.00000000000003</v>
          </cell>
          <cell r="G126">
            <v>6</v>
          </cell>
          <cell r="H126">
            <v>2350</v>
          </cell>
          <cell r="I126" t="str">
            <v>Fabric</v>
          </cell>
          <cell r="K126">
            <v>391</v>
          </cell>
          <cell r="M126">
            <v>204</v>
          </cell>
        </row>
        <row r="127">
          <cell r="B127">
            <v>522244895806725</v>
          </cell>
          <cell r="C127">
            <v>4987176314253</v>
          </cell>
          <cell r="D127">
            <v>4987176314253</v>
          </cell>
          <cell r="E127" t="str">
            <v>Lenor 蘭諾 衣物芳香豆 潮濕天氣抗臭, 440ml, 1瓶</v>
          </cell>
          <cell r="F127">
            <v>183.00000000000003</v>
          </cell>
          <cell r="G127">
            <v>6</v>
          </cell>
          <cell r="H127">
            <v>401</v>
          </cell>
          <cell r="I127" t="str">
            <v>Fabric</v>
          </cell>
          <cell r="K127">
            <v>66</v>
          </cell>
          <cell r="M127">
            <v>102</v>
          </cell>
        </row>
        <row r="128">
          <cell r="B128">
            <v>522244895806727</v>
          </cell>
          <cell r="C128">
            <v>4987176314796</v>
          </cell>
          <cell r="D128">
            <v>4987176314796</v>
          </cell>
          <cell r="E128" t="str">
            <v>Lenor 蘭諾 衣物芳香豆 清晨草木 補充包, 440ml, 1包</v>
          </cell>
          <cell r="F128">
            <v>143</v>
          </cell>
          <cell r="G128">
            <v>10</v>
          </cell>
          <cell r="H128">
            <v>1791</v>
          </cell>
          <cell r="I128" t="str">
            <v>Fabric</v>
          </cell>
          <cell r="K128">
            <v>179</v>
          </cell>
          <cell r="L128" t="str">
            <v>停產</v>
          </cell>
          <cell r="M128">
            <v>0</v>
          </cell>
        </row>
        <row r="129">
          <cell r="B129">
            <v>522244895806728</v>
          </cell>
          <cell r="C129">
            <v>4987176314291</v>
          </cell>
          <cell r="D129">
            <v>4987176314291</v>
          </cell>
          <cell r="E129" t="str">
            <v>Lenor 蘭諾 衣物芳香豆 潮濕天氣抗臭 補充包, 430ml, 1包</v>
          </cell>
          <cell r="F129">
            <v>140</v>
          </cell>
          <cell r="G129">
            <v>10</v>
          </cell>
          <cell r="H129">
            <v>0</v>
          </cell>
          <cell r="I129" t="str">
            <v>Fabric</v>
          </cell>
          <cell r="K129">
            <v>0</v>
          </cell>
          <cell r="L129" t="str">
            <v>停產</v>
          </cell>
          <cell r="M129">
            <v>0</v>
          </cell>
        </row>
        <row r="130">
          <cell r="B130">
            <v>522244895806730</v>
          </cell>
          <cell r="C130">
            <v>4987176314789</v>
          </cell>
          <cell r="D130">
            <v>4987176314789</v>
          </cell>
          <cell r="E130" t="str">
            <v>Lenor 蘭諾 衣物芳香豆 甜柔麝香 補充包, 440ml, 1包</v>
          </cell>
          <cell r="F130">
            <v>143</v>
          </cell>
          <cell r="G130">
            <v>10</v>
          </cell>
          <cell r="H130">
            <v>2807</v>
          </cell>
          <cell r="I130" t="str">
            <v>Fabric</v>
          </cell>
          <cell r="K130">
            <v>280</v>
          </cell>
          <cell r="L130" t="str">
            <v>停產</v>
          </cell>
          <cell r="M130">
            <v>0</v>
          </cell>
        </row>
        <row r="131">
          <cell r="B131">
            <v>522244895806731</v>
          </cell>
          <cell r="C131">
            <v>4987176314802</v>
          </cell>
          <cell r="D131">
            <v>4987176314802</v>
          </cell>
          <cell r="E131" t="str">
            <v>Lenor 蘭諾 衣物芳香豆 甜花石榴香 補充包, 440ml, 1包</v>
          </cell>
          <cell r="F131">
            <v>143</v>
          </cell>
          <cell r="G131">
            <v>10</v>
          </cell>
          <cell r="H131">
            <v>2924</v>
          </cell>
          <cell r="I131" t="str">
            <v>Fabric</v>
          </cell>
          <cell r="K131">
            <v>292</v>
          </cell>
          <cell r="L131" t="str">
            <v>停產</v>
          </cell>
          <cell r="M131">
            <v>0</v>
          </cell>
        </row>
        <row r="132">
          <cell r="B132">
            <v>522244895806733</v>
          </cell>
          <cell r="C132">
            <v>4987176314765</v>
          </cell>
          <cell r="D132">
            <v>4987176314765</v>
          </cell>
          <cell r="E132" t="str">
            <v>Lenor 蘭諾 衣物芳香豆 青檸紫羅蘭 補充包, 440ml, 1包</v>
          </cell>
          <cell r="F132">
            <v>143</v>
          </cell>
          <cell r="G132">
            <v>10</v>
          </cell>
          <cell r="H132">
            <v>556</v>
          </cell>
          <cell r="I132" t="str">
            <v>Fabric</v>
          </cell>
          <cell r="K132">
            <v>55</v>
          </cell>
          <cell r="L132" t="str">
            <v>停產</v>
          </cell>
          <cell r="M132">
            <v>0</v>
          </cell>
        </row>
        <row r="133">
          <cell r="B133">
            <v>522244895806734</v>
          </cell>
          <cell r="C133">
            <v>4987176314284</v>
          </cell>
          <cell r="D133">
            <v>4987176314284</v>
          </cell>
          <cell r="E133" t="str">
            <v>Lenor 蘭諾 衣物芳香豆 運動衣物抗臭, 440ml, 1瓶</v>
          </cell>
          <cell r="F133">
            <v>183.00000000000003</v>
          </cell>
          <cell r="G133">
            <v>6</v>
          </cell>
          <cell r="H133">
            <v>845</v>
          </cell>
          <cell r="I133" t="str">
            <v>Fabric</v>
          </cell>
          <cell r="K133">
            <v>140</v>
          </cell>
          <cell r="M133">
            <v>155</v>
          </cell>
        </row>
        <row r="134">
          <cell r="B134">
            <v>522244895806735</v>
          </cell>
          <cell r="C134">
            <v>4987176314369</v>
          </cell>
          <cell r="D134">
            <v>4987176314369</v>
          </cell>
          <cell r="E134" t="str">
            <v>Lenor 蘭諾 衣物芳香豆 運動衣物抗臭 補充包, 430ml, 1包</v>
          </cell>
          <cell r="F134">
            <v>140</v>
          </cell>
          <cell r="G134">
            <v>10</v>
          </cell>
          <cell r="H134">
            <v>0</v>
          </cell>
          <cell r="I134" t="str">
            <v>Fabric</v>
          </cell>
          <cell r="K134">
            <v>0</v>
          </cell>
          <cell r="L134" t="str">
            <v>停產</v>
          </cell>
          <cell r="M134">
            <v>0</v>
          </cell>
        </row>
        <row r="135">
          <cell r="B135">
            <v>522244896317752</v>
          </cell>
          <cell r="C135">
            <v>4987176373922</v>
          </cell>
          <cell r="D135">
            <v>4987176373922</v>
          </cell>
          <cell r="E135" t="str">
            <v>Lenor 蘭諾 衣物芳香豆 甜花石榴香 補充包, 900ml, 1個</v>
          </cell>
          <cell r="F135">
            <v>272</v>
          </cell>
          <cell r="G135">
            <v>8</v>
          </cell>
          <cell r="H135">
            <v>245</v>
          </cell>
          <cell r="I135" t="str">
            <v>Fabric</v>
          </cell>
          <cell r="K135">
            <v>30</v>
          </cell>
          <cell r="M135">
            <v>103</v>
          </cell>
        </row>
        <row r="136">
          <cell r="B136">
            <v>522244896317753</v>
          </cell>
          <cell r="C136">
            <v>4987176373939</v>
          </cell>
          <cell r="D136">
            <v>4987176373939</v>
          </cell>
          <cell r="E136" t="str">
            <v>Lenor 蘭諾 衣物芳香豆 雪松梔子花 補充包, 900ml, 1個</v>
          </cell>
          <cell r="F136">
            <v>272</v>
          </cell>
          <cell r="G136">
            <v>8</v>
          </cell>
          <cell r="H136">
            <v>3934</v>
          </cell>
          <cell r="I136" t="str">
            <v>Fabric</v>
          </cell>
          <cell r="K136">
            <v>491</v>
          </cell>
          <cell r="M136">
            <v>137</v>
          </cell>
        </row>
        <row r="137">
          <cell r="B137">
            <v>522244896317754</v>
          </cell>
          <cell r="C137">
            <v>4987176373885</v>
          </cell>
          <cell r="D137">
            <v>4987176373885</v>
          </cell>
          <cell r="E137" t="str">
            <v>Lenor 蘭諾 衣物芳香豆 運動衣物抗臭 補充包, 880ml, 1個</v>
          </cell>
          <cell r="F137">
            <v>272</v>
          </cell>
          <cell r="G137">
            <v>8</v>
          </cell>
          <cell r="H137">
            <v>1057</v>
          </cell>
          <cell r="I137" t="str">
            <v>Fabric</v>
          </cell>
          <cell r="K137">
            <v>132</v>
          </cell>
          <cell r="M137">
            <v>122</v>
          </cell>
        </row>
        <row r="138">
          <cell r="B138">
            <v>522244896317755</v>
          </cell>
          <cell r="C138">
            <v>4987176373861</v>
          </cell>
          <cell r="D138">
            <v>4987176373861</v>
          </cell>
          <cell r="E138" t="str">
            <v>Lenor 蘭諾 衣物芳香豆 清晨草木 補充包, 900ml, 1個</v>
          </cell>
          <cell r="F138">
            <v>272</v>
          </cell>
          <cell r="G138">
            <v>8</v>
          </cell>
          <cell r="H138">
            <v>589</v>
          </cell>
          <cell r="I138" t="str">
            <v>Fabric</v>
          </cell>
          <cell r="K138">
            <v>73</v>
          </cell>
          <cell r="M138">
            <v>125</v>
          </cell>
        </row>
        <row r="139">
          <cell r="B139">
            <v>522244896317756</v>
          </cell>
          <cell r="C139">
            <v>4987176373908</v>
          </cell>
          <cell r="D139">
            <v>4987176373908</v>
          </cell>
          <cell r="E139" t="str">
            <v>Lenor 蘭諾 衣物芳香豆 淨白純棉 補充包, 940ml, 1個</v>
          </cell>
          <cell r="F139">
            <v>272</v>
          </cell>
          <cell r="G139">
            <v>8</v>
          </cell>
          <cell r="H139">
            <v>923</v>
          </cell>
          <cell r="I139" t="str">
            <v>Fabric</v>
          </cell>
          <cell r="K139">
            <v>115</v>
          </cell>
          <cell r="M139">
            <v>52</v>
          </cell>
        </row>
        <row r="140">
          <cell r="B140">
            <v>522244896317757</v>
          </cell>
          <cell r="C140">
            <v>4987176373878</v>
          </cell>
          <cell r="D140">
            <v>4987176373878</v>
          </cell>
          <cell r="E140" t="str">
            <v>Lenor 蘭諾 衣物芳香豆 青檸紫羅蘭 補充包, 900ml, 1個</v>
          </cell>
          <cell r="F140">
            <v>272</v>
          </cell>
          <cell r="G140">
            <v>8</v>
          </cell>
          <cell r="H140">
            <v>0</v>
          </cell>
          <cell r="I140" t="str">
            <v>Fabric</v>
          </cell>
          <cell r="K140">
            <v>0</v>
          </cell>
          <cell r="M140">
            <v>100</v>
          </cell>
        </row>
        <row r="141">
          <cell r="B141">
            <v>522244896317758</v>
          </cell>
          <cell r="C141">
            <v>4987176373854</v>
          </cell>
          <cell r="D141">
            <v>4987176373854</v>
          </cell>
          <cell r="E141" t="str">
            <v>Lenor 蘭諾 衣物芳香豆 春暖晨露 補充包, 940ml, 1個</v>
          </cell>
          <cell r="F141">
            <v>272</v>
          </cell>
          <cell r="G141">
            <v>8</v>
          </cell>
          <cell r="H141">
            <v>405</v>
          </cell>
          <cell r="I141" t="str">
            <v>Fabric</v>
          </cell>
          <cell r="K141">
            <v>50</v>
          </cell>
          <cell r="M141">
            <v>50</v>
          </cell>
        </row>
        <row r="142">
          <cell r="B142">
            <v>522244896317759</v>
          </cell>
          <cell r="C142">
            <v>4987176373915</v>
          </cell>
          <cell r="D142">
            <v>4987176373915</v>
          </cell>
          <cell r="E142" t="str">
            <v>Lenor 蘭諾 衣物芳香豆 潮濕天氣抗臭 補充包, 880ml, 1個</v>
          </cell>
          <cell r="F142">
            <v>272</v>
          </cell>
          <cell r="G142">
            <v>8</v>
          </cell>
          <cell r="H142">
            <v>0</v>
          </cell>
          <cell r="I142" t="str">
            <v>Fabric</v>
          </cell>
          <cell r="K142">
            <v>0</v>
          </cell>
          <cell r="M142">
            <v>80</v>
          </cell>
        </row>
        <row r="143">
          <cell r="B143">
            <v>522244896317760</v>
          </cell>
          <cell r="C143">
            <v>4987176373892</v>
          </cell>
          <cell r="D143">
            <v>4987176373892</v>
          </cell>
          <cell r="E143" t="str">
            <v>Lenor 蘭諾 衣物芳香豆 甜柔麝香 補充包, 900ml, 1個</v>
          </cell>
          <cell r="F143">
            <v>272</v>
          </cell>
          <cell r="G143">
            <v>8</v>
          </cell>
          <cell r="H143">
            <v>2082</v>
          </cell>
          <cell r="I143" t="str">
            <v>Fabric</v>
          </cell>
          <cell r="K143">
            <v>260</v>
          </cell>
          <cell r="M143">
            <v>131</v>
          </cell>
        </row>
        <row r="144">
          <cell r="B144">
            <v>122903488086024</v>
          </cell>
          <cell r="C144">
            <v>4902430056496</v>
          </cell>
          <cell r="D144">
            <v>4902430056496</v>
          </cell>
          <cell r="E144" t="str">
            <v>OLAY 歐蕾 活膚菁華霜, 50g, 1罐</v>
          </cell>
          <cell r="F144">
            <v>264</v>
          </cell>
          <cell r="G144">
            <v>6</v>
          </cell>
          <cell r="H144">
            <v>0</v>
          </cell>
          <cell r="I144" t="str">
            <v>Skin</v>
          </cell>
          <cell r="K144">
            <v>0</v>
          </cell>
          <cell r="M144">
            <v>90</v>
          </cell>
        </row>
        <row r="145">
          <cell r="B145">
            <v>122903701962810</v>
          </cell>
          <cell r="C145">
            <v>4902430396059</v>
          </cell>
          <cell r="D145">
            <v>4902430396059</v>
          </cell>
          <cell r="E145" t="str">
            <v>OLAY 歐蕾 多元修護霜無香料配方, 50g , 1入</v>
          </cell>
          <cell r="F145">
            <v>365</v>
          </cell>
          <cell r="G145">
            <v>6</v>
          </cell>
          <cell r="H145">
            <v>0</v>
          </cell>
          <cell r="I145" t="str">
            <v>Skin</v>
          </cell>
          <cell r="K145">
            <v>0</v>
          </cell>
          <cell r="M145">
            <v>64</v>
          </cell>
        </row>
        <row r="146">
          <cell r="B146">
            <v>122903777492994</v>
          </cell>
          <cell r="C146">
            <v>4902430509695</v>
          </cell>
          <cell r="D146">
            <v>4902430509695</v>
          </cell>
          <cell r="E146" t="str">
            <v>OLAY 歐蕾 長效保濕凝露, 50g, 1罐</v>
          </cell>
          <cell r="F146">
            <v>196</v>
          </cell>
          <cell r="G146">
            <v>12</v>
          </cell>
          <cell r="H146">
            <v>0</v>
          </cell>
          <cell r="I146" t="str">
            <v>Skin</v>
          </cell>
          <cell r="K146">
            <v>0</v>
          </cell>
          <cell r="M146">
            <v>24</v>
          </cell>
        </row>
        <row r="147">
          <cell r="B147">
            <v>122903899111425</v>
          </cell>
          <cell r="C147">
            <v>4902430396073</v>
          </cell>
          <cell r="D147">
            <v>4902430396073</v>
          </cell>
          <cell r="E147" t="str">
            <v>OLAY 歐蕾 多元修護日霜, 50g, 1罐</v>
          </cell>
          <cell r="F147">
            <v>355</v>
          </cell>
          <cell r="G147">
            <v>12</v>
          </cell>
          <cell r="H147">
            <v>0</v>
          </cell>
          <cell r="I147" t="str">
            <v>Skin</v>
          </cell>
          <cell r="K147">
            <v>0</v>
          </cell>
          <cell r="M147">
            <v>45</v>
          </cell>
        </row>
        <row r="148">
          <cell r="B148">
            <v>276161087094784</v>
          </cell>
          <cell r="C148">
            <v>9300618556502</v>
          </cell>
          <cell r="D148">
            <v>9300618556502</v>
          </cell>
          <cell r="E148" t="str">
            <v>OLAY 歐蕾 滋潤保濕乳液, 150ml, 1瓶</v>
          </cell>
          <cell r="F148">
            <v>176</v>
          </cell>
          <cell r="G148">
            <v>6</v>
          </cell>
          <cell r="H148">
            <v>0</v>
          </cell>
          <cell r="I148" t="str">
            <v>Skin</v>
          </cell>
          <cell r="K148">
            <v>0</v>
          </cell>
          <cell r="M148">
            <v>94</v>
          </cell>
        </row>
        <row r="149">
          <cell r="B149">
            <v>276162269921280</v>
          </cell>
          <cell r="C149">
            <v>4902430396066</v>
          </cell>
          <cell r="D149">
            <v>4902430396066</v>
          </cell>
          <cell r="E149" t="str">
            <v>OLAY 歐蕾 多元修護晚霜(6066), 50g, 1罐</v>
          </cell>
          <cell r="F149">
            <v>355</v>
          </cell>
          <cell r="G149">
            <v>12</v>
          </cell>
          <cell r="H149">
            <v>53</v>
          </cell>
          <cell r="I149" t="str">
            <v>Skin</v>
          </cell>
          <cell r="K149">
            <v>4</v>
          </cell>
          <cell r="M149">
            <v>41</v>
          </cell>
        </row>
        <row r="150">
          <cell r="B150">
            <v>276162269921283</v>
          </cell>
          <cell r="C150">
            <v>4987176106438</v>
          </cell>
          <cell r="D150">
            <v>4987176106438</v>
          </cell>
          <cell r="E150" t="str">
            <v>OLAY 歐蕾水感透白光曜精華水, 150ml, 1瓶</v>
          </cell>
          <cell r="F150">
            <v>502</v>
          </cell>
          <cell r="G150">
            <v>12</v>
          </cell>
          <cell r="H150">
            <v>0</v>
          </cell>
          <cell r="I150" t="str">
            <v>Skin</v>
          </cell>
          <cell r="K150">
            <v>0</v>
          </cell>
          <cell r="M150">
            <v>47</v>
          </cell>
        </row>
        <row r="151">
          <cell r="B151">
            <v>321532542779397</v>
          </cell>
          <cell r="C151">
            <v>4987176161734</v>
          </cell>
          <cell r="D151">
            <v>4987176161734</v>
          </cell>
          <cell r="E151" t="str">
            <v>OLAY 歐蕾 滋潤緊緻優惠組 護膚霜50g+護膚霜14g*2+精華水18ml*2, 1組</v>
          </cell>
          <cell r="F151">
            <v>565</v>
          </cell>
          <cell r="G151">
            <v>6</v>
          </cell>
          <cell r="H151">
            <v>184</v>
          </cell>
          <cell r="I151" t="str">
            <v>Skin</v>
          </cell>
          <cell r="K151">
            <v>30</v>
          </cell>
          <cell r="L151" t="str">
            <v>停產</v>
          </cell>
          <cell r="M151">
            <v>0</v>
          </cell>
        </row>
        <row r="152">
          <cell r="B152">
            <v>321532542828554</v>
          </cell>
          <cell r="C152">
            <v>4987176146700</v>
          </cell>
          <cell r="D152">
            <v>4987176146700</v>
          </cell>
          <cell r="E152" t="str">
            <v>OLAY 歐蕾 台灣公司貨 多效防曬日霜優惠組, 1組</v>
          </cell>
          <cell r="F152">
            <v>726</v>
          </cell>
          <cell r="G152">
            <v>12</v>
          </cell>
          <cell r="H152">
            <v>115</v>
          </cell>
          <cell r="I152" t="str">
            <v>Skin</v>
          </cell>
          <cell r="K152">
            <v>9</v>
          </cell>
          <cell r="M152">
            <v>13</v>
          </cell>
        </row>
        <row r="153">
          <cell r="B153">
            <v>445009312546816</v>
          </cell>
          <cell r="C153">
            <v>4987176250353</v>
          </cell>
          <cell r="D153">
            <v>4987176250353</v>
          </cell>
          <cell r="E153" t="str">
            <v>OLAY 歐蕾 台灣公司貨 水感透白面膜, 5片, 1盒</v>
          </cell>
          <cell r="F153">
            <v>263</v>
          </cell>
          <cell r="G153">
            <v>6</v>
          </cell>
          <cell r="H153">
            <v>0</v>
          </cell>
          <cell r="I153" t="str">
            <v>Skin</v>
          </cell>
          <cell r="K153">
            <v>0</v>
          </cell>
          <cell r="M153">
            <v>73</v>
          </cell>
        </row>
        <row r="154">
          <cell r="B154">
            <v>511404431867904</v>
          </cell>
          <cell r="C154">
            <v>4987176190734</v>
          </cell>
          <cell r="D154">
            <v>4987176190734</v>
          </cell>
          <cell r="E154" t="str">
            <v>OLAY 歐蕾 台灣公司貨 抗皺保濕面膜, 5片, 1盒</v>
          </cell>
          <cell r="F154">
            <v>264</v>
          </cell>
          <cell r="G154">
            <v>12</v>
          </cell>
          <cell r="H154">
            <v>372</v>
          </cell>
          <cell r="I154" t="str">
            <v>Skin</v>
          </cell>
          <cell r="K154">
            <v>31</v>
          </cell>
          <cell r="L154" t="str">
            <v>停產</v>
          </cell>
          <cell r="M154">
            <v>0</v>
          </cell>
        </row>
        <row r="155">
          <cell r="B155">
            <v>522244895786668</v>
          </cell>
          <cell r="C155">
            <v>4987176271624</v>
          </cell>
          <cell r="D155">
            <v>4987176271624</v>
          </cell>
          <cell r="E155" t="str">
            <v>OLAY 歐蕾 台灣公司貨 滋潤保溼霜, 100g, 1罐</v>
          </cell>
          <cell r="F155">
            <v>220</v>
          </cell>
          <cell r="G155">
            <v>6</v>
          </cell>
          <cell r="H155">
            <v>136</v>
          </cell>
          <cell r="I155" t="str">
            <v>Skin</v>
          </cell>
          <cell r="K155">
            <v>22</v>
          </cell>
          <cell r="M155">
            <v>22</v>
          </cell>
        </row>
        <row r="156">
          <cell r="B156">
            <v>522244895786669</v>
          </cell>
          <cell r="C156">
            <v>4987176271617</v>
          </cell>
          <cell r="D156">
            <v>4987176271617</v>
          </cell>
          <cell r="E156" t="str">
            <v>OLAY 歐蕾 台灣公司貨 滋潤保濕霜 無添加色素香料, 100g, 1罐</v>
          </cell>
          <cell r="F156">
            <v>220</v>
          </cell>
          <cell r="G156">
            <v>6</v>
          </cell>
          <cell r="H156">
            <v>63</v>
          </cell>
          <cell r="I156" t="str">
            <v>Skin</v>
          </cell>
          <cell r="K156">
            <v>10</v>
          </cell>
          <cell r="M156">
            <v>47</v>
          </cell>
        </row>
        <row r="157">
          <cell r="B157">
            <v>522244896393811</v>
          </cell>
          <cell r="C157">
            <v>4987176357526</v>
          </cell>
          <cell r="D157">
            <v>4987176357526</v>
          </cell>
          <cell r="E157" t="str">
            <v>OLAY 歐蕾 台灣公司貨 胜肽專研密集奢護面膜, 5片, 1盒</v>
          </cell>
          <cell r="F157">
            <v>280</v>
          </cell>
          <cell r="G157">
            <v>12</v>
          </cell>
          <cell r="H157">
            <v>0</v>
          </cell>
          <cell r="I157" t="str">
            <v>Skin</v>
          </cell>
          <cell r="K157">
            <v>0</v>
          </cell>
          <cell r="M157">
            <v>71</v>
          </cell>
        </row>
        <row r="158">
          <cell r="B158">
            <v>123251229442058</v>
          </cell>
          <cell r="C158">
            <v>3014260814854</v>
          </cell>
          <cell r="D158">
            <v>3014260814854</v>
          </cell>
          <cell r="E158" t="str">
            <v>Oral-B 歐樂B 薄荷微蠟牙線, 50m, 2入, 1組</v>
          </cell>
          <cell r="F158">
            <v>57</v>
          </cell>
          <cell r="G158">
            <v>24</v>
          </cell>
          <cell r="H158">
            <v>7847</v>
          </cell>
          <cell r="I158" t="str">
            <v>OCM</v>
          </cell>
          <cell r="K158">
            <v>326</v>
          </cell>
        </row>
        <row r="159">
          <cell r="B159">
            <v>123251468500998</v>
          </cell>
          <cell r="C159">
            <v>3014260814847</v>
          </cell>
          <cell r="D159">
            <v>3014260814847</v>
          </cell>
          <cell r="E159" t="str">
            <v>Oral-B 歐樂B 無蠟牙線, 50m, 2入, 1組</v>
          </cell>
          <cell r="F159">
            <v>58</v>
          </cell>
          <cell r="G159">
            <v>24</v>
          </cell>
          <cell r="H159">
            <v>4639</v>
          </cell>
          <cell r="I159" t="str">
            <v>OCM</v>
          </cell>
          <cell r="K159">
            <v>193</v>
          </cell>
        </row>
        <row r="160">
          <cell r="B160">
            <v>253728745553922</v>
          </cell>
          <cell r="C160">
            <v>4902430826846</v>
          </cell>
          <cell r="D160">
            <v>4902430826846</v>
          </cell>
          <cell r="E160" t="str">
            <v>Oral-B 歐樂B 抗敏護齦牙膏 極速抗敏, 海洋薄荷, 90g, 1條</v>
          </cell>
          <cell r="F160">
            <v>99</v>
          </cell>
          <cell r="G160">
            <v>12</v>
          </cell>
          <cell r="H160">
            <v>899</v>
          </cell>
          <cell r="I160" t="str">
            <v>OCM</v>
          </cell>
          <cell r="K160">
            <v>74</v>
          </cell>
          <cell r="M160">
            <v>75</v>
          </cell>
        </row>
        <row r="161">
          <cell r="B161">
            <v>253728745553924</v>
          </cell>
          <cell r="C161">
            <v>4902430826815</v>
          </cell>
          <cell r="D161">
            <v>4902430826815</v>
          </cell>
          <cell r="E161" t="str">
            <v>Oral-B 歐樂B 抗敏護齦牙膏 專業修護, 森林薄荷, 90g, 1條</v>
          </cell>
          <cell r="F161">
            <v>99</v>
          </cell>
          <cell r="G161">
            <v>12</v>
          </cell>
          <cell r="H161">
            <v>235</v>
          </cell>
          <cell r="I161" t="str">
            <v>OCM</v>
          </cell>
          <cell r="K161">
            <v>19</v>
          </cell>
          <cell r="M161">
            <v>20</v>
          </cell>
        </row>
        <row r="162">
          <cell r="B162">
            <v>253758785159168</v>
          </cell>
          <cell r="C162">
            <v>4902430789646</v>
          </cell>
          <cell r="D162">
            <v>4902430789646</v>
          </cell>
          <cell r="E162" t="str">
            <v>Oral-B 深層潔淨牙線, 清涼潔淨, 40m, 1個</v>
          </cell>
          <cell r="F162">
            <v>68</v>
          </cell>
          <cell r="G162">
            <v>24</v>
          </cell>
          <cell r="H162">
            <v>2603</v>
          </cell>
          <cell r="I162" t="str">
            <v>OCM</v>
          </cell>
          <cell r="K162">
            <v>108</v>
          </cell>
          <cell r="M162">
            <v>100</v>
          </cell>
        </row>
        <row r="163">
          <cell r="B163">
            <v>253758785159169</v>
          </cell>
          <cell r="C163">
            <v>4902430789639</v>
          </cell>
          <cell r="D163">
            <v>4902430789639</v>
          </cell>
          <cell r="E163" t="str">
            <v>Oral-B 舒適深潔牙線, 清新薄荷, 40m, 1個</v>
          </cell>
          <cell r="F163">
            <v>65</v>
          </cell>
          <cell r="G163">
            <v>24</v>
          </cell>
          <cell r="H163">
            <v>6630</v>
          </cell>
          <cell r="I163" t="str">
            <v>OCM</v>
          </cell>
          <cell r="K163">
            <v>276</v>
          </cell>
          <cell r="M163">
            <v>20</v>
          </cell>
        </row>
        <row r="164">
          <cell r="B164">
            <v>435649257603072</v>
          </cell>
          <cell r="C164">
            <v>14987176232868</v>
          </cell>
          <cell r="D164">
            <v>4987176232861</v>
          </cell>
          <cell r="E164" t="str">
            <v>[箱裝]Pampers 幫寶適 原廠公司貨 CP值之選清新幫紙尿褲/尿布, 黏貼型, L, 9-14kg, 184片</v>
          </cell>
          <cell r="F164">
            <v>1231</v>
          </cell>
          <cell r="G164">
            <v>1</v>
          </cell>
          <cell r="H164">
            <v>0</v>
          </cell>
          <cell r="I164" t="str">
            <v>Baby</v>
          </cell>
          <cell r="J164">
            <v>80838273</v>
          </cell>
          <cell r="K164">
            <v>0</v>
          </cell>
          <cell r="M164">
            <v>725</v>
          </cell>
        </row>
        <row r="165">
          <cell r="B165">
            <v>435649257603073</v>
          </cell>
          <cell r="C165">
            <v>14987176232851</v>
          </cell>
          <cell r="D165">
            <v>4987176232854</v>
          </cell>
          <cell r="E165" t="str">
            <v>[箱裝]Pampers 幫寶適 原廠公司貨 CP值之選清新幫紙尿褲/尿布, 黏貼型, XL, 12~17kg, 152片, 1箱</v>
          </cell>
          <cell r="F165">
            <v>1231</v>
          </cell>
          <cell r="G165">
            <v>1</v>
          </cell>
          <cell r="H165">
            <v>16</v>
          </cell>
          <cell r="I165" t="str">
            <v>Baby</v>
          </cell>
          <cell r="J165">
            <v>80838274</v>
          </cell>
          <cell r="K165">
            <v>16</v>
          </cell>
          <cell r="M165">
            <v>784</v>
          </cell>
        </row>
        <row r="166">
          <cell r="B166">
            <v>435649261797376</v>
          </cell>
          <cell r="C166">
            <v>14987176232875</v>
          </cell>
          <cell r="D166">
            <v>4987176232878</v>
          </cell>
          <cell r="E166" t="str">
            <v>[箱裝]Pampers 幫寶適 原廠公司貨 CP值之選清新幫拉拉褲/尿布, XXL, 15kg以上, 104片</v>
          </cell>
          <cell r="F166">
            <v>1175</v>
          </cell>
          <cell r="G166">
            <v>1</v>
          </cell>
          <cell r="H166">
            <v>1568</v>
          </cell>
          <cell r="I166" t="str">
            <v>Baby</v>
          </cell>
          <cell r="J166">
            <v>80838275</v>
          </cell>
          <cell r="K166">
            <v>1568</v>
          </cell>
          <cell r="M166">
            <v>4000</v>
          </cell>
        </row>
        <row r="167">
          <cell r="B167">
            <v>435649261830144</v>
          </cell>
          <cell r="C167">
            <v>14987176232882</v>
          </cell>
          <cell r="D167">
            <v>4987176232885</v>
          </cell>
          <cell r="E167" t="str">
            <v>[箱裝]Pampers 幫寶適 原廠公司貨 CP值之選清新幫拉拉褲/尿布, L, 9-14kg, 168片</v>
          </cell>
          <cell r="F167">
            <v>1175</v>
          </cell>
          <cell r="G167">
            <v>1</v>
          </cell>
          <cell r="H167">
            <v>0</v>
          </cell>
          <cell r="I167" t="str">
            <v>Baby</v>
          </cell>
          <cell r="J167">
            <v>80838270</v>
          </cell>
          <cell r="K167">
            <v>0</v>
          </cell>
          <cell r="M167">
            <v>1184</v>
          </cell>
        </row>
        <row r="168">
          <cell r="B168">
            <v>435649261846529</v>
          </cell>
          <cell r="C168">
            <v>14987176232844</v>
          </cell>
          <cell r="D168">
            <v>4987176232847</v>
          </cell>
          <cell r="E168" t="str">
            <v>[箱裝]Pampers 幫寶適 原廠公司貨 CP值之選清新幫拉拉褲/尿布, XXXL, 17kg以上, 88片</v>
          </cell>
          <cell r="F168">
            <v>1175</v>
          </cell>
          <cell r="G168">
            <v>1</v>
          </cell>
          <cell r="H168">
            <v>0</v>
          </cell>
          <cell r="I168" t="str">
            <v>Baby</v>
          </cell>
          <cell r="J168">
            <v>80838272</v>
          </cell>
          <cell r="K168">
            <v>0</v>
          </cell>
          <cell r="M168">
            <v>1000</v>
          </cell>
        </row>
        <row r="169">
          <cell r="B169">
            <v>435649261846530</v>
          </cell>
          <cell r="C169">
            <v>14987176232899</v>
          </cell>
          <cell r="D169">
            <v>4987176232892</v>
          </cell>
          <cell r="E169" t="str">
            <v>[箱裝]Pampers 幫寶適 原廠公司貨 CP值之選清新幫拉拉褲/尿布, XL, 12-17kg, 152片</v>
          </cell>
          <cell r="F169">
            <v>1175</v>
          </cell>
          <cell r="G169">
            <v>1</v>
          </cell>
          <cell r="H169">
            <v>0</v>
          </cell>
          <cell r="I169" t="str">
            <v>Baby</v>
          </cell>
          <cell r="J169">
            <v>80838271</v>
          </cell>
          <cell r="K169">
            <v>0</v>
          </cell>
          <cell r="M169">
            <v>2900</v>
          </cell>
        </row>
        <row r="170">
          <cell r="B170">
            <v>456713413001216</v>
          </cell>
          <cell r="C170">
            <v>16903148358105</v>
          </cell>
          <cell r="D170">
            <v>0</v>
          </cell>
          <cell r="E170" t="str">
            <v>[箱裝]Pampers 幫寶適 原廠公司貨 史上最強一級幫黏貼型護膚尿布/紙尿褲, S, 4~8kg, 224片_夏日遠離紅屁屁 (極上守護)</v>
          </cell>
          <cell r="F170">
            <v>1318</v>
          </cell>
          <cell r="G170">
            <v>1</v>
          </cell>
          <cell r="H170">
            <v>600</v>
          </cell>
          <cell r="I170" t="str">
            <v>Baby</v>
          </cell>
          <cell r="K170">
            <v>600</v>
          </cell>
          <cell r="M170">
            <v>0</v>
          </cell>
        </row>
        <row r="171">
          <cell r="B171">
            <v>456713413017601</v>
          </cell>
          <cell r="C171">
            <v>16903148358068</v>
          </cell>
          <cell r="D171">
            <v>0</v>
          </cell>
          <cell r="E171" t="str">
            <v>[箱裝]Pampers 幫寶適 原廠公司貨 史上最強一級幫黏貼型護膚尿布/紙尿褲, M, 6~11kg, 156片_夏日遠離紅屁屁 (極上守護)</v>
          </cell>
          <cell r="F171">
            <v>1097</v>
          </cell>
          <cell r="G171">
            <v>1</v>
          </cell>
          <cell r="H171">
            <v>290</v>
          </cell>
          <cell r="I171" t="str">
            <v>Baby</v>
          </cell>
          <cell r="K171">
            <v>290</v>
          </cell>
          <cell r="M171">
            <v>0</v>
          </cell>
        </row>
        <row r="172">
          <cell r="B172">
            <v>456713417228290</v>
          </cell>
          <cell r="C172">
            <v>16903148358006</v>
          </cell>
          <cell r="D172">
            <v>0</v>
          </cell>
          <cell r="E172" t="str">
            <v>[箱裝]Pampers 幫寶適 原廠公司貨 史上最強一級幫黏貼型護膚尿布/紙尿褲, NB, 5kg以下, 256片_夏日遠離紅屁屁 (極上守護)</v>
          </cell>
          <cell r="F172">
            <v>1318</v>
          </cell>
          <cell r="G172">
            <v>1</v>
          </cell>
          <cell r="H172">
            <v>218</v>
          </cell>
          <cell r="I172" t="str">
            <v>Baby</v>
          </cell>
          <cell r="K172">
            <v>218</v>
          </cell>
          <cell r="M172">
            <v>0</v>
          </cell>
        </row>
        <row r="173">
          <cell r="B173">
            <v>461030761136128</v>
          </cell>
          <cell r="C173">
            <v>14987176287011</v>
          </cell>
          <cell r="D173">
            <v>4987176287014</v>
          </cell>
          <cell r="E173" t="str">
            <v>Pampers 幫寶適 原廠公司貨 史上最強一級幫紙尿褲/尿布禮盒/彌月禮盒組(黏貼型尿布-S 56片+M 108片+拉拉褲M 4片), 168片, 1盒_(極上守護)</v>
          </cell>
          <cell r="F173">
            <v>1111</v>
          </cell>
          <cell r="G173">
            <v>1</v>
          </cell>
          <cell r="H173">
            <v>487</v>
          </cell>
          <cell r="I173" t="str">
            <v>Baby</v>
          </cell>
          <cell r="K173">
            <v>487</v>
          </cell>
          <cell r="L173" t="str">
            <v>停產</v>
          </cell>
          <cell r="M173">
            <v>0</v>
          </cell>
        </row>
        <row r="174">
          <cell r="B174">
            <v>461030761152512</v>
          </cell>
          <cell r="C174">
            <v>14987176287004</v>
          </cell>
          <cell r="D174">
            <v>4987176287007</v>
          </cell>
          <cell r="E174" t="str">
            <v>[箱裝]Pampers 幫寶適 原廠公司貨 史上最強一級幫紙尿褲/尿布禮盒/彌月禮盒組(黏貼型尿布-NB 32片+S112片), 144片, 1盒_(極上守護)</v>
          </cell>
          <cell r="F174">
            <v>806</v>
          </cell>
          <cell r="G174">
            <v>1</v>
          </cell>
          <cell r="H174">
            <v>754</v>
          </cell>
          <cell r="I174" t="str">
            <v>Baby</v>
          </cell>
          <cell r="K174">
            <v>754</v>
          </cell>
          <cell r="L174" t="str">
            <v>停產</v>
          </cell>
          <cell r="M174">
            <v>0</v>
          </cell>
        </row>
        <row r="175">
          <cell r="B175">
            <v>461377743323136</v>
          </cell>
          <cell r="C175">
            <v>6903148358221</v>
          </cell>
          <cell r="D175">
            <v>6903148358221</v>
          </cell>
          <cell r="E175" t="str">
            <v>[箱裝]Pampers 幫寶適 原廠公司貨 史上最強一級幫散熱拉拉褲/尿布/褲型, M, 6~11kg, 152片_(極上守護)</v>
          </cell>
          <cell r="F175">
            <v>1056</v>
          </cell>
          <cell r="G175">
            <v>1</v>
          </cell>
          <cell r="H175">
            <v>2073</v>
          </cell>
          <cell r="I175" t="str">
            <v>Baby</v>
          </cell>
          <cell r="K175">
            <v>2073</v>
          </cell>
          <cell r="M175">
            <v>0</v>
          </cell>
        </row>
        <row r="176">
          <cell r="B176">
            <v>461377743339520</v>
          </cell>
          <cell r="C176">
            <v>6903148358153</v>
          </cell>
          <cell r="D176">
            <v>6903148358153</v>
          </cell>
          <cell r="E176" t="str">
            <v>[箱裝]Pampers 幫寶適 原廠公司貨 史上最強一級幫散熱拉拉褲/尿布/褲型, L+, 10~15kg, 102片_(極上守護)</v>
          </cell>
          <cell r="F176">
            <v>1056</v>
          </cell>
          <cell r="G176">
            <v>1</v>
          </cell>
          <cell r="H176">
            <v>4012</v>
          </cell>
          <cell r="I176" t="str">
            <v>Baby</v>
          </cell>
          <cell r="K176">
            <v>4012</v>
          </cell>
          <cell r="M176">
            <v>0</v>
          </cell>
        </row>
        <row r="177">
          <cell r="B177">
            <v>522244895850724</v>
          </cell>
          <cell r="C177">
            <v>14987176337075</v>
          </cell>
          <cell r="D177">
            <v>4987176337078</v>
          </cell>
          <cell r="E177" t="str">
            <v>[箱裝]Pampers 幫寶適 原廠公司貨 清新幫褲型尿布, M, 6~11kg, 200片</v>
          </cell>
          <cell r="F177">
            <v>1175</v>
          </cell>
          <cell r="G177">
            <v>1</v>
          </cell>
          <cell r="H177">
            <v>7</v>
          </cell>
          <cell r="I177" t="str">
            <v>Baby</v>
          </cell>
          <cell r="J177">
            <v>80858989</v>
          </cell>
          <cell r="K177">
            <v>7</v>
          </cell>
          <cell r="M177">
            <v>651</v>
          </cell>
        </row>
        <row r="178">
          <cell r="B178">
            <v>522244895850725</v>
          </cell>
          <cell r="C178">
            <v>14987176337099</v>
          </cell>
          <cell r="D178">
            <v>4987176337092</v>
          </cell>
          <cell r="E178" t="str">
            <v>[箱裝]Pampers 幫寶適 原廠公司貨 清新幫黏貼型尿布, S, 4~8kg, 264片</v>
          </cell>
          <cell r="F178">
            <v>1231</v>
          </cell>
          <cell r="G178">
            <v>1</v>
          </cell>
          <cell r="H178">
            <v>133</v>
          </cell>
          <cell r="I178" t="str">
            <v>Baby</v>
          </cell>
          <cell r="J178">
            <v>80858991</v>
          </cell>
          <cell r="K178">
            <v>133</v>
          </cell>
          <cell r="M178">
            <v>300</v>
          </cell>
        </row>
        <row r="179">
          <cell r="B179">
            <v>522244895850726</v>
          </cell>
          <cell r="C179">
            <v>14987176337082</v>
          </cell>
          <cell r="D179">
            <v>4987176337085</v>
          </cell>
          <cell r="E179" t="str">
            <v>[箱裝]Pampers 幫寶適 原廠公司貨 清新幫黏貼型尿布, M, 6~11kg, 216片</v>
          </cell>
          <cell r="F179">
            <v>1231</v>
          </cell>
          <cell r="G179">
            <v>1</v>
          </cell>
          <cell r="H179">
            <v>0</v>
          </cell>
          <cell r="I179" t="str">
            <v>Baby</v>
          </cell>
          <cell r="J179">
            <v>80858990</v>
          </cell>
          <cell r="K179">
            <v>0</v>
          </cell>
          <cell r="M179">
            <v>0</v>
          </cell>
        </row>
        <row r="180">
          <cell r="B180">
            <v>522244895972651</v>
          </cell>
          <cell r="C180">
            <v>4987176337092</v>
          </cell>
          <cell r="D180">
            <v>4987176337092</v>
          </cell>
          <cell r="E180" t="str">
            <v>Pampers 幫寶適 原廠公司貨 清新幫黏貼型紙尿褲/尿布, S, 4~8kg, 66片</v>
          </cell>
          <cell r="F180">
            <v>307.8</v>
          </cell>
          <cell r="G180">
            <v>4</v>
          </cell>
          <cell r="H180">
            <v>377</v>
          </cell>
          <cell r="I180" t="str">
            <v>Baby</v>
          </cell>
          <cell r="J180">
            <v>80858991</v>
          </cell>
          <cell r="K180">
            <v>94</v>
          </cell>
          <cell r="M180">
            <v>0</v>
          </cell>
        </row>
        <row r="181">
          <cell r="B181">
            <v>522244895972652</v>
          </cell>
          <cell r="C181">
            <v>4987176337085</v>
          </cell>
          <cell r="D181">
            <v>4987176337085</v>
          </cell>
          <cell r="E181" t="str">
            <v>Pampers 幫寶適 原廠公司貨 清新幫黏貼型紙尿褲/尿布, M, 6~11kg, 54片</v>
          </cell>
          <cell r="F181">
            <v>339</v>
          </cell>
          <cell r="G181">
            <v>4</v>
          </cell>
          <cell r="H181">
            <v>59</v>
          </cell>
          <cell r="I181" t="str">
            <v>Baby</v>
          </cell>
          <cell r="J181">
            <v>80858990</v>
          </cell>
          <cell r="K181">
            <v>14</v>
          </cell>
          <cell r="M181">
            <v>64</v>
          </cell>
        </row>
        <row r="182">
          <cell r="B182">
            <v>522244895972653</v>
          </cell>
          <cell r="C182">
            <v>4987176337078</v>
          </cell>
          <cell r="D182">
            <v>4987176337078</v>
          </cell>
          <cell r="E182" t="str">
            <v>Pampers 幫寶適 原廠公司貨 清新幫拉拉褲/褲型尿布, M, 6~11kg, 50片</v>
          </cell>
          <cell r="F182">
            <v>323</v>
          </cell>
          <cell r="G182">
            <v>4</v>
          </cell>
          <cell r="H182">
            <v>75</v>
          </cell>
          <cell r="I182" t="str">
            <v>Baby</v>
          </cell>
          <cell r="J182">
            <v>80858989</v>
          </cell>
          <cell r="K182">
            <v>18</v>
          </cell>
          <cell r="M182">
            <v>76</v>
          </cell>
        </row>
        <row r="183">
          <cell r="B183">
            <v>522244895972654</v>
          </cell>
          <cell r="C183">
            <v>4987176232861</v>
          </cell>
          <cell r="D183">
            <v>4987176232861</v>
          </cell>
          <cell r="E183" t="str">
            <v>Pampers 幫寶適 原廠公司貨 清新幫黏貼型紙尿褲/尿布, L, 9~14kg, 46片</v>
          </cell>
          <cell r="F183">
            <v>339</v>
          </cell>
          <cell r="G183">
            <v>4</v>
          </cell>
          <cell r="H183">
            <v>240</v>
          </cell>
          <cell r="I183" t="str">
            <v>Baby</v>
          </cell>
          <cell r="J183">
            <v>80838273</v>
          </cell>
          <cell r="K183">
            <v>60</v>
          </cell>
          <cell r="M183">
            <v>380</v>
          </cell>
        </row>
        <row r="184">
          <cell r="B184">
            <v>522244895972655</v>
          </cell>
          <cell r="C184">
            <v>4987176232885</v>
          </cell>
          <cell r="D184">
            <v>4987176232885</v>
          </cell>
          <cell r="E184" t="str">
            <v>Pampers 幫寶適 原廠公司貨 清新幫拉拉褲/褲型尿布, L, 9~14kg, 42片</v>
          </cell>
          <cell r="F184">
            <v>323</v>
          </cell>
          <cell r="G184">
            <v>4</v>
          </cell>
          <cell r="H184">
            <v>725</v>
          </cell>
          <cell r="I184" t="str">
            <v>Baby</v>
          </cell>
          <cell r="J184">
            <v>80838270</v>
          </cell>
          <cell r="K184">
            <v>181</v>
          </cell>
          <cell r="M184">
            <v>181</v>
          </cell>
        </row>
        <row r="185">
          <cell r="B185">
            <v>522244895972656</v>
          </cell>
          <cell r="C185">
            <v>4987176232854</v>
          </cell>
          <cell r="D185">
            <v>4987176232854</v>
          </cell>
          <cell r="E185" t="str">
            <v>Pampers 幫寶適 原廠公司貨 清新幫黏貼型紙尿褲/尿布, XL, 12~17kg, 38片</v>
          </cell>
          <cell r="F185">
            <v>339</v>
          </cell>
          <cell r="G185">
            <v>4</v>
          </cell>
          <cell r="H185">
            <v>213</v>
          </cell>
          <cell r="I185" t="str">
            <v>Baby</v>
          </cell>
          <cell r="J185">
            <v>80838274</v>
          </cell>
          <cell r="K185">
            <v>53</v>
          </cell>
          <cell r="M185">
            <v>105</v>
          </cell>
        </row>
        <row r="186">
          <cell r="B186">
            <v>522244895972657</v>
          </cell>
          <cell r="C186">
            <v>4987176232892</v>
          </cell>
          <cell r="D186">
            <v>4987176232892</v>
          </cell>
          <cell r="E186" t="str">
            <v>Pampers 幫寶適 原廠公司貨 清新幫拉拉褲/褲型尿布, XL, 12~17kg, 38片</v>
          </cell>
          <cell r="F186">
            <v>323</v>
          </cell>
          <cell r="G186">
            <v>4</v>
          </cell>
          <cell r="H186">
            <v>2532</v>
          </cell>
          <cell r="I186" t="str">
            <v>Baby</v>
          </cell>
          <cell r="J186">
            <v>80838271</v>
          </cell>
          <cell r="K186">
            <v>633</v>
          </cell>
          <cell r="M186">
            <v>1400</v>
          </cell>
        </row>
        <row r="187">
          <cell r="B187">
            <v>522244895972658</v>
          </cell>
          <cell r="C187">
            <v>4987176232878</v>
          </cell>
          <cell r="D187">
            <v>4987176232878</v>
          </cell>
          <cell r="E187" t="str">
            <v>Pampers 幫寶適 原廠公司貨 清新幫拉拉褲/褲型尿布, XXL, 15kg, 26片</v>
          </cell>
          <cell r="F187">
            <v>323</v>
          </cell>
          <cell r="G187">
            <v>4</v>
          </cell>
          <cell r="H187">
            <v>950</v>
          </cell>
          <cell r="I187" t="str">
            <v>Baby</v>
          </cell>
          <cell r="J187">
            <v>80838275</v>
          </cell>
          <cell r="K187">
            <v>237</v>
          </cell>
          <cell r="M187">
            <v>423</v>
          </cell>
        </row>
        <row r="188">
          <cell r="B188">
            <v>522244895972659</v>
          </cell>
          <cell r="C188">
            <v>4987176232847</v>
          </cell>
          <cell r="D188">
            <v>4987176232847</v>
          </cell>
          <cell r="E188" t="str">
            <v>Pampers 幫寶適 原廠公司貨 清新幫拉拉褲/褲型尿布, XXXL, 17kg, 22片</v>
          </cell>
          <cell r="F188">
            <v>294</v>
          </cell>
          <cell r="G188">
            <v>4</v>
          </cell>
          <cell r="H188">
            <v>242</v>
          </cell>
          <cell r="I188" t="str">
            <v>Baby</v>
          </cell>
          <cell r="J188">
            <v>80838272</v>
          </cell>
          <cell r="K188">
            <v>60</v>
          </cell>
          <cell r="M188">
            <v>500</v>
          </cell>
        </row>
        <row r="189">
          <cell r="B189">
            <v>522244896318703</v>
          </cell>
          <cell r="C189">
            <v>497578511968647</v>
          </cell>
          <cell r="D189">
            <v>497578511968647</v>
          </cell>
          <cell r="E189" t="str">
            <v>[箱裝]Pampers 幫寶適 極上守護 一級幫 紙尿褲/尿布 12~17kg, 特大碼 (XL), 99片</v>
          </cell>
          <cell r="F189">
            <v>1079</v>
          </cell>
          <cell r="G189">
            <v>1</v>
          </cell>
          <cell r="H189">
            <v>2917</v>
          </cell>
          <cell r="I189" t="str">
            <v>Baby</v>
          </cell>
          <cell r="K189">
            <v>2917</v>
          </cell>
          <cell r="M189">
            <v>0</v>
          </cell>
        </row>
        <row r="190">
          <cell r="B190">
            <v>522244896318704</v>
          </cell>
          <cell r="C190">
            <v>529148044533945</v>
          </cell>
          <cell r="D190">
            <v>529148044533945</v>
          </cell>
          <cell r="E190" t="str">
            <v>[箱裝]Pampers 幫寶適 極上守護 一級幫 紙尿褲/尿布 6~11kg, 中碼 (M), 152片</v>
          </cell>
          <cell r="F190">
            <v>1079</v>
          </cell>
          <cell r="G190">
            <v>1</v>
          </cell>
          <cell r="H190">
            <v>2963</v>
          </cell>
          <cell r="I190" t="str">
            <v>Baby</v>
          </cell>
          <cell r="K190">
            <v>2963</v>
          </cell>
          <cell r="M190">
            <v>0</v>
          </cell>
        </row>
        <row r="191">
          <cell r="B191">
            <v>522244896318705</v>
          </cell>
          <cell r="C191">
            <v>497578511919779</v>
          </cell>
          <cell r="D191">
            <v>497578511919779</v>
          </cell>
          <cell r="E191" t="str">
            <v>[箱裝]Pampers 幫寶適 極上守護 一級幫 褲型拉拉褲 12~17kg, 特大碼 (XL), 90片</v>
          </cell>
          <cell r="F191">
            <v>1056</v>
          </cell>
          <cell r="G191">
            <v>1</v>
          </cell>
          <cell r="H191">
            <v>5403</v>
          </cell>
          <cell r="I191" t="str">
            <v>Baby</v>
          </cell>
          <cell r="K191">
            <v>5403</v>
          </cell>
          <cell r="M191">
            <v>0</v>
          </cell>
        </row>
        <row r="192">
          <cell r="B192">
            <v>522244896318706</v>
          </cell>
          <cell r="C192">
            <v>529148044533942</v>
          </cell>
          <cell r="D192">
            <v>529148044533942</v>
          </cell>
          <cell r="E192" t="str">
            <v>[箱裝]Pampers 幫寶適 極上守護 一級幫 紙尿褲/尿布 9~14kg, 大碼 (L), 124片</v>
          </cell>
          <cell r="F192">
            <v>1079</v>
          </cell>
          <cell r="G192">
            <v>1</v>
          </cell>
          <cell r="H192">
            <v>2833</v>
          </cell>
          <cell r="I192" t="str">
            <v>Baby</v>
          </cell>
          <cell r="K192">
            <v>2833</v>
          </cell>
          <cell r="M192">
            <v>0</v>
          </cell>
        </row>
        <row r="193">
          <cell r="B193">
            <v>522244896318707</v>
          </cell>
          <cell r="C193">
            <v>529148044534134</v>
          </cell>
          <cell r="D193">
            <v>529148044534134</v>
          </cell>
          <cell r="E193" t="str">
            <v>[箱裝]Pampers 幫寶適 極上守護 一級幫 褲型拉拉褲 9~14kg, 大碼 (L), 117片</v>
          </cell>
          <cell r="F193">
            <v>1056</v>
          </cell>
          <cell r="G193">
            <v>1</v>
          </cell>
          <cell r="H193">
            <v>3095</v>
          </cell>
          <cell r="I193" t="str">
            <v>Baby</v>
          </cell>
          <cell r="K193">
            <v>3095</v>
          </cell>
          <cell r="M193">
            <v>0</v>
          </cell>
        </row>
        <row r="194">
          <cell r="B194">
            <v>522244896318708</v>
          </cell>
          <cell r="C194">
            <v>497552842844818</v>
          </cell>
          <cell r="D194">
            <v>497552842844818</v>
          </cell>
          <cell r="E194" t="str">
            <v>[箱裝]Pampers 幫寶適 極上守護 一級幫 褲型拉拉褲 15kg以上, 超大碼 (2XL), 70片</v>
          </cell>
          <cell r="F194">
            <v>1056</v>
          </cell>
          <cell r="G194">
            <v>1</v>
          </cell>
          <cell r="H194">
            <v>2828</v>
          </cell>
          <cell r="I194" t="str">
            <v>Baby</v>
          </cell>
          <cell r="K194">
            <v>2828</v>
          </cell>
          <cell r="M194">
            <v>0</v>
          </cell>
        </row>
        <row r="195">
          <cell r="B195">
            <v>522244896444093</v>
          </cell>
          <cell r="C195">
            <v>4987176386694</v>
          </cell>
          <cell r="D195">
            <v>4987176386694</v>
          </cell>
          <cell r="E195" t="str">
            <v>[箱裝]Pampers 幫寶適 原廠公司貨 史上最強一級幫散熱拉拉褲/尿布/褲型, L+, 10~15kg, 102片_夏日遠離紅屁屁 (極上守護)</v>
          </cell>
          <cell r="F195">
            <v>1232</v>
          </cell>
          <cell r="G195">
            <v>1</v>
          </cell>
          <cell r="H195">
            <v>3744</v>
          </cell>
          <cell r="I195" t="str">
            <v>Baby</v>
          </cell>
          <cell r="K195">
            <v>3744</v>
          </cell>
          <cell r="M195">
            <v>600</v>
          </cell>
        </row>
        <row r="196">
          <cell r="B196">
            <v>522244896444617</v>
          </cell>
          <cell r="C196">
            <v>4987176386724</v>
          </cell>
          <cell r="D196">
            <v>4987176386724</v>
          </cell>
          <cell r="E196" t="str">
            <v>[箱裝]Pampers 幫寶適 原廠公司貨 史上最強一級幫散熱拉拉褲/尿布/褲型, M, 6~11kg, 150片_夏日遠離紅屁屁 (極上守護)</v>
          </cell>
          <cell r="F196">
            <v>1232</v>
          </cell>
          <cell r="G196">
            <v>1</v>
          </cell>
          <cell r="H196">
            <v>842</v>
          </cell>
          <cell r="I196" t="str">
            <v>Baby</v>
          </cell>
          <cell r="K196">
            <v>842</v>
          </cell>
          <cell r="M196">
            <v>600</v>
          </cell>
        </row>
        <row r="197">
          <cell r="B197" t="str">
            <v>TBD-PPXXXL</v>
          </cell>
          <cell r="C197">
            <v>4987176386793</v>
          </cell>
          <cell r="D197">
            <v>4987176386793</v>
          </cell>
          <cell r="E197" t="str">
            <v>[箱裝]Pampers 幫寶適 原廠公司貨 史上最強一級幫散熱拉拉褲/尿布/褲型, XXXL, 17kg以上, 78片_夏日遠離紅屁屁 (極上守護)</v>
          </cell>
          <cell r="F197">
            <v>1232</v>
          </cell>
          <cell r="G197">
            <v>1</v>
          </cell>
          <cell r="H197">
            <v>468</v>
          </cell>
          <cell r="I197" t="str">
            <v>Baby</v>
          </cell>
          <cell r="K197">
            <v>468</v>
          </cell>
          <cell r="M197">
            <v>600</v>
          </cell>
        </row>
        <row r="198">
          <cell r="B198">
            <v>522244896444615</v>
          </cell>
          <cell r="C198">
            <v>4987176386762</v>
          </cell>
          <cell r="D198">
            <v>4987176386762</v>
          </cell>
          <cell r="E198" t="str">
            <v>[箱裝]Pampers 幫寶適 原廠公司貨 史上最強一級幫黏貼型護膚尿布/紙尿褲, S, 4~8kg, 198片_夏日遠離紅屁屁 (極上守護)</v>
          </cell>
          <cell r="F198">
            <v>1232</v>
          </cell>
          <cell r="G198">
            <v>1</v>
          </cell>
          <cell r="H198">
            <v>702</v>
          </cell>
          <cell r="I198" t="str">
            <v>Baby</v>
          </cell>
          <cell r="K198">
            <v>702</v>
          </cell>
          <cell r="M198">
            <v>1120</v>
          </cell>
        </row>
        <row r="199">
          <cell r="B199">
            <v>122902439477252</v>
          </cell>
          <cell r="C199">
            <v>4902430732949</v>
          </cell>
          <cell r="D199">
            <v>4902430732949</v>
          </cell>
          <cell r="E199" t="str">
            <v>PANTENE 潘婷 3 MINUTE MIRACLE燙染護髮精華, 180ml, 1條</v>
          </cell>
          <cell r="F199">
            <v>137</v>
          </cell>
          <cell r="G199">
            <v>12</v>
          </cell>
          <cell r="H199">
            <v>832</v>
          </cell>
          <cell r="I199" t="str">
            <v>Hair</v>
          </cell>
          <cell r="K199">
            <v>69</v>
          </cell>
        </row>
        <row r="200">
          <cell r="B200">
            <v>122902754082831</v>
          </cell>
          <cell r="C200">
            <v>4902430825801</v>
          </cell>
          <cell r="D200">
            <v>14902430825801</v>
          </cell>
          <cell r="E200" t="str">
            <v>PANTENE 潘婷 miracles奇蹟系列 煥活根源洗髮露, 500ml, 1瓶</v>
          </cell>
          <cell r="F200">
            <v>234</v>
          </cell>
          <cell r="G200">
            <v>9</v>
          </cell>
          <cell r="H200">
            <v>0</v>
          </cell>
          <cell r="I200" t="str">
            <v>Hair</v>
          </cell>
          <cell r="K200">
            <v>0</v>
          </cell>
        </row>
        <row r="201">
          <cell r="B201">
            <v>122902766665747</v>
          </cell>
          <cell r="C201">
            <v>4902430716505</v>
          </cell>
          <cell r="D201">
            <v>4902430716505</v>
          </cell>
          <cell r="E201" t="str">
            <v>PANTENE 潘婷 3分鐘奇蹟護髮精華, 多效損傷修護, 180ml, 1條</v>
          </cell>
          <cell r="F201">
            <v>133</v>
          </cell>
          <cell r="G201">
            <v>12</v>
          </cell>
          <cell r="H201">
            <v>3546</v>
          </cell>
          <cell r="I201" t="str">
            <v>Hair</v>
          </cell>
          <cell r="K201">
            <v>295</v>
          </cell>
        </row>
        <row r="202">
          <cell r="B202">
            <v>122903001530399</v>
          </cell>
          <cell r="C202">
            <v>4902430720038</v>
          </cell>
          <cell r="D202">
            <v>4902430720038</v>
          </cell>
          <cell r="E202" t="str">
            <v>PANTENE 潘婷 3 MINUTE MIRACLE乳液護髮精華, 180ml, 1條</v>
          </cell>
          <cell r="F202">
            <v>140</v>
          </cell>
          <cell r="G202">
            <v>12</v>
          </cell>
          <cell r="H202">
            <v>927</v>
          </cell>
          <cell r="I202" t="str">
            <v>Hair</v>
          </cell>
          <cell r="K202">
            <v>77</v>
          </cell>
        </row>
        <row r="203">
          <cell r="B203">
            <v>122903303503874</v>
          </cell>
          <cell r="C203">
            <v>4902430558174</v>
          </cell>
          <cell r="D203">
            <v>4902430558174</v>
          </cell>
          <cell r="E203" t="str">
            <v>PANTENE 潘婷 強韌頭髮減少斷裂潤髮精華素, 700g, 1瓶</v>
          </cell>
          <cell r="F203">
            <v>158</v>
          </cell>
          <cell r="G203">
            <v>6</v>
          </cell>
          <cell r="H203">
            <v>0</v>
          </cell>
          <cell r="I203" t="str">
            <v>Hair</v>
          </cell>
          <cell r="K203">
            <v>0</v>
          </cell>
        </row>
        <row r="204">
          <cell r="B204">
            <v>122903408361473</v>
          </cell>
          <cell r="C204">
            <v>4902430558143</v>
          </cell>
          <cell r="D204">
            <v>4902430558143</v>
          </cell>
          <cell r="E204" t="str">
            <v>PANTENE 潘婷 乳液修護潤髮精華素, 700g, 1瓶</v>
          </cell>
          <cell r="F204">
            <v>158</v>
          </cell>
          <cell r="G204">
            <v>6</v>
          </cell>
          <cell r="H204">
            <v>0</v>
          </cell>
          <cell r="I204" t="str">
            <v>Hair</v>
          </cell>
          <cell r="K204">
            <v>0</v>
          </cell>
        </row>
        <row r="205">
          <cell r="B205">
            <v>122903571939329</v>
          </cell>
          <cell r="C205">
            <v>4902430825856</v>
          </cell>
          <cell r="D205">
            <v>4902430825856</v>
          </cell>
          <cell r="E205" t="str">
            <v>PANTENE 潘婷 miracles奇蹟系列 煥活根源護髮素, 500g, 1瓶</v>
          </cell>
          <cell r="F205">
            <v>234</v>
          </cell>
          <cell r="G205">
            <v>9</v>
          </cell>
          <cell r="H205">
            <v>935</v>
          </cell>
          <cell r="I205" t="str">
            <v>Hair</v>
          </cell>
          <cell r="K205">
            <v>103</v>
          </cell>
        </row>
        <row r="206">
          <cell r="B206">
            <v>122903861346328</v>
          </cell>
          <cell r="C206">
            <v>4902430558075</v>
          </cell>
          <cell r="D206">
            <v>4902430558075</v>
          </cell>
          <cell r="E206" t="str">
            <v>PANTENE 潘婷 乳液修護去屑洗髮乳, 700g, 1瓶</v>
          </cell>
          <cell r="F206">
            <v>158</v>
          </cell>
          <cell r="G206">
            <v>6</v>
          </cell>
          <cell r="H206">
            <v>322</v>
          </cell>
          <cell r="I206" t="str">
            <v>Hair</v>
          </cell>
          <cell r="K206">
            <v>53</v>
          </cell>
        </row>
        <row r="207">
          <cell r="B207">
            <v>159819717640197</v>
          </cell>
          <cell r="C207">
            <v>4902430694995</v>
          </cell>
          <cell r="D207">
            <v>4902430694995</v>
          </cell>
          <cell r="E207" t="str">
            <v>PANTENE 潘婷 台灣公司貨 3分鐘奇蹟多效護髮精華, 70ml, 1條</v>
          </cell>
          <cell r="F207">
            <v>48</v>
          </cell>
          <cell r="G207">
            <v>12</v>
          </cell>
          <cell r="H207">
            <v>639</v>
          </cell>
          <cell r="I207" t="str">
            <v>Hair</v>
          </cell>
          <cell r="K207">
            <v>53</v>
          </cell>
        </row>
        <row r="208">
          <cell r="B208">
            <v>159819717640198</v>
          </cell>
          <cell r="C208">
            <v>4902430732932</v>
          </cell>
          <cell r="D208">
            <v>4902430732932</v>
          </cell>
          <cell r="E208" t="str">
            <v>PANTENE 潘婷 台灣公司貨 3 MINUTE MIRACLE水潤護髮精華180ml</v>
          </cell>
          <cell r="F208">
            <v>134</v>
          </cell>
          <cell r="G208">
            <v>12</v>
          </cell>
          <cell r="H208">
            <v>664</v>
          </cell>
          <cell r="I208" t="str">
            <v>Hair</v>
          </cell>
          <cell r="K208">
            <v>55</v>
          </cell>
        </row>
        <row r="209">
          <cell r="B209">
            <v>206621913350145</v>
          </cell>
          <cell r="C209">
            <v>4902430900614</v>
          </cell>
          <cell r="D209">
            <v>14902430900614</v>
          </cell>
          <cell r="E209" t="str">
            <v>PANTENE 潘婷 miracles 奇蹟系列柔亮護色護髮精華素, 500g, 1瓶</v>
          </cell>
          <cell r="F209">
            <v>234</v>
          </cell>
          <cell r="G209">
            <v>9</v>
          </cell>
          <cell r="H209">
            <v>0</v>
          </cell>
          <cell r="I209" t="str">
            <v>Hair</v>
          </cell>
          <cell r="K209">
            <v>0</v>
          </cell>
        </row>
        <row r="210">
          <cell r="B210">
            <v>206653173481473</v>
          </cell>
          <cell r="C210">
            <v>4902430768566</v>
          </cell>
          <cell r="D210">
            <v>4902430768566</v>
          </cell>
          <cell r="E210" t="str">
            <v>PANTENE 潘婷 水潤滋養洗髮乳, 700g, 1瓶</v>
          </cell>
          <cell r="F210">
            <v>158</v>
          </cell>
          <cell r="G210">
            <v>6</v>
          </cell>
          <cell r="H210">
            <v>264</v>
          </cell>
          <cell r="I210" t="str">
            <v>Hair</v>
          </cell>
          <cell r="K210">
            <v>44</v>
          </cell>
        </row>
        <row r="211">
          <cell r="B211">
            <v>206654503092224</v>
          </cell>
          <cell r="C211">
            <v>4902430900591</v>
          </cell>
          <cell r="D211">
            <v>14902430900591</v>
          </cell>
          <cell r="E211" t="str">
            <v>PANTENE 潘婷 miracles奇蹟系列 柔亮護色洗髮露, 500ml, 1瓶</v>
          </cell>
          <cell r="F211">
            <v>234</v>
          </cell>
          <cell r="G211">
            <v>9</v>
          </cell>
          <cell r="H211">
            <v>277</v>
          </cell>
          <cell r="I211" t="str">
            <v>Hair</v>
          </cell>
          <cell r="K211">
            <v>30</v>
          </cell>
        </row>
        <row r="212">
          <cell r="B212">
            <v>252997070192642</v>
          </cell>
          <cell r="C212">
            <v>4987176154026</v>
          </cell>
          <cell r="D212">
            <v>4987176154026</v>
          </cell>
          <cell r="E212" t="str">
            <v>PANTENE 潘婷 台灣公司貨 全新升級 爆水精華系列 爆水膠囊髮膜 Pro-V高濃保濕髮膜, 密集修護, 12ml, 8個, 1盒</v>
          </cell>
          <cell r="F212">
            <v>207</v>
          </cell>
          <cell r="G212">
            <v>12</v>
          </cell>
          <cell r="H212">
            <v>4109</v>
          </cell>
          <cell r="I212" t="str">
            <v>Hair</v>
          </cell>
          <cell r="K212">
            <v>342</v>
          </cell>
        </row>
        <row r="213">
          <cell r="B213">
            <v>253726929403905</v>
          </cell>
          <cell r="C213">
            <v>4987176153999</v>
          </cell>
          <cell r="D213">
            <v>4987176153999</v>
          </cell>
          <cell r="E213" t="str">
            <v>PANTENE 潘婷 台灣公司貨 PRO-V水潤洗髮露 強韌防斷型 強韌爆水修護, 530ml, 1瓶</v>
          </cell>
          <cell r="F213">
            <v>233</v>
          </cell>
          <cell r="G213">
            <v>6</v>
          </cell>
          <cell r="H213">
            <v>480</v>
          </cell>
          <cell r="I213" t="str">
            <v>Hair</v>
          </cell>
          <cell r="K213">
            <v>80</v>
          </cell>
        </row>
        <row r="214">
          <cell r="B214">
            <v>253727889932293</v>
          </cell>
          <cell r="C214">
            <v>4987176153975</v>
          </cell>
          <cell r="D214">
            <v>4987176153975</v>
          </cell>
          <cell r="E214" t="str">
            <v>PANTENE 潘婷 原廠公司貨 PRO-V水潤洗髮露 水潤修護型 玻尿酸精華 蓬鬆水養, 530g, 1瓶</v>
          </cell>
          <cell r="F214">
            <v>233</v>
          </cell>
          <cell r="G214">
            <v>6</v>
          </cell>
          <cell r="H214">
            <v>682</v>
          </cell>
          <cell r="I214" t="str">
            <v>Hair</v>
          </cell>
          <cell r="K214">
            <v>113</v>
          </cell>
        </row>
        <row r="215">
          <cell r="B215">
            <v>253727889932295</v>
          </cell>
          <cell r="C215">
            <v>4987176154019</v>
          </cell>
          <cell r="D215">
            <v>4987176154019</v>
          </cell>
          <cell r="E215" t="str">
            <v>PANTENE 潘婷 原廠公司貨 全新升級 爆水精華系列 爆水膠囊髮膜 Pro-V高濃保濕髮膜, 水潤修護, 12ml, 8個, 1個</v>
          </cell>
          <cell r="F215">
            <v>207</v>
          </cell>
          <cell r="G215">
            <v>12</v>
          </cell>
          <cell r="H215">
            <v>1538</v>
          </cell>
          <cell r="I215" t="str">
            <v>Hair</v>
          </cell>
          <cell r="K215">
            <v>128</v>
          </cell>
        </row>
        <row r="216">
          <cell r="B216">
            <v>253728745553921</v>
          </cell>
          <cell r="C216">
            <v>4987176153982</v>
          </cell>
          <cell r="D216">
            <v>4987176153982</v>
          </cell>
          <cell r="E216" t="str">
            <v>PANTENE 潘婷 原廠公司貨 PRO-V水潤洗髮露 密集修護型, 530g, 1瓶</v>
          </cell>
          <cell r="F216">
            <v>233</v>
          </cell>
          <cell r="G216">
            <v>6</v>
          </cell>
          <cell r="H216">
            <v>558</v>
          </cell>
          <cell r="I216" t="str">
            <v>Hair</v>
          </cell>
          <cell r="K216">
            <v>93</v>
          </cell>
        </row>
        <row r="217">
          <cell r="B217">
            <v>253728745553925</v>
          </cell>
          <cell r="C217">
            <v>4987176154040</v>
          </cell>
          <cell r="D217">
            <v>4987176154040</v>
          </cell>
          <cell r="E217" t="str">
            <v>PANTENE 潘婷 原廠公司貨 爆水精華系列 爆水膠囊髮膜 Pro-V高濃保濕髮膜, 強韌防斷, 12ml, 8個</v>
          </cell>
          <cell r="F217">
            <v>207</v>
          </cell>
          <cell r="G217">
            <v>12</v>
          </cell>
          <cell r="H217">
            <v>3774</v>
          </cell>
          <cell r="I217" t="str">
            <v>Hair</v>
          </cell>
          <cell r="K217">
            <v>314</v>
          </cell>
        </row>
        <row r="218">
          <cell r="B218">
            <v>254741489631232</v>
          </cell>
          <cell r="C218">
            <v>4987176106346</v>
          </cell>
          <cell r="D218">
            <v>4987176106346</v>
          </cell>
          <cell r="E218" t="str">
            <v>PANTENE 潘婷 黑亮修護洗髮乳, 700g, 1瓶</v>
          </cell>
          <cell r="F218">
            <v>158</v>
          </cell>
          <cell r="G218">
            <v>6</v>
          </cell>
          <cell r="H218">
            <v>330</v>
          </cell>
          <cell r="I218" t="str">
            <v>Hair</v>
          </cell>
          <cell r="K218">
            <v>55</v>
          </cell>
        </row>
        <row r="219">
          <cell r="B219">
            <v>254741489631233</v>
          </cell>
          <cell r="C219">
            <v>4902430558129</v>
          </cell>
          <cell r="D219">
            <v>4902430558129</v>
          </cell>
          <cell r="E219" t="str">
            <v>PANTENE 潘婷 垂順直髮洗髮乳, 700g, 1瓶</v>
          </cell>
          <cell r="F219">
            <v>158</v>
          </cell>
          <cell r="G219">
            <v>6</v>
          </cell>
          <cell r="H219">
            <v>0</v>
          </cell>
          <cell r="I219" t="str">
            <v>Hair</v>
          </cell>
          <cell r="K219">
            <v>0</v>
          </cell>
        </row>
        <row r="220">
          <cell r="B220">
            <v>254846947000320</v>
          </cell>
          <cell r="C220">
            <v>4987176106353</v>
          </cell>
          <cell r="D220">
            <v>4987176106353</v>
          </cell>
          <cell r="E220" t="str">
            <v>PANTENE 潘婷 黑亮修護潤髮精華素 700g, 1瓶</v>
          </cell>
          <cell r="F220">
            <v>158</v>
          </cell>
          <cell r="G220">
            <v>6</v>
          </cell>
          <cell r="H220">
            <v>0</v>
          </cell>
          <cell r="I220" t="str">
            <v>Hair</v>
          </cell>
          <cell r="K220">
            <v>0</v>
          </cell>
        </row>
        <row r="221">
          <cell r="B221">
            <v>522244895786670</v>
          </cell>
          <cell r="C221">
            <v>4987176275851</v>
          </cell>
          <cell r="D221">
            <v>4987176275851</v>
          </cell>
          <cell r="E221" t="str">
            <v>PANTENE 潘婷 台灣公司貨 爆水精華系列 爆水膠囊髮膜 Pro-V 高濃保濕髮膜 密集修護型, 36ml, 1盒</v>
          </cell>
          <cell r="F221">
            <v>98</v>
          </cell>
          <cell r="G221">
            <v>12</v>
          </cell>
          <cell r="H221">
            <v>480</v>
          </cell>
          <cell r="I221" t="str">
            <v>Hair</v>
          </cell>
          <cell r="K221">
            <v>40</v>
          </cell>
        </row>
        <row r="222">
          <cell r="B222">
            <v>522244895809138</v>
          </cell>
          <cell r="C222">
            <v>4987176281616</v>
          </cell>
          <cell r="D222">
            <v>4987176281616</v>
          </cell>
          <cell r="E222" t="str">
            <v>PANTENE 潘婷 台灣公司貨 Abundance防斷護髮精華素, 200ml, 1條</v>
          </cell>
          <cell r="F222">
            <v>272</v>
          </cell>
          <cell r="G222">
            <v>12</v>
          </cell>
          <cell r="H222">
            <v>143</v>
          </cell>
          <cell r="I222" t="str">
            <v>Hair</v>
          </cell>
          <cell r="K222">
            <v>11</v>
          </cell>
        </row>
        <row r="223">
          <cell r="B223">
            <v>522244895809139</v>
          </cell>
          <cell r="C223">
            <v>4987176281593</v>
          </cell>
          <cell r="D223">
            <v>4987176281593</v>
          </cell>
          <cell r="E223" t="str">
            <v>PANTENE 潘婷 台灣公司貨 Abundance豐盈洗髮露, 290g, 1瓶</v>
          </cell>
          <cell r="F223">
            <v>272</v>
          </cell>
          <cell r="G223">
            <v>12</v>
          </cell>
          <cell r="H223">
            <v>106</v>
          </cell>
          <cell r="I223" t="str">
            <v>Hair</v>
          </cell>
          <cell r="K223">
            <v>8</v>
          </cell>
        </row>
        <row r="224">
          <cell r="B224">
            <v>522244896135961</v>
          </cell>
          <cell r="C224">
            <v>4987176343703</v>
          </cell>
          <cell r="D224">
            <v>4987176343703</v>
          </cell>
          <cell r="E224" t="str">
            <v>PANTENE 潘婷 原廠公司貨 潤髮精華素 強韌防斷, 650g, 1個</v>
          </cell>
          <cell r="F224">
            <v>159</v>
          </cell>
          <cell r="G224">
            <v>6</v>
          </cell>
          <cell r="H224">
            <v>484</v>
          </cell>
          <cell r="I224" t="str">
            <v>Hair</v>
          </cell>
          <cell r="K224">
            <v>80</v>
          </cell>
        </row>
        <row r="225">
          <cell r="B225">
            <v>522244896135962</v>
          </cell>
          <cell r="C225">
            <v>4987176343727</v>
          </cell>
          <cell r="D225">
            <v>4987176343727</v>
          </cell>
          <cell r="E225" t="str">
            <v>PANTENE 潘婷 原廠公司貨 護潤髮精華素 乳液修護, 650g, 1個</v>
          </cell>
          <cell r="F225">
            <v>159</v>
          </cell>
          <cell r="G225">
            <v>6</v>
          </cell>
          <cell r="H225">
            <v>1193</v>
          </cell>
          <cell r="I225" t="str">
            <v>Hair</v>
          </cell>
          <cell r="K225">
            <v>198</v>
          </cell>
        </row>
        <row r="226">
          <cell r="B226">
            <v>522244896135963</v>
          </cell>
          <cell r="C226">
            <v>4987176343697</v>
          </cell>
          <cell r="D226">
            <v>4987176343697</v>
          </cell>
          <cell r="E226" t="str">
            <v>PANTENE 潘婷 原廠公司貨 潤髮精華素 絲質順滑, 650g, 1個</v>
          </cell>
          <cell r="F226">
            <v>159</v>
          </cell>
          <cell r="G226">
            <v>6</v>
          </cell>
          <cell r="H226">
            <v>1804</v>
          </cell>
          <cell r="I226" t="str">
            <v>Hair</v>
          </cell>
          <cell r="K226">
            <v>300</v>
          </cell>
        </row>
        <row r="227">
          <cell r="B227">
            <v>522244896135965</v>
          </cell>
          <cell r="C227">
            <v>4987176343628</v>
          </cell>
          <cell r="D227">
            <v>4987176343628</v>
          </cell>
          <cell r="E227" t="str">
            <v>PANTENE 潘婷 原廠公司貨 潤髮精華素 乳液修護, 400g, 1個</v>
          </cell>
          <cell r="F227">
            <v>99</v>
          </cell>
          <cell r="G227">
            <v>12</v>
          </cell>
          <cell r="H227">
            <v>1193</v>
          </cell>
          <cell r="I227" t="str">
            <v>Hair</v>
          </cell>
          <cell r="K227">
            <v>99</v>
          </cell>
        </row>
        <row r="228">
          <cell r="B228">
            <v>522244896135966</v>
          </cell>
          <cell r="C228">
            <v>4987176343918</v>
          </cell>
          <cell r="D228">
            <v>4987176343918</v>
          </cell>
          <cell r="E228" t="str">
            <v>PANTENE 潘婷 原廠公司貨 潤髮精華素 盈潤光澤, 650g, 1個</v>
          </cell>
          <cell r="F228">
            <v>159</v>
          </cell>
          <cell r="G228">
            <v>6</v>
          </cell>
          <cell r="H228">
            <v>413</v>
          </cell>
          <cell r="I228" t="str">
            <v>Hair</v>
          </cell>
          <cell r="K228">
            <v>68</v>
          </cell>
        </row>
        <row r="229">
          <cell r="B229">
            <v>522244896135967</v>
          </cell>
          <cell r="C229">
            <v>4987176343680</v>
          </cell>
          <cell r="D229">
            <v>4987176343680</v>
          </cell>
          <cell r="E229" t="str">
            <v>PANTENE 潘婷 原廠公司貨 洗髮露 乳液修護, 650g, 1個</v>
          </cell>
          <cell r="F229">
            <v>159</v>
          </cell>
          <cell r="G229">
            <v>6</v>
          </cell>
          <cell r="H229">
            <v>285</v>
          </cell>
          <cell r="I229" t="str">
            <v>Hair</v>
          </cell>
          <cell r="K229">
            <v>47</v>
          </cell>
        </row>
        <row r="230">
          <cell r="B230">
            <v>522244896135968</v>
          </cell>
          <cell r="C230">
            <v>4987176343710</v>
          </cell>
          <cell r="D230">
            <v>4987176343710</v>
          </cell>
          <cell r="E230" t="str">
            <v>PANTENE 潘婷 原廠公司貨 洗髮露 強韌防斷, 650g, 1個</v>
          </cell>
          <cell r="F230">
            <v>159</v>
          </cell>
          <cell r="G230">
            <v>6</v>
          </cell>
          <cell r="H230">
            <v>422</v>
          </cell>
          <cell r="I230" t="str">
            <v>Hair</v>
          </cell>
          <cell r="K230">
            <v>70</v>
          </cell>
        </row>
        <row r="231">
          <cell r="B231">
            <v>522244896135969</v>
          </cell>
          <cell r="C231">
            <v>4987176343741</v>
          </cell>
          <cell r="D231">
            <v>4987176343741</v>
          </cell>
          <cell r="E231" t="str">
            <v>PANTENE 潘婷 原廠公司貨 洗髮露 絲質順滑, 650g, 1個</v>
          </cell>
          <cell r="F231">
            <v>159</v>
          </cell>
          <cell r="G231">
            <v>6</v>
          </cell>
          <cell r="H231">
            <v>2295</v>
          </cell>
          <cell r="I231" t="str">
            <v>Hair</v>
          </cell>
          <cell r="K231">
            <v>382</v>
          </cell>
        </row>
        <row r="232">
          <cell r="B232">
            <v>522244896135970</v>
          </cell>
          <cell r="C232">
            <v>4987176343734</v>
          </cell>
          <cell r="D232">
            <v>4987176343734</v>
          </cell>
          <cell r="E232" t="str">
            <v>PANTENE 潘婷 原廠公司貨 洗髮露 染燙修護, 650g, 1個</v>
          </cell>
          <cell r="F232">
            <v>159</v>
          </cell>
          <cell r="G232">
            <v>6</v>
          </cell>
          <cell r="H232">
            <v>722</v>
          </cell>
          <cell r="I232" t="str">
            <v>Hair</v>
          </cell>
          <cell r="K232">
            <v>120</v>
          </cell>
        </row>
        <row r="233">
          <cell r="B233">
            <v>522244896135971</v>
          </cell>
          <cell r="C233">
            <v>4987176343673</v>
          </cell>
          <cell r="D233">
            <v>4987176343673</v>
          </cell>
          <cell r="E233" t="str">
            <v>PANTENE 潘婷 原廠公司貨 洗髮露 盈潤光澤, 650g, 1個</v>
          </cell>
          <cell r="F233">
            <v>159</v>
          </cell>
          <cell r="G233">
            <v>6</v>
          </cell>
          <cell r="H233">
            <v>356</v>
          </cell>
          <cell r="I233" t="str">
            <v>Hair</v>
          </cell>
          <cell r="K233">
            <v>59</v>
          </cell>
        </row>
        <row r="234">
          <cell r="B234">
            <v>522244896135972</v>
          </cell>
          <cell r="C234">
            <v>4987176343659</v>
          </cell>
          <cell r="D234">
            <v>4987176343659</v>
          </cell>
          <cell r="E234" t="str">
            <v>PANTENE 潘婷 原廠公司貨 去屑洗髮露 乳液修護, 650g, 1個</v>
          </cell>
          <cell r="F234">
            <v>159</v>
          </cell>
          <cell r="G234">
            <v>6</v>
          </cell>
          <cell r="H234">
            <v>347</v>
          </cell>
          <cell r="I234" t="str">
            <v>Hair</v>
          </cell>
          <cell r="K234">
            <v>57</v>
          </cell>
        </row>
        <row r="235">
          <cell r="B235">
            <v>522244896135973</v>
          </cell>
          <cell r="C235">
            <v>4987176343925</v>
          </cell>
          <cell r="D235">
            <v>4987176343925</v>
          </cell>
          <cell r="E235" t="str">
            <v>PANTENE 潘婷 原廠公司貨 洗髮露 垂順直髮, 650g, 1個</v>
          </cell>
          <cell r="F235">
            <v>159</v>
          </cell>
          <cell r="G235">
            <v>6</v>
          </cell>
          <cell r="H235">
            <v>337</v>
          </cell>
          <cell r="I235" t="str">
            <v>Hair</v>
          </cell>
          <cell r="K235">
            <v>56</v>
          </cell>
        </row>
        <row r="236">
          <cell r="B236">
            <v>522244896135974</v>
          </cell>
          <cell r="C236">
            <v>4987176354044</v>
          </cell>
          <cell r="D236">
            <v>4987176354044</v>
          </cell>
          <cell r="E236" t="str">
            <v>PANTENE 潘婷 原廠公司貨 乳液修護洗髮乳 + 3 MINUTE MIRACLE多效護髮精華70ml, 650g, 1套</v>
          </cell>
          <cell r="F236">
            <v>185</v>
          </cell>
          <cell r="G236">
            <v>6</v>
          </cell>
          <cell r="H236">
            <v>484</v>
          </cell>
          <cell r="I236" t="str">
            <v>Hair</v>
          </cell>
          <cell r="K236">
            <v>80</v>
          </cell>
        </row>
        <row r="237">
          <cell r="B237">
            <v>122903307714578</v>
          </cell>
          <cell r="C237">
            <v>4902430798631</v>
          </cell>
          <cell r="D237">
            <v>4902430798631</v>
          </cell>
          <cell r="E237" t="str">
            <v>PeRT 飛柔 柔順茉莉香氛洗髮露, 530g, 1瓶</v>
          </cell>
          <cell r="F237">
            <v>150</v>
          </cell>
          <cell r="G237">
            <v>12</v>
          </cell>
          <cell r="H237">
            <v>209</v>
          </cell>
          <cell r="I237" t="str">
            <v>Hair</v>
          </cell>
          <cell r="K237">
            <v>17</v>
          </cell>
        </row>
        <row r="238">
          <cell r="B238">
            <v>206620600516608</v>
          </cell>
          <cell r="C238">
            <v>4987176040589</v>
          </cell>
          <cell r="D238">
            <v>4987176040589</v>
          </cell>
          <cell r="E238" t="str">
            <v>Pert 飛柔 免沖洗瞬效護髮精華滋養修護 按壓瓶 380g, 1瓶</v>
          </cell>
          <cell r="F238">
            <v>173</v>
          </cell>
          <cell r="G238">
            <v>6</v>
          </cell>
          <cell r="H238">
            <v>472</v>
          </cell>
          <cell r="I238" t="str">
            <v>Hair</v>
          </cell>
          <cell r="K238">
            <v>78</v>
          </cell>
        </row>
        <row r="239">
          <cell r="B239">
            <v>252997070192641</v>
          </cell>
          <cell r="C239">
            <v>4987176151322</v>
          </cell>
          <cell r="D239">
            <v>4987176151322</v>
          </cell>
          <cell r="E239" t="str">
            <v>PERT 飛柔 免沖洗瞬效護髮精華, 清爽修護, 380g, 1瓶</v>
          </cell>
          <cell r="F239">
            <v>170</v>
          </cell>
          <cell r="G239">
            <v>6</v>
          </cell>
          <cell r="H239">
            <v>0</v>
          </cell>
          <cell r="I239" t="str">
            <v>Hair</v>
          </cell>
          <cell r="K239">
            <v>0</v>
          </cell>
        </row>
        <row r="240">
          <cell r="B240">
            <v>253726929403908</v>
          </cell>
          <cell r="C240">
            <v>4987176149978</v>
          </cell>
          <cell r="D240">
            <v>4987176149978</v>
          </cell>
          <cell r="E240" t="str">
            <v>PERT 飛柔 精萃潤養洗髮露, 750g, 1瓶</v>
          </cell>
          <cell r="F240">
            <v>113</v>
          </cell>
          <cell r="G240">
            <v>6</v>
          </cell>
          <cell r="H240">
            <v>1203</v>
          </cell>
          <cell r="I240" t="str">
            <v>Hair</v>
          </cell>
          <cell r="K240">
            <v>200</v>
          </cell>
        </row>
        <row r="241">
          <cell r="B241">
            <v>253726929403911</v>
          </cell>
          <cell r="C241">
            <v>4987176150004</v>
          </cell>
          <cell r="D241">
            <v>4987176150004</v>
          </cell>
          <cell r="E241" t="str">
            <v>PERT 飛柔 人參萃取修護洗髮露, 750g, 1瓶</v>
          </cell>
          <cell r="F241">
            <v>113</v>
          </cell>
          <cell r="G241">
            <v>6</v>
          </cell>
          <cell r="H241">
            <v>317</v>
          </cell>
          <cell r="I241" t="str">
            <v>Hair</v>
          </cell>
          <cell r="K241">
            <v>52</v>
          </cell>
        </row>
        <row r="242">
          <cell r="B242">
            <v>253727889932289</v>
          </cell>
          <cell r="C242">
            <v>4987176149954</v>
          </cell>
          <cell r="D242">
            <v>4987176149954</v>
          </cell>
          <cell r="E242" t="str">
            <v>PERT 飛柔 洗髮露, 滋潤去屑, 750g, 1瓶</v>
          </cell>
          <cell r="F242">
            <v>113</v>
          </cell>
          <cell r="G242">
            <v>6</v>
          </cell>
          <cell r="H242">
            <v>1499</v>
          </cell>
          <cell r="I242" t="str">
            <v>Hair</v>
          </cell>
          <cell r="K242">
            <v>249</v>
          </cell>
        </row>
        <row r="243">
          <cell r="B243">
            <v>253728745553928</v>
          </cell>
          <cell r="C243">
            <v>4987176149916</v>
          </cell>
          <cell r="D243">
            <v>4987176149916</v>
          </cell>
          <cell r="E243" t="str">
            <v>PERT 飛柔 洗髮露, 控油止癢, 750g, 1瓶</v>
          </cell>
          <cell r="F243">
            <v>113</v>
          </cell>
          <cell r="G243">
            <v>6</v>
          </cell>
          <cell r="H243">
            <v>3368</v>
          </cell>
          <cell r="I243" t="str">
            <v>Hair</v>
          </cell>
          <cell r="K243">
            <v>561</v>
          </cell>
          <cell r="L243" t="str">
            <v>停產</v>
          </cell>
        </row>
        <row r="244">
          <cell r="B244">
            <v>253738291773440</v>
          </cell>
          <cell r="C244">
            <v>4987176150028</v>
          </cell>
          <cell r="D244">
            <v>4987176150028</v>
          </cell>
          <cell r="E244" t="str">
            <v>PERT 飛柔 潤髮乳, 滋潤去屑, 750g, 1瓶</v>
          </cell>
          <cell r="F244">
            <v>113</v>
          </cell>
          <cell r="G244">
            <v>6</v>
          </cell>
          <cell r="H244">
            <v>258</v>
          </cell>
          <cell r="I244" t="str">
            <v>Hair</v>
          </cell>
          <cell r="K244">
            <v>43</v>
          </cell>
          <cell r="L244" t="str">
            <v>停產</v>
          </cell>
        </row>
        <row r="245">
          <cell r="B245">
            <v>253738308550656</v>
          </cell>
          <cell r="C245">
            <v>4987176150042</v>
          </cell>
          <cell r="D245">
            <v>4987176150042</v>
          </cell>
          <cell r="E245" t="str">
            <v>PERT 飛柔 修護潤髮乳, 人參萃取, 750g, 1瓶</v>
          </cell>
          <cell r="F245">
            <v>113</v>
          </cell>
          <cell r="G245">
            <v>6</v>
          </cell>
          <cell r="H245">
            <v>226</v>
          </cell>
          <cell r="I245" t="str">
            <v>Hair</v>
          </cell>
          <cell r="K245">
            <v>37</v>
          </cell>
        </row>
        <row r="246">
          <cell r="B246">
            <v>253739252301824</v>
          </cell>
          <cell r="C246">
            <v>4987176150035</v>
          </cell>
          <cell r="D246">
            <v>4987176150035</v>
          </cell>
          <cell r="E246" t="str">
            <v>PERT 飛柔 精萃潤養潤髮乳 750g, 1瓶</v>
          </cell>
          <cell r="F246">
            <v>113</v>
          </cell>
          <cell r="G246">
            <v>6</v>
          </cell>
          <cell r="H246">
            <v>672</v>
          </cell>
          <cell r="I246" t="str">
            <v>Hair</v>
          </cell>
          <cell r="K246">
            <v>112</v>
          </cell>
        </row>
        <row r="247">
          <cell r="B247">
            <v>312054736961539</v>
          </cell>
          <cell r="C247">
            <v>4987176149923</v>
          </cell>
          <cell r="D247">
            <v>4987176149923</v>
          </cell>
          <cell r="E247" t="str">
            <v>PERT 飛柔 控油止癢洗髮露, 400g, 1瓶</v>
          </cell>
          <cell r="F247">
            <v>70</v>
          </cell>
          <cell r="G247">
            <v>12</v>
          </cell>
          <cell r="H247">
            <v>377</v>
          </cell>
          <cell r="I247" t="str">
            <v>Hair</v>
          </cell>
          <cell r="K247">
            <v>31</v>
          </cell>
        </row>
        <row r="248">
          <cell r="B248">
            <v>522244895807886</v>
          </cell>
          <cell r="C248">
            <v>4987176334008</v>
          </cell>
          <cell r="D248">
            <v>4987176334008</v>
          </cell>
          <cell r="E248" t="str">
            <v>PeRT 飛柔 蓬鬆去屑洗髮露組, 1000g, 1組</v>
          </cell>
          <cell r="F248">
            <v>170</v>
          </cell>
          <cell r="G248">
            <v>6</v>
          </cell>
          <cell r="H248">
            <v>172</v>
          </cell>
          <cell r="I248" t="str">
            <v>Hair</v>
          </cell>
          <cell r="K248">
            <v>28</v>
          </cell>
        </row>
        <row r="249">
          <cell r="B249">
            <v>522244895807887</v>
          </cell>
          <cell r="C249">
            <v>4987176297464</v>
          </cell>
          <cell r="D249">
            <v>4987176297464</v>
          </cell>
          <cell r="E249" t="str">
            <v>PeRT 飛柔 蓬鬆去屑洗髮露, 600g, 1瓶</v>
          </cell>
          <cell r="F249">
            <v>108</v>
          </cell>
          <cell r="G249">
            <v>6</v>
          </cell>
          <cell r="H249">
            <v>161</v>
          </cell>
          <cell r="I249" t="str">
            <v>Hair</v>
          </cell>
          <cell r="K249">
            <v>26</v>
          </cell>
        </row>
        <row r="250">
          <cell r="B250">
            <v>522244895807888</v>
          </cell>
          <cell r="C250">
            <v>4987176297600</v>
          </cell>
          <cell r="D250">
            <v>4987176297600</v>
          </cell>
          <cell r="E250" t="str">
            <v>PeRT 飛柔 蓬鬆去屑洗髮露, 400g, 1瓶</v>
          </cell>
          <cell r="F250">
            <v>82</v>
          </cell>
          <cell r="G250">
            <v>12</v>
          </cell>
          <cell r="H250">
            <v>76</v>
          </cell>
          <cell r="I250" t="str">
            <v>Hair</v>
          </cell>
          <cell r="K250">
            <v>6</v>
          </cell>
        </row>
        <row r="251">
          <cell r="B251">
            <v>522244895808524</v>
          </cell>
          <cell r="C251">
            <v>4987176333995</v>
          </cell>
          <cell r="D251">
            <v>4987176333995</v>
          </cell>
          <cell r="E251" t="str">
            <v>PeRT 飛柔 控油去屑洗髮露組 600g + 400g, 1kg, 1組</v>
          </cell>
          <cell r="F251">
            <v>170</v>
          </cell>
          <cell r="G251">
            <v>6</v>
          </cell>
          <cell r="H251">
            <v>156</v>
          </cell>
          <cell r="I251" t="str">
            <v>Hair</v>
          </cell>
          <cell r="K251">
            <v>26</v>
          </cell>
        </row>
        <row r="252">
          <cell r="B252">
            <v>522244895808525</v>
          </cell>
          <cell r="C252">
            <v>4987176297495</v>
          </cell>
          <cell r="D252">
            <v>4987176297495</v>
          </cell>
          <cell r="E252" t="str">
            <v>PeRT 飛柔 控油去屑洗髮露, 600g, 1瓶</v>
          </cell>
          <cell r="F252">
            <v>108</v>
          </cell>
          <cell r="G252">
            <v>6</v>
          </cell>
          <cell r="H252">
            <v>603</v>
          </cell>
          <cell r="I252" t="str">
            <v>Hair</v>
          </cell>
          <cell r="K252">
            <v>100</v>
          </cell>
        </row>
        <row r="253">
          <cell r="B253">
            <v>522244895808526</v>
          </cell>
          <cell r="C253">
            <v>4987176297648</v>
          </cell>
          <cell r="D253">
            <v>4987176297648</v>
          </cell>
          <cell r="E253" t="str">
            <v>PeRT 飛柔 控油去屑洗髮露, 400g, 1瓶</v>
          </cell>
          <cell r="F253">
            <v>82</v>
          </cell>
          <cell r="G253">
            <v>12</v>
          </cell>
          <cell r="H253">
            <v>19</v>
          </cell>
          <cell r="I253" t="str">
            <v>Hair</v>
          </cell>
          <cell r="K253">
            <v>1</v>
          </cell>
        </row>
        <row r="254">
          <cell r="B254">
            <v>522244896404694</v>
          </cell>
          <cell r="C254">
            <v>4987176393326</v>
          </cell>
          <cell r="D254">
            <v>4987176393326</v>
          </cell>
          <cell r="E254" t="str">
            <v>Tide 汰漬 台灣公司貨 2倍超濃縮洗衣精, 3.69L, 1桶</v>
          </cell>
          <cell r="F254">
            <v>564</v>
          </cell>
          <cell r="G254">
            <v>4</v>
          </cell>
          <cell r="H254">
            <v>429</v>
          </cell>
          <cell r="I254" t="str">
            <v>Fabric</v>
          </cell>
          <cell r="K254">
            <v>107</v>
          </cell>
          <cell r="M254">
            <v>189</v>
          </cell>
        </row>
        <row r="255">
          <cell r="B255">
            <v>149768240054272</v>
          </cell>
          <cell r="C255">
            <v>6903148182383</v>
          </cell>
          <cell r="D255">
            <v>6903148182383</v>
          </cell>
          <cell r="E255" t="str">
            <v>whisper 好自在 台灣公司貨 隱型透氣護墊, 自然無香, 40片, 1包</v>
          </cell>
          <cell r="F255">
            <v>40</v>
          </cell>
          <cell r="G255">
            <v>24</v>
          </cell>
          <cell r="H255">
            <v>374</v>
          </cell>
          <cell r="I255" t="str">
            <v>Fem</v>
          </cell>
          <cell r="K255">
            <v>15</v>
          </cell>
          <cell r="L255"/>
          <cell r="M255">
            <v>16</v>
          </cell>
        </row>
        <row r="256">
          <cell r="B256">
            <v>149768592408576</v>
          </cell>
          <cell r="C256">
            <v>6903148182680</v>
          </cell>
          <cell r="D256">
            <v>6903148182680</v>
          </cell>
          <cell r="E256" t="str">
            <v>whisper 好自在 台灣公司貨 隱型乾爽護墊, 自然無香, 40片, 1包</v>
          </cell>
          <cell r="F256">
            <v>40</v>
          </cell>
          <cell r="G256">
            <v>24</v>
          </cell>
          <cell r="H256">
            <v>165</v>
          </cell>
          <cell r="I256" t="str">
            <v>Fem</v>
          </cell>
          <cell r="K256">
            <v>6</v>
          </cell>
          <cell r="M256">
            <v>7</v>
          </cell>
        </row>
        <row r="257">
          <cell r="B257">
            <v>149768982462464</v>
          </cell>
          <cell r="C257">
            <v>6903148182406</v>
          </cell>
          <cell r="D257">
            <v>6903148182406</v>
          </cell>
          <cell r="E257" t="str">
            <v>好自在隱型清新護墊 淡香 40片,1包</v>
          </cell>
          <cell r="F257">
            <v>40</v>
          </cell>
          <cell r="G257">
            <v>24</v>
          </cell>
          <cell r="H257">
            <v>200</v>
          </cell>
          <cell r="I257" t="str">
            <v>Fem</v>
          </cell>
          <cell r="K257">
            <v>8</v>
          </cell>
          <cell r="M257">
            <v>8</v>
          </cell>
        </row>
        <row r="258">
          <cell r="B258">
            <v>253364545765379</v>
          </cell>
          <cell r="C258">
            <v>4987176122919</v>
          </cell>
          <cell r="D258">
            <v>4987176122919</v>
          </cell>
          <cell r="E258" t="str">
            <v>whisper 好自在 台灣公司貨 熊抱安睡36cm量多夜用(10片X2),1組</v>
          </cell>
          <cell r="F258">
            <v>115</v>
          </cell>
          <cell r="G258">
            <v>12</v>
          </cell>
          <cell r="H258">
            <v>148</v>
          </cell>
          <cell r="I258" t="str">
            <v>Fem</v>
          </cell>
          <cell r="K258">
            <v>12</v>
          </cell>
          <cell r="M258">
            <v>12</v>
          </cell>
        </row>
        <row r="259">
          <cell r="B259">
            <v>254097055760384</v>
          </cell>
          <cell r="C259">
            <v>4987176122933</v>
          </cell>
          <cell r="D259">
            <v>4987176122933</v>
          </cell>
          <cell r="E259" t="str">
            <v>whisper 好自在 台灣公司貨 熊抱安睡425mm量多夜用衛生棉, 7片,2包,1組</v>
          </cell>
          <cell r="F259">
            <v>120</v>
          </cell>
          <cell r="G259">
            <v>12</v>
          </cell>
          <cell r="H259">
            <v>1050</v>
          </cell>
          <cell r="I259" t="str">
            <v>Fem</v>
          </cell>
          <cell r="K259">
            <v>87</v>
          </cell>
          <cell r="M259">
            <v>88</v>
          </cell>
        </row>
        <row r="260">
          <cell r="B260">
            <v>254098020483075</v>
          </cell>
          <cell r="C260">
            <v>4987176122865</v>
          </cell>
          <cell r="D260">
            <v>4987176122865</v>
          </cell>
          <cell r="E260" t="str">
            <v>whisper 好自在 熊抱安睡42.5cm 量多夜用,7片,1包</v>
          </cell>
          <cell r="F260">
            <v>57</v>
          </cell>
          <cell r="G260">
            <v>12</v>
          </cell>
          <cell r="H260">
            <v>249</v>
          </cell>
          <cell r="I260" t="str">
            <v>Fem</v>
          </cell>
          <cell r="K260">
            <v>20</v>
          </cell>
          <cell r="M260">
            <v>0</v>
          </cell>
        </row>
        <row r="261">
          <cell r="B261">
            <v>254098880299011</v>
          </cell>
          <cell r="C261">
            <v>4987176122858</v>
          </cell>
          <cell r="D261">
            <v>4987176122858</v>
          </cell>
          <cell r="E261" t="str">
            <v>whisper 好自在 台灣公司貨 熊抱安睡36cm量多夜用10片, 1包</v>
          </cell>
          <cell r="F261">
            <v>60</v>
          </cell>
          <cell r="G261">
            <v>12</v>
          </cell>
          <cell r="H261">
            <v>99</v>
          </cell>
          <cell r="I261" t="str">
            <v>Fem</v>
          </cell>
          <cell r="K261">
            <v>8</v>
          </cell>
          <cell r="M261">
            <v>0</v>
          </cell>
        </row>
        <row r="262">
          <cell r="B262">
            <v>268227443638287</v>
          </cell>
          <cell r="C262">
            <v>6903148302712</v>
          </cell>
          <cell r="D262">
            <v>6903148302712</v>
          </cell>
          <cell r="E262" t="str">
            <v>whisper 好自在 台灣公司貨 無痕安心褲, 均碼, 2件, 1包</v>
          </cell>
          <cell r="F262">
            <v>66</v>
          </cell>
          <cell r="G262">
            <v>0</v>
          </cell>
          <cell r="H262">
            <v>0</v>
          </cell>
          <cell r="I262" t="str">
            <v>Fem</v>
          </cell>
          <cell r="K262"/>
          <cell r="L262" t="str">
            <v>停產</v>
          </cell>
          <cell r="M262">
            <v>0</v>
          </cell>
        </row>
        <row r="263">
          <cell r="B263">
            <v>324773687001088</v>
          </cell>
          <cell r="C263">
            <v>4987176179258</v>
          </cell>
          <cell r="D263">
            <v>4987176179258</v>
          </cell>
          <cell r="E263" t="str">
            <v>whisper 好自在 台灣公司貨 INFINITY液體衛生棉 超長夜用 34cm, 10片, 夜用型, 1盒</v>
          </cell>
          <cell r="F263">
            <v>82</v>
          </cell>
          <cell r="G263">
            <v>12</v>
          </cell>
          <cell r="H263">
            <v>2627</v>
          </cell>
          <cell r="I263" t="str">
            <v>Fem</v>
          </cell>
          <cell r="K263">
            <v>218</v>
          </cell>
          <cell r="M263">
            <v>219</v>
          </cell>
        </row>
        <row r="264">
          <cell r="B264">
            <v>324773687050240</v>
          </cell>
          <cell r="C264">
            <v>4987176177858</v>
          </cell>
          <cell r="D264">
            <v>4987176177858</v>
          </cell>
          <cell r="E264" t="str">
            <v>whisper 好自在 Radiant清新淨味 液體衛生棉/巾 棉柔表層 量多超薄 日用型, 27cm, 9片, 1盒</v>
          </cell>
          <cell r="F264">
            <v>89</v>
          </cell>
          <cell r="G264">
            <v>12</v>
          </cell>
          <cell r="H264">
            <v>3098</v>
          </cell>
          <cell r="I264" t="str">
            <v>Fem</v>
          </cell>
          <cell r="K264">
            <v>258</v>
          </cell>
          <cell r="M264">
            <v>258</v>
          </cell>
        </row>
        <row r="265">
          <cell r="B265">
            <v>328409334923264</v>
          </cell>
          <cell r="C265">
            <v>4987176177865</v>
          </cell>
          <cell r="D265">
            <v>4987176177865</v>
          </cell>
          <cell r="E265" t="str">
            <v>whisper 好自在 台灣公司貨 液體衛生棉清新淨味 31.7cm, 1包, 9片, 一般</v>
          </cell>
          <cell r="F265">
            <v>89</v>
          </cell>
          <cell r="G265">
            <v>12</v>
          </cell>
          <cell r="H265">
            <v>0</v>
          </cell>
          <cell r="I265" t="str">
            <v>Fem</v>
          </cell>
          <cell r="K265">
            <v>0</v>
          </cell>
          <cell r="M265">
            <v>0</v>
          </cell>
        </row>
        <row r="266">
          <cell r="B266">
            <v>328775300513792</v>
          </cell>
          <cell r="C266">
            <v>4987176177841</v>
          </cell>
          <cell r="D266">
            <v>4987176177841</v>
          </cell>
          <cell r="E266" t="str">
            <v>whisper 好自在 台灣公司貨 液體衛生棉清新淨味 24cm, 1包, 9片, 一般</v>
          </cell>
          <cell r="F266">
            <v>89</v>
          </cell>
          <cell r="G266">
            <v>12</v>
          </cell>
          <cell r="H266">
            <v>2515</v>
          </cell>
          <cell r="I266" t="str">
            <v>Fem</v>
          </cell>
          <cell r="K266">
            <v>209</v>
          </cell>
          <cell r="M266">
            <v>210</v>
          </cell>
        </row>
        <row r="267">
          <cell r="B267">
            <v>346144055951364</v>
          </cell>
          <cell r="C267">
            <v>4987176219985</v>
          </cell>
          <cell r="D267">
            <v>4987176219985</v>
          </cell>
          <cell r="E267" t="str">
            <v>whisper 好自在 熊抱安睡褲XL, 24包, 2片, 內褲型</v>
          </cell>
          <cell r="G267">
            <v>0</v>
          </cell>
          <cell r="H267">
            <v>0</v>
          </cell>
          <cell r="I267" t="str">
            <v>Fem</v>
          </cell>
          <cell r="K267"/>
          <cell r="L267" t="str">
            <v>停產</v>
          </cell>
          <cell r="M267">
            <v>0</v>
          </cell>
        </row>
        <row r="268">
          <cell r="B268">
            <v>518994700173312</v>
          </cell>
          <cell r="C268">
            <v>6903148356999</v>
          </cell>
          <cell r="D268">
            <v>6903148356999</v>
          </cell>
          <cell r="E268" t="str">
            <v>whisper 好自在 台灣公司貨 Air Dry 雲枕瞬吸衛生棉 日用量大, 28cm, 10片, 1包</v>
          </cell>
          <cell r="F268">
            <v>54</v>
          </cell>
          <cell r="G268">
            <v>24</v>
          </cell>
          <cell r="H268">
            <v>425</v>
          </cell>
          <cell r="I268" t="str">
            <v>Fem</v>
          </cell>
          <cell r="J268"/>
          <cell r="K268">
            <v>17</v>
          </cell>
          <cell r="L268"/>
          <cell r="M268">
            <v>18</v>
          </cell>
        </row>
        <row r="269">
          <cell r="B269">
            <v>518994700238848</v>
          </cell>
          <cell r="C269">
            <v>6903148138182</v>
          </cell>
          <cell r="D269">
            <v>6903148138182</v>
          </cell>
          <cell r="E269" t="str">
            <v>whisper 好自在 台灣公司貨 Air Dry 雲枕瞬吸衛生棉 日用, 24cm, 10片, 1包</v>
          </cell>
          <cell r="F269">
            <v>54</v>
          </cell>
          <cell r="G269">
            <v>24</v>
          </cell>
          <cell r="H269">
            <v>0</v>
          </cell>
          <cell r="I269" t="str">
            <v>Fem</v>
          </cell>
          <cell r="J269"/>
          <cell r="K269">
            <v>0</v>
          </cell>
          <cell r="L269"/>
          <cell r="M269">
            <v>15</v>
          </cell>
        </row>
        <row r="270">
          <cell r="B270">
            <v>518994700255233</v>
          </cell>
          <cell r="C270">
            <v>6903148308752</v>
          </cell>
          <cell r="D270">
            <v>6903148308752</v>
          </cell>
          <cell r="E270" t="str">
            <v>whisper 好自在 台灣公司貨 Air Dry 雲枕瞬吸衛生棉 日用輕量型, 18cm , 12片, 1包</v>
          </cell>
          <cell r="F270">
            <v>47</v>
          </cell>
          <cell r="G270">
            <v>24</v>
          </cell>
          <cell r="H270">
            <v>1512</v>
          </cell>
          <cell r="I270" t="str">
            <v>Fem</v>
          </cell>
          <cell r="J270"/>
          <cell r="K270">
            <v>63</v>
          </cell>
          <cell r="L270"/>
          <cell r="M270">
            <v>63</v>
          </cell>
        </row>
        <row r="271">
          <cell r="B271">
            <v>518994700255234</v>
          </cell>
          <cell r="C271">
            <v>6903148356982</v>
          </cell>
          <cell r="D271">
            <v>6903148356982</v>
          </cell>
          <cell r="E271" t="str">
            <v>whisper 好自在 台灣公司貨 Air Dry 雲枕瞬吸衛生棉 日用量大加長, 32cm, 8片, 1包</v>
          </cell>
          <cell r="F271">
            <v>54</v>
          </cell>
          <cell r="G271">
            <v>24</v>
          </cell>
          <cell r="H271">
            <v>22</v>
          </cell>
          <cell r="I271" t="str">
            <v>Fem</v>
          </cell>
          <cell r="K271">
            <v>0</v>
          </cell>
          <cell r="L271" t="str">
            <v>停產</v>
          </cell>
          <cell r="M271">
            <v>0</v>
          </cell>
        </row>
        <row r="272">
          <cell r="B272">
            <v>518994704367619</v>
          </cell>
          <cell r="C272">
            <v>6903148357033</v>
          </cell>
          <cell r="D272">
            <v>6903148357033</v>
          </cell>
          <cell r="E272" t="str">
            <v>whisper 好自在 台灣公司貨 Air Dry Fresh 草本健康衛生棉 日用量大, 28cm, 10片, 1包</v>
          </cell>
          <cell r="F272">
            <v>26</v>
          </cell>
          <cell r="G272">
            <v>24</v>
          </cell>
          <cell r="H272">
            <v>198</v>
          </cell>
          <cell r="I272" t="str">
            <v>Fem</v>
          </cell>
          <cell r="K272">
            <v>8</v>
          </cell>
          <cell r="L272" t="str">
            <v>停產</v>
          </cell>
          <cell r="M272">
            <v>0</v>
          </cell>
        </row>
        <row r="273">
          <cell r="B273">
            <v>518994704384003</v>
          </cell>
          <cell r="C273">
            <v>6903148357026</v>
          </cell>
          <cell r="D273">
            <v>6903148357026</v>
          </cell>
          <cell r="E273" t="str">
            <v>whisper 好自在 台灣公司貨 Air Dry Fresh 草本健康衛生棉 量大加長, 32cm, 8片, 1包</v>
          </cell>
          <cell r="F273">
            <v>34</v>
          </cell>
          <cell r="G273">
            <v>24</v>
          </cell>
          <cell r="H273">
            <v>285</v>
          </cell>
          <cell r="I273" t="str">
            <v>Fem</v>
          </cell>
          <cell r="K273">
            <v>11</v>
          </cell>
          <cell r="L273" t="str">
            <v>特規出清</v>
          </cell>
          <cell r="M273">
            <v>41</v>
          </cell>
        </row>
        <row r="274">
          <cell r="B274">
            <v>518994704433154</v>
          </cell>
          <cell r="C274">
            <v>6903148357019</v>
          </cell>
          <cell r="D274">
            <v>6903148357019</v>
          </cell>
          <cell r="E274" t="str">
            <v>whisper 好自在 台灣公司貨 Air Dry Fresh 草本健康衛生棉 日用普通, 24cm, 10片, 1包</v>
          </cell>
          <cell r="F274">
            <v>54</v>
          </cell>
          <cell r="G274">
            <v>24</v>
          </cell>
          <cell r="H274">
            <v>0</v>
          </cell>
          <cell r="I274" t="str">
            <v>Fem</v>
          </cell>
          <cell r="K274">
            <v>0</v>
          </cell>
          <cell r="L274" t="str">
            <v>停產</v>
          </cell>
          <cell r="M274">
            <v>0</v>
          </cell>
        </row>
        <row r="275">
          <cell r="B275">
            <v>518994704433155</v>
          </cell>
          <cell r="C275">
            <v>6903148300770</v>
          </cell>
          <cell r="D275">
            <v>6903148300770</v>
          </cell>
          <cell r="E275" t="str">
            <v>whisper 好自在 台灣公司貨 Air Dry Fresh 純棉衛生棉 日用輕量型, 18cm, 12片, 1包</v>
          </cell>
          <cell r="F275">
            <v>22</v>
          </cell>
          <cell r="G275">
            <v>24</v>
          </cell>
          <cell r="H275">
            <v>492</v>
          </cell>
          <cell r="I275" t="str">
            <v>Fem</v>
          </cell>
          <cell r="K275">
            <v>20</v>
          </cell>
          <cell r="L275" t="str">
            <v>停產</v>
          </cell>
          <cell r="M275">
            <v>0</v>
          </cell>
        </row>
        <row r="276">
          <cell r="B276">
            <v>518995950075905</v>
          </cell>
          <cell r="C276">
            <v>4987176301017</v>
          </cell>
          <cell r="D276">
            <v>4987176301017</v>
          </cell>
          <cell r="E276" t="str">
            <v>whisper 好自在 台灣公司貨 Air Dry 雲枕瞬吸衛生棉 日用量大加長, 32cm, 16片, 1袋</v>
          </cell>
          <cell r="F276">
            <v>95</v>
          </cell>
          <cell r="G276">
            <v>12</v>
          </cell>
          <cell r="H276">
            <v>14</v>
          </cell>
          <cell r="I276" t="str">
            <v>Fem</v>
          </cell>
          <cell r="K276">
            <v>1</v>
          </cell>
          <cell r="L276" t="str">
            <v>停產</v>
          </cell>
          <cell r="M276">
            <v>0</v>
          </cell>
        </row>
        <row r="277">
          <cell r="B277">
            <v>518995950092290</v>
          </cell>
          <cell r="C277">
            <v>6903148304761</v>
          </cell>
          <cell r="D277">
            <v>6903148304761</v>
          </cell>
          <cell r="E277" t="str">
            <v>whisper 好自在 台灣公司貨 Air Dry 雲枕瞬吸衛生棉 日用, 24cm, 20片, 1袋</v>
          </cell>
          <cell r="F277">
            <v>95</v>
          </cell>
          <cell r="G277">
            <v>12</v>
          </cell>
          <cell r="H277">
            <v>1217</v>
          </cell>
          <cell r="I277" t="str">
            <v>Fem</v>
          </cell>
          <cell r="J277"/>
          <cell r="K277">
            <v>101</v>
          </cell>
          <cell r="L277"/>
          <cell r="M277">
            <v>101</v>
          </cell>
        </row>
        <row r="278">
          <cell r="B278">
            <v>518995950141441</v>
          </cell>
          <cell r="C278">
            <v>6903148357002</v>
          </cell>
          <cell r="D278">
            <v>6903148357002</v>
          </cell>
          <cell r="E278" t="str">
            <v>whisper 好自在 台灣公司貨 Air Dry Fresh 草本健康衛生棉 日用量大, 28cm, 20片, 1袋</v>
          </cell>
          <cell r="F278">
            <v>95</v>
          </cell>
          <cell r="G278">
            <v>12</v>
          </cell>
          <cell r="H278">
            <v>142</v>
          </cell>
          <cell r="I278" t="str">
            <v>Fem</v>
          </cell>
          <cell r="J278"/>
          <cell r="K278">
            <v>11</v>
          </cell>
          <cell r="L278"/>
          <cell r="M278">
            <v>0</v>
          </cell>
        </row>
        <row r="279">
          <cell r="B279">
            <v>518995950157827</v>
          </cell>
          <cell r="C279">
            <v>4987176301024</v>
          </cell>
          <cell r="D279">
            <v>4987176301024</v>
          </cell>
          <cell r="E279" t="str">
            <v>whisper 好自在 台灣公司貨 Air Dry Fresh 草本健康衛生棉 量大加長, 32cm, 16片, 1袋</v>
          </cell>
          <cell r="F279">
            <v>61</v>
          </cell>
          <cell r="G279">
            <v>12</v>
          </cell>
          <cell r="H279">
            <v>115</v>
          </cell>
          <cell r="I279" t="str">
            <v>Fem</v>
          </cell>
          <cell r="K279">
            <v>9</v>
          </cell>
          <cell r="L279" t="str">
            <v>特規出清</v>
          </cell>
          <cell r="M279">
            <v>90</v>
          </cell>
        </row>
        <row r="280">
          <cell r="B280">
            <v>518995954335745</v>
          </cell>
          <cell r="C280">
            <v>6903148354582</v>
          </cell>
          <cell r="D280">
            <v>6903148354582</v>
          </cell>
          <cell r="E280" t="str">
            <v>whisper 好自在 台灣公司貨 Air Dry 雲枕瞬吸衛生棉 日用量大, 28cm, 20片, 1袋</v>
          </cell>
          <cell r="F280">
            <v>95</v>
          </cell>
          <cell r="G280">
            <v>12</v>
          </cell>
          <cell r="H280">
            <v>1252</v>
          </cell>
          <cell r="I280" t="str">
            <v>Fem</v>
          </cell>
          <cell r="J280"/>
          <cell r="K280">
            <v>104</v>
          </cell>
          <cell r="L280"/>
          <cell r="M280">
            <v>104</v>
          </cell>
        </row>
        <row r="281">
          <cell r="B281">
            <v>518995954335746</v>
          </cell>
          <cell r="C281">
            <v>6903148357040</v>
          </cell>
          <cell r="D281">
            <v>6903148357040</v>
          </cell>
          <cell r="E281" t="str">
            <v>whisper 好自在 台灣公司貨 Air Dry Fresh 草本健康衛生棉 日用普通, 24cm, 20片, 1袋</v>
          </cell>
          <cell r="F281">
            <v>95</v>
          </cell>
          <cell r="G281">
            <v>12</v>
          </cell>
          <cell r="H281">
            <v>340</v>
          </cell>
          <cell r="I281" t="str">
            <v>Fem</v>
          </cell>
          <cell r="K281">
            <v>28</v>
          </cell>
          <cell r="L281" t="str">
            <v>停產</v>
          </cell>
          <cell r="M281">
            <v>0</v>
          </cell>
        </row>
        <row r="282">
          <cell r="B282">
            <v>522244896205152</v>
          </cell>
          <cell r="C282">
            <v>6903148345023</v>
          </cell>
          <cell r="D282">
            <v>6903148345023</v>
          </cell>
          <cell r="E282" t="str">
            <v>whisper 好自在 經典款 液體衛生棉, 量大加長型 29.5cm, 夜用, 9片, 1個</v>
          </cell>
          <cell r="F282">
            <v>74</v>
          </cell>
          <cell r="G282">
            <v>12</v>
          </cell>
          <cell r="H282">
            <v>1276</v>
          </cell>
          <cell r="I282" t="str">
            <v>Fem</v>
          </cell>
          <cell r="J282"/>
          <cell r="K282">
            <v>106</v>
          </cell>
          <cell r="L282"/>
          <cell r="M282">
            <v>106</v>
          </cell>
        </row>
        <row r="283">
          <cell r="B283">
            <v>522244896205153</v>
          </cell>
          <cell r="C283">
            <v>4987176084378</v>
          </cell>
          <cell r="D283">
            <v>4987176084378</v>
          </cell>
          <cell r="E283" t="str">
            <v>whisper 好自在 熊抱安睡褲 L, 夜用, 8片, 1個</v>
          </cell>
          <cell r="F283">
            <v>177</v>
          </cell>
          <cell r="G283">
            <v>6</v>
          </cell>
          <cell r="H283">
            <v>228</v>
          </cell>
          <cell r="I283" t="str">
            <v>Fem</v>
          </cell>
          <cell r="J283"/>
          <cell r="K283">
            <v>38</v>
          </cell>
          <cell r="L283"/>
          <cell r="M283">
            <v>38</v>
          </cell>
        </row>
        <row r="284">
          <cell r="B284">
            <v>522244896205154</v>
          </cell>
          <cell r="C284">
            <v>4987176166739</v>
          </cell>
          <cell r="D284">
            <v>4987176166739</v>
          </cell>
          <cell r="E284" t="str">
            <v>whisper 好自在 熊抱安睡褲 M, 夜用, 8片, 1個</v>
          </cell>
          <cell r="F284">
            <v>177</v>
          </cell>
          <cell r="G284">
            <v>6</v>
          </cell>
          <cell r="H284">
            <v>453</v>
          </cell>
          <cell r="I284" t="str">
            <v>Fem</v>
          </cell>
          <cell r="J284"/>
          <cell r="K284">
            <v>75</v>
          </cell>
          <cell r="L284"/>
          <cell r="M284">
            <v>76</v>
          </cell>
        </row>
        <row r="285">
          <cell r="B285">
            <v>522244896205155</v>
          </cell>
          <cell r="C285">
            <v>4987176214720</v>
          </cell>
          <cell r="D285">
            <v>4987176214720</v>
          </cell>
          <cell r="E285" t="str">
            <v>whisper 好自在 熊抱安睡褲 XL, 夜用, 8片, 1個</v>
          </cell>
          <cell r="F285">
            <v>177</v>
          </cell>
          <cell r="G285">
            <v>6</v>
          </cell>
          <cell r="H285">
            <v>3668</v>
          </cell>
          <cell r="I285" t="str">
            <v>Fem</v>
          </cell>
          <cell r="J285"/>
          <cell r="K285">
            <v>611</v>
          </cell>
          <cell r="L285"/>
          <cell r="M285">
            <v>611</v>
          </cell>
        </row>
        <row r="286">
          <cell r="B286">
            <v>522244896205156</v>
          </cell>
          <cell r="C286">
            <v>6903148224090</v>
          </cell>
          <cell r="D286">
            <v>6903148224090</v>
          </cell>
          <cell r="E286" t="str">
            <v>whisper 好自在 經典款 液體衛生棉 量多日用型 27cm, 日用, 16片, 1個</v>
          </cell>
          <cell r="F286">
            <v>131</v>
          </cell>
          <cell r="G286">
            <v>12</v>
          </cell>
          <cell r="H286">
            <v>3331</v>
          </cell>
          <cell r="I286" t="str">
            <v>Fem</v>
          </cell>
          <cell r="J286"/>
          <cell r="K286">
            <v>277</v>
          </cell>
          <cell r="L286"/>
          <cell r="M286">
            <v>278</v>
          </cell>
        </row>
        <row r="287">
          <cell r="B287">
            <v>522244896205157</v>
          </cell>
          <cell r="C287">
            <v>6903148224106</v>
          </cell>
          <cell r="D287">
            <v>6903148224106</v>
          </cell>
          <cell r="E287" t="str">
            <v>whisper 好自在 經典款 液體衛生棉 日用型 24cm 日用, 18片, 1個</v>
          </cell>
          <cell r="F287">
            <v>147</v>
          </cell>
          <cell r="G287">
            <v>12</v>
          </cell>
          <cell r="H287">
            <v>1337</v>
          </cell>
          <cell r="I287" t="str">
            <v>Fem</v>
          </cell>
          <cell r="J287"/>
          <cell r="K287">
            <v>111</v>
          </cell>
          <cell r="L287"/>
          <cell r="M287">
            <v>0</v>
          </cell>
        </row>
        <row r="288">
          <cell r="B288">
            <v>522244896294063</v>
          </cell>
          <cell r="C288">
            <v>6903148352700</v>
          </cell>
          <cell r="D288">
            <v>6903148352700</v>
          </cell>
          <cell r="E288" t="str">
            <v>whisper 好自在 無痕奢柔褲 內褲型, M~L, 3片, 1個</v>
          </cell>
          <cell r="F288">
            <v>78</v>
          </cell>
          <cell r="G288">
            <v>16</v>
          </cell>
          <cell r="H288">
            <v>301</v>
          </cell>
          <cell r="I288" t="str">
            <v>Fem</v>
          </cell>
          <cell r="J288"/>
          <cell r="K288">
            <v>18</v>
          </cell>
          <cell r="L288"/>
          <cell r="M288">
            <v>19</v>
          </cell>
        </row>
        <row r="289">
          <cell r="B289">
            <v>522244896294064</v>
          </cell>
          <cell r="C289">
            <v>6903148355947</v>
          </cell>
          <cell r="D289">
            <v>6903148355947</v>
          </cell>
          <cell r="E289" t="str">
            <v>whisper 好自在 無痕奢柔褲 內褲型, XL, 3片, 1個</v>
          </cell>
          <cell r="F289">
            <v>78</v>
          </cell>
          <cell r="G289">
            <v>16</v>
          </cell>
          <cell r="H289">
            <v>249</v>
          </cell>
          <cell r="I289" t="str">
            <v>Fem</v>
          </cell>
          <cell r="J289"/>
          <cell r="K289">
            <v>15</v>
          </cell>
          <cell r="L289"/>
          <cell r="M289">
            <v>16</v>
          </cell>
        </row>
        <row r="290">
          <cell r="B290">
            <v>522244896294093</v>
          </cell>
          <cell r="C290">
            <v>6903148355954</v>
          </cell>
          <cell r="D290">
            <v>6903148355954</v>
          </cell>
          <cell r="E290" t="str">
            <v>whisper 好自在 無痕早安褲 內褲型, M~L, 3片, 1個</v>
          </cell>
          <cell r="F290">
            <v>78</v>
          </cell>
          <cell r="G290">
            <v>16</v>
          </cell>
          <cell r="H290">
            <v>366</v>
          </cell>
          <cell r="I290" t="str">
            <v>Fem</v>
          </cell>
          <cell r="J290"/>
          <cell r="K290">
            <v>22</v>
          </cell>
          <cell r="L290"/>
          <cell r="M290">
            <v>23</v>
          </cell>
        </row>
        <row r="291">
          <cell r="B291">
            <v>522244896295269</v>
          </cell>
          <cell r="C291">
            <v>4987176372178</v>
          </cell>
          <cell r="D291">
            <v>4987176372178</v>
          </cell>
          <cell r="E291" t="str">
            <v>whisper 好自在 熊抱安睡褲 內褲型, L, 44片, 1套</v>
          </cell>
          <cell r="F291">
            <v>895</v>
          </cell>
          <cell r="G291">
            <v>1</v>
          </cell>
          <cell r="H291">
            <v>139</v>
          </cell>
          <cell r="I291" t="str">
            <v>Fem</v>
          </cell>
          <cell r="K291">
            <v>139</v>
          </cell>
          <cell r="L291" t="str">
            <v>停產</v>
          </cell>
          <cell r="M291">
            <v>0</v>
          </cell>
        </row>
        <row r="292">
          <cell r="B292">
            <v>522244896295287</v>
          </cell>
          <cell r="C292">
            <v>4987176372314</v>
          </cell>
          <cell r="D292">
            <v>4987176372314</v>
          </cell>
          <cell r="E292" t="str">
            <v>whisper 好自在 無痕早安褲 內褲型, M~L, 3片, 11包</v>
          </cell>
          <cell r="F292">
            <v>853</v>
          </cell>
          <cell r="G292">
            <v>1</v>
          </cell>
          <cell r="H292">
            <v>97</v>
          </cell>
          <cell r="I292" t="str">
            <v>Fem</v>
          </cell>
          <cell r="K292">
            <v>97</v>
          </cell>
          <cell r="L292" t="str">
            <v>停產</v>
          </cell>
          <cell r="M292">
            <v>0</v>
          </cell>
        </row>
        <row r="293">
          <cell r="B293">
            <v>522244896295297</v>
          </cell>
          <cell r="C293">
            <v>4987176372222</v>
          </cell>
          <cell r="D293">
            <v>4987176372222</v>
          </cell>
          <cell r="E293" t="str">
            <v>whisper 好自在 無痕早安褲 內褲型, M~L, 3片, 6包</v>
          </cell>
          <cell r="F293">
            <v>465</v>
          </cell>
          <cell r="G293">
            <v>1</v>
          </cell>
          <cell r="H293">
            <v>0</v>
          </cell>
          <cell r="I293" t="str">
            <v>Fem</v>
          </cell>
          <cell r="J293"/>
          <cell r="K293">
            <v>0</v>
          </cell>
          <cell r="L293"/>
          <cell r="M293">
            <v>0</v>
          </cell>
        </row>
        <row r="294">
          <cell r="B294">
            <v>522244896295305</v>
          </cell>
          <cell r="C294">
            <v>4987176372161</v>
          </cell>
          <cell r="D294">
            <v>4987176372161</v>
          </cell>
          <cell r="E294" t="str">
            <v>whisper 好自在 無痕奢柔褲 內褲型, M~L, 3片, 11包</v>
          </cell>
          <cell r="F294">
            <v>853</v>
          </cell>
          <cell r="G294">
            <v>1</v>
          </cell>
          <cell r="H294">
            <v>129</v>
          </cell>
          <cell r="I294" t="str">
            <v>Fem</v>
          </cell>
          <cell r="K294">
            <v>129</v>
          </cell>
          <cell r="L294" t="str">
            <v>停產</v>
          </cell>
          <cell r="M294">
            <v>0</v>
          </cell>
        </row>
        <row r="295">
          <cell r="B295">
            <v>522244896295310</v>
          </cell>
          <cell r="C295">
            <v>4987176372192</v>
          </cell>
          <cell r="D295">
            <v>4987176372192</v>
          </cell>
          <cell r="E295" t="str">
            <v>whisper 好自在 無痕奢柔褲 內褲型, M~L, 3片, 6包</v>
          </cell>
          <cell r="F295">
            <v>465</v>
          </cell>
          <cell r="G295">
            <v>1</v>
          </cell>
          <cell r="H295">
            <v>119</v>
          </cell>
          <cell r="I295" t="str">
            <v>Fem</v>
          </cell>
          <cell r="J295"/>
          <cell r="K295">
            <v>119</v>
          </cell>
          <cell r="L295"/>
          <cell r="M295">
            <v>119</v>
          </cell>
        </row>
        <row r="296">
          <cell r="B296">
            <v>522244896295318</v>
          </cell>
          <cell r="C296">
            <v>4987176372291</v>
          </cell>
          <cell r="D296">
            <v>4987176372291</v>
          </cell>
          <cell r="E296" t="str">
            <v>whisper 好自在 無痕奢柔褲 內褲型, XL, 3片, 11包</v>
          </cell>
          <cell r="F296">
            <v>853</v>
          </cell>
          <cell r="G296">
            <v>1</v>
          </cell>
          <cell r="H296">
            <v>129</v>
          </cell>
          <cell r="I296" t="str">
            <v>Fem</v>
          </cell>
          <cell r="K296">
            <v>129</v>
          </cell>
          <cell r="L296" t="str">
            <v>停產</v>
          </cell>
          <cell r="M296">
            <v>0</v>
          </cell>
        </row>
        <row r="297">
          <cell r="B297">
            <v>522244896295326</v>
          </cell>
          <cell r="C297">
            <v>4987176372130</v>
          </cell>
          <cell r="D297">
            <v>4987176372130</v>
          </cell>
          <cell r="E297" t="str">
            <v>whisper 好自在 無痕奢柔褲 內褲型, XL, 3片, 6包</v>
          </cell>
          <cell r="F297">
            <v>465</v>
          </cell>
          <cell r="G297">
            <v>1</v>
          </cell>
          <cell r="H297">
            <v>68</v>
          </cell>
          <cell r="I297" t="str">
            <v>Fem</v>
          </cell>
          <cell r="J297"/>
          <cell r="K297">
            <v>68</v>
          </cell>
          <cell r="L297"/>
          <cell r="M297">
            <v>160</v>
          </cell>
        </row>
        <row r="298">
          <cell r="B298">
            <v>522244896295333</v>
          </cell>
          <cell r="C298">
            <v>4987176372307</v>
          </cell>
          <cell r="D298">
            <v>4987176372307</v>
          </cell>
          <cell r="E298" t="str">
            <v>whisper 好自在 熊抱安睡褲 L, 夜用, 8片, 3包</v>
          </cell>
          <cell r="F298">
            <v>495</v>
          </cell>
          <cell r="G298">
            <v>1</v>
          </cell>
          <cell r="H298">
            <v>659</v>
          </cell>
          <cell r="I298" t="str">
            <v>Fem</v>
          </cell>
          <cell r="K298">
            <v>659</v>
          </cell>
          <cell r="M298">
            <v>659</v>
          </cell>
        </row>
        <row r="299">
          <cell r="B299">
            <v>522244896295340</v>
          </cell>
          <cell r="C299">
            <v>4987176372062</v>
          </cell>
          <cell r="D299">
            <v>4987176372062</v>
          </cell>
          <cell r="E299" t="str">
            <v>whisper 好自在 熊抱安睡褲 M, 夜用, 8片, 3包</v>
          </cell>
          <cell r="F299">
            <v>495</v>
          </cell>
          <cell r="G299">
            <v>1</v>
          </cell>
          <cell r="H299">
            <v>330</v>
          </cell>
          <cell r="I299" t="str">
            <v>Fem</v>
          </cell>
          <cell r="J299"/>
          <cell r="K299">
            <v>330</v>
          </cell>
          <cell r="L299"/>
          <cell r="M299">
            <v>330</v>
          </cell>
        </row>
        <row r="300">
          <cell r="B300">
            <v>522244896295342</v>
          </cell>
          <cell r="C300">
            <v>4987176372321</v>
          </cell>
          <cell r="D300">
            <v>4987176372321</v>
          </cell>
          <cell r="E300" t="str">
            <v>whisper 好自在 熊抱安睡褲 XL, 夜用, 8片, 3包</v>
          </cell>
          <cell r="F300">
            <v>495</v>
          </cell>
          <cell r="G300">
            <v>1</v>
          </cell>
          <cell r="H300">
            <v>1254</v>
          </cell>
          <cell r="I300" t="str">
            <v>Fem</v>
          </cell>
          <cell r="K300">
            <v>1254</v>
          </cell>
          <cell r="M300">
            <v>1254</v>
          </cell>
        </row>
        <row r="301">
          <cell r="B301">
            <v>522244896295347</v>
          </cell>
          <cell r="C301">
            <v>4987176372239</v>
          </cell>
          <cell r="D301">
            <v>4987176372239</v>
          </cell>
          <cell r="E301" t="str">
            <v>[DS]whisper 好自在 台灣公司貨 Air Dry Fresh 純棉衛生棉 日用輕量型, 18cm, 12片, 12包</v>
          </cell>
          <cell r="F301">
            <v>495</v>
          </cell>
          <cell r="G301">
            <v>1</v>
          </cell>
          <cell r="H301">
            <v>58</v>
          </cell>
          <cell r="I301" t="str">
            <v>Fem</v>
          </cell>
          <cell r="K301">
            <v>58</v>
          </cell>
          <cell r="L301" t="str">
            <v>停產</v>
          </cell>
          <cell r="M301">
            <v>0</v>
          </cell>
        </row>
        <row r="302">
          <cell r="B302">
            <v>522244896295350</v>
          </cell>
          <cell r="C302">
            <v>4987176369383</v>
          </cell>
          <cell r="D302">
            <v>4987176369383</v>
          </cell>
          <cell r="E302" t="str">
            <v>[DS]whisper 好自在 台灣公司貨 Air Dry Fresh 純棉衛生棉 日用輕量型, 18cm, 12片, 22包</v>
          </cell>
          <cell r="F302">
            <v>449</v>
          </cell>
          <cell r="G302">
            <v>1</v>
          </cell>
          <cell r="H302">
            <v>48</v>
          </cell>
          <cell r="I302" t="str">
            <v>Fem</v>
          </cell>
          <cell r="K302">
            <v>48</v>
          </cell>
          <cell r="L302" t="str">
            <v>停產</v>
          </cell>
          <cell r="M302">
            <v>0</v>
          </cell>
        </row>
        <row r="303">
          <cell r="B303">
            <v>522244896295361</v>
          </cell>
          <cell r="C303">
            <v>4987176372116</v>
          </cell>
          <cell r="D303">
            <v>4987176372116</v>
          </cell>
          <cell r="E303" t="str">
            <v>whisper 好自在 AirDry 雲枕瞬吸量大組 20片 5包 + 12片 2包, 28cm + 18cm, 124片, 1套</v>
          </cell>
          <cell r="F303">
            <v>495</v>
          </cell>
          <cell r="G303">
            <v>1</v>
          </cell>
          <cell r="H303">
            <v>16</v>
          </cell>
          <cell r="I303" t="str">
            <v>Fem</v>
          </cell>
          <cell r="K303">
            <v>16</v>
          </cell>
          <cell r="L303" t="str">
            <v>停產</v>
          </cell>
          <cell r="M303">
            <v>0</v>
          </cell>
        </row>
        <row r="304">
          <cell r="B304">
            <v>522244896295362</v>
          </cell>
          <cell r="C304">
            <v>4987176372208</v>
          </cell>
          <cell r="D304">
            <v>4987176372208</v>
          </cell>
          <cell r="E304" t="str">
            <v>whisper 好自在 AirDry 雲枕瞬吸普通組 20片 5包 + 12片 2包, 24cm + 18cm, 124片, 1套</v>
          </cell>
          <cell r="F304">
            <v>495</v>
          </cell>
          <cell r="G304">
            <v>1</v>
          </cell>
          <cell r="H304">
            <v>41</v>
          </cell>
          <cell r="I304" t="str">
            <v>Fem</v>
          </cell>
          <cell r="K304">
            <v>41</v>
          </cell>
          <cell r="L304" t="str">
            <v>停產</v>
          </cell>
          <cell r="M304">
            <v>0</v>
          </cell>
        </row>
        <row r="305">
          <cell r="B305">
            <v>522244896297588</v>
          </cell>
          <cell r="C305">
            <v>4987176372253</v>
          </cell>
          <cell r="D305">
            <v>4987176372253</v>
          </cell>
          <cell r="E305" t="str">
            <v>whisper 好自在 熊抱安睡褲 內褲型, M, 44片, 1套</v>
          </cell>
          <cell r="F305">
            <v>895</v>
          </cell>
          <cell r="G305">
            <v>1</v>
          </cell>
          <cell r="H305">
            <v>89</v>
          </cell>
          <cell r="I305" t="str">
            <v>Fem</v>
          </cell>
          <cell r="K305">
            <v>89</v>
          </cell>
          <cell r="L305" t="str">
            <v>停產</v>
          </cell>
          <cell r="M305">
            <v>0</v>
          </cell>
        </row>
        <row r="306">
          <cell r="B306">
            <v>522244896297589</v>
          </cell>
          <cell r="C306">
            <v>4987176372277</v>
          </cell>
          <cell r="D306">
            <v>4987176372277</v>
          </cell>
          <cell r="E306" t="str">
            <v>whisper 好自在 熊抱安睡褲 內褲型, XL, 44片, 1套</v>
          </cell>
          <cell r="F306">
            <v>895</v>
          </cell>
          <cell r="G306">
            <v>1</v>
          </cell>
          <cell r="H306">
            <v>367</v>
          </cell>
          <cell r="I306" t="str">
            <v>Fem</v>
          </cell>
          <cell r="K306">
            <v>367</v>
          </cell>
          <cell r="L306" t="str">
            <v>停產</v>
          </cell>
          <cell r="M306">
            <v>0</v>
          </cell>
        </row>
        <row r="307">
          <cell r="B307">
            <v>522244896297742</v>
          </cell>
          <cell r="C307">
            <v>4987176372123</v>
          </cell>
          <cell r="D307">
            <v>4987176372123</v>
          </cell>
          <cell r="E307" t="str">
            <v>whisper 好自在 液體衛生棉 18片 7包 + 清新淨味液體衛生棉 9片 4包, 24cm, 162片, 1套</v>
          </cell>
          <cell r="F307">
            <v>1330</v>
          </cell>
          <cell r="G307">
            <v>1</v>
          </cell>
          <cell r="H307">
            <v>16</v>
          </cell>
          <cell r="I307" t="str">
            <v>Fem</v>
          </cell>
          <cell r="K307">
            <v>16</v>
          </cell>
          <cell r="L307" t="str">
            <v>停產</v>
          </cell>
          <cell r="M307">
            <v>0</v>
          </cell>
        </row>
        <row r="308">
          <cell r="B308">
            <v>522244896297743</v>
          </cell>
          <cell r="C308">
            <v>4987176372246</v>
          </cell>
          <cell r="D308">
            <v>4987176372246</v>
          </cell>
          <cell r="E308" t="str">
            <v>whisper 好自在 液體衛生棉 16片 2包 + 清新淨味液體衛生棉 9片 2包, 27cm, 50片, 1套</v>
          </cell>
          <cell r="F308">
            <v>435</v>
          </cell>
          <cell r="G308">
            <v>1</v>
          </cell>
          <cell r="H308">
            <v>16</v>
          </cell>
          <cell r="I308" t="str">
            <v>Fem</v>
          </cell>
          <cell r="K308">
            <v>16</v>
          </cell>
          <cell r="M308">
            <v>16</v>
          </cell>
        </row>
        <row r="309">
          <cell r="B309">
            <v>522244896297744</v>
          </cell>
          <cell r="C309">
            <v>4987176369345</v>
          </cell>
          <cell r="D309">
            <v>4987176369345</v>
          </cell>
          <cell r="E309" t="str">
            <v>whisper 好自在 AirDry 雲枕瞬吸普通組 20片 9包 + 12片 3包, 24cm + 18cm, 216片, 1套</v>
          </cell>
          <cell r="F309">
            <v>449</v>
          </cell>
          <cell r="G309">
            <v>1</v>
          </cell>
          <cell r="H309">
            <v>0</v>
          </cell>
          <cell r="I309" t="str">
            <v>Fem</v>
          </cell>
          <cell r="K309">
            <v>0</v>
          </cell>
          <cell r="L309" t="str">
            <v>停產</v>
          </cell>
          <cell r="M309">
            <v>0</v>
          </cell>
        </row>
        <row r="310">
          <cell r="B310">
            <v>522244896297745</v>
          </cell>
          <cell r="C310">
            <v>4987176372154</v>
          </cell>
          <cell r="D310">
            <v>4987176372154</v>
          </cell>
          <cell r="E310" t="str">
            <v>whisper 好自在 液體衛生棉 16片 5包 + 清新淨味液體衛生棉 9片 3包, 27cm, 107片, 1套</v>
          </cell>
          <cell r="F310">
            <v>883</v>
          </cell>
          <cell r="G310">
            <v>1</v>
          </cell>
          <cell r="H310">
            <v>48</v>
          </cell>
          <cell r="I310" t="str">
            <v>Fem</v>
          </cell>
          <cell r="K310">
            <v>48</v>
          </cell>
          <cell r="M310">
            <v>48</v>
          </cell>
        </row>
        <row r="311">
          <cell r="B311">
            <v>522244896297746</v>
          </cell>
          <cell r="C311">
            <v>4987176372109</v>
          </cell>
          <cell r="D311">
            <v>4987176372109</v>
          </cell>
          <cell r="E311" t="str">
            <v>whisper 好自在 液體衛生棉 18片 2包 + 清新淨味液體衛生棉 9片 2包, 24cm, 54片, 1套</v>
          </cell>
          <cell r="F311">
            <v>435</v>
          </cell>
          <cell r="G311">
            <v>1</v>
          </cell>
          <cell r="H311">
            <v>16</v>
          </cell>
          <cell r="I311" t="str">
            <v>Fem</v>
          </cell>
          <cell r="K311">
            <v>16</v>
          </cell>
          <cell r="M311">
            <v>16</v>
          </cell>
        </row>
        <row r="312">
          <cell r="B312">
            <v>522244896297747</v>
          </cell>
          <cell r="C312">
            <v>4987176372079</v>
          </cell>
          <cell r="D312">
            <v>4987176372079</v>
          </cell>
          <cell r="E312" t="str">
            <v>whisper 好自在 液體衛生棉 9片 9包 + 清新淨味液體衛生棉 9片 3包, 29.5cm + 31.7cm, 108片, 1套</v>
          </cell>
          <cell r="F312">
            <v>883</v>
          </cell>
          <cell r="G312">
            <v>1</v>
          </cell>
          <cell r="H312">
            <v>111</v>
          </cell>
          <cell r="I312" t="str">
            <v>Fem</v>
          </cell>
          <cell r="K312">
            <v>111</v>
          </cell>
          <cell r="M312">
            <v>111</v>
          </cell>
        </row>
        <row r="313">
          <cell r="B313">
            <v>522244896297748</v>
          </cell>
          <cell r="C313">
            <v>4987176372260</v>
          </cell>
          <cell r="D313">
            <v>4987176372260</v>
          </cell>
          <cell r="E313" t="str">
            <v>whisper 好自在 液體衛生棉 9片 4包 + 清新淨味液體衛生棉 9片 2包, 29.5cm + 31.7cm, 54片, 1套</v>
          </cell>
          <cell r="F313">
            <v>435</v>
          </cell>
          <cell r="G313">
            <v>1</v>
          </cell>
          <cell r="H313">
            <v>16</v>
          </cell>
          <cell r="I313" t="str">
            <v>Fem</v>
          </cell>
          <cell r="K313">
            <v>16</v>
          </cell>
          <cell r="M313">
            <v>16</v>
          </cell>
        </row>
        <row r="314">
          <cell r="B314">
            <v>522244896297749</v>
          </cell>
          <cell r="C314">
            <v>4987176372086</v>
          </cell>
          <cell r="D314">
            <v>4987176372086</v>
          </cell>
          <cell r="E314" t="str">
            <v>whisper 好自在 液體衛生棉 10片 9包 + 清新淨味液體衛生棉 9片 2包, 34cm + 31.7cm, 108片, 1套</v>
          </cell>
          <cell r="F314">
            <v>883</v>
          </cell>
          <cell r="G314">
            <v>1</v>
          </cell>
          <cell r="H314">
            <v>185</v>
          </cell>
          <cell r="I314" t="str">
            <v>Fem</v>
          </cell>
          <cell r="K314">
            <v>185</v>
          </cell>
          <cell r="L314" t="str">
            <v>停產</v>
          </cell>
          <cell r="M314">
            <v>0</v>
          </cell>
        </row>
        <row r="315">
          <cell r="B315">
            <v>522244896297750</v>
          </cell>
          <cell r="C315">
            <v>4987176372215</v>
          </cell>
          <cell r="D315">
            <v>4987176372215</v>
          </cell>
          <cell r="E315" t="str">
            <v>whisper 好自在 液體衛生棉 10片 3包 + 清新淨味液體衛生棉 9片 2包, 34cm + 31.7cm, 48片, 1套</v>
          </cell>
          <cell r="F315">
            <v>435</v>
          </cell>
          <cell r="G315">
            <v>1</v>
          </cell>
          <cell r="H315">
            <v>16</v>
          </cell>
          <cell r="I315" t="str">
            <v>Fem</v>
          </cell>
          <cell r="K315">
            <v>16</v>
          </cell>
          <cell r="M315">
            <v>16</v>
          </cell>
        </row>
        <row r="316">
          <cell r="B316">
            <v>522244896297751</v>
          </cell>
          <cell r="C316">
            <v>4987176372055</v>
          </cell>
          <cell r="D316">
            <v>4987176372055</v>
          </cell>
          <cell r="E316" t="str">
            <v>whisper 好自在 液體衛生棉 9片 14包 + 清新淨味液體衛生棉 9片 4包, 29.5cm + 31.7cm, 162片, 1套</v>
          </cell>
          <cell r="F316">
            <v>1330</v>
          </cell>
          <cell r="G316">
            <v>1</v>
          </cell>
          <cell r="H316">
            <v>16</v>
          </cell>
          <cell r="I316" t="str">
            <v>Fem</v>
          </cell>
          <cell r="K316">
            <v>16</v>
          </cell>
          <cell r="L316" t="str">
            <v>停產</v>
          </cell>
          <cell r="M316">
            <v>0</v>
          </cell>
        </row>
        <row r="317">
          <cell r="B317">
            <v>522244896297752</v>
          </cell>
          <cell r="C317">
            <v>4987176372284</v>
          </cell>
          <cell r="D317">
            <v>4987176372284</v>
          </cell>
          <cell r="E317" t="str">
            <v>whisper 好自在 液體衛生棉 18片 5包 + 清新淨味液體衛生棉 9片 2包, 24cm, 108片, 1套</v>
          </cell>
          <cell r="F317">
            <v>883</v>
          </cell>
          <cell r="G317">
            <v>1</v>
          </cell>
          <cell r="H317">
            <v>333</v>
          </cell>
          <cell r="I317" t="str">
            <v>Fem</v>
          </cell>
          <cell r="K317">
            <v>333</v>
          </cell>
          <cell r="M317">
            <v>333</v>
          </cell>
        </row>
        <row r="318">
          <cell r="B318">
            <v>522244896297753</v>
          </cell>
          <cell r="C318">
            <v>4987176372048</v>
          </cell>
          <cell r="D318">
            <v>4987176372048</v>
          </cell>
          <cell r="E318" t="str">
            <v>whisper 好自在 液體衛生棉 10片 12包 + 清新淨味液體衛生棉 9片 4包, 34cm + 31.7cm, 156片, 1套</v>
          </cell>
          <cell r="F318">
            <v>1330</v>
          </cell>
          <cell r="G318">
            <v>1</v>
          </cell>
          <cell r="H318">
            <v>16</v>
          </cell>
          <cell r="I318" t="str">
            <v>Fem</v>
          </cell>
          <cell r="K318">
            <v>16</v>
          </cell>
          <cell r="L318" t="str">
            <v>停產</v>
          </cell>
          <cell r="M318">
            <v>0</v>
          </cell>
        </row>
        <row r="319">
          <cell r="B319">
            <v>522244896297754</v>
          </cell>
          <cell r="C319">
            <v>4987176372147</v>
          </cell>
          <cell r="D319">
            <v>4987176372147</v>
          </cell>
          <cell r="E319" t="str">
            <v>whisper 好自在 液體衛生棉 16片 8包 + 清新淨味液體衛生棉 9片 4包, 27cm, 164片, 1套</v>
          </cell>
          <cell r="F319">
            <v>1330</v>
          </cell>
          <cell r="G319">
            <v>1</v>
          </cell>
          <cell r="H319">
            <v>16</v>
          </cell>
          <cell r="I319" t="str">
            <v>Fem</v>
          </cell>
          <cell r="K319">
            <v>16</v>
          </cell>
          <cell r="L319" t="str">
            <v>停產</v>
          </cell>
          <cell r="M319">
            <v>0</v>
          </cell>
        </row>
        <row r="320">
          <cell r="B320">
            <v>522244896297755</v>
          </cell>
          <cell r="C320">
            <v>4987176369352</v>
          </cell>
          <cell r="D320">
            <v>4987176369352</v>
          </cell>
          <cell r="E320" t="str">
            <v>whisper 好自在 AirDry 雲枕瞬吸量大組 20片 9包 + 12片 3包, 28cm +18cm, 216片, 1套</v>
          </cell>
          <cell r="F320">
            <v>449</v>
          </cell>
          <cell r="G320">
            <v>1</v>
          </cell>
          <cell r="H320">
            <v>0</v>
          </cell>
          <cell r="I320" t="str">
            <v>Fem</v>
          </cell>
          <cell r="K320">
            <v>0</v>
          </cell>
          <cell r="L320" t="str">
            <v>停產</v>
          </cell>
          <cell r="M320">
            <v>0</v>
          </cell>
        </row>
        <row r="321">
          <cell r="B321">
            <v>522244896299122</v>
          </cell>
          <cell r="C321">
            <v>4987176372185</v>
          </cell>
          <cell r="D321">
            <v>4987176372185</v>
          </cell>
          <cell r="E321" t="str">
            <v>whisper 好自在 AirDry Fresh 草本健康普通組 20片 5包 + 12片 2包, 24cm + 18cm, 124片, 1套</v>
          </cell>
          <cell r="F321">
            <v>495</v>
          </cell>
          <cell r="G321">
            <v>1</v>
          </cell>
          <cell r="H321">
            <v>39</v>
          </cell>
          <cell r="I321" t="str">
            <v>Fem</v>
          </cell>
          <cell r="K321">
            <v>39</v>
          </cell>
          <cell r="L321" t="str">
            <v>停產</v>
          </cell>
          <cell r="M321">
            <v>0</v>
          </cell>
        </row>
        <row r="322">
          <cell r="B322">
            <v>522244896299123</v>
          </cell>
          <cell r="C322">
            <v>4987176369376</v>
          </cell>
          <cell r="D322">
            <v>4987176369376</v>
          </cell>
          <cell r="E322" t="str">
            <v>whisper 好自在 AirDry Fresh 草本健康量大組 20片 9包 + 12片 3包, 28cm + 18cm, 216片, 1套</v>
          </cell>
          <cell r="F322">
            <v>449</v>
          </cell>
          <cell r="G322">
            <v>1</v>
          </cell>
          <cell r="H322">
            <v>4</v>
          </cell>
          <cell r="I322" t="str">
            <v>Fem</v>
          </cell>
          <cell r="K322">
            <v>4</v>
          </cell>
          <cell r="L322" t="str">
            <v>停產</v>
          </cell>
          <cell r="M322">
            <v>0</v>
          </cell>
        </row>
        <row r="323">
          <cell r="B323">
            <v>522244896299124</v>
          </cell>
          <cell r="C323">
            <v>4987176325662</v>
          </cell>
          <cell r="D323">
            <v>4987176325662</v>
          </cell>
          <cell r="E323" t="str">
            <v>whisper 好自在 AirDry 雲枕瞬吸量大組 10片+ 12片, 28cm + 18cm, 22片, 1套</v>
          </cell>
          <cell r="F323">
            <v>36</v>
          </cell>
          <cell r="G323">
            <v>24</v>
          </cell>
          <cell r="H323">
            <v>0</v>
          </cell>
          <cell r="I323" t="str">
            <v>Fem</v>
          </cell>
          <cell r="K323">
            <v>0</v>
          </cell>
          <cell r="L323" t="str">
            <v>停產</v>
          </cell>
          <cell r="M323">
            <v>0</v>
          </cell>
        </row>
        <row r="324">
          <cell r="B324">
            <v>522244896299125</v>
          </cell>
          <cell r="C324">
            <v>4987176325655</v>
          </cell>
          <cell r="D324">
            <v>4987176325655</v>
          </cell>
          <cell r="E324" t="str">
            <v>whisper 好自在 AirDry Fresh 草本健康量大組 10片 + 12片, 28cm + 18m, 22片, 1套</v>
          </cell>
          <cell r="F324">
            <v>36</v>
          </cell>
          <cell r="G324">
            <v>24</v>
          </cell>
          <cell r="H324">
            <v>16</v>
          </cell>
          <cell r="I324" t="str">
            <v>Fem</v>
          </cell>
          <cell r="K324">
            <v>0</v>
          </cell>
          <cell r="L324" t="str">
            <v>停產</v>
          </cell>
          <cell r="M324">
            <v>0</v>
          </cell>
        </row>
        <row r="325">
          <cell r="B325">
            <v>522244896299126</v>
          </cell>
          <cell r="C325">
            <v>4987176369369</v>
          </cell>
          <cell r="D325">
            <v>4987176369369</v>
          </cell>
          <cell r="E325" t="str">
            <v>whisper 好自在 AirDry Fresh 草本健康普通組 20片 9包 + 12片 3包, 24cm + 18cm, 216片, 1套</v>
          </cell>
          <cell r="F325">
            <v>449</v>
          </cell>
          <cell r="G325">
            <v>1</v>
          </cell>
          <cell r="H325">
            <v>4</v>
          </cell>
          <cell r="I325" t="str">
            <v>Fem</v>
          </cell>
          <cell r="K325">
            <v>4</v>
          </cell>
          <cell r="L325" t="str">
            <v>停產</v>
          </cell>
          <cell r="M325">
            <v>0</v>
          </cell>
        </row>
        <row r="326">
          <cell r="B326">
            <v>522244896299127</v>
          </cell>
          <cell r="C326">
            <v>4987176372093</v>
          </cell>
          <cell r="D326">
            <v>4987176372093</v>
          </cell>
          <cell r="E326" t="str">
            <v>whisper 好自在 AirDry Fresh 草本健康量大組 20片 5包 + 12片 2包, 28cm + 18cm, 124片, 1套</v>
          </cell>
          <cell r="F326">
            <v>495</v>
          </cell>
          <cell r="G326">
            <v>1</v>
          </cell>
          <cell r="H326">
            <v>16</v>
          </cell>
          <cell r="I326" t="str">
            <v>Fem</v>
          </cell>
          <cell r="K326">
            <v>16</v>
          </cell>
          <cell r="L326" t="str">
            <v>停產</v>
          </cell>
          <cell r="M326">
            <v>0</v>
          </cell>
        </row>
        <row r="327">
          <cell r="B327">
            <v>522244896373892</v>
          </cell>
          <cell r="C327">
            <v>6903148355923</v>
          </cell>
          <cell r="D327">
            <v>6903148355923</v>
          </cell>
          <cell r="E327" t="str">
            <v>whisper 好自在 無痕早安褲, 內褲型, XL, 3片, 1包</v>
          </cell>
          <cell r="F327">
            <v>78</v>
          </cell>
          <cell r="G327">
            <v>16</v>
          </cell>
          <cell r="H327">
            <v>358</v>
          </cell>
          <cell r="I327" t="str">
            <v>Fem</v>
          </cell>
          <cell r="K327">
            <v>22</v>
          </cell>
          <cell r="M327">
            <v>22</v>
          </cell>
        </row>
        <row r="328">
          <cell r="B328">
            <v>522244896442723</v>
          </cell>
          <cell r="C328">
            <v>14987176411331</v>
          </cell>
          <cell r="D328">
            <v>4987176411334</v>
          </cell>
          <cell r="E328" t="str">
            <v>Pampers 幫寶適 原廠公司貨 史上最強一級幫紙尿褲/尿布禮盒/彌月禮盒組(黏貼型尿布-S 56片+M 108片), 164片, 1盒_(極上守護)</v>
          </cell>
          <cell r="F328">
            <v>1150</v>
          </cell>
          <cell r="G328">
            <v>1</v>
          </cell>
          <cell r="H328">
            <v>487</v>
          </cell>
          <cell r="I328" t="str">
            <v>Baby</v>
          </cell>
          <cell r="K328">
            <v>487</v>
          </cell>
          <cell r="M328">
            <v>1825</v>
          </cell>
        </row>
        <row r="329">
          <cell r="B329">
            <v>522244896442068</v>
          </cell>
          <cell r="C329">
            <v>14987176407921</v>
          </cell>
          <cell r="D329">
            <v>4987176407924</v>
          </cell>
          <cell r="E329" t="str">
            <v>Pampers 幫寶適 原廠公司貨 史上最強一級幫紙尿褲/尿布禮盒/新生彌月禮盒新生兒禮盒(黏貼型尿布-NB 32片+S 112片), 144片, 1盒</v>
          </cell>
          <cell r="F329">
            <v>806</v>
          </cell>
          <cell r="G329">
            <v>1</v>
          </cell>
          <cell r="H329">
            <v>754</v>
          </cell>
          <cell r="I329" t="str">
            <v>Baby</v>
          </cell>
          <cell r="K329">
            <v>754</v>
          </cell>
          <cell r="M329">
            <v>300</v>
          </cell>
        </row>
        <row r="330">
          <cell r="B330">
            <v>522244896468467</v>
          </cell>
          <cell r="C330">
            <v>4987176381262</v>
          </cell>
          <cell r="D330">
            <v>4987176381262</v>
          </cell>
          <cell r="E330" t="str">
            <v>head &amp; shoulders 海倫仙度絲 泡沫洗髮慕絲, 淨爽止癢型, 雪松清茶, 360g, 1瓶</v>
          </cell>
          <cell r="F330">
            <v>280</v>
          </cell>
          <cell r="G330">
            <v>12</v>
          </cell>
          <cell r="I330" t="str">
            <v>Hair</v>
          </cell>
          <cell r="K330">
            <v>0</v>
          </cell>
          <cell r="M330">
            <v>5</v>
          </cell>
        </row>
        <row r="331">
          <cell r="B331">
            <v>522244896468533</v>
          </cell>
          <cell r="C331">
            <v>4987176381279</v>
          </cell>
          <cell r="D331">
            <v>4987176381279</v>
          </cell>
          <cell r="E331" t="str">
            <v>head &amp; shoulders 海倫仙度絲 泡沫洗髮慕絲, 控油蓬鬆型, 清柚小蒼蘭, 360g, 1瓶</v>
          </cell>
          <cell r="F331">
            <v>280</v>
          </cell>
          <cell r="G331">
            <v>12</v>
          </cell>
          <cell r="I331" t="str">
            <v>Hair</v>
          </cell>
          <cell r="K331">
            <v>0</v>
          </cell>
          <cell r="M331">
            <v>5</v>
          </cell>
        </row>
        <row r="332">
          <cell r="C332">
            <v>4987176284655</v>
          </cell>
          <cell r="D332">
            <v>4987176284655</v>
          </cell>
          <cell r="E332" t="str">
            <v>ARIEL 4D抗菌洗衣膠囊73顆袋裝-抗菌去漬</v>
          </cell>
          <cell r="F332">
            <v>408</v>
          </cell>
          <cell r="G332">
            <v>4</v>
          </cell>
          <cell r="I332" t="str">
            <v>Fabric</v>
          </cell>
          <cell r="K332">
            <v>0</v>
          </cell>
          <cell r="M332">
            <v>1716</v>
          </cell>
        </row>
        <row r="334">
          <cell r="C334"/>
          <cell r="D334"/>
          <cell r="F334"/>
          <cell r="M334"/>
        </row>
        <row r="335">
          <cell r="D335"/>
        </row>
        <row r="336">
          <cell r="C336"/>
          <cell r="D336"/>
        </row>
        <row r="337">
          <cell r="D337"/>
        </row>
        <row r="338">
          <cell r="C338"/>
          <cell r="D338"/>
        </row>
        <row r="339">
          <cell r="C339"/>
          <cell r="D339"/>
        </row>
        <row r="340">
          <cell r="D340"/>
        </row>
        <row r="341">
          <cell r="D341"/>
        </row>
        <row r="342">
          <cell r="D342"/>
        </row>
        <row r="343">
          <cell r="D343"/>
        </row>
        <row r="344">
          <cell r="D344"/>
        </row>
        <row r="345">
          <cell r="D345"/>
        </row>
        <row r="346">
          <cell r="D346"/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1"/>
      <sheetName val="工作表2"/>
    </sheetNames>
    <sheetDataSet>
      <sheetData sheetId="0">
        <row r="1">
          <cell r="E1" t="str">
            <v>Bardcode</v>
          </cell>
          <cell r="F1" t="str">
            <v>永豐料號</v>
          </cell>
          <cell r="G1" t="str">
            <v>PGcode</v>
          </cell>
          <cell r="H1" t="str">
            <v>SKU Name</v>
          </cell>
          <cell r="I1" t="str">
            <v>箱入數</v>
          </cell>
          <cell r="J1" t="str">
            <v>Cost 含稅
(賣給酷澎成本)</v>
          </cell>
        </row>
        <row r="2">
          <cell r="E2">
            <v>4987176405289</v>
          </cell>
          <cell r="F2">
            <v>4987176405289</v>
          </cell>
          <cell r="G2">
            <v>83916087</v>
          </cell>
          <cell r="H2" t="str">
            <v>ARIEL 原廠公司貨 4D抗菌洗衣膠囊補充包 抗菌去漬型, 80個裝, 1套</v>
          </cell>
          <cell r="I2">
            <v>4</v>
          </cell>
          <cell r="J2">
            <v>447</v>
          </cell>
        </row>
        <row r="3">
          <cell r="E3">
            <v>4987176337153</v>
          </cell>
          <cell r="F3">
            <v>4987176337153</v>
          </cell>
          <cell r="G3">
            <v>80820263</v>
          </cell>
          <cell r="H3" t="str">
            <v>ARIEL 原廠公司貨 4D抗菌洗衣膠囊補充包 抗菌去漬型, 30個裝, 1套</v>
          </cell>
          <cell r="I3">
            <v>10</v>
          </cell>
          <cell r="J3">
            <v>208</v>
          </cell>
        </row>
        <row r="4">
          <cell r="E4">
            <v>4987176351142</v>
          </cell>
          <cell r="F4">
            <v>4987176351142</v>
          </cell>
          <cell r="G4">
            <v>80835976</v>
          </cell>
          <cell r="H4" t="str">
            <v>ARIEL 原廠公司貨 4D抗菌洗衣膠囊 抗菌去漬型, 11個裝, 1套</v>
          </cell>
          <cell r="I4">
            <v>6</v>
          </cell>
          <cell r="J4">
            <v>97</v>
          </cell>
        </row>
        <row r="5">
          <cell r="E5">
            <v>4987176351104</v>
          </cell>
          <cell r="F5">
            <v>4987176351104</v>
          </cell>
          <cell r="G5">
            <v>80835974</v>
          </cell>
          <cell r="H5" t="str">
            <v>ARIEL 原廠公司貨 4D抗菌洗衣膠囊 室內晾衣型, 11個裝, 1套</v>
          </cell>
          <cell r="I5">
            <v>6</v>
          </cell>
          <cell r="J5">
            <v>97</v>
          </cell>
        </row>
        <row r="6">
          <cell r="E6">
            <v>24987176280781</v>
          </cell>
          <cell r="F6">
            <v>4987176337160</v>
          </cell>
          <cell r="G6"/>
          <cell r="H6" t="str">
            <v>[箱裝][DS]ARIEL 台灣公司貨 4D抗菌洗衣膠囊補充包 室內晾衣型, 30顆, 10袋</v>
          </cell>
          <cell r="I6">
            <v>1</v>
          </cell>
          <cell r="J6">
            <v>2080</v>
          </cell>
        </row>
        <row r="7">
          <cell r="E7">
            <v>24987176280811</v>
          </cell>
          <cell r="F7">
            <v>4987176337153</v>
          </cell>
          <cell r="G7"/>
          <cell r="H7" t="str">
            <v>[箱裝]ARIEL 台灣公司貨 4D抗菌洗衣膠囊補充包 抗菌去漬型, 30顆, 10袋</v>
          </cell>
          <cell r="I7">
            <v>1</v>
          </cell>
          <cell r="J7">
            <v>2080</v>
          </cell>
        </row>
        <row r="8">
          <cell r="E8">
            <v>4987176340887</v>
          </cell>
          <cell r="F8">
            <v>4987176340887</v>
          </cell>
          <cell r="G8">
            <v>80834744</v>
          </cell>
          <cell r="H8" t="str">
            <v>ARIEL 原廠公司貨 抗菌洗衣精 自然微香型, 800g, 1個</v>
          </cell>
          <cell r="I8">
            <v>12</v>
          </cell>
          <cell r="J8">
            <v>122</v>
          </cell>
        </row>
        <row r="9">
          <cell r="E9">
            <v>14987176283808</v>
          </cell>
          <cell r="F9">
            <v>4987176340887</v>
          </cell>
          <cell r="G9"/>
          <cell r="H9" t="str">
            <v>[箱裝]ARIEL 台灣公司貨 超濃縮 新升級 抗菌洗衣精, 自然微香型, 800g, 12瓶</v>
          </cell>
          <cell r="I9">
            <v>1</v>
          </cell>
          <cell r="J9">
            <v>1464</v>
          </cell>
        </row>
        <row r="10">
          <cell r="E10">
            <v>4987176340948</v>
          </cell>
          <cell r="F10">
            <v>4987176340948</v>
          </cell>
          <cell r="G10">
            <v>80835222</v>
          </cell>
          <cell r="H10" t="str">
            <v>ARIEL 原廠公司貨 抗菌洗衣精 高效除蟎, 800g, 1個</v>
          </cell>
          <cell r="I10">
            <v>12</v>
          </cell>
          <cell r="J10">
            <v>122</v>
          </cell>
        </row>
        <row r="11">
          <cell r="E11">
            <v>14987176283815</v>
          </cell>
          <cell r="F11">
            <v>4987176340948</v>
          </cell>
          <cell r="G11"/>
          <cell r="H11" t="str">
            <v>[箱裝]ARIEL 台灣公司貨 超濃縮 新升級 抗菌洗衣精, 高效除螨, 800g, 12瓶</v>
          </cell>
          <cell r="I11">
            <v>1</v>
          </cell>
          <cell r="J11">
            <v>1464</v>
          </cell>
        </row>
        <row r="12">
          <cell r="E12">
            <v>4987176247711</v>
          </cell>
          <cell r="F12">
            <v>4987176247711</v>
          </cell>
          <cell r="G12">
            <v>80788033</v>
          </cell>
          <cell r="H12" t="str">
            <v>[DS]ARIEL 台灣公司貨 超濃縮 新升級 抗菌抗臭洗衣精補充包, 抗菌去漬型, 1030g, 1包</v>
          </cell>
          <cell r="I12">
            <v>8</v>
          </cell>
          <cell r="J12">
            <v>112</v>
          </cell>
        </row>
        <row r="13">
          <cell r="E13">
            <v>14987176247718</v>
          </cell>
          <cell r="F13">
            <v>4987176247711</v>
          </cell>
          <cell r="G13"/>
          <cell r="H13" t="str">
            <v>[箱裝][DS]ARIEL 台灣公司貨 超濃縮 新升級 抗菌抗臭洗衣精補充包, 抗菌去漬型, 1030g, 8包</v>
          </cell>
          <cell r="I13">
            <v>1</v>
          </cell>
          <cell r="J13">
            <v>896</v>
          </cell>
        </row>
        <row r="14">
          <cell r="E14">
            <v>4987176247728</v>
          </cell>
          <cell r="F14">
            <v>4987176247728</v>
          </cell>
          <cell r="G14">
            <v>80788034</v>
          </cell>
          <cell r="H14" t="str">
            <v>[DS]ARIEL 台灣公司貨 超濃縮 新升級 抗菌抗臭洗衣精補充包, 室內晾衣型, 1030g, 1包</v>
          </cell>
          <cell r="I14">
            <v>8</v>
          </cell>
          <cell r="J14">
            <v>112</v>
          </cell>
        </row>
        <row r="15">
          <cell r="E15">
            <v>14987176247725</v>
          </cell>
          <cell r="F15">
            <v>4987176247728</v>
          </cell>
          <cell r="G15"/>
          <cell r="H15" t="str">
            <v>[箱裝][DS]ARIEL 台灣公司貨 超濃縮 新升級 抗菌抗臭洗衣精補充包 室內晾衣型, 1030g, 8包</v>
          </cell>
          <cell r="I15">
            <v>1</v>
          </cell>
          <cell r="J15">
            <v>896</v>
          </cell>
        </row>
        <row r="16">
          <cell r="E16">
            <v>4987176340900</v>
          </cell>
          <cell r="F16">
            <v>4987176340900</v>
          </cell>
          <cell r="G16">
            <v>80863067</v>
          </cell>
          <cell r="H16" t="str">
            <v>ARIEL 原廠公司貨 抗菌洗衣精補充包 抗菌去漬型, 1690g, 1個</v>
          </cell>
          <cell r="I16">
            <v>6</v>
          </cell>
          <cell r="J16">
            <v>193</v>
          </cell>
        </row>
        <row r="17">
          <cell r="E17">
            <v>14987176340907</v>
          </cell>
          <cell r="F17">
            <v>4987176340900</v>
          </cell>
          <cell r="G17">
            <v>80863067</v>
          </cell>
          <cell r="H17" t="str">
            <v>[箱裝]ARIEL 台灣公司貨 超濃縮 新升級 抗菌洗衣精補充包, 抗菌去漬型, 1690g, 6包</v>
          </cell>
          <cell r="I17">
            <v>1</v>
          </cell>
          <cell r="J17">
            <v>1158</v>
          </cell>
        </row>
        <row r="18">
          <cell r="E18">
            <v>4987176340856</v>
          </cell>
          <cell r="F18">
            <v>4987176340856</v>
          </cell>
          <cell r="G18">
            <v>80863061</v>
          </cell>
          <cell r="H18" t="str">
            <v>ARIEL 原廠公司貨 抗菌洗衣精補充包 室內晾衣型, 1690g, 1個</v>
          </cell>
          <cell r="I18">
            <v>6</v>
          </cell>
          <cell r="J18">
            <v>193</v>
          </cell>
        </row>
        <row r="19">
          <cell r="E19">
            <v>14987176340853</v>
          </cell>
          <cell r="F19">
            <v>4987176340856</v>
          </cell>
          <cell r="G19">
            <v>80863061</v>
          </cell>
          <cell r="H19" t="str">
            <v>[箱裝][DS]ARIEL 台灣公司貨 超濃縮 新升級 抗菌洗衣精補充包, 室內晾衣型, 1690g, 6包</v>
          </cell>
          <cell r="I19">
            <v>1</v>
          </cell>
          <cell r="J19">
            <v>1158</v>
          </cell>
        </row>
        <row r="20">
          <cell r="E20">
            <v>4987176340924</v>
          </cell>
          <cell r="F20">
            <v>4987176340924</v>
          </cell>
          <cell r="G20">
            <v>80863069</v>
          </cell>
          <cell r="H20" t="str">
            <v>ARIEL 原廠公司貨 抗菌洗衣精補充包 自然微香型, 1690g, 1個</v>
          </cell>
          <cell r="I20">
            <v>6</v>
          </cell>
          <cell r="J20">
            <v>193</v>
          </cell>
        </row>
        <row r="21">
          <cell r="E21">
            <v>14987176340921</v>
          </cell>
          <cell r="F21">
            <v>4987176340924</v>
          </cell>
          <cell r="G21">
            <v>80863069</v>
          </cell>
          <cell r="H21" t="str">
            <v>[DS][箱裝]ARIEL 台灣公司貨 超濃縮 新升級 抗菌洗衣精補充包, 自然微香型, 1690g, 6包</v>
          </cell>
          <cell r="I21">
            <v>1</v>
          </cell>
          <cell r="J21">
            <v>1158</v>
          </cell>
        </row>
        <row r="22">
          <cell r="E22">
            <v>14987176340877</v>
          </cell>
          <cell r="F22">
            <v>4987176340870</v>
          </cell>
          <cell r="G22">
            <v>80863063</v>
          </cell>
          <cell r="H22" t="str">
            <v>[箱裝]ARIEL 台灣公司貨 超濃縮 新升級 抗菌洗衣精補充包, 高效除螨, 1690g, 6包</v>
          </cell>
          <cell r="I22">
            <v>1</v>
          </cell>
          <cell r="J22">
            <v>1158</v>
          </cell>
        </row>
        <row r="23">
          <cell r="E23">
            <v>4987176340870</v>
          </cell>
          <cell r="F23">
            <v>4987176340870</v>
          </cell>
          <cell r="G23">
            <v>80863063</v>
          </cell>
          <cell r="H23" t="str">
            <v>ARIEL 原廠公司貨 抗菌洗衣精補充包 高效除蟎, 1690g, 1個</v>
          </cell>
          <cell r="I23">
            <v>6</v>
          </cell>
          <cell r="J23">
            <v>193</v>
          </cell>
        </row>
        <row r="24">
          <cell r="E24">
            <v>4987176337160</v>
          </cell>
          <cell r="F24">
            <v>4987176337160</v>
          </cell>
          <cell r="G24">
            <v>80820259</v>
          </cell>
          <cell r="H24" t="str">
            <v>ARIEL 原廠公司貨 4D抗菌洗衣膠囊補充包 室內晾衣型, 30個裝, 1套</v>
          </cell>
          <cell r="I24">
            <v>10</v>
          </cell>
          <cell r="J24">
            <v>208</v>
          </cell>
        </row>
        <row r="25">
          <cell r="E25">
            <v>4987176337146</v>
          </cell>
          <cell r="F25">
            <v>4987176337146</v>
          </cell>
          <cell r="G25">
            <v>80820265</v>
          </cell>
          <cell r="H25" t="str">
            <v>ARIEL 原廠公司貨 4D抗菌洗衣膠囊補充包 自然微香型, 30個裝, 1套</v>
          </cell>
          <cell r="I25">
            <v>10</v>
          </cell>
          <cell r="J25">
            <v>208</v>
          </cell>
        </row>
        <row r="26">
          <cell r="E26">
            <v>4987176314352</v>
          </cell>
          <cell r="F26">
            <v>4987176314352</v>
          </cell>
          <cell r="G26">
            <v>80841901</v>
          </cell>
          <cell r="H26" t="str">
            <v>Lenor 蘭諾 衣物芳香豆 甜柔麝香 特大補充包, 1.3L, 1包</v>
          </cell>
          <cell r="I26">
            <v>6</v>
          </cell>
          <cell r="J26">
            <v>367</v>
          </cell>
        </row>
        <row r="27">
          <cell r="E27">
            <v>4987176314260</v>
          </cell>
          <cell r="F27">
            <v>4987176314260</v>
          </cell>
          <cell r="G27">
            <v>80841893</v>
          </cell>
          <cell r="H27" t="str">
            <v>Lenor 蘭諾 衣物芳香豆 清晨草木 特大補充包, 1.3L, 1包</v>
          </cell>
          <cell r="I27">
            <v>6</v>
          </cell>
          <cell r="J27">
            <v>367</v>
          </cell>
        </row>
        <row r="28">
          <cell r="E28">
            <v>4987176314369</v>
          </cell>
          <cell r="F28">
            <v>4987176314369</v>
          </cell>
          <cell r="G28">
            <v>80841902</v>
          </cell>
          <cell r="H28" t="str">
            <v>Lenor 蘭諾 衣物抗菌芳香豆 運動衣物抗臭 補充包, 430ml, 1包</v>
          </cell>
          <cell r="I28">
            <v>10</v>
          </cell>
          <cell r="J28">
            <v>140</v>
          </cell>
        </row>
        <row r="29">
          <cell r="E29">
            <v>4987176314789</v>
          </cell>
          <cell r="F29">
            <v>4987176314789</v>
          </cell>
          <cell r="G29">
            <v>80842258</v>
          </cell>
          <cell r="H29" t="str">
            <v>Lenor 蘭諾 衣物芳香豆 甜柔麝香 補充包, 440ml, 1包</v>
          </cell>
          <cell r="I29">
            <v>10</v>
          </cell>
          <cell r="J29">
            <v>136</v>
          </cell>
        </row>
        <row r="30">
          <cell r="E30">
            <v>4987176314802</v>
          </cell>
          <cell r="F30">
            <v>4987176314802</v>
          </cell>
          <cell r="G30">
            <v>80842260</v>
          </cell>
          <cell r="H30" t="str">
            <v>Lenor 蘭諾 衣物芳香豆 甜花石榴香 補充包, 440ml, 1包</v>
          </cell>
          <cell r="I30">
            <v>10</v>
          </cell>
          <cell r="J30">
            <v>136</v>
          </cell>
        </row>
        <row r="31">
          <cell r="E31">
            <v>4987176314772</v>
          </cell>
          <cell r="F31">
            <v>4987176314772</v>
          </cell>
          <cell r="G31">
            <v>80842257</v>
          </cell>
          <cell r="H31" t="str">
            <v>Lenor 蘭諾 衣物芳香豆 雪松梔子花 補充包, 440ml, 1包</v>
          </cell>
          <cell r="I31">
            <v>10</v>
          </cell>
          <cell r="J31">
            <v>136</v>
          </cell>
        </row>
        <row r="32">
          <cell r="E32">
            <v>4987176314796</v>
          </cell>
          <cell r="F32">
            <v>4987176314796</v>
          </cell>
          <cell r="G32">
            <v>80842259</v>
          </cell>
          <cell r="H32" t="str">
            <v>Lenor 蘭諾 衣物芳香豆 清晨草木 補充包, 440ml, 1包</v>
          </cell>
          <cell r="I32">
            <v>10</v>
          </cell>
          <cell r="J32">
            <v>136</v>
          </cell>
        </row>
        <row r="33">
          <cell r="E33">
            <v>4987176314222</v>
          </cell>
          <cell r="F33">
            <v>4987176314222</v>
          </cell>
          <cell r="G33">
            <v>80841888</v>
          </cell>
          <cell r="H33" t="str">
            <v>Lenor 蘭諾 衣物芳香豆 雪松梔子花, 450ml, 1瓶</v>
          </cell>
          <cell r="I33">
            <v>6</v>
          </cell>
          <cell r="J33">
            <v>174</v>
          </cell>
        </row>
        <row r="34">
          <cell r="E34">
            <v>4987176314338</v>
          </cell>
          <cell r="F34">
            <v>4987176314338</v>
          </cell>
          <cell r="G34">
            <v>80841899</v>
          </cell>
          <cell r="H34" t="str">
            <v>Lenor 蘭諾 衣物芳香豆 甜花石榴香, 450ml, 1瓶</v>
          </cell>
          <cell r="I34">
            <v>6</v>
          </cell>
          <cell r="J34">
            <v>174</v>
          </cell>
        </row>
        <row r="35">
          <cell r="E35">
            <v>4987176314253</v>
          </cell>
          <cell r="F35">
            <v>4987176314253</v>
          </cell>
          <cell r="G35">
            <v>80841891</v>
          </cell>
          <cell r="H35" t="str">
            <v>Lenor 蘭諾 衣物抗菌芳香豆 潮濕天氣抗臭, 440ml, 1瓶</v>
          </cell>
          <cell r="I35">
            <v>6</v>
          </cell>
          <cell r="J35">
            <v>174</v>
          </cell>
        </row>
        <row r="36">
          <cell r="E36">
            <v>4987176314291</v>
          </cell>
          <cell r="F36">
            <v>4987176314291</v>
          </cell>
          <cell r="G36">
            <v>80841895</v>
          </cell>
          <cell r="H36" t="str">
            <v>Lenor 蘭諾 衣物抗菌芳香豆 潮濕天氣抗臭 補充包, 430ml, 1包</v>
          </cell>
          <cell r="I36">
            <v>10</v>
          </cell>
          <cell r="J36">
            <v>140</v>
          </cell>
        </row>
        <row r="37">
          <cell r="E37">
            <v>4987176314284</v>
          </cell>
          <cell r="F37">
            <v>4987176314284</v>
          </cell>
          <cell r="G37">
            <v>80841894</v>
          </cell>
          <cell r="H37" t="str">
            <v>Lenor 蘭諾 衣物抗菌芳香豆 運動衣物抗臭, 440ml, 1瓶</v>
          </cell>
          <cell r="I37">
            <v>6</v>
          </cell>
          <cell r="J37">
            <v>174</v>
          </cell>
        </row>
        <row r="38">
          <cell r="E38">
            <v>4987176314406</v>
          </cell>
          <cell r="F38">
            <v>4987176314406</v>
          </cell>
          <cell r="G38">
            <v>80841906</v>
          </cell>
          <cell r="H38" t="str">
            <v>Lenor 蘭諾 衣物芳香豆 清晨草木, 450ml, 1瓶</v>
          </cell>
          <cell r="I38">
            <v>6</v>
          </cell>
          <cell r="J38">
            <v>174</v>
          </cell>
        </row>
        <row r="39">
          <cell r="E39">
            <v>4987176314413</v>
          </cell>
          <cell r="F39">
            <v>4987176314413</v>
          </cell>
          <cell r="G39">
            <v>80841907</v>
          </cell>
          <cell r="H39" t="str">
            <v>Lenor 蘭諾 衣物芳香豆 青檸紫羅蘭, 450ml, 1瓶</v>
          </cell>
          <cell r="I39">
            <v>6</v>
          </cell>
          <cell r="J39">
            <v>174</v>
          </cell>
        </row>
        <row r="40">
          <cell r="E40">
            <v>4987176314277</v>
          </cell>
          <cell r="F40">
            <v>4987176314277</v>
          </cell>
          <cell r="G40">
            <v>80841892</v>
          </cell>
          <cell r="H40" t="str">
            <v>Lenor 蘭諾 衣物芳香豆 甜柔麝香, 450ml, 1瓶</v>
          </cell>
          <cell r="I40">
            <v>6</v>
          </cell>
          <cell r="J40">
            <v>174</v>
          </cell>
        </row>
        <row r="41">
          <cell r="E41">
            <v>4987176274908</v>
          </cell>
          <cell r="F41">
            <v>4987176274908</v>
          </cell>
          <cell r="G41">
            <v>80815408</v>
          </cell>
          <cell r="H41" t="str">
            <v>[DS]Lenor 蘭諾 台灣公司貨 衣物芳香豆 春暖晨露, 470ml, 1瓶</v>
          </cell>
          <cell r="I41">
            <v>6</v>
          </cell>
          <cell r="J41">
            <v>166</v>
          </cell>
        </row>
        <row r="42">
          <cell r="E42">
            <v>4987176274939</v>
          </cell>
          <cell r="F42">
            <v>4987176274939</v>
          </cell>
          <cell r="G42">
            <v>80815411</v>
          </cell>
          <cell r="H42" t="str">
            <v>[DS]Lenor 蘭諾 台灣公司貨 衣物芳香豆 淨白純棉, 180ml, 1瓶</v>
          </cell>
          <cell r="I42">
            <v>6</v>
          </cell>
          <cell r="J42">
            <v>80</v>
          </cell>
        </row>
        <row r="43">
          <cell r="E43">
            <v>4987176314390</v>
          </cell>
          <cell r="F43">
            <v>4987176314390</v>
          </cell>
          <cell r="G43">
            <v>80841905</v>
          </cell>
          <cell r="H43" t="str">
            <v>Lenor 蘭諾 衣物芳香豆 雪松梔子花 特大補充包, 1.3L, 1包</v>
          </cell>
          <cell r="I43">
            <v>6</v>
          </cell>
          <cell r="J43">
            <v>367</v>
          </cell>
        </row>
        <row r="44">
          <cell r="E44">
            <v>4987176314765</v>
          </cell>
          <cell r="F44">
            <v>4987176314765</v>
          </cell>
          <cell r="G44">
            <v>80842256</v>
          </cell>
          <cell r="H44" t="str">
            <v>Lenor 蘭諾 衣物芳香豆 青檸紫羅蘭 補充包, 440ml, 1包</v>
          </cell>
          <cell r="I44">
            <v>10</v>
          </cell>
          <cell r="J44">
            <v>136</v>
          </cell>
        </row>
        <row r="45">
          <cell r="E45">
            <v>4987176274922</v>
          </cell>
          <cell r="F45">
            <v>4987176274922</v>
          </cell>
          <cell r="G45">
            <v>80815410</v>
          </cell>
          <cell r="H45" t="str">
            <v>[DS]Lenor 蘭諾 台灣公司貨 衣物芳香豆補充包 春暖晨露, 455ml, 1包</v>
          </cell>
          <cell r="I45">
            <v>10</v>
          </cell>
          <cell r="J45">
            <v>138</v>
          </cell>
        </row>
        <row r="46">
          <cell r="E46">
            <v>4987176274915</v>
          </cell>
          <cell r="F46">
            <v>4987176274915</v>
          </cell>
          <cell r="G46">
            <v>80815409</v>
          </cell>
          <cell r="H46" t="str">
            <v>[DS]Lenor 蘭諾 台灣公司貨 衣物芳香豆補充包 淨白純棉, 455ml, 1包</v>
          </cell>
          <cell r="I46">
            <v>10</v>
          </cell>
          <cell r="J46">
            <v>138</v>
          </cell>
        </row>
        <row r="47">
          <cell r="E47">
            <v>4987176274892</v>
          </cell>
          <cell r="F47">
            <v>4987176274892</v>
          </cell>
          <cell r="G47">
            <v>80815407</v>
          </cell>
          <cell r="H47" t="str">
            <v>[DS]Lenor 蘭諾 台灣公司貨 衣物芳香豆 淨白純棉, 470ml, 1瓶</v>
          </cell>
          <cell r="I47">
            <v>6</v>
          </cell>
          <cell r="J47">
            <v>166</v>
          </cell>
        </row>
        <row r="48">
          <cell r="E48">
            <v>4987176316158</v>
          </cell>
          <cell r="F48">
            <v>4987176316158</v>
          </cell>
          <cell r="G48">
            <v>80842984</v>
          </cell>
          <cell r="H48" t="str">
            <v>Lenor蘭諾 衣物芳香豆 淨白純棉, 260ml, 1瓶</v>
          </cell>
          <cell r="I48">
            <v>6</v>
          </cell>
          <cell r="J48">
            <v>105</v>
          </cell>
        </row>
        <row r="49">
          <cell r="E49">
            <v>4987176314383</v>
          </cell>
          <cell r="F49">
            <v>4987176314383</v>
          </cell>
          <cell r="G49">
            <v>80841904</v>
          </cell>
          <cell r="H49" t="str">
            <v>Lenor 蘭諾 衣物芳香豆 雪松梔子花, 260ml, 1瓶</v>
          </cell>
          <cell r="I49">
            <v>6</v>
          </cell>
          <cell r="J49">
            <v>105</v>
          </cell>
        </row>
        <row r="50">
          <cell r="E50">
            <v>4987176250353</v>
          </cell>
          <cell r="F50">
            <v>4987176250353</v>
          </cell>
          <cell r="G50">
            <v>80789608</v>
          </cell>
          <cell r="H50" t="str">
            <v>[DS]OLAY 歐蕾 台灣公司貨 水感透白面膜, 5片, 1盒</v>
          </cell>
          <cell r="I50">
            <v>6</v>
          </cell>
          <cell r="J50">
            <v>263</v>
          </cell>
        </row>
        <row r="51">
          <cell r="E51">
            <v>4987176190734</v>
          </cell>
          <cell r="F51">
            <v>4987176190734</v>
          </cell>
          <cell r="G51">
            <v>80765769</v>
          </cell>
          <cell r="H51" t="str">
            <v>[DS]OLAY 歐蕾 台灣公司貨 抗皺保濕面膜, 5片, 1盒</v>
          </cell>
          <cell r="I51">
            <v>12</v>
          </cell>
          <cell r="J51">
            <v>264</v>
          </cell>
        </row>
        <row r="52">
          <cell r="E52">
            <v>4987176271617</v>
          </cell>
          <cell r="F52">
            <v>4987176271617</v>
          </cell>
          <cell r="G52">
            <v>80813813</v>
          </cell>
          <cell r="H52" t="str">
            <v>OLAY 歐蕾 台灣公司貨 滋潤保濕霜 無添加色素香料, 100g, 1罐</v>
          </cell>
          <cell r="I52">
            <v>6</v>
          </cell>
          <cell r="J52">
            <v>220</v>
          </cell>
        </row>
        <row r="53">
          <cell r="E53">
            <v>4987176271624</v>
          </cell>
          <cell r="F53">
            <v>4987176271624</v>
          </cell>
          <cell r="G53">
            <v>80813812</v>
          </cell>
          <cell r="H53" t="str">
            <v>OLAY 歐蕾 台灣公司貨 滋潤保溼霜, 100g, 1罐</v>
          </cell>
          <cell r="I53">
            <v>6</v>
          </cell>
          <cell r="J53">
            <v>220</v>
          </cell>
        </row>
        <row r="54">
          <cell r="E54">
            <v>4902430056519</v>
          </cell>
          <cell r="F54">
            <v>4902430056519</v>
          </cell>
          <cell r="G54">
            <v>82330060</v>
          </cell>
          <cell r="H54" t="str">
            <v>[DS]OLAY 歐蕾 滋潤保濕乳液, 150ml, 1瓶</v>
          </cell>
          <cell r="I54">
            <v>6</v>
          </cell>
          <cell r="J54">
            <v>176</v>
          </cell>
        </row>
        <row r="55">
          <cell r="E55">
            <v>4902430509695</v>
          </cell>
          <cell r="F55">
            <v>4902430509695</v>
          </cell>
          <cell r="G55">
            <v>82330058</v>
          </cell>
          <cell r="H55" t="str">
            <v>[DS]OLAY 歐蕾 長效保濕凝露, 50g, 1罐</v>
          </cell>
          <cell r="I55">
            <v>12</v>
          </cell>
          <cell r="J55">
            <v>196</v>
          </cell>
        </row>
        <row r="56">
          <cell r="E56">
            <v>9300618556502</v>
          </cell>
          <cell r="F56">
            <v>9300618556502</v>
          </cell>
          <cell r="G56">
            <v>82330061</v>
          </cell>
          <cell r="H56" t="str">
            <v>[DS]OLAY 歐蕾 滋潤保濕乳液, 150ml, 1瓶</v>
          </cell>
          <cell r="I56">
            <v>6</v>
          </cell>
          <cell r="J56">
            <v>176</v>
          </cell>
        </row>
        <row r="57">
          <cell r="E57">
            <v>4902430396059</v>
          </cell>
          <cell r="F57">
            <v>4902430396059</v>
          </cell>
          <cell r="G57">
            <v>82330040</v>
          </cell>
          <cell r="H57" t="str">
            <v>[DS]OLAY 歐蕾 多元修護霜無香料配方, 50g , 1入</v>
          </cell>
          <cell r="I57">
            <v>6</v>
          </cell>
          <cell r="J57">
            <v>364.99999999999994</v>
          </cell>
        </row>
        <row r="58">
          <cell r="E58">
            <v>4987176146700</v>
          </cell>
          <cell r="F58">
            <v>4987176146700</v>
          </cell>
          <cell r="G58">
            <v>80719240</v>
          </cell>
          <cell r="H58" t="str">
            <v>[DS]OLAY 歐蕾 台灣公司貨 多效防曬日霜優惠組, 1組</v>
          </cell>
          <cell r="I58">
            <v>12</v>
          </cell>
          <cell r="J58">
            <v>726</v>
          </cell>
        </row>
        <row r="59">
          <cell r="E59">
            <v>4902430056496</v>
          </cell>
          <cell r="F59">
            <v>4902430056496</v>
          </cell>
          <cell r="G59">
            <v>80682726</v>
          </cell>
          <cell r="H59" t="str">
            <v>[DS]OLAY 歐蕾 活膚菁華霜, 50g, 1罐</v>
          </cell>
          <cell r="I59">
            <v>6</v>
          </cell>
          <cell r="J59">
            <v>264</v>
          </cell>
        </row>
        <row r="60">
          <cell r="E60">
            <v>4902430396066</v>
          </cell>
          <cell r="F60">
            <v>4902430396066</v>
          </cell>
          <cell r="G60">
            <v>82330039</v>
          </cell>
          <cell r="H60" t="str">
            <v>[DS]OLAY 歐蕾 多元修護晚霜(6066), 50g, 1罐</v>
          </cell>
          <cell r="I60">
            <v>12</v>
          </cell>
          <cell r="J60">
            <v>355</v>
          </cell>
        </row>
        <row r="61">
          <cell r="E61">
            <v>4902430396073</v>
          </cell>
          <cell r="F61">
            <v>4902430396073</v>
          </cell>
          <cell r="G61">
            <v>80719241</v>
          </cell>
          <cell r="H61" t="str">
            <v>[DS]OLAY 歐蕾 多元修護日霜, 50g, 1罐</v>
          </cell>
          <cell r="I61">
            <v>12</v>
          </cell>
          <cell r="J61">
            <v>355</v>
          </cell>
        </row>
        <row r="62">
          <cell r="E62">
            <v>4987176106438</v>
          </cell>
          <cell r="F62">
            <v>4987176106438</v>
          </cell>
          <cell r="G62"/>
          <cell r="H62" t="str">
            <v>[DS]OLAY 歐蕾水感透白光曜精華水, 150ml, 1瓶</v>
          </cell>
          <cell r="I62"/>
          <cell r="J62"/>
        </row>
        <row r="63">
          <cell r="E63">
            <v>4987176161734</v>
          </cell>
          <cell r="F63">
            <v>4987176161734</v>
          </cell>
          <cell r="G63"/>
          <cell r="H63" t="str">
            <v>[DS]OLAY 歐蕾 滋潤緊緻優惠組 護膚霜50g+護膚霜14g*2+精華水18ml*2, 1組</v>
          </cell>
          <cell r="I63"/>
          <cell r="J63"/>
        </row>
        <row r="64">
          <cell r="E64">
            <v>14987176232882</v>
          </cell>
          <cell r="F64">
            <v>4987176232885</v>
          </cell>
          <cell r="G64">
            <v>80778484</v>
          </cell>
          <cell r="H64" t="str">
            <v>[DS][箱裝]Pampers 幫寶適 原廠公司貨 CP值之選清新幫拉拉褲/尿布, L, 9-14kg, 168片</v>
          </cell>
          <cell r="I64">
            <v>1</v>
          </cell>
          <cell r="J64">
            <v>1175</v>
          </cell>
        </row>
        <row r="65">
          <cell r="E65">
            <v>14987176232899</v>
          </cell>
          <cell r="F65">
            <v>4987176232892</v>
          </cell>
          <cell r="G65">
            <v>80778485</v>
          </cell>
          <cell r="H65" t="str">
            <v>[DS][箱裝]Pampers 幫寶適 原廠公司貨 CP值之選清新幫拉拉褲/尿布, XL, 12-17kg, 152片</v>
          </cell>
          <cell r="I65">
            <v>1</v>
          </cell>
          <cell r="J65">
            <v>1175</v>
          </cell>
        </row>
        <row r="66">
          <cell r="E66">
            <v>14987176232868</v>
          </cell>
          <cell r="F66">
            <v>4987176232861</v>
          </cell>
          <cell r="G66">
            <v>80778482</v>
          </cell>
          <cell r="H66" t="str">
            <v>[DS][箱裝]Pampers 幫寶適 原廠公司貨 CP值之選清新幫紙尿褲/尿布, 黏貼型, L, 9-14kg, 184片</v>
          </cell>
          <cell r="I66">
            <v>1</v>
          </cell>
          <cell r="J66">
            <v>1231</v>
          </cell>
        </row>
        <row r="67">
          <cell r="E67">
            <v>14902430894439</v>
          </cell>
          <cell r="F67">
            <v>4902430894432</v>
          </cell>
          <cell r="G67">
            <v>80808258</v>
          </cell>
          <cell r="H67" t="str">
            <v>[DS][箱裝] Pampers 幫寶適 原廠公司貨 超薄乾爽 黏貼型尿布, L, 9~14kg, 156片</v>
          </cell>
          <cell r="I67">
            <v>1</v>
          </cell>
          <cell r="J67">
            <v>937</v>
          </cell>
        </row>
        <row r="68">
          <cell r="E68">
            <v>14987176337082</v>
          </cell>
          <cell r="F68">
            <v>4987176337085</v>
          </cell>
          <cell r="G68">
            <v>80858990</v>
          </cell>
          <cell r="H68" t="str">
            <v>[箱裝]Pampers 幫寶適 原廠公司貨 清新幫黏貼型尿布, M, 6~11kg, 216片</v>
          </cell>
          <cell r="I68">
            <v>1</v>
          </cell>
          <cell r="J68">
            <v>1231</v>
          </cell>
        </row>
        <row r="69">
          <cell r="E69">
            <v>14987176232851</v>
          </cell>
          <cell r="F69">
            <v>4987176232854</v>
          </cell>
          <cell r="G69">
            <v>80778480</v>
          </cell>
          <cell r="H69" t="str">
            <v>[DS][箱裝]Pampers 幫寶適 原廠公司貨 CP值之選清新幫紙尿褲/尿布, 黏貼型, XL, 12~17kg, 152片, 1箱</v>
          </cell>
          <cell r="I69">
            <v>1</v>
          </cell>
          <cell r="J69">
            <v>1231</v>
          </cell>
        </row>
        <row r="70">
          <cell r="E70">
            <v>14987176337075</v>
          </cell>
          <cell r="F70">
            <v>4987176337078</v>
          </cell>
          <cell r="G70">
            <v>80858989</v>
          </cell>
          <cell r="H70" t="str">
            <v>[箱裝]Pampers 幫寶適 原廠公司貨 清新幫褲型尿布, M, 6~11kg, 200片</v>
          </cell>
          <cell r="I70">
            <v>1</v>
          </cell>
          <cell r="J70">
            <v>1175</v>
          </cell>
        </row>
        <row r="71">
          <cell r="E71">
            <v>14902430894422</v>
          </cell>
          <cell r="F71">
            <v>4902430894425</v>
          </cell>
          <cell r="G71">
            <v>80808257</v>
          </cell>
          <cell r="H71" t="str">
            <v>[DS][箱裝] Pampers 幫寶適原廠公司貨 超薄乾爽 黏貼型尿布 , M, 6~11kg, 192片</v>
          </cell>
          <cell r="I71">
            <v>1</v>
          </cell>
          <cell r="J71">
            <v>937</v>
          </cell>
        </row>
        <row r="72">
          <cell r="E72">
            <v>16903148358167</v>
          </cell>
          <cell r="F72"/>
          <cell r="G72"/>
          <cell r="H72" t="str">
            <v>[箱裝]Pampers 幫寶適 原廠公司貨 史上最強一級幫散熱拉拉褲/尿布, L, 9~14kg, 8片, 6包_試用 夏日散熱不悶汗 (極上守護)</v>
          </cell>
          <cell r="I72"/>
          <cell r="J72">
            <v>0</v>
          </cell>
        </row>
        <row r="73">
          <cell r="E73">
            <v>14987176174779</v>
          </cell>
          <cell r="F73"/>
          <cell r="G73">
            <v>80771060</v>
          </cell>
          <cell r="H73" t="str">
            <v>[箱裝]Pampers 幫寶適 巧虎安睡褲/拉拉褲/尿布 17kg以上適用, XXXL, 80片</v>
          </cell>
          <cell r="I73">
            <v>1</v>
          </cell>
          <cell r="J73">
            <v>1499</v>
          </cell>
        </row>
        <row r="74">
          <cell r="E74">
            <v>4987176232847</v>
          </cell>
          <cell r="F74">
            <v>4987176232847</v>
          </cell>
          <cell r="G74">
            <v>80778481</v>
          </cell>
          <cell r="H74" t="str">
            <v>Pampers 幫寶適 原廠公司貨 清新幫拉拉褲/褲型尿布, XXXL, 17kg, 22片</v>
          </cell>
          <cell r="I74">
            <v>4</v>
          </cell>
          <cell r="J74">
            <v>323</v>
          </cell>
        </row>
        <row r="75">
          <cell r="E75">
            <v>14987176232745</v>
          </cell>
          <cell r="F75"/>
          <cell r="G75"/>
          <cell r="H75" t="str">
            <v>[箱裝]Pampers 幫寶適 奢寵幫拉拉褲/褲型紙尿褲, XXL, 15kg以上, 72片</v>
          </cell>
          <cell r="I75"/>
          <cell r="J75">
            <v>0</v>
          </cell>
        </row>
        <row r="76">
          <cell r="E76">
            <v>4987176232878</v>
          </cell>
          <cell r="F76">
            <v>4987176232878</v>
          </cell>
          <cell r="G76">
            <v>80838275</v>
          </cell>
          <cell r="H76" t="str">
            <v>Pampers 幫寶適 原廠公司貨 清新幫拉拉褲/褲型尿布, XXL, 15kg, 26片</v>
          </cell>
          <cell r="I76">
            <v>4</v>
          </cell>
          <cell r="J76">
            <v>323</v>
          </cell>
        </row>
        <row r="77">
          <cell r="E77">
            <v>14987176232738</v>
          </cell>
          <cell r="F77"/>
          <cell r="G77"/>
          <cell r="H77" t="str">
            <v>[箱裝]Pampers 幫寶適 奢寵幫拉拉褲/褲型紙尿褲, XL, 12~17kg, 90片</v>
          </cell>
          <cell r="I77"/>
          <cell r="J77">
            <v>0</v>
          </cell>
        </row>
        <row r="78">
          <cell r="E78">
            <v>16903148308414</v>
          </cell>
          <cell r="F78"/>
          <cell r="G78"/>
          <cell r="H78" t="str">
            <v>[箱裝]Pampers 幫寶適 奢寵幫黏貼型紙尿褲, L, 9~14kg, 96片</v>
          </cell>
          <cell r="I78"/>
          <cell r="J78">
            <v>0</v>
          </cell>
        </row>
        <row r="79">
          <cell r="E79">
            <v>6903148358153</v>
          </cell>
          <cell r="F79"/>
          <cell r="G79">
            <v>80821873</v>
          </cell>
          <cell r="H79" t="str">
            <v>[箱裝][DS]Pampers 幫寶適 原廠公司貨 史上最強一級幫散熱拉拉褲/尿布/褲型, L+, 10~15kg, 102片_(極上守護)</v>
          </cell>
          <cell r="I79">
            <v>1</v>
          </cell>
          <cell r="J79">
            <v>1056</v>
          </cell>
        </row>
        <row r="80">
          <cell r="E80">
            <v>14987176232721</v>
          </cell>
          <cell r="F80"/>
          <cell r="G80"/>
          <cell r="H80" t="str">
            <v>[箱裝]Pampers 幫寶適 奢寵幫拉拉褲/褲型紙尿褲, L, 9~14kg, 102片</v>
          </cell>
          <cell r="I80"/>
          <cell r="J80">
            <v>0</v>
          </cell>
        </row>
        <row r="81">
          <cell r="E81">
            <v>4987176232892</v>
          </cell>
          <cell r="F81">
            <v>4987176232892</v>
          </cell>
          <cell r="G81">
            <v>80838271</v>
          </cell>
          <cell r="H81" t="str">
            <v>Pampers 幫寶適 原廠公司貨 清新幫拉拉褲/褲型尿布, XL, 12~17kg, 38片</v>
          </cell>
          <cell r="I81">
            <v>4</v>
          </cell>
          <cell r="J81">
            <v>323</v>
          </cell>
        </row>
        <row r="82">
          <cell r="E82">
            <v>16903148308407</v>
          </cell>
          <cell r="F82"/>
          <cell r="G82"/>
          <cell r="H82" t="str">
            <v>[箱裝]Pampers 幫寶適 奢寵幫黏貼型紙尿褲, M, 6~11kg, 114片</v>
          </cell>
          <cell r="I82"/>
          <cell r="J82">
            <v>0</v>
          </cell>
        </row>
        <row r="83">
          <cell r="E83">
            <v>4987176232885</v>
          </cell>
          <cell r="F83">
            <v>4987176232885</v>
          </cell>
          <cell r="G83">
            <v>80838270</v>
          </cell>
          <cell r="H83" t="str">
            <v>Pampers 幫寶適 原廠公司貨 清新幫拉拉褲/褲型尿布, L, 9~14kg, 42片</v>
          </cell>
          <cell r="I83">
            <v>4</v>
          </cell>
          <cell r="J83">
            <v>323</v>
          </cell>
        </row>
        <row r="84">
          <cell r="E84">
            <v>4987176337078</v>
          </cell>
          <cell r="F84">
            <v>4987176337078</v>
          </cell>
          <cell r="G84">
            <v>80858989</v>
          </cell>
          <cell r="H84" t="str">
            <v>Pampers 幫寶適 原廠公司貨 清新幫拉拉褲/褲型尿布, M, 6~11kg, 50片</v>
          </cell>
          <cell r="I84">
            <v>4</v>
          </cell>
          <cell r="J84">
            <v>323</v>
          </cell>
        </row>
        <row r="85">
          <cell r="E85">
            <v>4987176232854</v>
          </cell>
          <cell r="F85">
            <v>4987176232854</v>
          </cell>
          <cell r="G85">
            <v>80838274</v>
          </cell>
          <cell r="H85" t="str">
            <v>Pampers 幫寶適 原廠公司貨 清新幫黏貼型紙尿褲/尿布, XL, 12~17kg, 38片</v>
          </cell>
          <cell r="I85">
            <v>4</v>
          </cell>
          <cell r="J85">
            <v>339</v>
          </cell>
        </row>
        <row r="86">
          <cell r="E86">
            <v>14987176231687</v>
          </cell>
          <cell r="F86"/>
          <cell r="G86"/>
          <cell r="H86" t="str">
            <v>[箱裝]Pampers 幫寶適 奢寵幫黏貼型紙尿褲, S, 4~8kg, 144片</v>
          </cell>
          <cell r="I86"/>
          <cell r="J86">
            <v>0</v>
          </cell>
        </row>
        <row r="87">
          <cell r="E87">
            <v>4987176232861</v>
          </cell>
          <cell r="F87">
            <v>4987176232861</v>
          </cell>
          <cell r="G87">
            <v>80838273</v>
          </cell>
          <cell r="H87" t="str">
            <v>Pampers 幫寶適 原廠公司貨 清新幫黏貼型紙尿褲/尿布, L, 9~14kg, 46片</v>
          </cell>
          <cell r="I87">
            <v>4</v>
          </cell>
          <cell r="J87">
            <v>339</v>
          </cell>
        </row>
        <row r="88">
          <cell r="E88">
            <v>4987176337085</v>
          </cell>
          <cell r="F88">
            <v>4987176337085</v>
          </cell>
          <cell r="G88">
            <v>80858990</v>
          </cell>
          <cell r="H88" t="str">
            <v>Pampers 幫寶適 原廠公司貨 清新幫黏貼型紙尿褲/尿布, M, 6~11kg, 54片</v>
          </cell>
          <cell r="I88">
            <v>4</v>
          </cell>
          <cell r="J88">
            <v>339</v>
          </cell>
        </row>
        <row r="89">
          <cell r="E89">
            <v>16903148308384</v>
          </cell>
          <cell r="F89"/>
          <cell r="G89"/>
          <cell r="H89" t="str">
            <v>[箱裝]Pampers 幫寶適 奢寵幫黏貼型紙尿褲, NB, 0~5kg, 162片</v>
          </cell>
          <cell r="I89"/>
          <cell r="J89">
            <v>0</v>
          </cell>
        </row>
        <row r="90">
          <cell r="E90">
            <v>14987176180565</v>
          </cell>
          <cell r="F90"/>
          <cell r="G90">
            <v>80757535</v>
          </cell>
          <cell r="H90" t="str">
            <v>[DS][箱裝]Pampers 幫寶適 原廠公司貨 嬰兒濕紙巾 56張, 2包, 6袋</v>
          </cell>
          <cell r="I90">
            <v>1</v>
          </cell>
          <cell r="J90">
            <v>520</v>
          </cell>
        </row>
        <row r="91">
          <cell r="E91">
            <v>6903148358221</v>
          </cell>
          <cell r="F91"/>
          <cell r="G91">
            <v>80821880</v>
          </cell>
          <cell r="H91" t="str">
            <v>[DS][箱裝]Pampers 幫寶適 原廠公司貨 史上最強一級幫散熱拉拉褲/尿布/褲型, M, 6~11kg, 152片_(極上守護)</v>
          </cell>
          <cell r="I91">
            <v>1</v>
          </cell>
          <cell r="J91">
            <v>1056</v>
          </cell>
        </row>
        <row r="92">
          <cell r="E92">
            <v>4987176337092</v>
          </cell>
          <cell r="F92">
            <v>4987176337092</v>
          </cell>
          <cell r="G92">
            <v>80858991</v>
          </cell>
          <cell r="H92" t="str">
            <v>Pampers 幫寶適 原廠公司貨 清新幫黏貼型紙尿褲/尿布, S, 4~8kg, 66片</v>
          </cell>
          <cell r="I92">
            <v>4</v>
          </cell>
          <cell r="J92">
            <v>339</v>
          </cell>
        </row>
        <row r="93">
          <cell r="E93">
            <v>14987176337099</v>
          </cell>
          <cell r="F93">
            <v>4987176337092</v>
          </cell>
          <cell r="G93">
            <v>80858991</v>
          </cell>
          <cell r="H93" t="str">
            <v>[箱裝]Pampers 幫寶適 原廠公司貨 清新幫黏貼型尿布, S, 4~8kg, 264片</v>
          </cell>
          <cell r="I93">
            <v>1</v>
          </cell>
          <cell r="J93">
            <v>1231</v>
          </cell>
        </row>
        <row r="94">
          <cell r="E94">
            <v>16903148358105</v>
          </cell>
          <cell r="F94"/>
          <cell r="G94">
            <v>80821867</v>
          </cell>
          <cell r="H94" t="str">
            <v>[箱裝][DS]Pampers 幫寶適 原廠公司貨 史上最強一級幫黏貼型護膚尿布/紙尿褲, S, 4~8kg, 224片_夏日遠離紅屁屁 (極上守護)</v>
          </cell>
          <cell r="I94">
            <v>1</v>
          </cell>
          <cell r="J94">
            <v>1318</v>
          </cell>
        </row>
        <row r="95">
          <cell r="E95">
            <v>16903148358006</v>
          </cell>
          <cell r="F95"/>
          <cell r="G95">
            <v>80821859</v>
          </cell>
          <cell r="H95" t="str">
            <v>[箱裝][DS]Pampers 幫寶適 原廠公司貨 史上最強一級幫黏貼型護膚尿布/紙尿褲, NB, 5kg以下, 256片_夏日遠離紅屁屁 (極上守護)</v>
          </cell>
          <cell r="I95">
            <v>1</v>
          </cell>
          <cell r="J95">
            <v>1318</v>
          </cell>
        </row>
        <row r="96">
          <cell r="E96">
            <v>14902430894446</v>
          </cell>
          <cell r="F96">
            <v>4902430894449</v>
          </cell>
          <cell r="G96">
            <v>80808259</v>
          </cell>
          <cell r="H96" t="str">
            <v>[箱裝] Pampers 幫寶適 超薄乾爽 黏貼型尿布, XL, 12~17kg, 120片</v>
          </cell>
          <cell r="I96">
            <v>1</v>
          </cell>
          <cell r="J96">
            <v>929</v>
          </cell>
        </row>
        <row r="97">
          <cell r="E97">
            <v>14987176232844</v>
          </cell>
          <cell r="F97">
            <v>4987176232847</v>
          </cell>
          <cell r="G97">
            <v>80778481</v>
          </cell>
          <cell r="H97" t="str">
            <v>[DS][箱裝]Pampers 幫寶適 原廠公司貨 CP值之選清新幫拉拉褲/尿布, XXXL, 17kg以上, 88片</v>
          </cell>
          <cell r="I97">
            <v>1</v>
          </cell>
          <cell r="J97">
            <v>1175</v>
          </cell>
        </row>
        <row r="98">
          <cell r="E98">
            <v>14987176232875</v>
          </cell>
          <cell r="F98">
            <v>4987176232878</v>
          </cell>
          <cell r="G98">
            <v>80778483</v>
          </cell>
          <cell r="H98" t="str">
            <v>[DS][箱裝]Pampers 幫寶適 原廠公司貨 CP值之選清新幫拉拉褲/尿布, XXL, 15kg以上, 104片</v>
          </cell>
          <cell r="I98">
            <v>1</v>
          </cell>
          <cell r="J98">
            <v>1175</v>
          </cell>
        </row>
        <row r="99">
          <cell r="E99">
            <v>14902430739297</v>
          </cell>
          <cell r="F99">
            <v>4902430739290</v>
          </cell>
          <cell r="G99">
            <v>82311884</v>
          </cell>
          <cell r="H99" t="str">
            <v>[DS][箱裝] Pampers 幫寶適 原廠公司貨 超薄乾爽拉拉褲/尿布, 褲型, XL, 12~17kg, 192片</v>
          </cell>
          <cell r="I99">
            <v>1</v>
          </cell>
          <cell r="J99">
            <v>1394</v>
          </cell>
        </row>
        <row r="100">
          <cell r="E100">
            <v>30772121009</v>
          </cell>
          <cell r="F100">
            <v>30772121009</v>
          </cell>
          <cell r="G100">
            <v>80822281</v>
          </cell>
          <cell r="H100" t="str">
            <v>[DS]Tide 汰漬 台灣公司貨 2倍超濃縮洗衣精, 3.9L, 1桶</v>
          </cell>
          <cell r="I100">
            <v>4</v>
          </cell>
          <cell r="J100">
            <v>563.99999999999989</v>
          </cell>
        </row>
        <row r="101">
          <cell r="E101">
            <v>4987176084378</v>
          </cell>
          <cell r="F101">
            <v>4987176084378</v>
          </cell>
          <cell r="G101">
            <v>80888194</v>
          </cell>
          <cell r="H101" t="str">
            <v>好自在熊抱安睡褲L 8片 WHP KOALA 9 BASE PANTS L 8SX6 SQ-HKTW</v>
          </cell>
          <cell r="I101">
            <v>6</v>
          </cell>
          <cell r="J101">
            <v>177</v>
          </cell>
        </row>
        <row r="102">
          <cell r="E102">
            <v>4987176122858</v>
          </cell>
          <cell r="F102">
            <v>4987176122858</v>
          </cell>
          <cell r="G102">
            <v>80701658</v>
          </cell>
          <cell r="H102" t="str">
            <v>[DS]whisper 好自在 台灣公司貨 熊抱安睡36cm量多夜用10片, 1包</v>
          </cell>
          <cell r="I102">
            <v>12</v>
          </cell>
          <cell r="J102">
            <v>60</v>
          </cell>
        </row>
        <row r="103">
          <cell r="E103">
            <v>4987176122865</v>
          </cell>
          <cell r="F103">
            <v>4987176122865</v>
          </cell>
          <cell r="G103">
            <v>80701659</v>
          </cell>
          <cell r="H103" t="str">
            <v>[DS]whisper 好自在 熊抱安睡42.5cm 量多夜用,7片,1包</v>
          </cell>
          <cell r="I103">
            <v>12</v>
          </cell>
          <cell r="J103">
            <v>60</v>
          </cell>
        </row>
        <row r="104">
          <cell r="E104">
            <v>4987176122919</v>
          </cell>
          <cell r="F104">
            <v>4987176122919</v>
          </cell>
          <cell r="G104">
            <v>80701798</v>
          </cell>
          <cell r="H104" t="str">
            <v>[DS]whisper 好自在 台灣公司貨 熊抱安睡36cm量多夜用(10片X2),1組</v>
          </cell>
          <cell r="I104">
            <v>12</v>
          </cell>
          <cell r="J104">
            <v>115</v>
          </cell>
        </row>
        <row r="105">
          <cell r="E105">
            <v>4987176122933</v>
          </cell>
          <cell r="F105">
            <v>4987176122933</v>
          </cell>
          <cell r="G105">
            <v>80701800</v>
          </cell>
          <cell r="H105" t="str">
            <v>[DS]whisper 好自在 台灣公司貨 熊抱安睡425mm量多夜用衛生棉, 7片,2包,1組</v>
          </cell>
          <cell r="I105">
            <v>12</v>
          </cell>
          <cell r="J105">
            <v>120</v>
          </cell>
        </row>
        <row r="106">
          <cell r="E106">
            <v>4987176166739</v>
          </cell>
          <cell r="F106">
            <v>4987176166739</v>
          </cell>
          <cell r="G106">
            <v>80845894</v>
          </cell>
          <cell r="H106" t="str">
            <v>好自在熊抱安睡褲M 8片 WHP KOALA 8 BASE PANTS M 8SX6 SQ-HKTW</v>
          </cell>
          <cell r="I106">
            <v>6</v>
          </cell>
          <cell r="J106">
            <v>177</v>
          </cell>
        </row>
        <row r="107">
          <cell r="E107">
            <v>4987176177841</v>
          </cell>
          <cell r="F107">
            <v>4987176177841</v>
          </cell>
          <cell r="G107">
            <v>80724055</v>
          </cell>
          <cell r="H107" t="str">
            <v>[DS]whisper 好自在 台灣公司貨 液體衛生棉清新淨味 24cm, 1包, 9片, 一般</v>
          </cell>
          <cell r="I107">
            <v>12</v>
          </cell>
          <cell r="J107">
            <v>89</v>
          </cell>
        </row>
        <row r="108">
          <cell r="E108">
            <v>4987176177858</v>
          </cell>
          <cell r="F108">
            <v>4987176177858</v>
          </cell>
          <cell r="G108">
            <v>80724056</v>
          </cell>
          <cell r="H108" t="str">
            <v>[DS]whisper 好自在 Radiant清新淨味 液體衛生棉/巾 棉柔表層 量多超薄 日用型, 27cm, 9片, 1盒</v>
          </cell>
          <cell r="I108">
            <v>12</v>
          </cell>
          <cell r="J108">
            <v>89</v>
          </cell>
        </row>
        <row r="109">
          <cell r="E109">
            <v>4987176177865</v>
          </cell>
          <cell r="F109">
            <v>4987176177865</v>
          </cell>
          <cell r="G109">
            <v>80724057</v>
          </cell>
          <cell r="H109" t="str">
            <v>[DS]whisper 好自在 台灣公司貨 液體衛生棉清新淨味 31.7cm, 1包, 9片, 一般</v>
          </cell>
          <cell r="I109">
            <v>12</v>
          </cell>
          <cell r="J109">
            <v>89</v>
          </cell>
        </row>
        <row r="110">
          <cell r="E110">
            <v>4987176179258</v>
          </cell>
          <cell r="F110">
            <v>4987176179258</v>
          </cell>
          <cell r="G110">
            <v>80741147</v>
          </cell>
          <cell r="H110" t="str">
            <v>[DS]whisper 好自在 台灣公司貨 INFINITY液體衛生棉 超長夜用 34cm, 10片, 夜用型, 1盒</v>
          </cell>
          <cell r="I110">
            <v>12</v>
          </cell>
          <cell r="J110">
            <v>82</v>
          </cell>
        </row>
        <row r="111">
          <cell r="E111">
            <v>4987176214720</v>
          </cell>
          <cell r="F111">
            <v>4987176214720</v>
          </cell>
          <cell r="G111">
            <v>80845897</v>
          </cell>
          <cell r="H111" t="str">
            <v>好自在熊抱安睡褲XL 8片 WHP KOALA 8 BASE PANTS XL 8SX6 SQ-HKTW</v>
          </cell>
          <cell r="I111">
            <v>6</v>
          </cell>
          <cell r="J111">
            <v>177</v>
          </cell>
        </row>
        <row r="112">
          <cell r="E112">
            <v>4987176219985</v>
          </cell>
          <cell r="F112">
            <v>4987176219985</v>
          </cell>
          <cell r="G112">
            <v>80786358</v>
          </cell>
          <cell r="H112" t="str">
            <v>whisper 好自在 熊抱安睡褲, 內褲型, XL, 2片, 1包</v>
          </cell>
          <cell r="I112">
            <v>24</v>
          </cell>
          <cell r="J112">
            <v>41</v>
          </cell>
        </row>
        <row r="113">
          <cell r="E113">
            <v>4987176301017</v>
          </cell>
          <cell r="F113">
            <v>4987176301017</v>
          </cell>
          <cell r="G113">
            <v>80834591</v>
          </cell>
          <cell r="H113" t="str">
            <v>[DS]whisper 好自在 台灣公司貨 Air Dry 雲枕瞬吸衛生棉 日用量大加長, 32cm, 16片, 1袋</v>
          </cell>
          <cell r="I113">
            <v>12</v>
          </cell>
          <cell r="J113">
            <v>95.000000000000014</v>
          </cell>
        </row>
        <row r="114">
          <cell r="E114">
            <v>4987176301024</v>
          </cell>
          <cell r="F114">
            <v>4987176301024</v>
          </cell>
          <cell r="G114">
            <v>80841913</v>
          </cell>
          <cell r="H114" t="str">
            <v>[DS]whisper 好自在 台灣公司貨 Air Dry Fresh 草本健康衛生棉 量大加長, 32cm, 16片, 1袋</v>
          </cell>
          <cell r="I114">
            <v>12</v>
          </cell>
          <cell r="J114">
            <v>95.000000000000014</v>
          </cell>
        </row>
        <row r="115">
          <cell r="E115">
            <v>4987176325655</v>
          </cell>
          <cell r="F115">
            <v>4987176325655</v>
          </cell>
          <cell r="G115">
            <v>80849287</v>
          </cell>
          <cell r="H115" t="str">
            <v>WHP AIR DRY PRO (S3 10S+Mini 12S)x24</v>
          </cell>
          <cell r="I115">
            <v>24</v>
          </cell>
          <cell r="J115">
            <v>79</v>
          </cell>
        </row>
        <row r="116">
          <cell r="E116">
            <v>4987176325662</v>
          </cell>
          <cell r="F116">
            <v>4987176325662</v>
          </cell>
          <cell r="G116">
            <v>80849288</v>
          </cell>
          <cell r="H116" t="str">
            <v>WHP AIR DRY (S3 10S+Mini 12S)x24</v>
          </cell>
          <cell r="I116">
            <v>24</v>
          </cell>
          <cell r="J116">
            <v>79</v>
          </cell>
        </row>
        <row r="117">
          <cell r="E117">
            <v>4987176369345</v>
          </cell>
          <cell r="F117">
            <v>4987176369345</v>
          </cell>
          <cell r="G117">
            <v>80888287</v>
          </cell>
          <cell r="H117" t="str">
            <v>AirDry雲枕瞬吸日用普通(S1*9+Mini*3) WHP ArDy(S1 20SX9+Mini 12SX3)x1</v>
          </cell>
          <cell r="I117">
            <v>1</v>
          </cell>
          <cell r="J117">
            <v>883</v>
          </cell>
        </row>
        <row r="118">
          <cell r="E118">
            <v>4987176369352</v>
          </cell>
          <cell r="F118">
            <v>4987176369352</v>
          </cell>
          <cell r="G118">
            <v>80888288</v>
          </cell>
          <cell r="H118" t="str">
            <v>AirDry雲枕瞬吸日用量大(S3*9+Mini*3) WHP ArDy(S3 20SX9+Mini 12SX3)x1</v>
          </cell>
          <cell r="I118">
            <v>1</v>
          </cell>
          <cell r="J118">
            <v>883</v>
          </cell>
        </row>
        <row r="119">
          <cell r="E119">
            <v>4987176369369</v>
          </cell>
          <cell r="F119">
            <v>4987176369369</v>
          </cell>
          <cell r="G119">
            <v>80888289</v>
          </cell>
          <cell r="H119" t="str">
            <v>AirDryFresh草本健康日用普通(S1*9+Mini*3) WHP ArDyPRO(S1 20SX9+Mini 12SX3)x1</v>
          </cell>
          <cell r="I119">
            <v>1</v>
          </cell>
          <cell r="J119">
            <v>883</v>
          </cell>
        </row>
        <row r="120">
          <cell r="E120">
            <v>4987176369376</v>
          </cell>
          <cell r="F120">
            <v>4987176369376</v>
          </cell>
          <cell r="G120">
            <v>80888290</v>
          </cell>
          <cell r="H120" t="str">
            <v>AirDryFresh草本健康日用量大(S3*9+Mini*3) WHP ArDyPRO(S3 20SX9+Mini 12SX3)x1</v>
          </cell>
          <cell r="I120">
            <v>1</v>
          </cell>
          <cell r="J120">
            <v>883</v>
          </cell>
        </row>
        <row r="121">
          <cell r="E121">
            <v>4987176369383</v>
          </cell>
          <cell r="F121">
            <v>4987176369383</v>
          </cell>
          <cell r="G121">
            <v>80888291</v>
          </cell>
          <cell r="H121" t="str">
            <v>AirDryFresh草本健康日用輕量Mini*22 WHP ArDyPRO(Mini 12SX22)x1</v>
          </cell>
          <cell r="I121">
            <v>1</v>
          </cell>
          <cell r="J121">
            <v>883</v>
          </cell>
        </row>
        <row r="122">
          <cell r="E122">
            <v>4987176372048</v>
          </cell>
          <cell r="F122">
            <v>4987176372048</v>
          </cell>
          <cell r="G122">
            <v>80889745</v>
          </cell>
          <cell r="H122" t="str">
            <v>好自在INFINITY34cm120s+清新淨味31.7cm36s WHP (INF F9 10sx12+ RDNT F7 9sx4)x1 BAO</v>
          </cell>
          <cell r="I122">
            <v>1</v>
          </cell>
          <cell r="J122">
            <v>1330</v>
          </cell>
        </row>
        <row r="123">
          <cell r="E123">
            <v>4987176372055</v>
          </cell>
          <cell r="F123">
            <v>4987176372055</v>
          </cell>
          <cell r="G123">
            <v>80889746</v>
          </cell>
          <cell r="H123" t="str">
            <v>好自在INFINITY29.5cm126s+清新淨味31.7cm36s WHP (INF F5 9sx14+ RDNT F7 9sx4)x1 BAO</v>
          </cell>
          <cell r="I123">
            <v>1</v>
          </cell>
          <cell r="J123">
            <v>1330</v>
          </cell>
        </row>
        <row r="124">
          <cell r="E124">
            <v>4987176372079</v>
          </cell>
          <cell r="F124">
            <v>4987176372079</v>
          </cell>
          <cell r="G124">
            <v>80889748</v>
          </cell>
          <cell r="H124" t="str">
            <v>好自在INFINITY29.5cm81s+清新淨味31.7cm27s WHP (INF F5 9sx9+ RDNT F7 9sx3)x1 BAO</v>
          </cell>
          <cell r="I124">
            <v>1</v>
          </cell>
          <cell r="J124">
            <v>883</v>
          </cell>
        </row>
        <row r="125">
          <cell r="E125">
            <v>4987176372086</v>
          </cell>
          <cell r="F125">
            <v>4987176372086</v>
          </cell>
          <cell r="G125">
            <v>80889749</v>
          </cell>
          <cell r="H125" t="str">
            <v>好自在INFINITY34cm90s+清新淨味31.7cm18s WHP (INF F9 10sx9+ RDNT F7 9sx2)x1 BAO</v>
          </cell>
          <cell r="I125">
            <v>1</v>
          </cell>
          <cell r="J125">
            <v>883</v>
          </cell>
        </row>
        <row r="126">
          <cell r="E126">
            <v>4987176372093</v>
          </cell>
          <cell r="F126">
            <v>4987176372093</v>
          </cell>
          <cell r="G126">
            <v>80889750</v>
          </cell>
          <cell r="H126" t="str">
            <v>AirDryFresh草本健康日用量大(S3*5+Mini*2) WHP ArDyPRO(S3 20SX5+Mini 12SX2)x1</v>
          </cell>
          <cell r="I126">
            <v>1</v>
          </cell>
          <cell r="J126">
            <v>495</v>
          </cell>
        </row>
        <row r="127">
          <cell r="E127">
            <v>4987176372116</v>
          </cell>
          <cell r="F127">
            <v>4987176372116</v>
          </cell>
          <cell r="G127">
            <v>80889752</v>
          </cell>
          <cell r="H127" t="str">
            <v>AirDry雲枕瞬吸日用量大(S3*5+Mini*2) WHP ArDy(S3 20SX5+Mini 12SX2)x1</v>
          </cell>
          <cell r="I127">
            <v>1</v>
          </cell>
          <cell r="J127">
            <v>495</v>
          </cell>
        </row>
        <row r="128">
          <cell r="E128">
            <v>4987176372123</v>
          </cell>
          <cell r="F128">
            <v>4987176372123</v>
          </cell>
          <cell r="G128">
            <v>80889753</v>
          </cell>
          <cell r="H128" t="str">
            <v>好自在INFINITY24cm126s+清新淨味24cm36s WHP F1 (INF 18sx7+ RDNT 9sx4)x1 BAO</v>
          </cell>
          <cell r="I128">
            <v>1</v>
          </cell>
          <cell r="J128">
            <v>1330</v>
          </cell>
        </row>
        <row r="129">
          <cell r="E129">
            <v>4987176372147</v>
          </cell>
          <cell r="F129">
            <v>4987176372147</v>
          </cell>
          <cell r="G129">
            <v>80889755</v>
          </cell>
          <cell r="H129" t="str">
            <v>好自在INFINITY27cm128s+清新淨味27cm36s WHP F3 (INF 16sx8+ RDNT 9sx4)x1 BAO</v>
          </cell>
          <cell r="I129">
            <v>1</v>
          </cell>
          <cell r="J129">
            <v>1330</v>
          </cell>
        </row>
        <row r="130">
          <cell r="E130">
            <v>4987176372154</v>
          </cell>
          <cell r="F130">
            <v>4987176372154</v>
          </cell>
          <cell r="G130">
            <v>80889756</v>
          </cell>
          <cell r="H130" t="str">
            <v>好自在INFINITY27cm80s+清新淨味27cm27s WHP F3 (INF 16sx5+ RDNT 9sx3)x1 BAO</v>
          </cell>
          <cell r="I130">
            <v>1</v>
          </cell>
          <cell r="J130">
            <v>883</v>
          </cell>
        </row>
        <row r="131">
          <cell r="E131">
            <v>4987176372161</v>
          </cell>
          <cell r="F131">
            <v>4987176372161</v>
          </cell>
          <cell r="G131">
            <v>80889757</v>
          </cell>
          <cell r="H131" t="str">
            <v>好自在無痕奢柔褲 M-L 3片X11 WHP KOALA8 SP PANTS M-L (3Sx11)x1 BAO</v>
          </cell>
          <cell r="I131">
            <v>1</v>
          </cell>
          <cell r="J131">
            <v>853</v>
          </cell>
        </row>
        <row r="132">
          <cell r="E132">
            <v>4987176372185</v>
          </cell>
          <cell r="F132">
            <v>4987176372185</v>
          </cell>
          <cell r="G132">
            <v>80889759</v>
          </cell>
          <cell r="H132" t="str">
            <v>AirDryFresh草本健康日用普通(S1*5+Mini*2) WHP ArDyPRO(S1 20SX5+Mini 12SX2)x1</v>
          </cell>
          <cell r="I132">
            <v>1</v>
          </cell>
          <cell r="J132">
            <v>495</v>
          </cell>
        </row>
        <row r="133">
          <cell r="E133">
            <v>4987176372208</v>
          </cell>
          <cell r="F133">
            <v>4987176372208</v>
          </cell>
          <cell r="G133">
            <v>80889761</v>
          </cell>
          <cell r="H133" t="str">
            <v>AirDry雲枕瞬吸日用普通(S1*5+Mini*2) WHP ArDy(S1 20SX5+Mini 12SX2)x1</v>
          </cell>
          <cell r="I133">
            <v>1</v>
          </cell>
          <cell r="J133">
            <v>495</v>
          </cell>
        </row>
        <row r="134">
          <cell r="E134">
            <v>4987176372239</v>
          </cell>
          <cell r="F134">
            <v>4987176372239</v>
          </cell>
          <cell r="G134">
            <v>80889764</v>
          </cell>
          <cell r="H134" t="str">
            <v>AirDryFresh草本健康日用輕量Mini*12 WHP ArDyPRO(Mini 12SX12)x1</v>
          </cell>
          <cell r="I134">
            <v>1</v>
          </cell>
          <cell r="J134">
            <v>495</v>
          </cell>
        </row>
        <row r="135">
          <cell r="E135">
            <v>4987176372284</v>
          </cell>
          <cell r="F135">
            <v>4987176372284</v>
          </cell>
          <cell r="G135">
            <v>80889769</v>
          </cell>
          <cell r="H135" t="str">
            <v>好自在INFINITY24cm90s+清新淨味24cm18s WHP F1 (INF 18sx5+ RDNT 9sx2)x1 BAO</v>
          </cell>
          <cell r="I135">
            <v>1</v>
          </cell>
          <cell r="J135">
            <v>883</v>
          </cell>
        </row>
        <row r="136">
          <cell r="E136">
            <v>4987176372291</v>
          </cell>
          <cell r="F136">
            <v>4987176372291</v>
          </cell>
          <cell r="G136">
            <v>80889770</v>
          </cell>
          <cell r="H136" t="str">
            <v>好自在無痕奢柔褲 XL 3片X11 WHP KOALA8 SP PANTS XL (3Sx11)x1 BAO</v>
          </cell>
          <cell r="I136">
            <v>1</v>
          </cell>
          <cell r="J136">
            <v>853</v>
          </cell>
        </row>
        <row r="137">
          <cell r="E137">
            <v>6903148138182</v>
          </cell>
          <cell r="F137">
            <v>6903148138182</v>
          </cell>
          <cell r="G137">
            <v>80817375</v>
          </cell>
          <cell r="H137" t="str">
            <v>[DS]whisper 好自在 台灣公司貨 Air Dry 雲枕瞬吸衛生棉 日用, 24cm, 10片, 1包</v>
          </cell>
          <cell r="I137">
            <v>24</v>
          </cell>
          <cell r="J137">
            <v>54</v>
          </cell>
        </row>
        <row r="138">
          <cell r="E138">
            <v>6903148182383</v>
          </cell>
          <cell r="F138">
            <v>6903148182383</v>
          </cell>
          <cell r="G138">
            <v>82294318</v>
          </cell>
          <cell r="H138" t="str">
            <v>[DS]whisper 好自在 台灣公司貨 隱型透氣護墊, 自然無香, 40片, 1包</v>
          </cell>
          <cell r="I138">
            <v>24</v>
          </cell>
          <cell r="J138">
            <v>40</v>
          </cell>
        </row>
        <row r="139">
          <cell r="E139">
            <v>6903148182406</v>
          </cell>
          <cell r="F139">
            <v>6903148182406</v>
          </cell>
          <cell r="G139">
            <v>82294323</v>
          </cell>
          <cell r="H139" t="str">
            <v>[DS]好自在隱型清新護墊 淡香 40片,1包</v>
          </cell>
          <cell r="I139">
            <v>24</v>
          </cell>
          <cell r="J139">
            <v>40</v>
          </cell>
        </row>
        <row r="140">
          <cell r="E140">
            <v>6903148182680</v>
          </cell>
          <cell r="F140">
            <v>6903148182680</v>
          </cell>
          <cell r="G140">
            <v>82294320</v>
          </cell>
          <cell r="H140" t="str">
            <v>[DS]whisper 好自在 台灣公司貨 隱型乾爽護墊, 自然無香, 40片, 1包</v>
          </cell>
          <cell r="I140">
            <v>24</v>
          </cell>
          <cell r="J140">
            <v>40</v>
          </cell>
        </row>
        <row r="141">
          <cell r="E141">
            <v>6903148224090</v>
          </cell>
          <cell r="F141">
            <v>6903148224090</v>
          </cell>
          <cell r="G141">
            <v>80852635</v>
          </cell>
          <cell r="H141" t="str">
            <v>好自在經典款液體衛生棉27cm16片X12 WHP INF F3 16CTX12-HP-HKTW-Fiona 2</v>
          </cell>
          <cell r="I141">
            <v>12</v>
          </cell>
          <cell r="J141">
            <v>131</v>
          </cell>
        </row>
        <row r="142">
          <cell r="E142">
            <v>6903148224106</v>
          </cell>
          <cell r="F142">
            <v>6903148224106</v>
          </cell>
          <cell r="G142">
            <v>80852632</v>
          </cell>
          <cell r="H142" t="str">
            <v>好自在經典款液體衛生棉24cm18片X12 WHP INF F1 18CTX12-BUD-HKTW-Fiona 2</v>
          </cell>
          <cell r="I142">
            <v>12</v>
          </cell>
          <cell r="J142">
            <v>147</v>
          </cell>
        </row>
        <row r="143">
          <cell r="E143">
            <v>6903148300770</v>
          </cell>
          <cell r="F143">
            <v>6903148300770</v>
          </cell>
          <cell r="G143">
            <v>80817372</v>
          </cell>
          <cell r="H143" t="str">
            <v>[DS]whisper 好自在 台灣公司貨 Air Dry Fresh 純棉衛生棉 日用輕量型, 18cm, 12片, 1包</v>
          </cell>
          <cell r="I143">
            <v>24</v>
          </cell>
          <cell r="J143">
            <v>47</v>
          </cell>
        </row>
        <row r="144">
          <cell r="E144">
            <v>6903148304761</v>
          </cell>
          <cell r="F144">
            <v>6903148304761</v>
          </cell>
          <cell r="G144">
            <v>80817373</v>
          </cell>
          <cell r="H144" t="str">
            <v>[DS]whisper 好自在 台灣公司貨 Air Dry 雲枕瞬吸衛生棉 日用, 24cm, 20片, 1袋</v>
          </cell>
          <cell r="I144">
            <v>12</v>
          </cell>
          <cell r="J144">
            <v>95.000000000000014</v>
          </cell>
        </row>
        <row r="145">
          <cell r="E145">
            <v>6903148308752</v>
          </cell>
          <cell r="F145">
            <v>6903148308752</v>
          </cell>
          <cell r="G145">
            <v>80817377</v>
          </cell>
          <cell r="H145" t="str">
            <v>[DS]whisper 好自在 台灣公司貨 Air Dry 雲枕瞬吸衛生棉 日用輕量型, 18cm , 12片, 1包</v>
          </cell>
          <cell r="I145">
            <v>24</v>
          </cell>
          <cell r="J145">
            <v>47</v>
          </cell>
        </row>
        <row r="146">
          <cell r="E146">
            <v>6903148345023</v>
          </cell>
          <cell r="F146">
            <v>6903148345023</v>
          </cell>
          <cell r="G146">
            <v>80852649</v>
          </cell>
          <cell r="H146" t="str">
            <v>好自在經典款液體衛生棉29.5cm9片X12 WHP INF F5 9CTX12 OVN-BUD-HKTW-Fiona 2</v>
          </cell>
          <cell r="I146">
            <v>12</v>
          </cell>
          <cell r="J146">
            <v>74</v>
          </cell>
        </row>
        <row r="147">
          <cell r="E147">
            <v>6903148352700</v>
          </cell>
          <cell r="F147">
            <v>6903148352700</v>
          </cell>
          <cell r="G147">
            <v>80882675</v>
          </cell>
          <cell r="H147" t="str">
            <v>好自在無痕奢柔褲 M-L 3片X16 WHP KOALA 8 SP PANTS M-L 3SX16-HKTW</v>
          </cell>
          <cell r="I147">
            <v>16</v>
          </cell>
          <cell r="J147">
            <v>78</v>
          </cell>
        </row>
        <row r="148">
          <cell r="E148">
            <v>6903148354582</v>
          </cell>
          <cell r="F148">
            <v>6903148354582</v>
          </cell>
          <cell r="G148">
            <v>80817378</v>
          </cell>
          <cell r="H148" t="str">
            <v>[DS]whisper 好自在 台灣公司貨 Air Dry 雲枕瞬吸衛生棉 日用量大, 28cm, 20片, 1袋</v>
          </cell>
          <cell r="I148">
            <v>12</v>
          </cell>
          <cell r="J148">
            <v>95.000000000000014</v>
          </cell>
        </row>
        <row r="149">
          <cell r="E149">
            <v>6903148355947</v>
          </cell>
          <cell r="F149">
            <v>6903148355947</v>
          </cell>
          <cell r="G149">
            <v>80884855</v>
          </cell>
          <cell r="H149" t="str">
            <v>好自在無痕奢柔褲 XL 3片X16 WHP KOALA 8 SP PANTS XL 3SX16-HKTW</v>
          </cell>
          <cell r="I149">
            <v>16</v>
          </cell>
          <cell r="J149">
            <v>78</v>
          </cell>
        </row>
        <row r="150">
          <cell r="E150">
            <v>6903148355954</v>
          </cell>
          <cell r="F150">
            <v>6903148355954</v>
          </cell>
          <cell r="G150">
            <v>80878164</v>
          </cell>
          <cell r="H150" t="str">
            <v>好自在無痕早安褲 M-L 3片X16 WHP KOALA 8 Day PANTS L 3SX16-HKTW</v>
          </cell>
          <cell r="I150">
            <v>16</v>
          </cell>
          <cell r="J150">
            <v>78</v>
          </cell>
        </row>
        <row r="151">
          <cell r="E151">
            <v>6903148356982</v>
          </cell>
          <cell r="F151">
            <v>6903148356982</v>
          </cell>
          <cell r="G151">
            <v>80817371</v>
          </cell>
          <cell r="H151" t="str">
            <v>[DS]whisper 好自在 台灣公司貨 Air Dry 雲枕瞬吸衛生棉 日用量大加長, 32cm, 8片, 1包</v>
          </cell>
          <cell r="I151">
            <v>24</v>
          </cell>
          <cell r="J151">
            <v>54</v>
          </cell>
        </row>
        <row r="152">
          <cell r="E152">
            <v>6903148356999</v>
          </cell>
          <cell r="F152">
            <v>6903148356999</v>
          </cell>
          <cell r="G152">
            <v>80817374</v>
          </cell>
          <cell r="H152" t="str">
            <v>[DS]whisper 好自在 台灣公司貨 Air Dry 雲枕瞬吸衛生棉 日用量大, 28cm, 10片, 1包</v>
          </cell>
          <cell r="I152">
            <v>24</v>
          </cell>
          <cell r="J152">
            <v>54</v>
          </cell>
        </row>
        <row r="153">
          <cell r="E153">
            <v>6903148357002</v>
          </cell>
          <cell r="F153">
            <v>6903148357002</v>
          </cell>
          <cell r="G153">
            <v>80841909</v>
          </cell>
          <cell r="H153" t="str">
            <v>[DS]whisper 好自在 台灣公司貨 Air Dry Fresh 草本健康衛生棉 日用量大, 28cm, 20片, 1袋</v>
          </cell>
          <cell r="I153">
            <v>12</v>
          </cell>
          <cell r="J153">
            <v>95.000000000000014</v>
          </cell>
        </row>
        <row r="154">
          <cell r="E154">
            <v>6903148357019</v>
          </cell>
          <cell r="F154">
            <v>6903148357019</v>
          </cell>
          <cell r="G154">
            <v>80841912</v>
          </cell>
          <cell r="H154" t="str">
            <v>[DS]whisper 好自在 台灣公司貨 Air Dry Fresh 草本健康衛生棉 日用普通, 24cm, 10片, 1包</v>
          </cell>
          <cell r="I154">
            <v>24</v>
          </cell>
          <cell r="J154">
            <v>54</v>
          </cell>
        </row>
        <row r="155">
          <cell r="E155">
            <v>6903148357026</v>
          </cell>
          <cell r="F155">
            <v>6903148357026</v>
          </cell>
          <cell r="G155">
            <v>80841911</v>
          </cell>
          <cell r="H155" t="str">
            <v>[DS]whisper 好自在 台灣公司貨 Air Dry Fresh 草本健康衛生棉 量大加長, 32cm, 8片, 1包</v>
          </cell>
          <cell r="I155">
            <v>24</v>
          </cell>
          <cell r="J155">
            <v>54</v>
          </cell>
        </row>
        <row r="156">
          <cell r="E156">
            <v>6903148357033</v>
          </cell>
          <cell r="F156">
            <v>6903148357033</v>
          </cell>
          <cell r="G156">
            <v>80841910</v>
          </cell>
          <cell r="H156" t="str">
            <v>[DS]whisper 好自在 台灣公司貨 Air Dry Fresh 草本健康衛生棉 日用量大, 28cm, 10片, 1包</v>
          </cell>
          <cell r="I156">
            <v>24</v>
          </cell>
          <cell r="J156">
            <v>54</v>
          </cell>
        </row>
        <row r="157">
          <cell r="E157">
            <v>6903148357040</v>
          </cell>
          <cell r="F157">
            <v>6903148357040</v>
          </cell>
          <cell r="G157">
            <v>80841908</v>
          </cell>
          <cell r="H157" t="str">
            <v>[DS]whisper 好自在 台灣公司貨 Air Dry Fresh 草本健康衛生棉 日用普通, 24cm, 20片, 1袋</v>
          </cell>
          <cell r="I157">
            <v>12</v>
          </cell>
          <cell r="J157">
            <v>95.000000000000014</v>
          </cell>
        </row>
        <row r="158">
          <cell r="E158">
            <v>4987176372314</v>
          </cell>
          <cell r="F158">
            <v>4987176372314</v>
          </cell>
          <cell r="G158"/>
          <cell r="H158" t="str">
            <v>[箱裝]whisper 好自在 無痕早安褲, 內褲型, M-L, 3片, 11包, 1組</v>
          </cell>
          <cell r="I158">
            <v>1</v>
          </cell>
          <cell r="J158">
            <v>853</v>
          </cell>
        </row>
        <row r="159">
          <cell r="E159">
            <v>4987176372222</v>
          </cell>
          <cell r="F159">
            <v>4987176372222</v>
          </cell>
          <cell r="G159"/>
          <cell r="H159" t="str">
            <v>[箱裝]whisper 好自在 無痕早安褲, 內褲型, M-L, 3片, 6包, 1組</v>
          </cell>
          <cell r="I159">
            <v>1</v>
          </cell>
          <cell r="J159">
            <v>465</v>
          </cell>
        </row>
        <row r="160">
          <cell r="E160">
            <v>4987176372192</v>
          </cell>
          <cell r="F160">
            <v>4987176372192</v>
          </cell>
          <cell r="G160"/>
          <cell r="H160" t="str">
            <v>[箱裝]whisper 好自在 無痕奢柔褲, 內褲型,  M-L, 3片, 6包, 1組</v>
          </cell>
          <cell r="I160">
            <v>1</v>
          </cell>
          <cell r="J160">
            <v>465</v>
          </cell>
        </row>
        <row r="161">
          <cell r="E161">
            <v>4987176372130</v>
          </cell>
          <cell r="F161">
            <v>4987176372130</v>
          </cell>
          <cell r="G161"/>
          <cell r="H161" t="str">
            <v>[箱裝]whisper 好自在 無痕奢柔褲, 內褲型,  XL, 3片, 6包, 1組</v>
          </cell>
          <cell r="I161">
            <v>1</v>
          </cell>
          <cell r="J161">
            <v>465</v>
          </cell>
        </row>
        <row r="162">
          <cell r="E162">
            <v>4987176372307</v>
          </cell>
          <cell r="F162">
            <v>4987176372307</v>
          </cell>
          <cell r="G162">
            <v>80889771</v>
          </cell>
          <cell r="H162" t="str">
            <v>[箱裝]whisper 好自在 熊抱安睡褲, 內褲型, L, 8片, 3包, 1組</v>
          </cell>
          <cell r="I162">
            <v>1</v>
          </cell>
          <cell r="J162">
            <v>495</v>
          </cell>
        </row>
        <row r="163">
          <cell r="E163">
            <v>4987176372178</v>
          </cell>
          <cell r="F163">
            <v>4987176372178</v>
          </cell>
          <cell r="G163"/>
          <cell r="H163" t="str">
            <v>[箱裝]whisper 好自在 熊抱安睡褲, 內褲型, L, 44片, 1組</v>
          </cell>
          <cell r="I163">
            <v>1</v>
          </cell>
          <cell r="J163">
            <v>895</v>
          </cell>
        </row>
        <row r="164">
          <cell r="E164">
            <v>4987176372062</v>
          </cell>
          <cell r="F164">
            <v>4987176372062</v>
          </cell>
          <cell r="G164">
            <v>80889747</v>
          </cell>
          <cell r="H164" t="str">
            <v>[箱裝]whisper 好自在 熊抱安睡褲, 內褲型, M, 8片, 3包, 1組</v>
          </cell>
          <cell r="I164">
            <v>1</v>
          </cell>
          <cell r="J164">
            <v>495</v>
          </cell>
        </row>
        <row r="165">
          <cell r="E165">
            <v>4987176372253</v>
          </cell>
          <cell r="F165">
            <v>4987176372253</v>
          </cell>
          <cell r="G165"/>
          <cell r="H165" t="str">
            <v>[箱裝]whisper 好自在 熊抱安睡褲, 內褲型, M, 44片, 1組</v>
          </cell>
          <cell r="I165">
            <v>1</v>
          </cell>
          <cell r="J165">
            <v>895</v>
          </cell>
        </row>
        <row r="166">
          <cell r="E166">
            <v>4987176372321</v>
          </cell>
          <cell r="F166">
            <v>4987176372321</v>
          </cell>
          <cell r="G166"/>
          <cell r="H166" t="str">
            <v>[箱裝]whisper 好自在 熊抱安睡褲, 內褲型, XL, 8片, 3包, 1組</v>
          </cell>
          <cell r="I166">
            <v>1</v>
          </cell>
          <cell r="J166">
            <v>495</v>
          </cell>
        </row>
        <row r="167">
          <cell r="E167">
            <v>4987176372277</v>
          </cell>
          <cell r="F167">
            <v>4987176372277</v>
          </cell>
          <cell r="G167"/>
          <cell r="H167" t="str">
            <v>[箱裝]whisper 好自在 熊抱安睡褲, 內褲型, XL, 44片, 1組</v>
          </cell>
          <cell r="I167">
            <v>1</v>
          </cell>
          <cell r="J167">
            <v>895</v>
          </cell>
        </row>
        <row r="168">
          <cell r="E168">
            <v>4987176372109</v>
          </cell>
          <cell r="F168">
            <v>4987176372109</v>
          </cell>
          <cell r="G168"/>
          <cell r="H168" t="str">
            <v>[箱裝]whisper 好自在 液體衛生棉24cm 36片+清新淨味液體衛生棉24cm 18片, 1組</v>
          </cell>
          <cell r="I168">
            <v>1</v>
          </cell>
          <cell r="J168">
            <v>435</v>
          </cell>
        </row>
        <row r="169">
          <cell r="E169">
            <v>4987176372246</v>
          </cell>
          <cell r="F169">
            <v>4987176372246</v>
          </cell>
          <cell r="G169"/>
          <cell r="H169" t="str">
            <v>[箱裝]whisper 好自在 液體衛生棉27cm 32片+清新淨味液體衛生棉27cm 18片, 1組</v>
          </cell>
          <cell r="I169">
            <v>1</v>
          </cell>
          <cell r="J169">
            <v>435</v>
          </cell>
        </row>
        <row r="170">
          <cell r="E170">
            <v>4987176372260</v>
          </cell>
          <cell r="F170">
            <v>4987176372260</v>
          </cell>
          <cell r="G170"/>
          <cell r="H170" t="str">
            <v>[箱裝]whisper 好自在 液體衛生棉29.5cm 36片+清新淨味液體衛生棉31.7cm 18片, 1組</v>
          </cell>
          <cell r="I170">
            <v>1</v>
          </cell>
          <cell r="J170">
            <v>435</v>
          </cell>
        </row>
        <row r="171">
          <cell r="E171">
            <v>4987176372215</v>
          </cell>
          <cell r="F171">
            <v>4987176372215</v>
          </cell>
          <cell r="G171"/>
          <cell r="H171" t="str">
            <v>[箱裝]whisper 好自在 液體衛生棉34cm 30片+清新淨味液體衛生棉31.7cm 18片, 1組</v>
          </cell>
          <cell r="I171">
            <v>1</v>
          </cell>
          <cell r="J171">
            <v>435</v>
          </cell>
        </row>
        <row r="172">
          <cell r="E172">
            <v>6903148355923</v>
          </cell>
          <cell r="F172">
            <v>6903148355923</v>
          </cell>
          <cell r="G172"/>
          <cell r="H172" t="str">
            <v>whisper 好自在 無痕早安褲, 內褲型, XL, 3片, 1包</v>
          </cell>
          <cell r="I172">
            <v>16</v>
          </cell>
          <cell r="J172">
            <v>78</v>
          </cell>
        </row>
        <row r="173">
          <cell r="E173">
            <v>4987176373922</v>
          </cell>
          <cell r="F173">
            <v>4987176373922</v>
          </cell>
          <cell r="G173"/>
          <cell r="H173" t="str">
            <v>Lenor 蘭諾 衣物芳香豆 甜花石榴香 補充包, 900ml, 1個</v>
          </cell>
          <cell r="I173">
            <v>8</v>
          </cell>
          <cell r="J173">
            <v>272</v>
          </cell>
        </row>
        <row r="174">
          <cell r="E174">
            <v>4987176373939</v>
          </cell>
          <cell r="F174">
            <v>4987176373939</v>
          </cell>
          <cell r="G174"/>
          <cell r="H174" t="str">
            <v>Lenor 蘭諾 衣物芳香豆 雪松梔子花 補充包, 900ml, 1個</v>
          </cell>
          <cell r="I174">
            <v>8</v>
          </cell>
          <cell r="J174">
            <v>272</v>
          </cell>
        </row>
        <row r="175">
          <cell r="E175">
            <v>4987176373861</v>
          </cell>
          <cell r="F175">
            <v>4987176373861</v>
          </cell>
          <cell r="G175"/>
          <cell r="H175" t="str">
            <v>Lenor 蘭諾 衣物芳香豆 清晨草木 補充包, 900ml, 1個</v>
          </cell>
          <cell r="I175">
            <v>8</v>
          </cell>
          <cell r="J175">
            <v>272</v>
          </cell>
        </row>
        <row r="176">
          <cell r="E176">
            <v>4987176373878</v>
          </cell>
          <cell r="F176">
            <v>4987176373878</v>
          </cell>
          <cell r="G176"/>
          <cell r="H176" t="str">
            <v>Lenor 蘭諾 衣物芳香豆 青檸紫羅蘭 補充包, 900ml, 1個</v>
          </cell>
          <cell r="I176">
            <v>8</v>
          </cell>
          <cell r="J176">
            <v>272</v>
          </cell>
        </row>
        <row r="177">
          <cell r="E177">
            <v>4987176373892</v>
          </cell>
          <cell r="F177">
            <v>4987176373892</v>
          </cell>
          <cell r="G177"/>
          <cell r="H177" t="str">
            <v>Lenor 蘭諾 衣物芳香豆 甜柔麝香 補充包, 900ml, 1個</v>
          </cell>
          <cell r="I177">
            <v>8</v>
          </cell>
          <cell r="J177">
            <v>272</v>
          </cell>
        </row>
        <row r="178">
          <cell r="E178">
            <v>14987176373936</v>
          </cell>
          <cell r="F178">
            <v>4987176373939</v>
          </cell>
          <cell r="G178"/>
          <cell r="H178" t="str">
            <v>[箱裝]Lenor 蘭諾 衣物芳香豆 雪松梔子花 補充包, 900ml, 8個</v>
          </cell>
          <cell r="I178">
            <v>1</v>
          </cell>
          <cell r="J178">
            <v>2176</v>
          </cell>
        </row>
        <row r="179">
          <cell r="E179">
            <v>14987176373929</v>
          </cell>
          <cell r="F179">
            <v>4987176373922</v>
          </cell>
          <cell r="G179"/>
          <cell r="H179" t="str">
            <v>[箱裝]Lenor 蘭諾 衣物芳香豆 甜花石榴香 補充包, 900ml, 8個</v>
          </cell>
          <cell r="I179">
            <v>1</v>
          </cell>
          <cell r="J179">
            <v>2176</v>
          </cell>
        </row>
        <row r="180">
          <cell r="E180">
            <v>14987176373868</v>
          </cell>
          <cell r="F180">
            <v>4987176373861</v>
          </cell>
          <cell r="G180"/>
          <cell r="H180" t="str">
            <v>[箱裝]Lenor 蘭諾 衣物芳香豆 清晨草木 補充包, 900ml, 8個</v>
          </cell>
          <cell r="I180">
            <v>1</v>
          </cell>
          <cell r="J180">
            <v>2176</v>
          </cell>
        </row>
        <row r="181">
          <cell r="E181">
            <v>14987176373875</v>
          </cell>
          <cell r="F181">
            <v>4987176373878</v>
          </cell>
          <cell r="G181"/>
          <cell r="H181" t="str">
            <v>[箱裝]Lenor 蘭諾 衣物芳香豆 青檸紫羅蘭 補充包, 900ml, 8個</v>
          </cell>
          <cell r="I181">
            <v>1</v>
          </cell>
          <cell r="J181">
            <v>2176</v>
          </cell>
        </row>
        <row r="182">
          <cell r="E182">
            <v>14987176373899</v>
          </cell>
          <cell r="F182">
            <v>4987176373892</v>
          </cell>
          <cell r="G182"/>
          <cell r="H182" t="str">
            <v>[箱裝]Lenor 蘭諾 衣物芳香豆 甜柔麝香 補充包, 900ml, 8個</v>
          </cell>
          <cell r="I182">
            <v>1</v>
          </cell>
          <cell r="J182">
            <v>2176</v>
          </cell>
        </row>
        <row r="183">
          <cell r="E183">
            <v>4987176373885</v>
          </cell>
          <cell r="F183">
            <v>4987176373885</v>
          </cell>
          <cell r="G183"/>
          <cell r="H183" t="str">
            <v>Lenor 蘭諾 衣物芳香豆 運動衣物抗臭 補充包, 880ml, 1個</v>
          </cell>
          <cell r="I183">
            <v>8</v>
          </cell>
          <cell r="J183">
            <v>272</v>
          </cell>
        </row>
        <row r="184">
          <cell r="E184">
            <v>4987176373915</v>
          </cell>
          <cell r="F184">
            <v>4987176373915</v>
          </cell>
          <cell r="G184"/>
          <cell r="H184" t="str">
            <v>Lenor 蘭諾 衣物芳香豆 潮濕天氣抗臭 補充包, 880ml, 1個</v>
          </cell>
          <cell r="I184">
            <v>8</v>
          </cell>
          <cell r="J184">
            <v>272</v>
          </cell>
        </row>
        <row r="185">
          <cell r="E185">
            <v>14987176373882</v>
          </cell>
          <cell r="F185">
            <v>4987176373885</v>
          </cell>
          <cell r="G185"/>
          <cell r="H185" t="str">
            <v>[箱裝]Lenor 蘭諾 衣物芳香豆 運動衣物抗臭 補充包, 880ml, 8個</v>
          </cell>
          <cell r="I185">
            <v>1</v>
          </cell>
          <cell r="J185">
            <v>2176</v>
          </cell>
        </row>
        <row r="186">
          <cell r="E186">
            <v>14987176373912</v>
          </cell>
          <cell r="F186">
            <v>4987176373915</v>
          </cell>
          <cell r="G186"/>
          <cell r="H186" t="str">
            <v>[箱裝]Lenor 蘭諾 衣物芳香豆 潮濕天氣抗臭 補充包, 880ml, 8個</v>
          </cell>
          <cell r="I186">
            <v>1</v>
          </cell>
          <cell r="J186">
            <v>2176</v>
          </cell>
        </row>
        <row r="187">
          <cell r="E187">
            <v>4987176373908</v>
          </cell>
          <cell r="F187">
            <v>4987176373908</v>
          </cell>
          <cell r="G187"/>
          <cell r="H187" t="str">
            <v>Lenor 蘭諾 衣物芳香豆 淨白純棉 補充包, 940ml, 1個</v>
          </cell>
          <cell r="I187">
            <v>8</v>
          </cell>
          <cell r="J187">
            <v>272</v>
          </cell>
        </row>
        <row r="188">
          <cell r="E188">
            <v>4987176373854</v>
          </cell>
          <cell r="F188">
            <v>4987176373854</v>
          </cell>
          <cell r="G188"/>
          <cell r="H188" t="str">
            <v>Lenor 蘭諾 衣物芳香豆 春暖晨露 補充包, 940ml, 1個</v>
          </cell>
          <cell r="I188">
            <v>8</v>
          </cell>
          <cell r="J188">
            <v>272</v>
          </cell>
        </row>
        <row r="189">
          <cell r="E189">
            <v>14987176373851</v>
          </cell>
          <cell r="F189">
            <v>4987176373854</v>
          </cell>
          <cell r="G189"/>
          <cell r="H189" t="str">
            <v>[箱裝]Lenor 蘭諾 衣物芳香豆 春暖晨露 補充包, 940ml, 8個</v>
          </cell>
          <cell r="I189">
            <v>1</v>
          </cell>
          <cell r="J189">
            <v>2176</v>
          </cell>
        </row>
        <row r="190">
          <cell r="E190">
            <v>14987176373905</v>
          </cell>
          <cell r="F190">
            <v>4987176373908</v>
          </cell>
          <cell r="G190"/>
          <cell r="H190" t="str">
            <v>[箱裝]Lenor 蘭諾 衣物芳香豆 淨白純棉 補充包, 940ml, 8個</v>
          </cell>
          <cell r="I190">
            <v>1</v>
          </cell>
          <cell r="J190">
            <v>2176</v>
          </cell>
        </row>
        <row r="191">
          <cell r="E191"/>
          <cell r="F191"/>
          <cell r="G191"/>
          <cell r="H191"/>
          <cell r="I191"/>
          <cell r="J191"/>
        </row>
        <row r="230">
          <cell r="E230"/>
        </row>
        <row r="231">
          <cell r="E231"/>
        </row>
        <row r="232">
          <cell r="E232"/>
        </row>
        <row r="233">
          <cell r="E233"/>
        </row>
        <row r="234">
          <cell r="E234"/>
        </row>
        <row r="235">
          <cell r="E235"/>
        </row>
        <row r="236">
          <cell r="E236"/>
        </row>
        <row r="237">
          <cell r="E237"/>
        </row>
        <row r="238">
          <cell r="E238"/>
        </row>
        <row r="239">
          <cell r="E239"/>
        </row>
        <row r="240">
          <cell r="E240"/>
        </row>
        <row r="241">
          <cell r="E241"/>
        </row>
        <row r="242">
          <cell r="E242"/>
        </row>
        <row r="243">
          <cell r="E243"/>
        </row>
        <row r="244">
          <cell r="E244"/>
        </row>
        <row r="245">
          <cell r="E245"/>
        </row>
        <row r="246">
          <cell r="E246"/>
        </row>
        <row r="247">
          <cell r="E247"/>
        </row>
        <row r="248">
          <cell r="E248"/>
        </row>
        <row r="249">
          <cell r="E249"/>
        </row>
        <row r="250">
          <cell r="E250"/>
        </row>
        <row r="251">
          <cell r="E251"/>
        </row>
        <row r="252">
          <cell r="E252"/>
        </row>
        <row r="253">
          <cell r="E253"/>
        </row>
        <row r="254">
          <cell r="E254"/>
        </row>
        <row r="255">
          <cell r="E255"/>
        </row>
        <row r="256">
          <cell r="E256"/>
        </row>
        <row r="257">
          <cell r="E257"/>
        </row>
        <row r="258">
          <cell r="E258"/>
        </row>
        <row r="259">
          <cell r="E259"/>
        </row>
        <row r="260">
          <cell r="E260"/>
        </row>
        <row r="261">
          <cell r="E261"/>
        </row>
        <row r="262">
          <cell r="E262"/>
        </row>
        <row r="263">
          <cell r="E263"/>
        </row>
        <row r="264">
          <cell r="E264"/>
        </row>
        <row r="265">
          <cell r="E265"/>
        </row>
        <row r="266">
          <cell r="E266"/>
        </row>
        <row r="267">
          <cell r="E267"/>
        </row>
        <row r="268">
          <cell r="E268"/>
        </row>
        <row r="269">
          <cell r="E269"/>
        </row>
        <row r="270">
          <cell r="E270"/>
        </row>
        <row r="271">
          <cell r="E271"/>
        </row>
        <row r="272">
          <cell r="E272"/>
        </row>
        <row r="273">
          <cell r="E273"/>
        </row>
        <row r="274">
          <cell r="E274"/>
        </row>
        <row r="275">
          <cell r="E275"/>
        </row>
        <row r="276">
          <cell r="E276"/>
        </row>
        <row r="277">
          <cell r="E277"/>
        </row>
        <row r="278">
          <cell r="E278"/>
        </row>
        <row r="279">
          <cell r="E279"/>
        </row>
        <row r="280">
          <cell r="E280"/>
        </row>
        <row r="281">
          <cell r="E281"/>
        </row>
        <row r="282">
          <cell r="E282"/>
        </row>
        <row r="283">
          <cell r="E283"/>
        </row>
        <row r="284">
          <cell r="E284"/>
        </row>
        <row r="285">
          <cell r="E285"/>
        </row>
        <row r="286">
          <cell r="E286"/>
        </row>
        <row r="287">
          <cell r="E287"/>
        </row>
        <row r="288">
          <cell r="E288"/>
        </row>
        <row r="289">
          <cell r="E289"/>
        </row>
        <row r="290">
          <cell r="E290"/>
        </row>
        <row r="291">
          <cell r="E291"/>
        </row>
        <row r="292">
          <cell r="E292"/>
        </row>
        <row r="293">
          <cell r="E293"/>
        </row>
        <row r="294">
          <cell r="E294"/>
        </row>
        <row r="295">
          <cell r="E295"/>
        </row>
        <row r="296">
          <cell r="E296"/>
        </row>
        <row r="297">
          <cell r="E297"/>
        </row>
        <row r="298">
          <cell r="E298"/>
        </row>
        <row r="299">
          <cell r="E299"/>
        </row>
        <row r="300">
          <cell r="E300"/>
        </row>
        <row r="301">
          <cell r="E301"/>
        </row>
        <row r="302">
          <cell r="E302"/>
        </row>
        <row r="303">
          <cell r="E303"/>
        </row>
        <row r="304">
          <cell r="E304"/>
        </row>
        <row r="305">
          <cell r="E305"/>
        </row>
        <row r="306">
          <cell r="E306"/>
        </row>
        <row r="307">
          <cell r="E307"/>
        </row>
        <row r="308">
          <cell r="E308"/>
        </row>
        <row r="309">
          <cell r="E309"/>
        </row>
        <row r="310">
          <cell r="E310"/>
        </row>
        <row r="311">
          <cell r="E311"/>
        </row>
        <row r="312">
          <cell r="E312"/>
        </row>
        <row r="313">
          <cell r="E313"/>
        </row>
        <row r="314">
          <cell r="E314"/>
        </row>
        <row r="315">
          <cell r="E315"/>
        </row>
        <row r="316">
          <cell r="E316"/>
        </row>
        <row r="317">
          <cell r="E317"/>
        </row>
        <row r="318">
          <cell r="E318"/>
        </row>
      </sheetData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y check "/>
      <sheetName val="工作表1"/>
    </sheetNames>
    <sheetDataSet>
      <sheetData sheetId="0">
        <row r="3">
          <cell r="G3" t="str">
            <v>FPC</v>
          </cell>
          <cell r="H3" t="str">
            <v>Coupang 需求量</v>
          </cell>
          <cell r="I3" t="str">
            <v>供給量</v>
          </cell>
        </row>
        <row r="4">
          <cell r="G4">
            <v>80838271</v>
          </cell>
          <cell r="H4">
            <v>2954</v>
          </cell>
          <cell r="I4">
            <v>4300</v>
          </cell>
        </row>
        <row r="5">
          <cell r="G5">
            <v>80838272</v>
          </cell>
          <cell r="H5">
            <v>600</v>
          </cell>
          <cell r="I5">
            <v>1500</v>
          </cell>
        </row>
        <row r="6">
          <cell r="G6">
            <v>80838273</v>
          </cell>
          <cell r="H6">
            <v>1105</v>
          </cell>
          <cell r="I6">
            <v>1105</v>
          </cell>
        </row>
        <row r="7">
          <cell r="G7">
            <v>80838270</v>
          </cell>
          <cell r="H7">
            <v>1365</v>
          </cell>
          <cell r="I7">
            <v>1365</v>
          </cell>
        </row>
        <row r="8">
          <cell r="G8">
            <v>80838274</v>
          </cell>
          <cell r="H8">
            <v>889</v>
          </cell>
          <cell r="I8">
            <v>889</v>
          </cell>
        </row>
        <row r="9">
          <cell r="G9">
            <v>80838275</v>
          </cell>
          <cell r="H9">
            <v>4423</v>
          </cell>
          <cell r="I9">
            <v>4423</v>
          </cell>
        </row>
        <row r="10">
          <cell r="G10">
            <v>80858989</v>
          </cell>
          <cell r="H10">
            <v>727</v>
          </cell>
          <cell r="I10">
            <v>727</v>
          </cell>
        </row>
        <row r="11">
          <cell r="G11">
            <v>80858990</v>
          </cell>
          <cell r="H11">
            <v>64</v>
          </cell>
          <cell r="I11">
            <v>64</v>
          </cell>
        </row>
        <row r="12">
          <cell r="G12">
            <v>80858991</v>
          </cell>
          <cell r="H12">
            <v>1143</v>
          </cell>
          <cell r="I12">
            <v>300</v>
          </cell>
        </row>
        <row r="13">
          <cell r="G13">
            <v>83922647</v>
          </cell>
          <cell r="H13">
            <v>3000</v>
          </cell>
          <cell r="I13">
            <v>1825</v>
          </cell>
        </row>
        <row r="14">
          <cell r="G14">
            <v>83919785</v>
          </cell>
          <cell r="H14">
            <v>0</v>
          </cell>
          <cell r="I14">
            <v>300</v>
          </cell>
        </row>
        <row r="15">
          <cell r="G15">
            <v>83902254</v>
          </cell>
          <cell r="H15">
            <v>314</v>
          </cell>
          <cell r="I15">
            <v>314</v>
          </cell>
        </row>
        <row r="16">
          <cell r="G16">
            <v>83902258</v>
          </cell>
          <cell r="H16">
            <v>200</v>
          </cell>
          <cell r="I16">
            <v>200</v>
          </cell>
        </row>
        <row r="17">
          <cell r="G17" t="str">
            <v>GIVMM</v>
          </cell>
          <cell r="H17">
            <v>23.203749999999999</v>
          </cell>
          <cell r="I17">
            <v>23.794996767827065</v>
          </cell>
        </row>
        <row r="18">
          <cell r="I18">
            <v>2000</v>
          </cell>
        </row>
      </sheetData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2"/>
      <sheetName val="Demand inbond in Aug"/>
    </sheetNames>
    <sheetDataSet>
      <sheetData sheetId="0"/>
      <sheetData sheetId="1">
        <row r="3">
          <cell r="C3"/>
          <cell r="D3"/>
          <cell r="E3"/>
          <cell r="F3"/>
          <cell r="G3"/>
          <cell r="H3">
            <v>36968.521124630461</v>
          </cell>
          <cell r="I3"/>
        </row>
        <row r="4">
          <cell r="C4" t="str">
            <v>Bardcode</v>
          </cell>
          <cell r="D4" t="str">
            <v>PGCODE</v>
          </cell>
          <cell r="E4" t="str">
            <v>是否停產 If DC</v>
          </cell>
          <cell r="F4" t="str">
            <v>SKU Name</v>
          </cell>
          <cell r="G4" t="str">
            <v>cpgs</v>
          </cell>
          <cell r="H4" t="str">
            <v>8月總下單需求</v>
          </cell>
          <cell r="I4" t="str">
            <v>品類</v>
          </cell>
          <cell r="J4" t="str">
            <v>箱入數</v>
          </cell>
          <cell r="K4" t="str">
            <v>成箱</v>
          </cell>
          <cell r="L4" t="str">
            <v>目前剩於貨量(CS)</v>
          </cell>
          <cell r="M4" t="str">
            <v>需要多打的量(CS)</v>
          </cell>
          <cell r="N4" t="str">
            <v>更新可供貨量(PCS)</v>
          </cell>
          <cell r="O4" t="str">
            <v>備註</v>
          </cell>
          <cell r="P4" t="str">
            <v>GIV</v>
          </cell>
          <cell r="Q4" t="str">
            <v>GIV*箱</v>
          </cell>
          <cell r="R4" t="str">
            <v>七校銷轉</v>
          </cell>
          <cell r="S4" t="str">
            <v>目前庫存</v>
          </cell>
          <cell r="T4" t="str">
            <v>更新supply</v>
          </cell>
        </row>
        <row r="5">
          <cell r="C5">
            <v>6903148182383</v>
          </cell>
          <cell r="E5" t="str">
            <v>N</v>
          </cell>
          <cell r="F5" t="str">
            <v>whisper 好自在 台灣公司貨 隱型透氣護墊, 自然無香, 40片, 1包</v>
          </cell>
          <cell r="G5">
            <v>40</v>
          </cell>
          <cell r="H5">
            <v>498.7058823529411</v>
          </cell>
          <cell r="I5" t="str">
            <v>Fem</v>
          </cell>
          <cell r="J5">
            <v>24</v>
          </cell>
          <cell r="K5">
            <v>20.77941176470588</v>
          </cell>
          <cell r="L5">
            <v>14.837962962962962</v>
          </cell>
          <cell r="M5">
            <v>5.9414488017429186</v>
          </cell>
          <cell r="N5"/>
          <cell r="P5">
            <v>1194</v>
          </cell>
          <cell r="Q5">
            <v>0</v>
          </cell>
          <cell r="T5">
            <v>20</v>
          </cell>
        </row>
        <row r="6">
          <cell r="C6">
            <v>6903148182680</v>
          </cell>
          <cell r="E6" t="str">
            <v>N</v>
          </cell>
          <cell r="F6" t="str">
            <v>whisper 好自在 台灣公司貨 隱型乾爽護墊, 自然無香, 40片, 1包</v>
          </cell>
          <cell r="G6">
            <v>40</v>
          </cell>
          <cell r="H6">
            <v>223.20000000000002</v>
          </cell>
          <cell r="I6" t="str">
            <v>Fem</v>
          </cell>
          <cell r="J6">
            <v>24</v>
          </cell>
          <cell r="K6">
            <v>9.3000000000000007</v>
          </cell>
          <cell r="L6">
            <v>14.811111111111112</v>
          </cell>
          <cell r="M6">
            <v>-5.5111111111111111</v>
          </cell>
          <cell r="N6">
            <v>216</v>
          </cell>
          <cell r="P6">
            <v>1194</v>
          </cell>
          <cell r="Q6">
            <v>10746</v>
          </cell>
          <cell r="T6">
            <v>9</v>
          </cell>
        </row>
        <row r="7">
          <cell r="C7">
            <v>6903148182406</v>
          </cell>
          <cell r="E7" t="str">
            <v>N</v>
          </cell>
          <cell r="F7" t="str">
            <v>好自在隱型清新護墊 淡香 40片,1包</v>
          </cell>
          <cell r="G7">
            <v>40</v>
          </cell>
          <cell r="H7">
            <v>499.20000000000005</v>
          </cell>
          <cell r="I7" t="str">
            <v>Fem</v>
          </cell>
          <cell r="J7">
            <v>24</v>
          </cell>
          <cell r="K7">
            <v>20.8</v>
          </cell>
          <cell r="L7">
            <v>9.4375</v>
          </cell>
          <cell r="M7">
            <v>11.362500000000001</v>
          </cell>
          <cell r="N7"/>
          <cell r="P7">
            <v>1194</v>
          </cell>
          <cell r="Q7">
            <v>0</v>
          </cell>
          <cell r="T7">
            <v>20</v>
          </cell>
        </row>
        <row r="8">
          <cell r="C8">
            <v>4987176122919</v>
          </cell>
          <cell r="E8" t="str">
            <v>N</v>
          </cell>
          <cell r="F8" t="str">
            <v>whisper 好自在 台灣公司貨 熊抱安睡36cm量多夜用(10片X2),1組</v>
          </cell>
          <cell r="G8">
            <v>115</v>
          </cell>
          <cell r="H8">
            <v>294</v>
          </cell>
          <cell r="I8" t="str">
            <v>Fem</v>
          </cell>
          <cell r="J8">
            <v>12</v>
          </cell>
          <cell r="K8">
            <v>24.5</v>
          </cell>
          <cell r="L8">
            <v>40.75925925925926</v>
          </cell>
          <cell r="M8">
            <v>-16.25925925925926</v>
          </cell>
          <cell r="N8">
            <v>288</v>
          </cell>
          <cell r="P8">
            <v>1592.16</v>
          </cell>
          <cell r="Q8">
            <v>38211.840000000004</v>
          </cell>
          <cell r="T8">
            <v>24</v>
          </cell>
        </row>
        <row r="9">
          <cell r="C9">
            <v>4987176122933</v>
          </cell>
          <cell r="E9" t="str">
            <v>N</v>
          </cell>
          <cell r="F9" t="str">
            <v>whisper 好自在 台灣公司貨 熊抱安睡425mm量多夜用衛生棉, 7片,2包,1組</v>
          </cell>
          <cell r="G9">
            <v>120</v>
          </cell>
          <cell r="H9">
            <v>719.97428476738048</v>
          </cell>
          <cell r="I9" t="str">
            <v>Fem</v>
          </cell>
          <cell r="J9">
            <v>12</v>
          </cell>
          <cell r="K9">
            <v>59.997857063948373</v>
          </cell>
          <cell r="L9">
            <v>-6.6833333333333371</v>
          </cell>
          <cell r="M9">
            <v>66.681190397281711</v>
          </cell>
          <cell r="N9"/>
          <cell r="P9">
            <v>1592.16</v>
          </cell>
          <cell r="Q9">
            <v>0</v>
          </cell>
          <cell r="T9">
            <v>59</v>
          </cell>
        </row>
        <row r="10">
          <cell r="C10">
            <v>4987176122865</v>
          </cell>
          <cell r="E10" t="str">
            <v>N</v>
          </cell>
          <cell r="F10" t="str">
            <v>whisper 好自在 熊抱安睡42.5cm 量多夜用,7片,1包</v>
          </cell>
          <cell r="G10">
            <v>57</v>
          </cell>
          <cell r="H10">
            <v>277.25</v>
          </cell>
          <cell r="I10" t="str">
            <v>Fem</v>
          </cell>
          <cell r="J10">
            <v>12</v>
          </cell>
          <cell r="K10">
            <v>23.104166666666668</v>
          </cell>
          <cell r="L10">
            <v>90.595238095238102</v>
          </cell>
          <cell r="M10">
            <v>-67.491071428571431</v>
          </cell>
          <cell r="N10">
            <v>276</v>
          </cell>
          <cell r="P10">
            <v>827.88</v>
          </cell>
          <cell r="Q10">
            <v>19041.240000000002</v>
          </cell>
          <cell r="T10">
            <v>23</v>
          </cell>
        </row>
        <row r="11">
          <cell r="C11">
            <v>4987176122858</v>
          </cell>
          <cell r="E11" t="str">
            <v>N</v>
          </cell>
          <cell r="F11" t="str">
            <v>whisper 好自在 台灣公司貨 熊抱安睡36cm量多夜用10片, 1包</v>
          </cell>
          <cell r="G11">
            <v>60</v>
          </cell>
          <cell r="H11">
            <v>197.8235294117647</v>
          </cell>
          <cell r="I11" t="str">
            <v>Fem</v>
          </cell>
          <cell r="J11">
            <v>12</v>
          </cell>
          <cell r="K11">
            <v>16.485294117647058</v>
          </cell>
          <cell r="L11">
            <v>2.7592592592592595</v>
          </cell>
          <cell r="M11">
            <v>13.726034858387798</v>
          </cell>
          <cell r="N11"/>
          <cell r="P11">
            <v>827.88</v>
          </cell>
          <cell r="Q11">
            <v>0</v>
          </cell>
          <cell r="T11">
            <v>16</v>
          </cell>
        </row>
        <row r="12">
          <cell r="C12">
            <v>6903148302712</v>
          </cell>
          <cell r="E12" t="str">
            <v>Y</v>
          </cell>
          <cell r="F12" t="str">
            <v>whisper 好自在 台灣公司貨 無痕安心褲, 均碼, 2件, 1包</v>
          </cell>
          <cell r="G12">
            <v>66</v>
          </cell>
          <cell r="H12">
            <v>0</v>
          </cell>
          <cell r="I12" t="str">
            <v>Fem</v>
          </cell>
          <cell r="K12"/>
          <cell r="L12">
            <v>0</v>
          </cell>
          <cell r="M12">
            <v>0</v>
          </cell>
          <cell r="N12">
            <v>0</v>
          </cell>
          <cell r="O12" t="str">
            <v>停產請drop</v>
          </cell>
          <cell r="P12">
            <v>1556.4</v>
          </cell>
          <cell r="Q12" t="e">
            <v>#DIV/0!</v>
          </cell>
        </row>
        <row r="13">
          <cell r="C13">
            <v>4987176179258</v>
          </cell>
          <cell r="E13" t="str">
            <v>N</v>
          </cell>
          <cell r="F13" t="str">
            <v>whisper 好自在 台灣公司貨 INFINITY液體衛生棉 超長夜用 34cm, 10片, 夜用型, 1盒</v>
          </cell>
          <cell r="G13">
            <v>82</v>
          </cell>
          <cell r="H13">
            <v>3752.4762210775052</v>
          </cell>
          <cell r="I13" t="str">
            <v>Fem</v>
          </cell>
          <cell r="J13">
            <v>12</v>
          </cell>
          <cell r="K13">
            <v>312.70635175645879</v>
          </cell>
          <cell r="L13">
            <v>169.0333333333333</v>
          </cell>
          <cell r="M13">
            <v>143.67301842312548</v>
          </cell>
          <cell r="N13"/>
          <cell r="P13">
            <v>1208.8800000000001</v>
          </cell>
          <cell r="Q13">
            <v>0</v>
          </cell>
          <cell r="T13">
            <v>150</v>
          </cell>
        </row>
        <row r="14">
          <cell r="C14">
            <v>4987176177858</v>
          </cell>
          <cell r="E14" t="str">
            <v>N</v>
          </cell>
          <cell r="F14" t="str">
            <v>whisper 好自在 Radiant清新淨味 液體衛生棉/巾 棉柔表層 量多超薄 日用型, 27cm, 9片, 1盒</v>
          </cell>
          <cell r="G14">
            <v>89</v>
          </cell>
          <cell r="H14">
            <v>2798.0373241845446</v>
          </cell>
          <cell r="I14" t="str">
            <v>Fem</v>
          </cell>
          <cell r="J14">
            <v>12</v>
          </cell>
          <cell r="K14">
            <v>233.16977701537871</v>
          </cell>
          <cell r="L14">
            <v>416.81060606060601</v>
          </cell>
          <cell r="M14">
            <v>-183.64082904522729</v>
          </cell>
          <cell r="N14">
            <v>2796</v>
          </cell>
          <cell r="P14">
            <v>1208.8800000000001</v>
          </cell>
          <cell r="Q14">
            <v>281669.04000000004</v>
          </cell>
          <cell r="T14">
            <v>0</v>
          </cell>
        </row>
        <row r="15">
          <cell r="C15">
            <v>4987176177865</v>
          </cell>
          <cell r="E15" t="str">
            <v>N</v>
          </cell>
          <cell r="F15" t="str">
            <v>whisper 好自在 台灣公司貨 液體衛生棉清新淨味 31.7cm, 1包, 9片, 一般</v>
          </cell>
          <cell r="G15">
            <v>89</v>
          </cell>
          <cell r="H15">
            <v>1886.6850795097937</v>
          </cell>
          <cell r="I15" t="str">
            <v>Fem</v>
          </cell>
          <cell r="J15">
            <v>12</v>
          </cell>
          <cell r="K15">
            <v>157.22375662581615</v>
          </cell>
          <cell r="L15">
            <v>152.94166666666666</v>
          </cell>
          <cell r="M15">
            <v>4.2820899591494879</v>
          </cell>
          <cell r="N15"/>
          <cell r="P15">
            <v>1208.8800000000001</v>
          </cell>
          <cell r="Q15">
            <v>0</v>
          </cell>
          <cell r="T15">
            <v>157</v>
          </cell>
        </row>
        <row r="16">
          <cell r="C16">
            <v>4987176177841</v>
          </cell>
          <cell r="E16" t="str">
            <v>N</v>
          </cell>
          <cell r="F16" t="str">
            <v>whisper 好自在 台灣公司貨 液體衛生棉清新淨味 24cm, 1包, 9片, 一般</v>
          </cell>
          <cell r="G16">
            <v>89</v>
          </cell>
          <cell r="H16">
            <v>2717.9274666979104</v>
          </cell>
          <cell r="I16" t="str">
            <v>Fem</v>
          </cell>
          <cell r="J16">
            <v>12</v>
          </cell>
          <cell r="K16">
            <v>226.4939555581592</v>
          </cell>
          <cell r="L16">
            <v>279.89393939393932</v>
          </cell>
          <cell r="M16">
            <v>-53.39998383578012</v>
          </cell>
          <cell r="N16">
            <v>2712</v>
          </cell>
          <cell r="P16">
            <v>1208.8800000000001</v>
          </cell>
          <cell r="Q16">
            <v>273206.88</v>
          </cell>
          <cell r="T16">
            <v>226</v>
          </cell>
        </row>
        <row r="17">
          <cell r="C17">
            <v>4987176219985</v>
          </cell>
          <cell r="E17" t="str">
            <v>Y</v>
          </cell>
          <cell r="F17" t="str">
            <v>whisper 好自在 熊抱安睡褲XL, 24包, 2片, 內褲型</v>
          </cell>
          <cell r="H17">
            <v>0</v>
          </cell>
          <cell r="I17" t="str">
            <v>Fem</v>
          </cell>
          <cell r="K17"/>
          <cell r="L17">
            <v>0</v>
          </cell>
          <cell r="M17">
            <v>0</v>
          </cell>
          <cell r="N17">
            <v>0</v>
          </cell>
          <cell r="P17">
            <v>0</v>
          </cell>
          <cell r="Q17" t="e">
            <v>#DIV/0!</v>
          </cell>
          <cell r="T17" t="str">
            <v/>
          </cell>
        </row>
        <row r="18">
          <cell r="C18">
            <v>6903148356999</v>
          </cell>
          <cell r="E18" t="str">
            <v>N</v>
          </cell>
          <cell r="F18" t="str">
            <v>whisper 好自在 台灣公司貨 Air Dry 雲枕瞬吸衛生棉 日用量大, 28cm, 10片, 1包</v>
          </cell>
          <cell r="G18">
            <v>54</v>
          </cell>
          <cell r="H18">
            <v>453.60000000000019</v>
          </cell>
          <cell r="I18" t="str">
            <v>Fem</v>
          </cell>
          <cell r="J18">
            <v>24</v>
          </cell>
          <cell r="K18">
            <v>18.900000000000009</v>
          </cell>
          <cell r="L18">
            <v>7.1025641025641022</v>
          </cell>
          <cell r="M18">
            <v>11.797435897435907</v>
          </cell>
          <cell r="N18"/>
          <cell r="P18">
            <v>1366.48</v>
          </cell>
          <cell r="Q18">
            <v>0</v>
          </cell>
          <cell r="T18">
            <v>18</v>
          </cell>
        </row>
        <row r="19">
          <cell r="C19">
            <v>6903148138182</v>
          </cell>
          <cell r="E19" t="str">
            <v>N</v>
          </cell>
          <cell r="F19" t="str">
            <v>whisper 好自在 台灣公司貨 Air Dry 雲枕瞬吸衛生棉 日用, 24cm, 10片, 1包</v>
          </cell>
          <cell r="G19">
            <v>54</v>
          </cell>
          <cell r="H19">
            <v>0</v>
          </cell>
          <cell r="I19" t="str">
            <v>Fem</v>
          </cell>
          <cell r="J19">
            <v>24</v>
          </cell>
          <cell r="K19">
            <v>0</v>
          </cell>
          <cell r="L19">
            <v>0</v>
          </cell>
          <cell r="M19">
            <v>0</v>
          </cell>
          <cell r="N19"/>
          <cell r="P19">
            <v>1366.48</v>
          </cell>
          <cell r="Q19">
            <v>0</v>
          </cell>
          <cell r="T19">
            <v>0</v>
          </cell>
        </row>
        <row r="20">
          <cell r="C20">
            <v>6903148308752</v>
          </cell>
          <cell r="E20" t="str">
            <v>N</v>
          </cell>
          <cell r="F20" t="str">
            <v>whisper 好自在 台灣公司貨 Air Dry 雲枕瞬吸衛生棉 日用輕量型, 18cm , 12片, 1包</v>
          </cell>
          <cell r="G20">
            <v>47</v>
          </cell>
          <cell r="H20">
            <v>1512.349090909091</v>
          </cell>
          <cell r="I20" t="str">
            <v>Fem</v>
          </cell>
          <cell r="J20">
            <v>24</v>
          </cell>
          <cell r="K20">
            <v>63.014545454545463</v>
          </cell>
          <cell r="L20">
            <v>80.787878787878796</v>
          </cell>
          <cell r="M20">
            <v>-17.773333333333333</v>
          </cell>
          <cell r="N20">
            <v>1512</v>
          </cell>
          <cell r="P20">
            <v>1156.25</v>
          </cell>
          <cell r="Q20">
            <v>72843.75</v>
          </cell>
          <cell r="T20">
            <v>63</v>
          </cell>
        </row>
        <row r="21">
          <cell r="C21">
            <v>6903148356982</v>
          </cell>
          <cell r="E21" t="str">
            <v>N</v>
          </cell>
          <cell r="F21" t="str">
            <v>whisper 好自在 台灣公司貨 Air Dry 雲枕瞬吸衛生棉 日用量大加長, 32cm, 8片, 1包</v>
          </cell>
          <cell r="G21">
            <v>54</v>
          </cell>
          <cell r="H21">
            <v>741.5200000000001</v>
          </cell>
          <cell r="I21" t="str">
            <v>Fem</v>
          </cell>
          <cell r="J21">
            <v>24</v>
          </cell>
          <cell r="K21">
            <v>30.896666666666672</v>
          </cell>
          <cell r="L21">
            <v>0</v>
          </cell>
          <cell r="M21">
            <v>30.896666666666672</v>
          </cell>
          <cell r="N21"/>
          <cell r="P21">
            <v>1366.48</v>
          </cell>
          <cell r="Q21">
            <v>0</v>
          </cell>
          <cell r="T21">
            <v>30</v>
          </cell>
        </row>
        <row r="22">
          <cell r="C22">
            <v>6903148357033</v>
          </cell>
          <cell r="E22" t="str">
            <v>N</v>
          </cell>
          <cell r="F22" t="str">
            <v>whisper 好自在 台灣公司貨 Air Dry Fresh 草本健康衛生棉 日用量大, 28cm, 10片, 1包</v>
          </cell>
          <cell r="G22">
            <v>26</v>
          </cell>
          <cell r="H22">
            <v>198</v>
          </cell>
          <cell r="I22" t="str">
            <v>Fem</v>
          </cell>
          <cell r="J22">
            <v>24</v>
          </cell>
          <cell r="K22">
            <v>8.25</v>
          </cell>
          <cell r="L22">
            <v>247</v>
          </cell>
          <cell r="M22">
            <v>-238.75</v>
          </cell>
          <cell r="N22">
            <v>192</v>
          </cell>
          <cell r="P22">
            <v>1366.48</v>
          </cell>
          <cell r="Q22">
            <v>10931.84</v>
          </cell>
          <cell r="T22">
            <v>8</v>
          </cell>
        </row>
        <row r="23">
          <cell r="C23">
            <v>6903148357026</v>
          </cell>
          <cell r="E23" t="str">
            <v>N</v>
          </cell>
          <cell r="F23" t="str">
            <v>whisper 好自在 台灣公司貨 Air Dry Fresh 草本健康衛生棉 量大加長, 32cm, 8片, 1包</v>
          </cell>
          <cell r="G23">
            <v>26</v>
          </cell>
          <cell r="H23">
            <v>259.2</v>
          </cell>
          <cell r="I23" t="str">
            <v>Fem</v>
          </cell>
          <cell r="J23">
            <v>24</v>
          </cell>
          <cell r="K23">
            <v>10.799999999999999</v>
          </cell>
          <cell r="L23">
            <v>99</v>
          </cell>
          <cell r="M23">
            <v>-88.2</v>
          </cell>
          <cell r="N23">
            <v>240</v>
          </cell>
          <cell r="P23">
            <v>1366.48</v>
          </cell>
          <cell r="Q23">
            <v>13664.8</v>
          </cell>
          <cell r="T23">
            <v>10</v>
          </cell>
        </row>
        <row r="24">
          <cell r="C24">
            <v>6903148357019</v>
          </cell>
          <cell r="E24" t="str">
            <v>N</v>
          </cell>
          <cell r="F24" t="str">
            <v>whisper 好自在 台灣公司貨 Air Dry Fresh 草本健康衛生棉 日用普通, 24cm, 10片, 1包</v>
          </cell>
          <cell r="G24">
            <v>54</v>
          </cell>
          <cell r="H24">
            <v>0</v>
          </cell>
          <cell r="I24" t="str">
            <v>Fem</v>
          </cell>
          <cell r="J24">
            <v>24</v>
          </cell>
          <cell r="K24">
            <v>0</v>
          </cell>
          <cell r="L24">
            <v>0</v>
          </cell>
          <cell r="M24">
            <v>0</v>
          </cell>
          <cell r="N24"/>
          <cell r="P24">
            <v>1366.48</v>
          </cell>
          <cell r="Q24">
            <v>0</v>
          </cell>
          <cell r="T24">
            <v>0</v>
          </cell>
        </row>
        <row r="25">
          <cell r="C25">
            <v>6903148300770</v>
          </cell>
          <cell r="E25" t="str">
            <v>N</v>
          </cell>
          <cell r="F25" t="str">
            <v>whisper 好自在 台灣公司貨 Air Dry Fresh 純棉衛生棉 日用輕量型, 18cm, 12片, 1包</v>
          </cell>
          <cell r="G25">
            <v>22</v>
          </cell>
          <cell r="H25">
            <v>494.88399999999996</v>
          </cell>
          <cell r="I25" t="str">
            <v>Fem</v>
          </cell>
          <cell r="J25">
            <v>24</v>
          </cell>
          <cell r="K25">
            <v>20.620166666666666</v>
          </cell>
          <cell r="L25">
            <v>0</v>
          </cell>
          <cell r="M25">
            <v>20.620166666666666</v>
          </cell>
          <cell r="N25"/>
          <cell r="P25">
            <v>1156.25</v>
          </cell>
          <cell r="Q25">
            <v>0</v>
          </cell>
          <cell r="T25">
            <v>20</v>
          </cell>
        </row>
        <row r="26">
          <cell r="C26">
            <v>4987176301017</v>
          </cell>
          <cell r="E26" t="str">
            <v>N</v>
          </cell>
          <cell r="F26" t="str">
            <v>whisper 好自在 台灣公司貨 Air Dry 雲枕瞬吸衛生棉 日用量大加長, 32cm, 16片, 1袋</v>
          </cell>
          <cell r="G26">
            <v>95</v>
          </cell>
          <cell r="H26">
            <v>362.7</v>
          </cell>
          <cell r="I26" t="str">
            <v>Fem</v>
          </cell>
          <cell r="J26">
            <v>12</v>
          </cell>
          <cell r="K26">
            <v>30.224999999999998</v>
          </cell>
          <cell r="L26">
            <v>-13</v>
          </cell>
          <cell r="M26">
            <v>43.224999999999994</v>
          </cell>
          <cell r="N26"/>
          <cell r="P26">
            <v>1208.81</v>
          </cell>
          <cell r="Q26">
            <v>0</v>
          </cell>
          <cell r="T26">
            <v>30</v>
          </cell>
        </row>
        <row r="27">
          <cell r="C27">
            <v>6903148304761</v>
          </cell>
          <cell r="E27" t="str">
            <v>N</v>
          </cell>
          <cell r="F27" t="str">
            <v>whisper 好自在 台灣公司貨 Air Dry 雲枕瞬吸衛生棉 日用, 24cm, 20片, 1袋</v>
          </cell>
          <cell r="G27">
            <v>95</v>
          </cell>
          <cell r="H27">
            <v>1216.9374924634185</v>
          </cell>
          <cell r="I27" t="str">
            <v>Fem</v>
          </cell>
          <cell r="J27">
            <v>12</v>
          </cell>
          <cell r="K27">
            <v>101.41145770528487</v>
          </cell>
          <cell r="L27">
            <v>124</v>
          </cell>
          <cell r="M27">
            <v>-22.588542294715126</v>
          </cell>
          <cell r="N27">
            <v>1212</v>
          </cell>
          <cell r="P27">
            <v>1208.81</v>
          </cell>
          <cell r="Q27">
            <v>122089.81</v>
          </cell>
          <cell r="T27">
            <v>101</v>
          </cell>
        </row>
        <row r="28">
          <cell r="C28">
            <v>6903148357002</v>
          </cell>
          <cell r="E28" t="str">
            <v>N</v>
          </cell>
          <cell r="F28" t="str">
            <v>whisper 好自在 台灣公司貨 Air Dry Fresh 草本健康衛生棉 日用量大, 28cm, 20片, 1袋</v>
          </cell>
          <cell r="G28">
            <v>95</v>
          </cell>
          <cell r="H28">
            <v>472.5</v>
          </cell>
          <cell r="I28" t="str">
            <v>Fem</v>
          </cell>
          <cell r="J28">
            <v>12</v>
          </cell>
          <cell r="K28">
            <v>39.375</v>
          </cell>
          <cell r="L28">
            <v>0</v>
          </cell>
          <cell r="M28">
            <v>39.375</v>
          </cell>
          <cell r="N28"/>
          <cell r="P28">
            <v>1208.81</v>
          </cell>
          <cell r="Q28">
            <v>0</v>
          </cell>
          <cell r="T28">
            <v>39</v>
          </cell>
        </row>
        <row r="29">
          <cell r="C29">
            <v>4987176301024</v>
          </cell>
          <cell r="E29" t="str">
            <v>N</v>
          </cell>
          <cell r="F29" t="str">
            <v>whisper 好自在 台灣公司貨 Air Dry Fresh 草本健康衛生棉 量大加長, 32cm, 16片, 1袋</v>
          </cell>
          <cell r="G29">
            <v>46</v>
          </cell>
          <cell r="H29">
            <v>114.75</v>
          </cell>
          <cell r="I29" t="str">
            <v>Fem</v>
          </cell>
          <cell r="J29">
            <v>12</v>
          </cell>
          <cell r="K29">
            <v>9.5625</v>
          </cell>
          <cell r="L29">
            <v>282.5</v>
          </cell>
          <cell r="M29">
            <v>-272.9375</v>
          </cell>
          <cell r="N29">
            <v>108</v>
          </cell>
          <cell r="P29">
            <v>1208.81</v>
          </cell>
          <cell r="Q29">
            <v>10879.289999999999</v>
          </cell>
          <cell r="T29">
            <v>9</v>
          </cell>
        </row>
        <row r="30">
          <cell r="C30">
            <v>6903148354582</v>
          </cell>
          <cell r="E30" t="str">
            <v>N</v>
          </cell>
          <cell r="F30" t="str">
            <v>whisper 好自在 台灣公司貨 Air Dry 雲枕瞬吸衛生棉 日用量大, 28cm, 20片, 1袋</v>
          </cell>
          <cell r="G30">
            <v>95</v>
          </cell>
          <cell r="H30">
            <v>1251.5817089814882</v>
          </cell>
          <cell r="I30" t="str">
            <v>Fem</v>
          </cell>
          <cell r="J30">
            <v>12</v>
          </cell>
          <cell r="K30">
            <v>104.29847574845735</v>
          </cell>
          <cell r="L30">
            <v>80.636363636363626</v>
          </cell>
          <cell r="M30">
            <v>23.662112112093723</v>
          </cell>
          <cell r="N30"/>
          <cell r="P30">
            <v>1208.81</v>
          </cell>
          <cell r="Q30">
            <v>0</v>
          </cell>
          <cell r="T30">
            <v>104</v>
          </cell>
        </row>
        <row r="31">
          <cell r="C31">
            <v>6903148357040</v>
          </cell>
          <cell r="E31" t="str">
            <v>N</v>
          </cell>
          <cell r="F31" t="str">
            <v>whisper 好自在 台灣公司貨 Air Dry Fresh 草本健康衛生棉 日用普通, 24cm, 20片, 1袋</v>
          </cell>
          <cell r="G31">
            <v>95</v>
          </cell>
          <cell r="H31">
            <v>341.20666666666665</v>
          </cell>
          <cell r="I31" t="str">
            <v>Fem</v>
          </cell>
          <cell r="J31">
            <v>12</v>
          </cell>
          <cell r="K31">
            <v>28.433888888888887</v>
          </cell>
          <cell r="L31">
            <v>36.453703703703702</v>
          </cell>
          <cell r="M31">
            <v>-8.019814814814815</v>
          </cell>
          <cell r="N31">
            <v>336</v>
          </cell>
          <cell r="P31">
            <v>1208.81</v>
          </cell>
          <cell r="Q31">
            <v>33846.68</v>
          </cell>
          <cell r="T31">
            <v>28</v>
          </cell>
        </row>
        <row r="32">
          <cell r="C32">
            <v>4987176343703</v>
          </cell>
          <cell r="D32"/>
          <cell r="E32" t="str">
            <v>N</v>
          </cell>
          <cell r="F32" t="str">
            <v>PANTENE 潘婷 原廠公司貨 潤髮精華素 強韌防斷, 650g, 1個</v>
          </cell>
          <cell r="G32">
            <v>159</v>
          </cell>
          <cell r="H32">
            <v>483.59999999999997</v>
          </cell>
          <cell r="I32" t="str">
            <v>Hair</v>
          </cell>
          <cell r="J32">
            <v>6</v>
          </cell>
          <cell r="K32">
            <v>80.599999999999994</v>
          </cell>
          <cell r="L32" t="e">
            <v>#N/A</v>
          </cell>
          <cell r="M32" t="e">
            <v>#N/A</v>
          </cell>
          <cell r="N32"/>
          <cell r="P32">
            <v>1061.3399999999999</v>
          </cell>
          <cell r="Q32">
            <v>0</v>
          </cell>
        </row>
        <row r="33">
          <cell r="C33">
            <v>4987176343727</v>
          </cell>
          <cell r="D33"/>
          <cell r="E33" t="str">
            <v>N</v>
          </cell>
          <cell r="F33" t="str">
            <v>PANTENE 潘婷 原廠公司貨 護潤髮精華素 乳液修護, 650g, 1個</v>
          </cell>
          <cell r="G33">
            <v>159</v>
          </cell>
          <cell r="H33">
            <v>1192.8800000000001</v>
          </cell>
          <cell r="I33" t="str">
            <v>Hair</v>
          </cell>
          <cell r="J33">
            <v>6</v>
          </cell>
          <cell r="K33">
            <v>198.81333333333336</v>
          </cell>
          <cell r="L33" t="e">
            <v>#N/A</v>
          </cell>
          <cell r="M33" t="e">
            <v>#N/A</v>
          </cell>
          <cell r="N33"/>
          <cell r="P33">
            <v>1061.3399999999999</v>
          </cell>
          <cell r="Q33">
            <v>0</v>
          </cell>
        </row>
        <row r="34">
          <cell r="C34">
            <v>4987176343697</v>
          </cell>
          <cell r="D34"/>
          <cell r="E34" t="str">
            <v>N</v>
          </cell>
          <cell r="F34" t="str">
            <v>PANTENE 潘婷 原廠公司貨 潤髮精華素 絲質順滑, 650g, 1個</v>
          </cell>
          <cell r="G34">
            <v>159</v>
          </cell>
          <cell r="H34">
            <v>1803.828</v>
          </cell>
          <cell r="I34" t="str">
            <v>Hair</v>
          </cell>
          <cell r="J34">
            <v>6</v>
          </cell>
          <cell r="K34">
            <v>300.63799999999998</v>
          </cell>
          <cell r="L34" t="e">
            <v>#N/A</v>
          </cell>
          <cell r="M34" t="e">
            <v>#N/A</v>
          </cell>
          <cell r="N34"/>
          <cell r="P34">
            <v>1061.3399999999999</v>
          </cell>
          <cell r="Q34">
            <v>0</v>
          </cell>
        </row>
        <row r="35">
          <cell r="C35">
            <v>4987176343628</v>
          </cell>
          <cell r="D35"/>
          <cell r="E35" t="str">
            <v>N</v>
          </cell>
          <cell r="F35" t="str">
            <v>PANTENE 潘婷 原廠公司貨 潤髮精華素 乳液修護, 400g, 1個</v>
          </cell>
          <cell r="G35">
            <v>99</v>
          </cell>
          <cell r="H35">
            <v>1192.6319999999998</v>
          </cell>
          <cell r="I35" t="str">
            <v>Hair</v>
          </cell>
          <cell r="J35">
            <v>12</v>
          </cell>
          <cell r="K35">
            <v>99.385999999999981</v>
          </cell>
          <cell r="L35" t="e">
            <v>#N/A</v>
          </cell>
          <cell r="M35" t="e">
            <v>#N/A</v>
          </cell>
          <cell r="N35"/>
          <cell r="P35">
            <v>1208.24</v>
          </cell>
          <cell r="Q35">
            <v>0</v>
          </cell>
        </row>
        <row r="36">
          <cell r="C36">
            <v>4987176343918</v>
          </cell>
          <cell r="D36"/>
          <cell r="E36" t="str">
            <v>N</v>
          </cell>
          <cell r="F36" t="str">
            <v>PANTENE 潘婷 原廠公司貨 潤髮精華素 盈潤光澤, 650g, 1個</v>
          </cell>
          <cell r="G36">
            <v>159</v>
          </cell>
          <cell r="H36">
            <v>413.16800000000001</v>
          </cell>
          <cell r="I36" t="str">
            <v>Hair</v>
          </cell>
          <cell r="J36">
            <v>6</v>
          </cell>
          <cell r="K36">
            <v>68.861333333333334</v>
          </cell>
          <cell r="L36" t="e">
            <v>#N/A</v>
          </cell>
          <cell r="M36" t="e">
            <v>#N/A</v>
          </cell>
          <cell r="N36"/>
          <cell r="P36">
            <v>1061.3399999999999</v>
          </cell>
          <cell r="Q36">
            <v>0</v>
          </cell>
        </row>
        <row r="37">
          <cell r="C37">
            <v>4987176343680</v>
          </cell>
          <cell r="D37"/>
          <cell r="E37" t="str">
            <v>N</v>
          </cell>
          <cell r="F37" t="str">
            <v>PANTENE 潘婷 原廠公司貨 洗髮露 乳液修護, 650g, 1個</v>
          </cell>
          <cell r="G37">
            <v>159</v>
          </cell>
          <cell r="H37">
            <v>284.70400000000001</v>
          </cell>
          <cell r="I37" t="str">
            <v>Hair</v>
          </cell>
          <cell r="J37">
            <v>6</v>
          </cell>
          <cell r="K37">
            <v>47.45066666666667</v>
          </cell>
          <cell r="L37" t="e">
            <v>#N/A</v>
          </cell>
          <cell r="M37" t="e">
            <v>#N/A</v>
          </cell>
          <cell r="N37"/>
          <cell r="P37">
            <v>1061.3399999999999</v>
          </cell>
          <cell r="Q37">
            <v>0</v>
          </cell>
        </row>
        <row r="38">
          <cell r="C38">
            <v>4987176343710</v>
          </cell>
          <cell r="D38"/>
          <cell r="E38" t="str">
            <v>N</v>
          </cell>
          <cell r="F38" t="str">
            <v>PANTENE 潘婷 原廠公司貨 洗髮露 強韌防斷, 650g, 1個</v>
          </cell>
          <cell r="G38">
            <v>159</v>
          </cell>
          <cell r="H38">
            <v>422.34399999999999</v>
          </cell>
          <cell r="I38" t="str">
            <v>Hair</v>
          </cell>
          <cell r="J38">
            <v>6</v>
          </cell>
          <cell r="K38">
            <v>70.390666666666661</v>
          </cell>
          <cell r="L38" t="e">
            <v>#N/A</v>
          </cell>
          <cell r="M38" t="e">
            <v>#N/A</v>
          </cell>
          <cell r="N38"/>
          <cell r="P38">
            <v>1061.3399999999999</v>
          </cell>
          <cell r="Q38">
            <v>0</v>
          </cell>
        </row>
        <row r="39">
          <cell r="C39">
            <v>4987176343741</v>
          </cell>
          <cell r="D39"/>
          <cell r="E39" t="str">
            <v>N</v>
          </cell>
          <cell r="F39" t="str">
            <v>PANTENE 潘婷 原廠公司貨 洗髮露 絲質順滑, 650g, 1個</v>
          </cell>
          <cell r="G39">
            <v>159</v>
          </cell>
          <cell r="H39">
            <v>2295.4879999999998</v>
          </cell>
          <cell r="I39" t="str">
            <v>Hair</v>
          </cell>
          <cell r="J39">
            <v>6</v>
          </cell>
          <cell r="K39">
            <v>382.5813333333333</v>
          </cell>
          <cell r="L39" t="e">
            <v>#N/A</v>
          </cell>
          <cell r="M39" t="e">
            <v>#N/A</v>
          </cell>
          <cell r="N39"/>
          <cell r="P39">
            <v>1061.3399999999999</v>
          </cell>
          <cell r="Q39">
            <v>0</v>
          </cell>
        </row>
        <row r="40">
          <cell r="C40">
            <v>4987176343734</v>
          </cell>
          <cell r="D40"/>
          <cell r="E40" t="str">
            <v>N</v>
          </cell>
          <cell r="F40" t="str">
            <v>PANTENE 潘婷 原廠公司貨 洗髮露 染燙修護, 650g, 1個</v>
          </cell>
          <cell r="G40">
            <v>159</v>
          </cell>
          <cell r="H40">
            <v>722.17600000000004</v>
          </cell>
          <cell r="I40" t="str">
            <v>Hair</v>
          </cell>
          <cell r="J40">
            <v>6</v>
          </cell>
          <cell r="K40">
            <v>120.36266666666667</v>
          </cell>
          <cell r="L40" t="e">
            <v>#N/A</v>
          </cell>
          <cell r="M40" t="e">
            <v>#N/A</v>
          </cell>
          <cell r="N40"/>
          <cell r="P40">
            <v>1061.3399999999999</v>
          </cell>
          <cell r="Q40">
            <v>0</v>
          </cell>
        </row>
        <row r="41">
          <cell r="C41">
            <v>4987176343673</v>
          </cell>
          <cell r="D41"/>
          <cell r="E41" t="str">
            <v>N</v>
          </cell>
          <cell r="F41" t="str">
            <v>PANTENE 潘婷 原廠公司貨 洗髮露 盈潤光澤, 650g, 1個</v>
          </cell>
          <cell r="G41">
            <v>159</v>
          </cell>
          <cell r="H41">
            <v>356.25200000000001</v>
          </cell>
          <cell r="I41" t="str">
            <v>Hair</v>
          </cell>
          <cell r="J41">
            <v>6</v>
          </cell>
          <cell r="K41">
            <v>59.375333333333337</v>
          </cell>
          <cell r="L41" t="e">
            <v>#N/A</v>
          </cell>
          <cell r="M41" t="e">
            <v>#N/A</v>
          </cell>
          <cell r="N41"/>
          <cell r="P41">
            <v>1061.3399999999999</v>
          </cell>
          <cell r="Q41">
            <v>0</v>
          </cell>
        </row>
        <row r="42">
          <cell r="C42">
            <v>4987176343659</v>
          </cell>
          <cell r="D42"/>
          <cell r="E42" t="str">
            <v>N</v>
          </cell>
          <cell r="F42" t="str">
            <v>PANTENE 潘婷 原廠公司貨 去屑洗髮露 乳液修護, 650g, 1個</v>
          </cell>
          <cell r="G42">
            <v>159</v>
          </cell>
          <cell r="H42">
            <v>346.58000000000004</v>
          </cell>
          <cell r="I42" t="str">
            <v>Hair</v>
          </cell>
          <cell r="J42">
            <v>6</v>
          </cell>
          <cell r="K42">
            <v>57.763333333333343</v>
          </cell>
          <cell r="L42" t="e">
            <v>#N/A</v>
          </cell>
          <cell r="M42" t="e">
            <v>#N/A</v>
          </cell>
          <cell r="N42"/>
          <cell r="P42">
            <v>1061.3399999999999</v>
          </cell>
          <cell r="Q42">
            <v>0</v>
          </cell>
        </row>
        <row r="43">
          <cell r="C43">
            <v>4987176343925</v>
          </cell>
          <cell r="D43"/>
          <cell r="E43" t="str">
            <v>N</v>
          </cell>
          <cell r="F43" t="str">
            <v>PANTENE 潘婷 原廠公司貨 洗髮露 垂順直髮, 650g, 1個</v>
          </cell>
          <cell r="G43">
            <v>159</v>
          </cell>
          <cell r="H43">
            <v>336.78399999999993</v>
          </cell>
          <cell r="I43" t="str">
            <v>Hair</v>
          </cell>
          <cell r="J43">
            <v>6</v>
          </cell>
          <cell r="K43">
            <v>56.130666666666656</v>
          </cell>
          <cell r="L43" t="e">
            <v>#N/A</v>
          </cell>
          <cell r="M43" t="e">
            <v>#N/A</v>
          </cell>
          <cell r="N43"/>
          <cell r="P43">
            <v>1061.3399999999999</v>
          </cell>
          <cell r="Q43">
            <v>0</v>
          </cell>
        </row>
        <row r="44">
          <cell r="C44">
            <v>4987176354044</v>
          </cell>
          <cell r="D44"/>
          <cell r="E44" t="str">
            <v>N</v>
          </cell>
          <cell r="F44" t="str">
            <v>PANTENE 潘婷 原廠公司貨 乳液修護洗髮乳 + 3 MINUTE MIRACLE多效護髮精華70ml, 650g, 1套</v>
          </cell>
          <cell r="G44">
            <v>185</v>
          </cell>
          <cell r="H44">
            <v>484.34399999999999</v>
          </cell>
          <cell r="I44" t="str">
            <v>Hair</v>
          </cell>
          <cell r="J44">
            <v>6</v>
          </cell>
          <cell r="K44">
            <v>80.724000000000004</v>
          </cell>
          <cell r="L44" t="e">
            <v>#N/A</v>
          </cell>
          <cell r="M44" t="e">
            <v>#N/A</v>
          </cell>
          <cell r="N44"/>
          <cell r="P44">
            <v>1168.02</v>
          </cell>
          <cell r="Q44">
            <v>0</v>
          </cell>
        </row>
        <row r="45">
          <cell r="C45">
            <v>6903148345023</v>
          </cell>
          <cell r="E45" t="str">
            <v>N</v>
          </cell>
          <cell r="F45" t="str">
            <v>whisper 好自在 經典款 液體衛生棉, 量大加長型 29.5cm, 夜用, 9片, 1個</v>
          </cell>
          <cell r="G45">
            <v>74</v>
          </cell>
          <cell r="H45">
            <v>180</v>
          </cell>
          <cell r="I45" t="str">
            <v>Fem</v>
          </cell>
          <cell r="J45">
            <v>12</v>
          </cell>
          <cell r="K45">
            <v>15</v>
          </cell>
          <cell r="L45">
            <v>0</v>
          </cell>
          <cell r="M45">
            <v>15</v>
          </cell>
          <cell r="N45"/>
          <cell r="P45">
            <v>1208.8800000000001</v>
          </cell>
          <cell r="Q45">
            <v>0</v>
          </cell>
          <cell r="T45">
            <v>0</v>
          </cell>
        </row>
        <row r="46">
          <cell r="C46">
            <v>4987176084378</v>
          </cell>
          <cell r="E46" t="str">
            <v>N</v>
          </cell>
          <cell r="F46" t="str">
            <v>whisper 好自在 熊抱安睡褲 L, 夜用, 8片, 1個</v>
          </cell>
          <cell r="G46">
            <v>177</v>
          </cell>
          <cell r="H46">
            <v>258.54871044962562</v>
          </cell>
          <cell r="I46" t="str">
            <v>Fem</v>
          </cell>
          <cell r="J46">
            <v>6</v>
          </cell>
          <cell r="K46">
            <v>43.091451741604267</v>
          </cell>
          <cell r="L46">
            <v>400</v>
          </cell>
          <cell r="M46">
            <v>-356.90854825839574</v>
          </cell>
          <cell r="N46">
            <v>258</v>
          </cell>
          <cell r="P46">
            <v>1226.47</v>
          </cell>
          <cell r="Q46">
            <v>52738.21</v>
          </cell>
          <cell r="T46">
            <v>0</v>
          </cell>
        </row>
        <row r="47">
          <cell r="C47">
            <v>4987176166739</v>
          </cell>
          <cell r="E47" t="str">
            <v>N</v>
          </cell>
          <cell r="F47" t="str">
            <v>whisper 好自在 熊抱安睡褲 M, 夜用, 8片, 1個</v>
          </cell>
          <cell r="G47">
            <v>177</v>
          </cell>
          <cell r="H47">
            <v>452.61693839253883</v>
          </cell>
          <cell r="I47" t="str">
            <v>Fem</v>
          </cell>
          <cell r="J47">
            <v>6</v>
          </cell>
          <cell r="K47">
            <v>75.436156398756467</v>
          </cell>
          <cell r="L47">
            <v>120</v>
          </cell>
          <cell r="M47">
            <v>-44.563843601243533</v>
          </cell>
          <cell r="N47">
            <v>450</v>
          </cell>
          <cell r="P47">
            <v>1226.47</v>
          </cell>
          <cell r="Q47">
            <v>91985.25</v>
          </cell>
          <cell r="T47">
            <v>0</v>
          </cell>
        </row>
        <row r="48">
          <cell r="C48">
            <v>4987176214720</v>
          </cell>
          <cell r="E48" t="str">
            <v>N</v>
          </cell>
          <cell r="F48" t="str">
            <v>whisper 好自在 熊抱安睡褲 XL, 夜用, 8片, 1個</v>
          </cell>
          <cell r="G48">
            <v>177</v>
          </cell>
          <cell r="H48">
            <v>3667.9176773349986</v>
          </cell>
          <cell r="I48" t="str">
            <v>Fem</v>
          </cell>
          <cell r="J48">
            <v>6</v>
          </cell>
          <cell r="K48">
            <v>611.31961288916648</v>
          </cell>
          <cell r="L48">
            <v>-276</v>
          </cell>
          <cell r="M48">
            <v>887.31961288916648</v>
          </cell>
          <cell r="N48"/>
          <cell r="P48">
            <v>1226.47</v>
          </cell>
          <cell r="Q48">
            <v>0</v>
          </cell>
          <cell r="T48">
            <v>0</v>
          </cell>
        </row>
        <row r="49">
          <cell r="C49">
            <v>6903148224090</v>
          </cell>
          <cell r="D49"/>
          <cell r="E49" t="str">
            <v>N</v>
          </cell>
          <cell r="F49" t="str">
            <v>whisper 好自在 經典款 液體衛生棉 量多日用型 27cm, 日用, 16片, 1個</v>
          </cell>
          <cell r="G49">
            <v>131</v>
          </cell>
          <cell r="H49">
            <v>3330.7741493123758</v>
          </cell>
          <cell r="I49" t="str">
            <v>Fem</v>
          </cell>
          <cell r="J49">
            <v>12</v>
          </cell>
          <cell r="K49">
            <v>277.564512442698</v>
          </cell>
          <cell r="L49">
            <v>250</v>
          </cell>
          <cell r="M49">
            <v>27.564512442698003</v>
          </cell>
          <cell r="N49"/>
          <cell r="P49">
            <v>1853.54</v>
          </cell>
          <cell r="Q49">
            <v>0</v>
          </cell>
          <cell r="T49">
            <v>100</v>
          </cell>
        </row>
        <row r="50">
          <cell r="C50">
            <v>6903148224106</v>
          </cell>
          <cell r="D50"/>
          <cell r="E50" t="str">
            <v>N</v>
          </cell>
          <cell r="F50" t="str">
            <v>whisper 好自在 經典款 液體衛生棉 日用型 24cm 日用, 18片, 1個</v>
          </cell>
          <cell r="G50">
            <v>147</v>
          </cell>
          <cell r="H50">
            <v>1336.6704</v>
          </cell>
          <cell r="I50" t="str">
            <v>Fem</v>
          </cell>
          <cell r="J50">
            <v>12</v>
          </cell>
          <cell r="K50">
            <v>111.3892</v>
          </cell>
          <cell r="L50">
            <v>0</v>
          </cell>
          <cell r="M50">
            <v>111.3892</v>
          </cell>
          <cell r="N50"/>
          <cell r="P50">
            <v>2039.83</v>
          </cell>
          <cell r="Q50">
            <v>0</v>
          </cell>
          <cell r="T50">
            <v>0</v>
          </cell>
        </row>
        <row r="51">
          <cell r="C51">
            <v>6903148352700</v>
          </cell>
          <cell r="E51" t="str">
            <v>N</v>
          </cell>
          <cell r="F51" t="str">
            <v>whisper 好自在 無痕奢柔褲 內褲型, M~L, 3片, 1個</v>
          </cell>
          <cell r="G51">
            <v>78</v>
          </cell>
          <cell r="H51">
            <v>316.00000000000006</v>
          </cell>
          <cell r="I51" t="str">
            <v>Fem</v>
          </cell>
          <cell r="J51">
            <v>16</v>
          </cell>
          <cell r="K51">
            <v>19.750000000000004</v>
          </cell>
          <cell r="L51">
            <v>-34.666666666666671</v>
          </cell>
          <cell r="M51">
            <v>54.416666666666671</v>
          </cell>
          <cell r="N51"/>
          <cell r="P51">
            <v>1431.63</v>
          </cell>
          <cell r="Q51">
            <v>0</v>
          </cell>
          <cell r="T51">
            <v>0</v>
          </cell>
        </row>
        <row r="52">
          <cell r="C52">
            <v>6903148355947</v>
          </cell>
          <cell r="E52" t="str">
            <v>N</v>
          </cell>
          <cell r="F52" t="str">
            <v>whisper 好自在 無痕奢柔褲 內褲型, XL, 3片, 1個</v>
          </cell>
          <cell r="G52">
            <v>78</v>
          </cell>
          <cell r="H52">
            <v>613.80000000000041</v>
          </cell>
          <cell r="I52" t="str">
            <v>Fem</v>
          </cell>
          <cell r="J52">
            <v>16</v>
          </cell>
          <cell r="K52">
            <v>38.362500000000026</v>
          </cell>
          <cell r="L52">
            <v>-58.666666666666671</v>
          </cell>
          <cell r="M52">
            <v>97.029166666666697</v>
          </cell>
          <cell r="N52"/>
          <cell r="P52">
            <v>1431.63</v>
          </cell>
          <cell r="Q52">
            <v>0</v>
          </cell>
          <cell r="T52">
            <v>0</v>
          </cell>
        </row>
        <row r="53">
          <cell r="C53">
            <v>6903148355954</v>
          </cell>
          <cell r="E53" t="str">
            <v>N</v>
          </cell>
          <cell r="F53" t="str">
            <v>whisper 好自在 無痕早安褲 內褲型, M~L, 3片, 1個</v>
          </cell>
          <cell r="G53">
            <v>78</v>
          </cell>
          <cell r="H53">
            <v>366.30000000000007</v>
          </cell>
          <cell r="I53" t="str">
            <v>Fem</v>
          </cell>
          <cell r="J53">
            <v>16</v>
          </cell>
          <cell r="K53">
            <v>22.893750000000004</v>
          </cell>
          <cell r="L53">
            <v>-30.25</v>
          </cell>
          <cell r="M53">
            <v>53.143750000000004</v>
          </cell>
          <cell r="N53"/>
          <cell r="P53">
            <v>1431.63</v>
          </cell>
          <cell r="Q53">
            <v>0</v>
          </cell>
          <cell r="T53">
            <v>0</v>
          </cell>
        </row>
        <row r="54">
          <cell r="C54">
            <v>4987176372178</v>
          </cell>
          <cell r="E54" t="str">
            <v>N</v>
          </cell>
          <cell r="F54" t="str">
            <v>whisper 好自在 熊抱安睡褲 內褲型, L, 44片, 1套</v>
          </cell>
          <cell r="G54">
            <v>895</v>
          </cell>
          <cell r="H54">
            <v>138.73946666666666</v>
          </cell>
          <cell r="I54" t="str">
            <v>Fem</v>
          </cell>
          <cell r="J54">
            <v>1</v>
          </cell>
          <cell r="K54">
            <v>138.73946666666666</v>
          </cell>
          <cell r="L54">
            <v>0</v>
          </cell>
          <cell r="M54">
            <v>138.73946666666666</v>
          </cell>
          <cell r="N54"/>
          <cell r="P54">
            <v>1015.44</v>
          </cell>
          <cell r="Q54">
            <v>0</v>
          </cell>
          <cell r="T54">
            <v>0</v>
          </cell>
        </row>
        <row r="55">
          <cell r="C55">
            <v>4987176372314</v>
          </cell>
          <cell r="E55" t="str">
            <v>y</v>
          </cell>
          <cell r="F55" t="str">
            <v>whisper 好自在 無痕早安褲 內褲型, M~L, 3片, 11包</v>
          </cell>
          <cell r="G55">
            <v>853</v>
          </cell>
          <cell r="H55">
            <v>96.720000000000013</v>
          </cell>
          <cell r="I55" t="str">
            <v>Fem</v>
          </cell>
          <cell r="J55">
            <v>1</v>
          </cell>
          <cell r="K55">
            <v>96.720000000000013</v>
          </cell>
          <cell r="L55">
            <v>0</v>
          </cell>
          <cell r="M55">
            <v>96.720000000000013</v>
          </cell>
          <cell r="N55">
            <v>0</v>
          </cell>
          <cell r="P55">
            <v>1015.44</v>
          </cell>
          <cell r="Q55">
            <v>0</v>
          </cell>
          <cell r="T55">
            <v>0</v>
          </cell>
        </row>
        <row r="56">
          <cell r="C56">
            <v>4987176372222</v>
          </cell>
          <cell r="E56" t="str">
            <v>N</v>
          </cell>
          <cell r="F56" t="str">
            <v>whisper 好自在 無痕早安褲 內褲型, M~L, 3片, 6包</v>
          </cell>
          <cell r="G56">
            <v>465</v>
          </cell>
          <cell r="H56">
            <v>0</v>
          </cell>
          <cell r="I56" t="str">
            <v>Fem</v>
          </cell>
          <cell r="J56">
            <v>1</v>
          </cell>
          <cell r="K56">
            <v>0</v>
          </cell>
          <cell r="L56">
            <v>-230</v>
          </cell>
          <cell r="M56">
            <v>230</v>
          </cell>
          <cell r="N56"/>
          <cell r="P56">
            <v>507.72</v>
          </cell>
          <cell r="Q56">
            <v>0</v>
          </cell>
          <cell r="T56" t="str">
            <v/>
          </cell>
        </row>
        <row r="57">
          <cell r="C57">
            <v>4987176372161</v>
          </cell>
          <cell r="E57" t="str">
            <v>y</v>
          </cell>
          <cell r="F57" t="str">
            <v>whisper 好自在 無痕奢柔褲 內褲型, M~L, 3片, 11包</v>
          </cell>
          <cell r="G57">
            <v>853</v>
          </cell>
          <cell r="H57">
            <v>128.95999999999998</v>
          </cell>
          <cell r="I57" t="str">
            <v>Fem</v>
          </cell>
          <cell r="J57">
            <v>1</v>
          </cell>
          <cell r="K57">
            <v>128.95999999999998</v>
          </cell>
          <cell r="L57">
            <v>0</v>
          </cell>
          <cell r="M57">
            <v>128.95999999999998</v>
          </cell>
          <cell r="N57">
            <v>0</v>
          </cell>
          <cell r="P57">
            <v>1015.44</v>
          </cell>
          <cell r="Q57">
            <v>0</v>
          </cell>
          <cell r="T57">
            <v>0</v>
          </cell>
        </row>
        <row r="58">
          <cell r="C58">
            <v>4987176372192</v>
          </cell>
          <cell r="E58" t="str">
            <v>N</v>
          </cell>
          <cell r="F58" t="str">
            <v>whisper 好自在 無痕奢柔褲 內褲型, M~L, 3片, 6包</v>
          </cell>
          <cell r="G58">
            <v>465</v>
          </cell>
          <cell r="H58">
            <v>4.9599999999999795</v>
          </cell>
          <cell r="I58" t="str">
            <v>Fem</v>
          </cell>
          <cell r="J58">
            <v>1</v>
          </cell>
          <cell r="K58">
            <v>4.9599999999999795</v>
          </cell>
          <cell r="L58">
            <v>25.333333333333314</v>
          </cell>
          <cell r="M58">
            <v>-20.373333333333335</v>
          </cell>
          <cell r="N58">
            <v>4</v>
          </cell>
          <cell r="P58">
            <v>507.72</v>
          </cell>
          <cell r="Q58">
            <v>2030.88</v>
          </cell>
          <cell r="T58" t="str">
            <v/>
          </cell>
        </row>
        <row r="59">
          <cell r="C59">
            <v>4987176372291</v>
          </cell>
          <cell r="E59" t="str">
            <v>y</v>
          </cell>
          <cell r="F59" t="str">
            <v>whisper 好自在 無痕奢柔褲 內褲型, XL, 3片, 11包</v>
          </cell>
          <cell r="G59">
            <v>853</v>
          </cell>
          <cell r="H59">
            <v>128.95999999999998</v>
          </cell>
          <cell r="I59" t="str">
            <v>Fem</v>
          </cell>
          <cell r="J59">
            <v>1</v>
          </cell>
          <cell r="K59">
            <v>128.95999999999998</v>
          </cell>
          <cell r="L59">
            <v>0</v>
          </cell>
          <cell r="M59">
            <v>128.95999999999998</v>
          </cell>
          <cell r="N59">
            <v>0</v>
          </cell>
          <cell r="P59">
            <v>1015.44</v>
          </cell>
          <cell r="Q59">
            <v>0</v>
          </cell>
          <cell r="T59">
            <v>0</v>
          </cell>
        </row>
        <row r="60">
          <cell r="C60">
            <v>4987176372130</v>
          </cell>
          <cell r="E60" t="str">
            <v>N</v>
          </cell>
          <cell r="F60" t="str">
            <v>whisper 好自在 無痕奢柔褲 內褲型, XL, 3片, 6包</v>
          </cell>
          <cell r="G60">
            <v>465</v>
          </cell>
          <cell r="H60">
            <v>0</v>
          </cell>
          <cell r="I60" t="str">
            <v>Fem</v>
          </cell>
          <cell r="J60">
            <v>1</v>
          </cell>
          <cell r="K60">
            <v>0</v>
          </cell>
          <cell r="L60">
            <v>11.333333333333314</v>
          </cell>
          <cell r="M60">
            <v>-11.333333333333314</v>
          </cell>
          <cell r="N60">
            <v>0</v>
          </cell>
          <cell r="P60">
            <v>507.72</v>
          </cell>
          <cell r="Q60">
            <v>0</v>
          </cell>
          <cell r="T60" t="str">
            <v/>
          </cell>
        </row>
        <row r="61">
          <cell r="C61">
            <v>4987176372307</v>
          </cell>
          <cell r="E61" t="str">
            <v>N</v>
          </cell>
          <cell r="F61" t="str">
            <v>whisper 好自在 熊抱安睡褲 L, 夜用, 8片, 3包</v>
          </cell>
          <cell r="G61">
            <v>495</v>
          </cell>
          <cell r="H61">
            <v>1135.2616567060363</v>
          </cell>
          <cell r="I61" t="str">
            <v>Fem</v>
          </cell>
          <cell r="J61">
            <v>1</v>
          </cell>
          <cell r="K61">
            <v>1135.2616567060363</v>
          </cell>
          <cell r="L61">
            <v>0</v>
          </cell>
          <cell r="M61">
            <v>1135.2616567060363</v>
          </cell>
          <cell r="N61"/>
          <cell r="P61">
            <v>507.72</v>
          </cell>
          <cell r="Q61">
            <v>0</v>
          </cell>
          <cell r="T61">
            <v>400</v>
          </cell>
        </row>
        <row r="62">
          <cell r="C62">
            <v>4987176372062</v>
          </cell>
          <cell r="E62" t="str">
            <v>N</v>
          </cell>
          <cell r="F62" t="str">
            <v>whisper 好自在 熊抱安睡褲 M, 夜用, 8片, 3包</v>
          </cell>
          <cell r="G62">
            <v>495</v>
          </cell>
          <cell r="H62">
            <v>250.46362423345056</v>
          </cell>
          <cell r="I62" t="str">
            <v>Fem</v>
          </cell>
          <cell r="J62">
            <v>1</v>
          </cell>
          <cell r="K62">
            <v>250.46362423345056</v>
          </cell>
          <cell r="L62">
            <v>223</v>
          </cell>
          <cell r="M62">
            <v>27.46362423345056</v>
          </cell>
          <cell r="N62"/>
          <cell r="P62">
            <v>507.72</v>
          </cell>
          <cell r="Q62">
            <v>0</v>
          </cell>
          <cell r="T62">
            <v>200</v>
          </cell>
        </row>
        <row r="63">
          <cell r="C63">
            <v>4987176372321</v>
          </cell>
          <cell r="E63" t="str">
            <v>N</v>
          </cell>
          <cell r="F63" t="str">
            <v>whisper 好自在 熊抱安睡褲 XL, 夜用, 8片, 3包</v>
          </cell>
          <cell r="G63">
            <v>495</v>
          </cell>
          <cell r="H63">
            <v>1845.1868656233416</v>
          </cell>
          <cell r="I63" t="str">
            <v>Fem</v>
          </cell>
          <cell r="J63">
            <v>1</v>
          </cell>
          <cell r="K63">
            <v>1845.1868656233416</v>
          </cell>
          <cell r="L63">
            <v>-84</v>
          </cell>
          <cell r="M63">
            <v>1929.1868656233416</v>
          </cell>
          <cell r="N63"/>
          <cell r="P63">
            <v>507.72</v>
          </cell>
          <cell r="Q63">
            <v>0</v>
          </cell>
          <cell r="T63">
            <v>600</v>
          </cell>
        </row>
        <row r="64">
          <cell r="C64">
            <v>4987176372239</v>
          </cell>
          <cell r="E64" t="str">
            <v>N</v>
          </cell>
          <cell r="F64" t="str">
            <v>[DS]whisper 好自在 台灣公司貨 Air Dry Fresh 純棉衛生棉 日用輕量型, 18cm, 12片, 12包</v>
          </cell>
          <cell r="G64">
            <v>495</v>
          </cell>
          <cell r="H64">
            <v>26.150222222222222</v>
          </cell>
          <cell r="I64" t="str">
            <v>Fem</v>
          </cell>
          <cell r="J64">
            <v>1</v>
          </cell>
          <cell r="K64">
            <v>26.150222222222222</v>
          </cell>
          <cell r="L64">
            <v>0</v>
          </cell>
          <cell r="M64">
            <v>26.150222222222222</v>
          </cell>
          <cell r="N64"/>
          <cell r="P64">
            <v>507.72</v>
          </cell>
          <cell r="Q64">
            <v>0</v>
          </cell>
          <cell r="T64">
            <v>0</v>
          </cell>
        </row>
        <row r="65">
          <cell r="C65">
            <v>4987176369383</v>
          </cell>
          <cell r="E65" t="str">
            <v>N</v>
          </cell>
          <cell r="F65" t="str">
            <v>[DS]whisper 好自在 台灣公司貨 Air Dry Fresh 純棉衛生棉 日用輕量型, 18cm, 12片, 22包</v>
          </cell>
          <cell r="G65">
            <v>449</v>
          </cell>
          <cell r="H65">
            <v>16.119999999999997</v>
          </cell>
          <cell r="I65" t="str">
            <v>Fem</v>
          </cell>
          <cell r="J65">
            <v>1</v>
          </cell>
          <cell r="K65">
            <v>16.119999999999997</v>
          </cell>
          <cell r="L65">
            <v>-24</v>
          </cell>
          <cell r="M65">
            <v>40.119999999999997</v>
          </cell>
          <cell r="N65"/>
          <cell r="P65">
            <v>1015.44</v>
          </cell>
          <cell r="Q65">
            <v>0</v>
          </cell>
          <cell r="T65">
            <v>0</v>
          </cell>
        </row>
        <row r="66">
          <cell r="C66">
            <v>4987176372116</v>
          </cell>
          <cell r="E66" t="str">
            <v>N</v>
          </cell>
          <cell r="F66" t="str">
            <v>whisper 好自在 AirDry 雲枕瞬吸量大組 20片 5包 + 12片 2包, 28cm + 18cm, 124片, 1套</v>
          </cell>
          <cell r="G66">
            <v>495</v>
          </cell>
          <cell r="H66">
            <v>16.119999999999997</v>
          </cell>
          <cell r="I66" t="str">
            <v>Fem</v>
          </cell>
          <cell r="J66">
            <v>1</v>
          </cell>
          <cell r="K66">
            <v>16.119999999999997</v>
          </cell>
          <cell r="L66">
            <v>0</v>
          </cell>
          <cell r="M66">
            <v>16.119999999999997</v>
          </cell>
          <cell r="N66"/>
          <cell r="P66">
            <v>507.72</v>
          </cell>
          <cell r="Q66">
            <v>0</v>
          </cell>
          <cell r="T66">
            <v>0</v>
          </cell>
        </row>
        <row r="67">
          <cell r="C67">
            <v>4987176372208</v>
          </cell>
          <cell r="E67" t="str">
            <v>N</v>
          </cell>
          <cell r="F67" t="str">
            <v>whisper 好自在 AirDry 雲枕瞬吸普通組 20片 5包 + 12片 2包, 24cm + 18cm, 124片, 1套</v>
          </cell>
          <cell r="G67">
            <v>495</v>
          </cell>
          <cell r="H67">
            <v>16.119999999999997</v>
          </cell>
          <cell r="I67" t="str">
            <v>Fem</v>
          </cell>
          <cell r="J67">
            <v>1</v>
          </cell>
          <cell r="K67">
            <v>16.119999999999997</v>
          </cell>
          <cell r="L67">
            <v>0</v>
          </cell>
          <cell r="M67">
            <v>16.119999999999997</v>
          </cell>
          <cell r="N67"/>
          <cell r="P67">
            <v>507.72</v>
          </cell>
          <cell r="Q67">
            <v>0</v>
          </cell>
          <cell r="T67">
            <v>0</v>
          </cell>
        </row>
        <row r="68">
          <cell r="C68">
            <v>4987176372253</v>
          </cell>
          <cell r="E68" t="str">
            <v>y</v>
          </cell>
          <cell r="F68" t="str">
            <v>whisper 好自在 熊抱安睡褲 內褲型, M, 44片, 1套</v>
          </cell>
          <cell r="G68">
            <v>895</v>
          </cell>
          <cell r="H68">
            <v>89.412266666666682</v>
          </cell>
          <cell r="I68" t="str">
            <v>Fem</v>
          </cell>
          <cell r="J68">
            <v>1</v>
          </cell>
          <cell r="K68">
            <v>89.412266666666682</v>
          </cell>
          <cell r="L68">
            <v>0</v>
          </cell>
          <cell r="M68">
            <v>89.412266666666682</v>
          </cell>
          <cell r="N68">
            <v>0</v>
          </cell>
          <cell r="P68">
            <v>1015.44</v>
          </cell>
          <cell r="Q68">
            <v>0</v>
          </cell>
          <cell r="T68">
            <v>0</v>
          </cell>
        </row>
        <row r="69">
          <cell r="C69">
            <v>4987176372277</v>
          </cell>
          <cell r="E69" t="str">
            <v>y</v>
          </cell>
          <cell r="F69" t="str">
            <v>whisper 好自在 熊抱安睡褲 內褲型, XL, 44片, 1套</v>
          </cell>
          <cell r="G69">
            <v>895</v>
          </cell>
          <cell r="H69">
            <v>366.78373333333337</v>
          </cell>
          <cell r="I69" t="str">
            <v>Fem</v>
          </cell>
          <cell r="J69">
            <v>1</v>
          </cell>
          <cell r="K69">
            <v>366.78373333333337</v>
          </cell>
          <cell r="L69">
            <v>0</v>
          </cell>
          <cell r="M69">
            <v>366.78373333333337</v>
          </cell>
          <cell r="N69">
            <v>0</v>
          </cell>
          <cell r="P69">
            <v>1015.44</v>
          </cell>
          <cell r="Q69">
            <v>0</v>
          </cell>
          <cell r="T69">
            <v>0</v>
          </cell>
        </row>
        <row r="70">
          <cell r="C70">
            <v>4987176372123</v>
          </cell>
          <cell r="E70" t="str">
            <v>N</v>
          </cell>
          <cell r="F70" t="str">
            <v>whisper 好自在 液體衛生棉 18片 7包 + 清新淨味液體衛生棉 9片 4包, 24cm, 162片, 1套</v>
          </cell>
          <cell r="G70">
            <v>1330</v>
          </cell>
          <cell r="H70">
            <v>16.119999999999997</v>
          </cell>
          <cell r="I70" t="str">
            <v>Fem</v>
          </cell>
          <cell r="J70">
            <v>1</v>
          </cell>
          <cell r="K70">
            <v>16.119999999999997</v>
          </cell>
          <cell r="L70">
            <v>0</v>
          </cell>
          <cell r="M70">
            <v>16.119999999999997</v>
          </cell>
          <cell r="N70"/>
          <cell r="P70">
            <v>1508</v>
          </cell>
          <cell r="Q70">
            <v>0</v>
          </cell>
          <cell r="T70">
            <v>0</v>
          </cell>
        </row>
        <row r="71">
          <cell r="C71">
            <v>4987176372246</v>
          </cell>
          <cell r="E71" t="str">
            <v>N</v>
          </cell>
          <cell r="F71" t="str">
            <v>whisper 好自在 液體衛生棉 16片 2包 + 清新淨味液體衛生棉 9片 2包, 27cm, 50片, 1套</v>
          </cell>
          <cell r="G71">
            <v>435</v>
          </cell>
          <cell r="H71">
            <v>16.119999999999997</v>
          </cell>
          <cell r="I71" t="str">
            <v>Fem</v>
          </cell>
          <cell r="J71">
            <v>1</v>
          </cell>
          <cell r="K71">
            <v>16.119999999999997</v>
          </cell>
          <cell r="L71">
            <v>0</v>
          </cell>
          <cell r="M71">
            <v>16.119999999999997</v>
          </cell>
          <cell r="N71"/>
          <cell r="P71">
            <v>507.72</v>
          </cell>
          <cell r="Q71">
            <v>0</v>
          </cell>
          <cell r="T71">
            <v>0</v>
          </cell>
        </row>
        <row r="72">
          <cell r="C72">
            <v>4987176369345</v>
          </cell>
          <cell r="E72" t="str">
            <v>N</v>
          </cell>
          <cell r="F72" t="str">
            <v>whisper 好自在 AirDry 雲枕瞬吸普通組 20片 9包 + 12片 3包, 24cm + 18cm, 216片, 1套</v>
          </cell>
          <cell r="G72">
            <v>449</v>
          </cell>
          <cell r="H72">
            <v>5.4</v>
          </cell>
          <cell r="I72" t="str">
            <v>Fem</v>
          </cell>
          <cell r="J72">
            <v>1</v>
          </cell>
          <cell r="K72">
            <v>5.4</v>
          </cell>
          <cell r="L72">
            <v>0</v>
          </cell>
          <cell r="M72">
            <v>5.4</v>
          </cell>
          <cell r="N72"/>
          <cell r="P72">
            <v>1015.44</v>
          </cell>
          <cell r="Q72">
            <v>0</v>
          </cell>
          <cell r="T72">
            <v>0</v>
          </cell>
        </row>
        <row r="73">
          <cell r="C73">
            <v>4987176372154</v>
          </cell>
          <cell r="E73" t="str">
            <v>N</v>
          </cell>
          <cell r="F73" t="str">
            <v>whisper 好自在 液體衛生棉 16片 5包 + 清新淨味液體衛生棉 9片 3包, 27cm, 107片, 1套</v>
          </cell>
          <cell r="G73">
            <v>883</v>
          </cell>
          <cell r="H73">
            <v>47.666666666666671</v>
          </cell>
          <cell r="I73" t="str">
            <v>Fem</v>
          </cell>
          <cell r="J73">
            <v>1</v>
          </cell>
          <cell r="K73">
            <v>47.666666666666671</v>
          </cell>
          <cell r="L73">
            <v>164</v>
          </cell>
          <cell r="M73">
            <v>-116.33333333333333</v>
          </cell>
          <cell r="N73">
            <v>47</v>
          </cell>
          <cell r="P73">
            <v>1107</v>
          </cell>
          <cell r="Q73">
            <v>52029</v>
          </cell>
          <cell r="T73">
            <v>0</v>
          </cell>
        </row>
        <row r="74">
          <cell r="C74">
            <v>4987176372109</v>
          </cell>
          <cell r="E74" t="str">
            <v>N</v>
          </cell>
          <cell r="F74" t="str">
            <v>whisper 好自在 液體衛生棉 18片 2包 + 清新淨味液體衛生棉 9片 2包, 24cm, 54片, 1套</v>
          </cell>
          <cell r="G74">
            <v>435</v>
          </cell>
          <cell r="H74">
            <v>16.119999999999997</v>
          </cell>
          <cell r="I74" t="str">
            <v>Fem</v>
          </cell>
          <cell r="J74">
            <v>1</v>
          </cell>
          <cell r="K74">
            <v>16.119999999999997</v>
          </cell>
          <cell r="L74">
            <v>0</v>
          </cell>
          <cell r="M74">
            <v>16.119999999999997</v>
          </cell>
          <cell r="N74"/>
          <cell r="P74">
            <v>507.72</v>
          </cell>
          <cell r="Q74">
            <v>0</v>
          </cell>
          <cell r="T74">
            <v>0</v>
          </cell>
        </row>
        <row r="75">
          <cell r="C75">
            <v>4987176372079</v>
          </cell>
          <cell r="E75" t="str">
            <v>N</v>
          </cell>
          <cell r="F75" t="str">
            <v>whisper 好自在 液體衛生棉 9片 9包 + 清新淨味液體衛生棉 9片 3包, 29.5cm + 31.7cm, 108片, 1套</v>
          </cell>
          <cell r="G75">
            <v>883</v>
          </cell>
          <cell r="H75">
            <v>0</v>
          </cell>
          <cell r="I75" t="str">
            <v>Fem</v>
          </cell>
          <cell r="J75">
            <v>1</v>
          </cell>
          <cell r="K75">
            <v>0</v>
          </cell>
          <cell r="L75">
            <v>-99.333333333333343</v>
          </cell>
          <cell r="M75">
            <v>99.333333333333343</v>
          </cell>
          <cell r="N75"/>
          <cell r="P75">
            <v>1107</v>
          </cell>
          <cell r="Q75">
            <v>0</v>
          </cell>
          <cell r="T75">
            <v>0</v>
          </cell>
        </row>
        <row r="76">
          <cell r="C76">
            <v>4987176372260</v>
          </cell>
          <cell r="E76" t="str">
            <v>N</v>
          </cell>
          <cell r="F76" t="str">
            <v>whisper 好自在 液體衛生棉 9片 4包 + 清新淨味液體衛生棉 9片 2包, 29.5cm + 31.7cm, 54片, 1套</v>
          </cell>
          <cell r="G76">
            <v>435</v>
          </cell>
          <cell r="H76">
            <v>16.119999999999997</v>
          </cell>
          <cell r="I76" t="str">
            <v>Fem</v>
          </cell>
          <cell r="J76">
            <v>1</v>
          </cell>
          <cell r="K76">
            <v>16.119999999999997</v>
          </cell>
          <cell r="L76">
            <v>0</v>
          </cell>
          <cell r="M76">
            <v>16.119999999999997</v>
          </cell>
          <cell r="N76"/>
          <cell r="P76">
            <v>507.72</v>
          </cell>
          <cell r="Q76">
            <v>0</v>
          </cell>
          <cell r="T76">
            <v>0</v>
          </cell>
        </row>
        <row r="77">
          <cell r="C77">
            <v>4987176372086</v>
          </cell>
          <cell r="E77" t="str">
            <v>N</v>
          </cell>
          <cell r="F77" t="str">
            <v>whisper 好自在 液體衛生棉 10片 9包 + 清新淨味液體衛生棉 9片 2包, 34cm + 31.7cm, 108片, 1套</v>
          </cell>
          <cell r="G77">
            <v>883</v>
          </cell>
          <cell r="H77">
            <v>184.79999999999993</v>
          </cell>
          <cell r="I77" t="str">
            <v>Fem</v>
          </cell>
          <cell r="J77">
            <v>1</v>
          </cell>
          <cell r="K77">
            <v>184.79999999999993</v>
          </cell>
          <cell r="L77">
            <v>-8</v>
          </cell>
          <cell r="M77">
            <v>192.79999999999993</v>
          </cell>
          <cell r="N77"/>
          <cell r="P77">
            <v>1107</v>
          </cell>
          <cell r="Q77">
            <v>0</v>
          </cell>
          <cell r="T77">
            <v>0</v>
          </cell>
        </row>
        <row r="78">
          <cell r="C78">
            <v>4987176372215</v>
          </cell>
          <cell r="E78" t="str">
            <v>N</v>
          </cell>
          <cell r="F78" t="str">
            <v>whisper 好自在 液體衛生棉 10片 3包 + 清新淨味液體衛生棉 9片 2包, 34cm + 31.7cm, 48片, 1套</v>
          </cell>
          <cell r="G78">
            <v>435</v>
          </cell>
          <cell r="H78">
            <v>16.119999999999997</v>
          </cell>
          <cell r="I78" t="str">
            <v>Fem</v>
          </cell>
          <cell r="J78">
            <v>1</v>
          </cell>
          <cell r="K78">
            <v>16.119999999999997</v>
          </cell>
          <cell r="L78">
            <v>0</v>
          </cell>
          <cell r="M78">
            <v>16.119999999999997</v>
          </cell>
          <cell r="N78"/>
          <cell r="P78">
            <v>507.72</v>
          </cell>
          <cell r="Q78">
            <v>0</v>
          </cell>
          <cell r="T78">
            <v>0</v>
          </cell>
        </row>
        <row r="79">
          <cell r="C79">
            <v>4987176372055</v>
          </cell>
          <cell r="E79" t="str">
            <v>N</v>
          </cell>
          <cell r="F79" t="str">
            <v>whisper 好自在 液體衛生棉 9片 14包 + 清新淨味液體衛生棉 9片 4包, 29.5cm + 31.7cm, 162片, 1套</v>
          </cell>
          <cell r="G79">
            <v>1330</v>
          </cell>
          <cell r="H79">
            <v>16.119999999999997</v>
          </cell>
          <cell r="I79" t="str">
            <v>Fem</v>
          </cell>
          <cell r="J79">
            <v>1</v>
          </cell>
          <cell r="K79">
            <v>16.119999999999997</v>
          </cell>
          <cell r="L79">
            <v>0</v>
          </cell>
          <cell r="M79">
            <v>16.119999999999997</v>
          </cell>
          <cell r="N79"/>
          <cell r="P79">
            <v>1508</v>
          </cell>
          <cell r="Q79">
            <v>0</v>
          </cell>
          <cell r="T79">
            <v>0</v>
          </cell>
        </row>
        <row r="80">
          <cell r="C80">
            <v>4987176372284</v>
          </cell>
          <cell r="E80" t="str">
            <v>N</v>
          </cell>
          <cell r="F80" t="str">
            <v>whisper 好自在 液體衛生棉 18片 5包 + 清新淨味液體衛生棉 9片 2包, 24cm, 108片, 1套</v>
          </cell>
          <cell r="G80">
            <v>883</v>
          </cell>
          <cell r="H80">
            <v>74.200000000000131</v>
          </cell>
          <cell r="I80" t="str">
            <v>Fem</v>
          </cell>
          <cell r="J80">
            <v>1</v>
          </cell>
          <cell r="K80">
            <v>74.200000000000131</v>
          </cell>
          <cell r="L80">
            <v>-90</v>
          </cell>
          <cell r="M80">
            <v>164.20000000000013</v>
          </cell>
          <cell r="N80"/>
          <cell r="P80">
            <v>1107</v>
          </cell>
          <cell r="Q80">
            <v>0</v>
          </cell>
          <cell r="T80">
            <v>0</v>
          </cell>
        </row>
        <row r="81">
          <cell r="C81">
            <v>4987176372048</v>
          </cell>
          <cell r="E81" t="str">
            <v>N</v>
          </cell>
          <cell r="F81" t="str">
            <v>whisper 好自在 液體衛生棉 10片 12包 + 清新淨味液體衛生棉 9片 4包, 34cm + 31.7cm, 156片, 1套</v>
          </cell>
          <cell r="G81">
            <v>1330</v>
          </cell>
          <cell r="H81">
            <v>16.119999999999997</v>
          </cell>
          <cell r="I81" t="str">
            <v>Fem</v>
          </cell>
          <cell r="J81">
            <v>1</v>
          </cell>
          <cell r="K81">
            <v>16.119999999999997</v>
          </cell>
          <cell r="L81">
            <v>0</v>
          </cell>
          <cell r="M81">
            <v>16.119999999999997</v>
          </cell>
          <cell r="N81"/>
          <cell r="P81">
            <v>1508</v>
          </cell>
          <cell r="Q81">
            <v>0</v>
          </cell>
          <cell r="T81">
            <v>0</v>
          </cell>
        </row>
        <row r="82">
          <cell r="C82">
            <v>4987176372147</v>
          </cell>
          <cell r="E82" t="str">
            <v>N</v>
          </cell>
          <cell r="F82" t="str">
            <v>whisper 好自在 液體衛生棉 16片 8包 + 清新淨味液體衛生棉 9片 4包, 27cm, 164片, 1套</v>
          </cell>
          <cell r="G82">
            <v>1330</v>
          </cell>
          <cell r="H82">
            <v>16.119999999999997</v>
          </cell>
          <cell r="I82" t="str">
            <v>Fem</v>
          </cell>
          <cell r="J82">
            <v>1</v>
          </cell>
          <cell r="K82">
            <v>16.119999999999997</v>
          </cell>
          <cell r="L82">
            <v>0</v>
          </cell>
          <cell r="M82">
            <v>16.119999999999997</v>
          </cell>
          <cell r="N82"/>
          <cell r="P82">
            <v>1508</v>
          </cell>
          <cell r="Q82">
            <v>0</v>
          </cell>
          <cell r="T82">
            <v>0</v>
          </cell>
        </row>
        <row r="83">
          <cell r="C83">
            <v>4987176369352</v>
          </cell>
          <cell r="E83" t="str">
            <v>N</v>
          </cell>
          <cell r="F83" t="str">
            <v>whisper 好自在 AirDry 雲枕瞬吸量大組 20片 9包 + 12片 3包, 28cm +18cm, 216片, 1套</v>
          </cell>
          <cell r="G83">
            <v>449</v>
          </cell>
          <cell r="H83">
            <v>5.4</v>
          </cell>
          <cell r="I83" t="str">
            <v>Fem</v>
          </cell>
          <cell r="J83">
            <v>1</v>
          </cell>
          <cell r="K83">
            <v>5.4</v>
          </cell>
          <cell r="L83">
            <v>0</v>
          </cell>
          <cell r="M83">
            <v>5.4</v>
          </cell>
          <cell r="N83"/>
          <cell r="P83">
            <v>1015.44</v>
          </cell>
          <cell r="Q83">
            <v>0</v>
          </cell>
          <cell r="T83">
            <v>0</v>
          </cell>
        </row>
        <row r="84">
          <cell r="C84">
            <v>4987176372185</v>
          </cell>
          <cell r="E84" t="str">
            <v>N</v>
          </cell>
          <cell r="F84" t="str">
            <v>whisper 好自在 AirDry Fresh 草本健康普通組 20片 5包 + 12片 2包, 24cm + 18cm, 124片, 1套</v>
          </cell>
          <cell r="G84">
            <v>495</v>
          </cell>
          <cell r="H84">
            <v>16.119999999999997</v>
          </cell>
          <cell r="I84" t="str">
            <v>Fem</v>
          </cell>
          <cell r="J84">
            <v>1</v>
          </cell>
          <cell r="K84">
            <v>16.119999999999997</v>
          </cell>
          <cell r="L84">
            <v>0</v>
          </cell>
          <cell r="M84">
            <v>16.119999999999997</v>
          </cell>
          <cell r="N84"/>
          <cell r="P84">
            <v>507.72</v>
          </cell>
          <cell r="Q84">
            <v>0</v>
          </cell>
          <cell r="T84">
            <v>0</v>
          </cell>
        </row>
        <row r="85">
          <cell r="C85">
            <v>4987176369376</v>
          </cell>
          <cell r="E85" t="str">
            <v>N</v>
          </cell>
          <cell r="F85" t="str">
            <v>whisper 好自在 AirDry Fresh 草本健康量大組 20片 9包 + 12片 3包, 28cm + 18cm, 216片, 1套</v>
          </cell>
          <cell r="G85">
            <v>449</v>
          </cell>
          <cell r="H85">
            <v>16.119999999999997</v>
          </cell>
          <cell r="I85" t="str">
            <v>Fem</v>
          </cell>
          <cell r="J85">
            <v>1</v>
          </cell>
          <cell r="K85">
            <v>16.119999999999997</v>
          </cell>
          <cell r="L85">
            <v>0</v>
          </cell>
          <cell r="M85">
            <v>16.119999999999997</v>
          </cell>
          <cell r="N85"/>
          <cell r="P85">
            <v>1015.44</v>
          </cell>
          <cell r="Q85">
            <v>0</v>
          </cell>
          <cell r="T85">
            <v>0</v>
          </cell>
        </row>
        <row r="86">
          <cell r="C86">
            <v>4987176325662</v>
          </cell>
          <cell r="D86"/>
          <cell r="E86" t="str">
            <v>N</v>
          </cell>
          <cell r="F86" t="str">
            <v>whisper 好自在 AirDry 雲枕瞬吸量大組 10片+ 12片, 28cm + 18cm, 22片, 1套</v>
          </cell>
          <cell r="G86">
            <v>36</v>
          </cell>
          <cell r="H86">
            <v>0</v>
          </cell>
          <cell r="I86" t="str">
            <v>Fem</v>
          </cell>
          <cell r="J86">
            <v>24</v>
          </cell>
          <cell r="K86">
            <v>0</v>
          </cell>
          <cell r="L86">
            <v>445</v>
          </cell>
          <cell r="M86">
            <v>-445</v>
          </cell>
          <cell r="N86">
            <v>0</v>
          </cell>
          <cell r="P86">
            <v>1883.39</v>
          </cell>
          <cell r="Q86">
            <v>0</v>
          </cell>
          <cell r="T86">
            <v>0</v>
          </cell>
        </row>
        <row r="87">
          <cell r="C87">
            <v>4987176325655</v>
          </cell>
          <cell r="D87"/>
          <cell r="E87" t="str">
            <v>N</v>
          </cell>
          <cell r="F87" t="str">
            <v>whisper 好自在 AirDry Fresh 草本健康量大組 10片 + 12片, 28cm + 18m, 22片, 1套</v>
          </cell>
          <cell r="G87">
            <v>36</v>
          </cell>
          <cell r="H87">
            <v>16.119999999999997</v>
          </cell>
          <cell r="I87" t="str">
            <v>Fem</v>
          </cell>
          <cell r="J87">
            <v>24</v>
          </cell>
          <cell r="K87">
            <v>0.67166666666666652</v>
          </cell>
          <cell r="L87">
            <v>469</v>
          </cell>
          <cell r="M87">
            <v>-468.32833333333332</v>
          </cell>
          <cell r="N87">
            <v>0</v>
          </cell>
          <cell r="P87">
            <v>1883.39</v>
          </cell>
          <cell r="Q87">
            <v>0</v>
          </cell>
          <cell r="T87">
            <v>0</v>
          </cell>
        </row>
        <row r="88">
          <cell r="C88">
            <v>4987176369369</v>
          </cell>
          <cell r="E88" t="str">
            <v>N</v>
          </cell>
          <cell r="F88" t="str">
            <v>whisper 好自在 AirDry Fresh 草本健康普通組 20片 9包 + 12片 3包, 24cm + 18cm, 216片, 1套</v>
          </cell>
          <cell r="G88">
            <v>449</v>
          </cell>
          <cell r="H88">
            <v>16.119999999999997</v>
          </cell>
          <cell r="I88" t="str">
            <v>Fem</v>
          </cell>
          <cell r="J88">
            <v>1</v>
          </cell>
          <cell r="K88">
            <v>16.119999999999997</v>
          </cell>
          <cell r="L88">
            <v>0</v>
          </cell>
          <cell r="M88">
            <v>16.119999999999997</v>
          </cell>
          <cell r="N88"/>
          <cell r="P88">
            <v>1015.44</v>
          </cell>
          <cell r="Q88">
            <v>0</v>
          </cell>
          <cell r="T88">
            <v>0</v>
          </cell>
        </row>
        <row r="89">
          <cell r="C89">
            <v>4987176372093</v>
          </cell>
          <cell r="E89" t="str">
            <v>N</v>
          </cell>
          <cell r="F89" t="str">
            <v>whisper 好自在 AirDry Fresh 草本健康量大組 20片 5包 + 12片 2包, 28cm + 18cm, 124片, 1套</v>
          </cell>
          <cell r="G89">
            <v>495</v>
          </cell>
          <cell r="H89">
            <v>16.119999999999997</v>
          </cell>
          <cell r="I89" t="str">
            <v>Fem</v>
          </cell>
          <cell r="J89">
            <v>1</v>
          </cell>
          <cell r="K89">
            <v>16.119999999999997</v>
          </cell>
          <cell r="L89">
            <v>-24</v>
          </cell>
          <cell r="M89">
            <v>40.119999999999997</v>
          </cell>
          <cell r="N89"/>
          <cell r="P89">
            <v>507.72</v>
          </cell>
          <cell r="Q89">
            <v>0</v>
          </cell>
          <cell r="T89">
            <v>0</v>
          </cell>
        </row>
        <row r="90">
          <cell r="C90">
            <v>6903148355923</v>
          </cell>
          <cell r="E90" t="str">
            <v>N</v>
          </cell>
          <cell r="F90" t="str">
            <v>whisper 好自在 無痕早安褲, 內褲型, XL, 3片, 1包</v>
          </cell>
          <cell r="G90">
            <v>78</v>
          </cell>
          <cell r="H90">
            <v>374.4</v>
          </cell>
          <cell r="I90" t="str">
            <v>Fem</v>
          </cell>
          <cell r="J90">
            <v>16</v>
          </cell>
          <cell r="K90">
            <v>23.4</v>
          </cell>
          <cell r="L90">
            <v>6.75</v>
          </cell>
          <cell r="M90">
            <v>16.649999999999999</v>
          </cell>
          <cell r="N90"/>
          <cell r="P90">
            <v>1431.63</v>
          </cell>
          <cell r="Q90">
            <v>0</v>
          </cell>
          <cell r="T90">
            <v>0</v>
          </cell>
        </row>
        <row r="91">
          <cell r="C91">
            <v>30772121009</v>
          </cell>
          <cell r="E91" t="str">
            <v>Y</v>
          </cell>
          <cell r="F91" t="str">
            <v>Tide 汰漬 台灣公司貨 2倍超濃縮洗衣精, 3.9L, 1桶</v>
          </cell>
          <cell r="G91">
            <v>564</v>
          </cell>
          <cell r="H91">
            <v>0</v>
          </cell>
          <cell r="I91" t="str">
            <v>Fabric</v>
          </cell>
          <cell r="J91">
            <v>4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P91">
            <v>2376.48</v>
          </cell>
          <cell r="Q91">
            <v>0</v>
          </cell>
        </row>
        <row r="92">
          <cell r="C92">
            <v>4987176393326</v>
          </cell>
          <cell r="D92"/>
          <cell r="E92" t="str">
            <v>N</v>
          </cell>
          <cell r="F92" t="str">
            <v>Tide 汰漬 台灣公司貨 2倍超濃縮洗衣精, 3.69L, 1桶</v>
          </cell>
          <cell r="G92">
            <v>564</v>
          </cell>
          <cell r="H92">
            <v>428.79200000000003</v>
          </cell>
          <cell r="I92" t="str">
            <v>Fabric</v>
          </cell>
          <cell r="J92">
            <v>4</v>
          </cell>
          <cell r="K92">
            <v>107.19800000000001</v>
          </cell>
          <cell r="L92">
            <v>0</v>
          </cell>
          <cell r="M92"/>
          <cell r="N92">
            <v>428</v>
          </cell>
          <cell r="P92">
            <v>2376.48</v>
          </cell>
          <cell r="Q92">
            <v>254283.36000000002</v>
          </cell>
        </row>
        <row r="93">
          <cell r="C93">
            <v>4902430798631</v>
          </cell>
          <cell r="E93" t="str">
            <v>N</v>
          </cell>
          <cell r="F93" t="str">
            <v>PeRT 飛柔 柔順茉莉香氛洗髮露, 530g, 1瓶</v>
          </cell>
          <cell r="G93">
            <v>150</v>
          </cell>
          <cell r="H93">
            <v>209.55999999999997</v>
          </cell>
          <cell r="I93" t="str">
            <v>Hair</v>
          </cell>
          <cell r="J93">
            <v>12</v>
          </cell>
          <cell r="K93">
            <v>17.463333333333331</v>
          </cell>
          <cell r="L93" t="e">
            <v>#N/A</v>
          </cell>
          <cell r="M93" t="e">
            <v>#N/A</v>
          </cell>
          <cell r="N93"/>
          <cell r="P93">
            <v>1892.29</v>
          </cell>
          <cell r="Q93">
            <v>0</v>
          </cell>
        </row>
        <row r="94">
          <cell r="C94">
            <v>4987176040589</v>
          </cell>
          <cell r="E94" t="str">
            <v>N</v>
          </cell>
          <cell r="F94" t="str">
            <v>Pert 飛柔 免沖洗瞬效護髮精華滋養修護 按壓瓶 380g, 1瓶</v>
          </cell>
          <cell r="G94">
            <v>173</v>
          </cell>
          <cell r="H94">
            <v>516.90882952707227</v>
          </cell>
          <cell r="I94" t="str">
            <v>Hair</v>
          </cell>
          <cell r="J94">
            <v>6</v>
          </cell>
          <cell r="K94">
            <v>86.151471587845379</v>
          </cell>
          <cell r="L94">
            <v>-154</v>
          </cell>
          <cell r="M94">
            <v>86</v>
          </cell>
          <cell r="N94"/>
          <cell r="P94">
            <v>1161</v>
          </cell>
          <cell r="Q94">
            <v>0</v>
          </cell>
          <cell r="R94">
            <v>0</v>
          </cell>
        </row>
        <row r="95">
          <cell r="C95">
            <v>4987176151322</v>
          </cell>
          <cell r="E95" t="str">
            <v>N</v>
          </cell>
          <cell r="F95" t="str">
            <v>PERT 飛柔 免沖洗瞬效護髮精華, 清爽修護, 380g, 1瓶</v>
          </cell>
          <cell r="G95">
            <v>170</v>
          </cell>
          <cell r="H95">
            <v>297</v>
          </cell>
          <cell r="I95" t="str">
            <v>Hair</v>
          </cell>
          <cell r="J95">
            <v>6</v>
          </cell>
          <cell r="K95">
            <v>49.5</v>
          </cell>
          <cell r="L95">
            <v>-37</v>
          </cell>
          <cell r="M95"/>
          <cell r="N95">
            <v>294</v>
          </cell>
          <cell r="P95">
            <v>1161</v>
          </cell>
          <cell r="Q95">
            <v>56889</v>
          </cell>
          <cell r="R95">
            <v>0</v>
          </cell>
        </row>
        <row r="96">
          <cell r="C96">
            <v>4987176149978</v>
          </cell>
          <cell r="E96" t="str">
            <v>N</v>
          </cell>
          <cell r="F96" t="str">
            <v>PERT 飛柔 精萃潤養洗髮露, 750g, 1瓶</v>
          </cell>
          <cell r="G96">
            <v>113</v>
          </cell>
          <cell r="H96">
            <v>1202.5519999999999</v>
          </cell>
          <cell r="I96" t="str">
            <v>Hair</v>
          </cell>
          <cell r="J96">
            <v>6</v>
          </cell>
          <cell r="K96">
            <v>200.42533333333333</v>
          </cell>
          <cell r="L96" t="e">
            <v>#N/A</v>
          </cell>
          <cell r="M96" t="e">
            <v>#N/A</v>
          </cell>
          <cell r="N96"/>
          <cell r="P96">
            <v>782.4</v>
          </cell>
          <cell r="Q96">
            <v>0</v>
          </cell>
        </row>
        <row r="97">
          <cell r="C97">
            <v>4987176150004</v>
          </cell>
          <cell r="E97" t="str">
            <v>N</v>
          </cell>
          <cell r="F97" t="str">
            <v>PERT 飛柔 人參萃取修護洗髮露, 750g, 1瓶</v>
          </cell>
          <cell r="G97">
            <v>113</v>
          </cell>
          <cell r="H97">
            <v>317.56399999999996</v>
          </cell>
          <cell r="I97" t="str">
            <v>Hair</v>
          </cell>
          <cell r="J97">
            <v>6</v>
          </cell>
          <cell r="K97">
            <v>52.92733333333333</v>
          </cell>
          <cell r="L97" t="e">
            <v>#N/A</v>
          </cell>
          <cell r="M97" t="e">
            <v>#N/A</v>
          </cell>
          <cell r="N97"/>
          <cell r="P97">
            <v>782.4</v>
          </cell>
          <cell r="Q97">
            <v>0</v>
          </cell>
        </row>
        <row r="98">
          <cell r="C98">
            <v>4987176149954</v>
          </cell>
          <cell r="E98" t="str">
            <v>N</v>
          </cell>
          <cell r="F98" t="str">
            <v>PERT 飛柔 洗髮露, 滋潤去屑, 750g, 1瓶</v>
          </cell>
          <cell r="G98">
            <v>113</v>
          </cell>
          <cell r="H98">
            <v>1503.9960000000001</v>
          </cell>
          <cell r="I98" t="str">
            <v>Hair</v>
          </cell>
          <cell r="J98">
            <v>6</v>
          </cell>
          <cell r="K98">
            <v>250.66600000000003</v>
          </cell>
          <cell r="L98" t="e">
            <v>#N/A</v>
          </cell>
          <cell r="M98" t="e">
            <v>#N/A</v>
          </cell>
          <cell r="N98"/>
          <cell r="P98">
            <v>782.4</v>
          </cell>
          <cell r="Q98">
            <v>0</v>
          </cell>
        </row>
        <row r="99">
          <cell r="C99">
            <v>4987176149916</v>
          </cell>
          <cell r="E99" t="str">
            <v>N</v>
          </cell>
          <cell r="F99" t="str">
            <v>PERT 飛柔 洗髮露, 控油止癢, 750g, 1瓶</v>
          </cell>
          <cell r="G99">
            <v>113</v>
          </cell>
          <cell r="H99">
            <v>3369.0800000000004</v>
          </cell>
          <cell r="I99" t="str">
            <v>Hair</v>
          </cell>
          <cell r="J99">
            <v>6</v>
          </cell>
          <cell r="K99">
            <v>561.51333333333343</v>
          </cell>
          <cell r="L99" t="e">
            <v>#N/A</v>
          </cell>
          <cell r="M99" t="e">
            <v>#N/A</v>
          </cell>
          <cell r="N99"/>
          <cell r="P99">
            <v>782.4</v>
          </cell>
          <cell r="Q99">
            <v>0</v>
          </cell>
        </row>
        <row r="100">
          <cell r="C100">
            <v>4987176150028</v>
          </cell>
          <cell r="E100" t="str">
            <v>N</v>
          </cell>
          <cell r="F100" t="str">
            <v>PERT 飛柔 潤髮乳, 滋潤去屑, 750g, 1瓶</v>
          </cell>
          <cell r="G100">
            <v>113</v>
          </cell>
          <cell r="H100">
            <v>257.91999999999996</v>
          </cell>
          <cell r="I100" t="str">
            <v>Hair</v>
          </cell>
          <cell r="J100">
            <v>6</v>
          </cell>
          <cell r="K100">
            <v>42.986666666666657</v>
          </cell>
          <cell r="L100" t="e">
            <v>#N/A</v>
          </cell>
          <cell r="M100" t="e">
            <v>#N/A</v>
          </cell>
          <cell r="N100"/>
          <cell r="P100">
            <v>782.4</v>
          </cell>
          <cell r="Q100">
            <v>0</v>
          </cell>
        </row>
        <row r="101">
          <cell r="C101">
            <v>4987176150042</v>
          </cell>
          <cell r="E101" t="str">
            <v>N</v>
          </cell>
          <cell r="F101" t="str">
            <v>PERT 飛柔 修護潤髮乳, 人參萃取, 750g, 1瓶</v>
          </cell>
          <cell r="G101">
            <v>113</v>
          </cell>
          <cell r="H101">
            <v>225.68000000000004</v>
          </cell>
          <cell r="I101" t="str">
            <v>Hair</v>
          </cell>
          <cell r="J101">
            <v>6</v>
          </cell>
          <cell r="K101">
            <v>37.613333333333337</v>
          </cell>
          <cell r="L101" t="e">
            <v>#N/A</v>
          </cell>
          <cell r="M101" t="e">
            <v>#N/A</v>
          </cell>
          <cell r="N101"/>
          <cell r="P101">
            <v>782.4</v>
          </cell>
          <cell r="Q101">
            <v>0</v>
          </cell>
        </row>
        <row r="102">
          <cell r="C102">
            <v>4987176150035</v>
          </cell>
          <cell r="E102" t="str">
            <v>N</v>
          </cell>
          <cell r="F102" t="str">
            <v>PERT 飛柔 精萃潤養潤髮乳 750g, 1瓶</v>
          </cell>
          <cell r="G102">
            <v>113</v>
          </cell>
          <cell r="H102">
            <v>673.81599999999992</v>
          </cell>
          <cell r="I102" t="str">
            <v>Hair</v>
          </cell>
          <cell r="J102">
            <v>6</v>
          </cell>
          <cell r="K102">
            <v>112.30266666666665</v>
          </cell>
          <cell r="L102" t="e">
            <v>#N/A</v>
          </cell>
          <cell r="M102" t="e">
            <v>#N/A</v>
          </cell>
          <cell r="N102"/>
          <cell r="P102">
            <v>782.4</v>
          </cell>
          <cell r="Q102">
            <v>0</v>
          </cell>
        </row>
        <row r="103">
          <cell r="C103">
            <v>4987176149923</v>
          </cell>
          <cell r="E103" t="str">
            <v>N</v>
          </cell>
          <cell r="F103" t="str">
            <v>PERT 飛柔 控油止癢洗髮露, 400g, 1瓶</v>
          </cell>
          <cell r="G103">
            <v>70</v>
          </cell>
          <cell r="H103">
            <v>377.20799999999997</v>
          </cell>
          <cell r="I103" t="str">
            <v>Hair</v>
          </cell>
          <cell r="J103">
            <v>12</v>
          </cell>
          <cell r="K103">
            <v>31.433999999999997</v>
          </cell>
          <cell r="L103" t="e">
            <v>#N/A</v>
          </cell>
          <cell r="M103" t="e">
            <v>#N/A</v>
          </cell>
          <cell r="N103"/>
          <cell r="P103">
            <v>964.8</v>
          </cell>
          <cell r="Q103">
            <v>0</v>
          </cell>
        </row>
        <row r="104">
          <cell r="C104">
            <v>4987176334008</v>
          </cell>
          <cell r="E104" t="str">
            <v>N</v>
          </cell>
          <cell r="F104" t="str">
            <v>PeRT 飛柔 蓬鬆去屑洗髮露組, 1000g, 1組</v>
          </cell>
          <cell r="G104">
            <v>170</v>
          </cell>
          <cell r="H104">
            <v>172.48400000000001</v>
          </cell>
          <cell r="I104" t="str">
            <v>Hair</v>
          </cell>
          <cell r="J104">
            <v>6</v>
          </cell>
          <cell r="K104">
            <v>28.747333333333334</v>
          </cell>
          <cell r="L104" t="e">
            <v>#N/A</v>
          </cell>
          <cell r="M104" t="e">
            <v>#N/A</v>
          </cell>
          <cell r="N104"/>
          <cell r="P104">
            <v>1119.5999999999999</v>
          </cell>
          <cell r="Q104">
            <v>0</v>
          </cell>
        </row>
        <row r="105">
          <cell r="C105">
            <v>4987176297464</v>
          </cell>
          <cell r="E105" t="str">
            <v>N</v>
          </cell>
          <cell r="F105" t="str">
            <v>PeRT 飛柔 蓬鬆去屑洗髮露, 600g, 1瓶</v>
          </cell>
          <cell r="G105">
            <v>108</v>
          </cell>
          <cell r="H105">
            <v>161.20000000000002</v>
          </cell>
          <cell r="I105" t="str">
            <v>Hair</v>
          </cell>
          <cell r="J105">
            <v>6</v>
          </cell>
          <cell r="K105">
            <v>26.866666666666671</v>
          </cell>
          <cell r="L105" t="e">
            <v>#N/A</v>
          </cell>
          <cell r="M105" t="e">
            <v>#N/A</v>
          </cell>
          <cell r="N105"/>
          <cell r="P105">
            <v>710.91</v>
          </cell>
          <cell r="Q105">
            <v>0</v>
          </cell>
        </row>
        <row r="106">
          <cell r="C106">
            <v>4987176297600</v>
          </cell>
          <cell r="E106" t="str">
            <v>N</v>
          </cell>
          <cell r="F106" t="str">
            <v>PeRT 飛柔 蓬鬆去屑洗髮露, 400g, 1瓶</v>
          </cell>
          <cell r="G106">
            <v>82</v>
          </cell>
          <cell r="H106">
            <v>75.763999999999996</v>
          </cell>
          <cell r="I106" t="str">
            <v>Hair</v>
          </cell>
          <cell r="J106">
            <v>12</v>
          </cell>
          <cell r="K106">
            <v>6.3136666666666663</v>
          </cell>
          <cell r="L106" t="e">
            <v>#N/A</v>
          </cell>
          <cell r="M106" t="e">
            <v>#N/A</v>
          </cell>
          <cell r="N106"/>
          <cell r="P106">
            <v>1049.8</v>
          </cell>
          <cell r="Q106">
            <v>0</v>
          </cell>
        </row>
        <row r="107">
          <cell r="C107">
            <v>4987176333995</v>
          </cell>
          <cell r="E107" t="str">
            <v>N</v>
          </cell>
          <cell r="F107" t="str">
            <v>PeRT 飛柔 控油去屑洗髮露組 600g + 400g, 1kg, 1組</v>
          </cell>
          <cell r="G107">
            <v>170</v>
          </cell>
          <cell r="H107">
            <v>156.364</v>
          </cell>
          <cell r="I107" t="str">
            <v>Hair</v>
          </cell>
          <cell r="J107">
            <v>6</v>
          </cell>
          <cell r="K107">
            <v>26.060666666666666</v>
          </cell>
          <cell r="L107" t="e">
            <v>#N/A</v>
          </cell>
          <cell r="M107" t="e">
            <v>#N/A</v>
          </cell>
          <cell r="N107"/>
          <cell r="P107">
            <v>1119.5999999999999</v>
          </cell>
          <cell r="Q107">
            <v>0</v>
          </cell>
        </row>
        <row r="108">
          <cell r="C108">
            <v>4987176297495</v>
          </cell>
          <cell r="E108" t="str">
            <v>N</v>
          </cell>
          <cell r="F108" t="str">
            <v>PeRT 飛柔 控油去屑洗髮露, 600g, 1瓶</v>
          </cell>
          <cell r="G108">
            <v>108</v>
          </cell>
          <cell r="H108">
            <v>602.88800000000003</v>
          </cell>
          <cell r="I108" t="str">
            <v>Hair</v>
          </cell>
          <cell r="J108">
            <v>6</v>
          </cell>
          <cell r="K108">
            <v>100.48133333333334</v>
          </cell>
          <cell r="L108" t="e">
            <v>#N/A</v>
          </cell>
          <cell r="M108" t="e">
            <v>#N/A</v>
          </cell>
          <cell r="N108"/>
          <cell r="P108">
            <v>710.91</v>
          </cell>
          <cell r="Q108">
            <v>0</v>
          </cell>
        </row>
        <row r="109">
          <cell r="C109">
            <v>4987176297648</v>
          </cell>
          <cell r="E109" t="str">
            <v>N</v>
          </cell>
          <cell r="F109" t="str">
            <v>PeRT 飛柔 控油去屑洗髮露, 400g, 1瓶</v>
          </cell>
          <cell r="G109">
            <v>82</v>
          </cell>
          <cell r="H109">
            <v>19.344000000000001</v>
          </cell>
          <cell r="I109" t="str">
            <v>Hair</v>
          </cell>
          <cell r="J109">
            <v>12</v>
          </cell>
          <cell r="K109">
            <v>1.6120000000000001</v>
          </cell>
          <cell r="L109" t="e">
            <v>#N/A</v>
          </cell>
          <cell r="M109" t="e">
            <v>#N/A</v>
          </cell>
          <cell r="N109"/>
          <cell r="P109">
            <v>1049.8</v>
          </cell>
          <cell r="Q109">
            <v>0</v>
          </cell>
        </row>
        <row r="110">
          <cell r="C110">
            <v>4902430732949</v>
          </cell>
          <cell r="E110" t="str">
            <v>N</v>
          </cell>
          <cell r="F110" t="str">
            <v>PANTENE 潘婷 3 MINUTE MIRACLE燙染護髮精華, 180ml, 1條</v>
          </cell>
          <cell r="G110">
            <v>137</v>
          </cell>
          <cell r="H110">
            <v>831.79199999999992</v>
          </cell>
          <cell r="I110" t="str">
            <v>Hair</v>
          </cell>
          <cell r="J110">
            <v>12</v>
          </cell>
          <cell r="K110">
            <v>69.315999999999988</v>
          </cell>
          <cell r="L110" t="e">
            <v>#N/A</v>
          </cell>
          <cell r="M110" t="e">
            <v>#N/A</v>
          </cell>
          <cell r="N110"/>
          <cell r="P110">
            <v>1767.43</v>
          </cell>
          <cell r="Q110">
            <v>0</v>
          </cell>
        </row>
        <row r="111">
          <cell r="C111">
            <v>4902430825801</v>
          </cell>
          <cell r="E111" t="str">
            <v>N</v>
          </cell>
          <cell r="F111" t="str">
            <v>PANTENE 潘婷 miracles奇蹟系列 煥活根源洗髮露, 500ml, 1瓶</v>
          </cell>
          <cell r="G111">
            <v>234</v>
          </cell>
          <cell r="H111">
            <v>164.9499026571078</v>
          </cell>
          <cell r="I111" t="str">
            <v>Hair</v>
          </cell>
          <cell r="J111">
            <v>9</v>
          </cell>
          <cell r="K111">
            <v>18.327766961900867</v>
          </cell>
          <cell r="L111">
            <v>-19</v>
          </cell>
          <cell r="M111">
            <v>5</v>
          </cell>
          <cell r="N111"/>
          <cell r="P111">
            <v>2397</v>
          </cell>
          <cell r="Q111">
            <v>0</v>
          </cell>
          <cell r="R111">
            <v>0</v>
          </cell>
        </row>
        <row r="112">
          <cell r="C112">
            <v>4902430716505</v>
          </cell>
          <cell r="E112" t="str">
            <v>N</v>
          </cell>
          <cell r="F112" t="str">
            <v>PANTENE 潘婷 3分鐘奇蹟護髮精華, 多效損傷修護, 180ml, 1條</v>
          </cell>
          <cell r="G112">
            <v>133</v>
          </cell>
          <cell r="H112">
            <v>3546.3999999999996</v>
          </cell>
          <cell r="I112" t="str">
            <v>Hair</v>
          </cell>
          <cell r="J112">
            <v>12</v>
          </cell>
          <cell r="K112">
            <v>295.5333333333333</v>
          </cell>
          <cell r="L112" t="e">
            <v>#N/A</v>
          </cell>
          <cell r="M112" t="e">
            <v>#N/A</v>
          </cell>
          <cell r="N112"/>
          <cell r="P112">
            <v>1767.43</v>
          </cell>
          <cell r="Q112">
            <v>0</v>
          </cell>
        </row>
        <row r="113">
          <cell r="C113">
            <v>4902430720038</v>
          </cell>
          <cell r="E113" t="str">
            <v>N</v>
          </cell>
          <cell r="F113" t="str">
            <v>PANTENE 潘婷 3 MINUTE MIRACLE乳液護髮精華, 180ml, 1條</v>
          </cell>
          <cell r="G113">
            <v>140</v>
          </cell>
          <cell r="H113">
            <v>926.90000000000009</v>
          </cell>
          <cell r="I113" t="str">
            <v>Hair</v>
          </cell>
          <cell r="J113">
            <v>12</v>
          </cell>
          <cell r="K113">
            <v>77.241666666666674</v>
          </cell>
          <cell r="L113" t="e">
            <v>#N/A</v>
          </cell>
          <cell r="M113" t="e">
            <v>#N/A</v>
          </cell>
          <cell r="N113"/>
          <cell r="P113">
            <v>1767.43</v>
          </cell>
          <cell r="Q113">
            <v>0</v>
          </cell>
        </row>
        <row r="114">
          <cell r="C114">
            <v>4902430558174</v>
          </cell>
          <cell r="E114" t="str">
            <v>N</v>
          </cell>
          <cell r="F114" t="str">
            <v>PANTENE 潘婷 強韌頭髮減少斷裂潤髮精華素, 700g, 1瓶</v>
          </cell>
          <cell r="G114">
            <v>158</v>
          </cell>
          <cell r="H114">
            <v>0</v>
          </cell>
          <cell r="I114" t="str">
            <v>Hair</v>
          </cell>
          <cell r="J114">
            <v>6</v>
          </cell>
          <cell r="K114">
            <v>0</v>
          </cell>
          <cell r="L114" t="e">
            <v>#N/A</v>
          </cell>
          <cell r="M114" t="e">
            <v>#N/A</v>
          </cell>
          <cell r="N114"/>
          <cell r="P114">
            <v>1083</v>
          </cell>
          <cell r="Q114">
            <v>0</v>
          </cell>
        </row>
        <row r="115">
          <cell r="C115">
            <v>4902430558143</v>
          </cell>
          <cell r="E115" t="str">
            <v>N</v>
          </cell>
          <cell r="F115" t="str">
            <v>PANTENE 潘婷 乳液修護潤髮精華素, 700g, 1瓶</v>
          </cell>
          <cell r="G115">
            <v>158</v>
          </cell>
          <cell r="H115">
            <v>0</v>
          </cell>
          <cell r="I115" t="str">
            <v>Hair</v>
          </cell>
          <cell r="J115">
            <v>6</v>
          </cell>
          <cell r="K115">
            <v>0</v>
          </cell>
          <cell r="L115" t="e">
            <v>#N/A</v>
          </cell>
          <cell r="M115" t="e">
            <v>#N/A</v>
          </cell>
          <cell r="N115"/>
          <cell r="P115">
            <v>1083</v>
          </cell>
          <cell r="Q115">
            <v>0</v>
          </cell>
        </row>
        <row r="116">
          <cell r="C116">
            <v>4902430825856</v>
          </cell>
          <cell r="E116" t="str">
            <v>N</v>
          </cell>
          <cell r="F116" t="str">
            <v>PANTENE 潘婷 miracles奇蹟系列 煥活根源護髮素, 500g, 1瓶</v>
          </cell>
          <cell r="G116">
            <v>234</v>
          </cell>
          <cell r="H116">
            <v>934.95999999999981</v>
          </cell>
          <cell r="I116" t="str">
            <v>Hair</v>
          </cell>
          <cell r="J116">
            <v>9</v>
          </cell>
          <cell r="K116">
            <v>103.88444444444443</v>
          </cell>
          <cell r="L116" t="e">
            <v>#N/A</v>
          </cell>
          <cell r="M116" t="e">
            <v>#N/A</v>
          </cell>
          <cell r="N116"/>
          <cell r="P116">
            <v>2397</v>
          </cell>
          <cell r="Q116">
            <v>0</v>
          </cell>
        </row>
        <row r="117">
          <cell r="C117">
            <v>4902430558075</v>
          </cell>
          <cell r="E117" t="str">
            <v>N</v>
          </cell>
          <cell r="F117" t="str">
            <v>PANTENE 潘婷 乳液修護去屑洗髮乳, 700g, 1瓶</v>
          </cell>
          <cell r="G117">
            <v>158</v>
          </cell>
          <cell r="H117">
            <v>322.40000000000003</v>
          </cell>
          <cell r="I117" t="str">
            <v>Hair</v>
          </cell>
          <cell r="J117">
            <v>6</v>
          </cell>
          <cell r="K117">
            <v>53.733333333333341</v>
          </cell>
          <cell r="L117" t="e">
            <v>#N/A</v>
          </cell>
          <cell r="M117" t="e">
            <v>#N/A</v>
          </cell>
          <cell r="N117"/>
          <cell r="P117">
            <v>1083</v>
          </cell>
          <cell r="Q117">
            <v>0</v>
          </cell>
        </row>
        <row r="118">
          <cell r="C118">
            <v>4902430694995</v>
          </cell>
          <cell r="E118" t="str">
            <v>N</v>
          </cell>
          <cell r="F118" t="str">
            <v>PANTENE 潘婷 台灣公司貨 3分鐘奇蹟多效護髮精華, 70ml, 1條</v>
          </cell>
          <cell r="G118">
            <v>48</v>
          </cell>
          <cell r="H118">
            <v>639.96399999999994</v>
          </cell>
          <cell r="I118" t="str">
            <v>Hair</v>
          </cell>
          <cell r="J118">
            <v>12</v>
          </cell>
          <cell r="K118">
            <v>53.330333333333328</v>
          </cell>
          <cell r="L118" t="e">
            <v>#N/A</v>
          </cell>
          <cell r="M118" t="e">
            <v>#N/A</v>
          </cell>
          <cell r="N118"/>
          <cell r="P118">
            <v>622.86</v>
          </cell>
          <cell r="Q118">
            <v>0</v>
          </cell>
        </row>
        <row r="119">
          <cell r="C119">
            <v>4902430732932</v>
          </cell>
          <cell r="E119" t="str">
            <v>N</v>
          </cell>
          <cell r="F119" t="str">
            <v>PANTENE 潘婷 台灣公司貨 3 MINUTE MIRACLE水潤護髮精華180ml</v>
          </cell>
          <cell r="G119">
            <v>134</v>
          </cell>
          <cell r="H119">
            <v>664.14399999999989</v>
          </cell>
          <cell r="I119" t="str">
            <v>Hair</v>
          </cell>
          <cell r="J119">
            <v>12</v>
          </cell>
          <cell r="K119">
            <v>55.345333333333322</v>
          </cell>
          <cell r="L119" t="e">
            <v>#N/A</v>
          </cell>
          <cell r="M119" t="e">
            <v>#N/A</v>
          </cell>
          <cell r="N119"/>
          <cell r="P119">
            <v>1767.43</v>
          </cell>
          <cell r="Q119">
            <v>0</v>
          </cell>
        </row>
        <row r="120">
          <cell r="C120">
            <v>4902430900614</v>
          </cell>
          <cell r="E120" t="str">
            <v>N</v>
          </cell>
          <cell r="F120" t="str">
            <v>PANTENE 潘婷 miracles 奇蹟系列柔亮護色護髮精華素, 500g, 1瓶</v>
          </cell>
          <cell r="G120">
            <v>234</v>
          </cell>
          <cell r="H120">
            <v>297</v>
          </cell>
          <cell r="I120" t="str">
            <v>Hair</v>
          </cell>
          <cell r="J120">
            <v>9</v>
          </cell>
          <cell r="K120">
            <v>33</v>
          </cell>
          <cell r="L120">
            <v>-12</v>
          </cell>
          <cell r="M120">
            <v>45</v>
          </cell>
          <cell r="N120">
            <v>297</v>
          </cell>
          <cell r="P120">
            <v>2397</v>
          </cell>
          <cell r="Q120">
            <v>79101</v>
          </cell>
          <cell r="R120">
            <v>0</v>
          </cell>
        </row>
        <row r="121">
          <cell r="C121">
            <v>4902430768566</v>
          </cell>
          <cell r="E121" t="str">
            <v>N</v>
          </cell>
          <cell r="F121" t="str">
            <v>PANTENE 潘婷 水潤滋養洗髮乳, 700g, 1瓶</v>
          </cell>
          <cell r="G121">
            <v>158</v>
          </cell>
          <cell r="H121">
            <v>264.36799999999999</v>
          </cell>
          <cell r="I121" t="str">
            <v>Hair</v>
          </cell>
          <cell r="J121">
            <v>6</v>
          </cell>
          <cell r="K121">
            <v>44.06133333333333</v>
          </cell>
          <cell r="L121" t="e">
            <v>#N/A</v>
          </cell>
          <cell r="M121" t="e">
            <v>#N/A</v>
          </cell>
          <cell r="N121"/>
          <cell r="P121">
            <v>1083</v>
          </cell>
          <cell r="Q121">
            <v>0</v>
          </cell>
        </row>
        <row r="122">
          <cell r="C122">
            <v>4902430900591</v>
          </cell>
          <cell r="E122" t="str">
            <v>N</v>
          </cell>
          <cell r="F122" t="str">
            <v>PANTENE 潘婷 miracles奇蹟系列 柔亮護色洗髮露, 500ml, 1瓶</v>
          </cell>
          <cell r="G122">
            <v>234</v>
          </cell>
          <cell r="H122">
            <v>1025.2319999999997</v>
          </cell>
          <cell r="I122" t="str">
            <v>Hair</v>
          </cell>
          <cell r="J122">
            <v>9</v>
          </cell>
          <cell r="K122">
            <v>113.91466666666663</v>
          </cell>
          <cell r="L122">
            <v>83</v>
          </cell>
          <cell r="M122">
            <v>30.914666666666633</v>
          </cell>
          <cell r="N122">
            <v>1017</v>
          </cell>
          <cell r="P122">
            <v>2397</v>
          </cell>
          <cell r="Q122">
            <v>270861</v>
          </cell>
          <cell r="R122">
            <v>0</v>
          </cell>
        </row>
        <row r="123">
          <cell r="C123">
            <v>4987176154026</v>
          </cell>
          <cell r="E123" t="str">
            <v>N</v>
          </cell>
          <cell r="F123" t="str">
            <v>PANTENE 潘婷 台灣公司貨 全新升級 爆水精華系列 爆水膠囊髮膜 Pro-V高濃保濕髮膜, 密集修護, 12ml, 8個, 1盒</v>
          </cell>
          <cell r="G123">
            <v>207</v>
          </cell>
          <cell r="H123">
            <v>4108.9880000000003</v>
          </cell>
          <cell r="I123" t="str">
            <v>Hair</v>
          </cell>
          <cell r="J123">
            <v>12</v>
          </cell>
          <cell r="K123">
            <v>342.41566666666671</v>
          </cell>
          <cell r="L123" t="e">
            <v>#N/A</v>
          </cell>
          <cell r="M123" t="e">
            <v>#N/A</v>
          </cell>
          <cell r="N123"/>
          <cell r="P123">
            <v>2820</v>
          </cell>
          <cell r="Q123">
            <v>0</v>
          </cell>
        </row>
        <row r="124">
          <cell r="C124">
            <v>4987176153999</v>
          </cell>
          <cell r="E124" t="str">
            <v>N</v>
          </cell>
          <cell r="F124" t="str">
            <v>PANTENE 潘婷 台灣公司貨 PRO-V水潤洗髮露 強韌防斷型 強韌爆水修護, 530ml, 1瓶</v>
          </cell>
          <cell r="G124">
            <v>233</v>
          </cell>
          <cell r="H124">
            <v>480.37599999999998</v>
          </cell>
          <cell r="I124" t="str">
            <v>Hair</v>
          </cell>
          <cell r="J124">
            <v>6</v>
          </cell>
          <cell r="K124">
            <v>80.062666666666658</v>
          </cell>
          <cell r="L124" t="e">
            <v>#N/A</v>
          </cell>
          <cell r="M124" t="e">
            <v>#N/A</v>
          </cell>
          <cell r="N124"/>
          <cell r="P124">
            <v>1597.8</v>
          </cell>
          <cell r="Q124">
            <v>0</v>
          </cell>
        </row>
        <row r="125">
          <cell r="C125">
            <v>4987176153975</v>
          </cell>
          <cell r="E125" t="str">
            <v>N</v>
          </cell>
          <cell r="F125" t="str">
            <v>PANTENE 潘婷 原廠公司貨 PRO-V水潤洗髮露 水潤修護型 玻尿酸精華 蓬鬆水養, 530g, 1瓶</v>
          </cell>
          <cell r="G125">
            <v>233</v>
          </cell>
          <cell r="H125">
            <v>681.87599999999998</v>
          </cell>
          <cell r="I125" t="str">
            <v>Hair</v>
          </cell>
          <cell r="J125">
            <v>6</v>
          </cell>
          <cell r="K125">
            <v>113.646</v>
          </cell>
          <cell r="L125" t="e">
            <v>#N/A</v>
          </cell>
          <cell r="M125" t="e">
            <v>#N/A</v>
          </cell>
          <cell r="N125"/>
          <cell r="P125">
            <v>1597.8</v>
          </cell>
          <cell r="Q125">
            <v>0</v>
          </cell>
        </row>
        <row r="126">
          <cell r="C126">
            <v>4987176154019</v>
          </cell>
          <cell r="E126" t="str">
            <v>N</v>
          </cell>
          <cell r="F126" t="str">
            <v>PANTENE 潘婷 原廠公司貨 全新升級 爆水精華系列 爆水膠囊髮膜 Pro-V高濃保濕髮膜, 水潤修護, 12ml, 8個, 1個</v>
          </cell>
          <cell r="G126">
            <v>207</v>
          </cell>
          <cell r="H126">
            <v>1537.8480000000002</v>
          </cell>
          <cell r="I126" t="str">
            <v>Hair</v>
          </cell>
          <cell r="J126">
            <v>12</v>
          </cell>
          <cell r="K126">
            <v>128.15400000000002</v>
          </cell>
          <cell r="L126" t="e">
            <v>#N/A</v>
          </cell>
          <cell r="M126" t="e">
            <v>#N/A</v>
          </cell>
          <cell r="N126"/>
          <cell r="P126">
            <v>2820</v>
          </cell>
          <cell r="Q126">
            <v>0</v>
          </cell>
        </row>
        <row r="127">
          <cell r="C127">
            <v>4987176153982</v>
          </cell>
          <cell r="E127" t="str">
            <v>N</v>
          </cell>
          <cell r="F127" t="str">
            <v>PANTENE 潘婷 原廠公司貨 PRO-V水潤洗髮露 密集修護型, 530g, 1瓶</v>
          </cell>
          <cell r="G127">
            <v>233</v>
          </cell>
          <cell r="H127">
            <v>557.75199999999995</v>
          </cell>
          <cell r="I127" t="str">
            <v>Hair</v>
          </cell>
          <cell r="J127">
            <v>6</v>
          </cell>
          <cell r="K127">
            <v>92.958666666666659</v>
          </cell>
          <cell r="L127" t="e">
            <v>#N/A</v>
          </cell>
          <cell r="M127" t="e">
            <v>#N/A</v>
          </cell>
          <cell r="N127"/>
          <cell r="P127">
            <v>1597.8</v>
          </cell>
          <cell r="Q127">
            <v>0</v>
          </cell>
        </row>
        <row r="128">
          <cell r="C128">
            <v>4987176154040</v>
          </cell>
          <cell r="E128" t="str">
            <v>N</v>
          </cell>
          <cell r="F128" t="str">
            <v>PANTENE 潘婷 原廠公司貨 爆水精華系列 爆水膠囊髮膜 Pro-V高濃保濕髮膜, 強韌防斷, 12ml, 8個</v>
          </cell>
          <cell r="G128">
            <v>207</v>
          </cell>
          <cell r="H128">
            <v>3773.692</v>
          </cell>
          <cell r="I128" t="str">
            <v>Hair</v>
          </cell>
          <cell r="J128">
            <v>12</v>
          </cell>
          <cell r="K128">
            <v>314.47433333333333</v>
          </cell>
          <cell r="L128" t="e">
            <v>#N/A</v>
          </cell>
          <cell r="M128" t="e">
            <v>#N/A</v>
          </cell>
          <cell r="N128"/>
          <cell r="P128">
            <v>2820</v>
          </cell>
          <cell r="Q128">
            <v>0</v>
          </cell>
        </row>
        <row r="129">
          <cell r="C129">
            <v>4987176106346</v>
          </cell>
          <cell r="E129" t="str">
            <v>N</v>
          </cell>
          <cell r="F129" t="str">
            <v>PANTENE 潘婷 黑亮修護洗髮乳, 700g, 1瓶</v>
          </cell>
          <cell r="G129">
            <v>158</v>
          </cell>
          <cell r="H129">
            <v>330.46</v>
          </cell>
          <cell r="I129" t="str">
            <v>Hair</v>
          </cell>
          <cell r="J129">
            <v>6</v>
          </cell>
          <cell r="K129">
            <v>55.076666666666661</v>
          </cell>
          <cell r="L129" t="e">
            <v>#N/A</v>
          </cell>
          <cell r="M129" t="e">
            <v>#N/A</v>
          </cell>
          <cell r="N129"/>
          <cell r="P129">
            <v>1083</v>
          </cell>
          <cell r="Q129">
            <v>0</v>
          </cell>
        </row>
        <row r="130">
          <cell r="C130">
            <v>4902430558129</v>
          </cell>
          <cell r="E130" t="str">
            <v>N</v>
          </cell>
          <cell r="F130" t="str">
            <v>PANTENE 潘婷 垂順直髮洗髮乳, 700g, 1瓶</v>
          </cell>
          <cell r="G130">
            <v>158</v>
          </cell>
          <cell r="H130">
            <v>0</v>
          </cell>
          <cell r="I130" t="str">
            <v>Hair</v>
          </cell>
          <cell r="J130">
            <v>6</v>
          </cell>
          <cell r="K130">
            <v>0</v>
          </cell>
          <cell r="L130" t="e">
            <v>#N/A</v>
          </cell>
          <cell r="M130" t="e">
            <v>#N/A</v>
          </cell>
          <cell r="N130"/>
          <cell r="P130">
            <v>1083</v>
          </cell>
          <cell r="Q130">
            <v>0</v>
          </cell>
        </row>
        <row r="131">
          <cell r="C131">
            <v>4987176106353</v>
          </cell>
          <cell r="E131" t="str">
            <v>N</v>
          </cell>
          <cell r="F131" t="str">
            <v>PANTENE 潘婷 黑亮修護潤髮精華素 700g, 1瓶</v>
          </cell>
          <cell r="G131">
            <v>158</v>
          </cell>
          <cell r="H131">
            <v>0</v>
          </cell>
          <cell r="I131" t="str">
            <v>Hair</v>
          </cell>
          <cell r="J131">
            <v>6</v>
          </cell>
          <cell r="K131">
            <v>0</v>
          </cell>
          <cell r="L131" t="e">
            <v>#N/A</v>
          </cell>
          <cell r="M131" t="e">
            <v>#N/A</v>
          </cell>
          <cell r="N131"/>
          <cell r="P131">
            <v>1083</v>
          </cell>
          <cell r="Q131">
            <v>0</v>
          </cell>
        </row>
        <row r="132">
          <cell r="C132">
            <v>4987176275851</v>
          </cell>
          <cell r="E132" t="str">
            <v>N</v>
          </cell>
          <cell r="F132" t="str">
            <v>PANTENE 潘婷 台灣公司貨 爆水精華系列 爆水膠囊髮膜 Pro-V 高濃保濕髮膜 密集修護型, 36ml, 1盒</v>
          </cell>
          <cell r="G132">
            <v>98</v>
          </cell>
          <cell r="H132">
            <v>480.37599999999998</v>
          </cell>
          <cell r="I132" t="str">
            <v>Hair</v>
          </cell>
          <cell r="J132">
            <v>12</v>
          </cell>
          <cell r="K132">
            <v>40.031333333333329</v>
          </cell>
          <cell r="L132" t="e">
            <v>#N/A</v>
          </cell>
          <cell r="M132" t="e">
            <v>#N/A</v>
          </cell>
          <cell r="N132"/>
          <cell r="P132">
            <v>1157.4000000000001</v>
          </cell>
          <cell r="Q132">
            <v>0</v>
          </cell>
        </row>
        <row r="133">
          <cell r="C133">
            <v>4987176281616</v>
          </cell>
          <cell r="E133" t="str">
            <v>N</v>
          </cell>
          <cell r="F133" t="str">
            <v>PANTENE 潘婷 台灣公司貨 Abundance防斷護髮精華素, 200ml, 1條</v>
          </cell>
          <cell r="G133">
            <v>272</v>
          </cell>
          <cell r="H133">
            <v>143.46799999999999</v>
          </cell>
          <cell r="I133" t="str">
            <v>Hair</v>
          </cell>
          <cell r="J133">
            <v>12</v>
          </cell>
          <cell r="K133">
            <v>11.955666666666666</v>
          </cell>
          <cell r="L133" t="e">
            <v>#N/A</v>
          </cell>
          <cell r="M133" t="e">
            <v>#N/A</v>
          </cell>
          <cell r="N133"/>
          <cell r="P133">
            <v>3420</v>
          </cell>
          <cell r="Q133">
            <v>0</v>
          </cell>
        </row>
        <row r="134">
          <cell r="C134">
            <v>4987176281593</v>
          </cell>
          <cell r="E134" t="str">
            <v>N</v>
          </cell>
          <cell r="F134" t="str">
            <v>PANTENE 潘婷 台灣公司貨 Abundance豐盈洗髮露, 290g, 1瓶</v>
          </cell>
          <cell r="G134">
            <v>272</v>
          </cell>
          <cell r="H134">
            <v>106.39200000000001</v>
          </cell>
          <cell r="I134" t="str">
            <v>Hair</v>
          </cell>
          <cell r="J134">
            <v>12</v>
          </cell>
          <cell r="K134">
            <v>8.8660000000000014</v>
          </cell>
          <cell r="L134" t="e">
            <v>#N/A</v>
          </cell>
          <cell r="M134" t="e">
            <v>#N/A</v>
          </cell>
          <cell r="N134"/>
          <cell r="P134">
            <v>3420</v>
          </cell>
          <cell r="Q134">
            <v>0</v>
          </cell>
        </row>
        <row r="135">
          <cell r="C135">
            <v>14987176232868</v>
          </cell>
          <cell r="E135" t="str">
            <v>N</v>
          </cell>
          <cell r="F135" t="str">
            <v>[箱裝]Pampers 幫寶適 原廠公司貨 CP值之選清新幫紙尿褲/尿布, 黏貼型, L, 9-14kg, 184片</v>
          </cell>
          <cell r="G135">
            <v>1231</v>
          </cell>
          <cell r="H135">
            <v>318.85714285714289</v>
          </cell>
          <cell r="I135" t="str">
            <v>Baby</v>
          </cell>
          <cell r="J135">
            <v>1</v>
          </cell>
          <cell r="K135">
            <v>318.85714285714289</v>
          </cell>
          <cell r="L135">
            <v>0</v>
          </cell>
          <cell r="M135">
            <v>318</v>
          </cell>
          <cell r="N135"/>
          <cell r="P135">
            <v>1464</v>
          </cell>
          <cell r="Q135">
            <v>465552</v>
          </cell>
        </row>
        <row r="136">
          <cell r="C136">
            <v>14987176232851</v>
          </cell>
          <cell r="E136" t="str">
            <v>N</v>
          </cell>
          <cell r="F136" t="str">
            <v>[箱裝]Pampers 幫寶適 原廠公司貨 CP值之選清新幫紙尿褲/尿布, 黏貼型, XL, 12~17kg, 152片, 1箱</v>
          </cell>
          <cell r="G136">
            <v>1231</v>
          </cell>
          <cell r="H136">
            <v>715.30449607577236</v>
          </cell>
          <cell r="I136" t="str">
            <v>Baby</v>
          </cell>
          <cell r="J136">
            <v>1</v>
          </cell>
          <cell r="K136">
            <v>715.30449607577236</v>
          </cell>
          <cell r="L136">
            <v>59</v>
          </cell>
          <cell r="M136">
            <v>715</v>
          </cell>
          <cell r="N136"/>
          <cell r="P136">
            <v>1464</v>
          </cell>
          <cell r="Q136">
            <v>1046760</v>
          </cell>
        </row>
        <row r="137">
          <cell r="C137">
            <v>14987176232875</v>
          </cell>
          <cell r="E137" t="str">
            <v>N</v>
          </cell>
          <cell r="F137" t="str">
            <v>[箱裝]Pampers 幫寶適 原廠公司貨 CP值之選清新幫拉拉褲/尿布, XXL, 15kg以上, 104片</v>
          </cell>
          <cell r="G137">
            <v>1175</v>
          </cell>
          <cell r="H137">
            <v>1707.2172072451117</v>
          </cell>
          <cell r="I137" t="str">
            <v>Baby</v>
          </cell>
          <cell r="J137">
            <v>1</v>
          </cell>
          <cell r="K137">
            <v>1707.2172072451117</v>
          </cell>
          <cell r="L137">
            <v>963</v>
          </cell>
          <cell r="M137">
            <v>1707</v>
          </cell>
          <cell r="N137"/>
          <cell r="P137">
            <v>1386</v>
          </cell>
          <cell r="Q137">
            <v>2365902</v>
          </cell>
        </row>
        <row r="138">
          <cell r="C138">
            <v>14987176232882</v>
          </cell>
          <cell r="E138" t="str">
            <v>N</v>
          </cell>
          <cell r="F138" t="str">
            <v>[箱裝]Pampers 幫寶適 原廠公司貨 CP值之選清新幫拉拉褲/尿布, L, 9-14kg, 168片</v>
          </cell>
          <cell r="G138">
            <v>1175</v>
          </cell>
          <cell r="H138">
            <v>1091.2458965843559</v>
          </cell>
          <cell r="I138" t="str">
            <v>Baby</v>
          </cell>
          <cell r="J138">
            <v>1</v>
          </cell>
          <cell r="K138">
            <v>1091.2458965843559</v>
          </cell>
          <cell r="L138">
            <v>0</v>
          </cell>
          <cell r="M138">
            <v>1091</v>
          </cell>
          <cell r="N138"/>
          <cell r="P138">
            <v>1386</v>
          </cell>
          <cell r="Q138">
            <v>1512126</v>
          </cell>
        </row>
        <row r="139">
          <cell r="C139">
            <v>14987176232844</v>
          </cell>
          <cell r="E139" t="str">
            <v>N</v>
          </cell>
          <cell r="F139" t="str">
            <v>[箱裝]Pampers 幫寶適 原廠公司貨 CP值之選清新幫拉拉褲/尿布, XXXL, 17kg以上, 88片</v>
          </cell>
          <cell r="G139">
            <v>1175</v>
          </cell>
          <cell r="H139">
            <v>620.57634584088476</v>
          </cell>
          <cell r="I139" t="str">
            <v>Baby</v>
          </cell>
          <cell r="J139">
            <v>1</v>
          </cell>
          <cell r="K139">
            <v>620.57634584088476</v>
          </cell>
          <cell r="L139">
            <v>0</v>
          </cell>
          <cell r="M139">
            <v>620</v>
          </cell>
          <cell r="N139"/>
          <cell r="P139">
            <v>1386</v>
          </cell>
          <cell r="Q139">
            <v>859320</v>
          </cell>
        </row>
        <row r="140">
          <cell r="C140">
            <v>14987176232899</v>
          </cell>
          <cell r="E140" t="str">
            <v>N</v>
          </cell>
          <cell r="F140" t="str">
            <v>[箱裝]Pampers 幫寶適 原廠公司貨 CP值之選清新幫拉拉褲/尿布, XL, 12-17kg, 152片</v>
          </cell>
          <cell r="G140">
            <v>1175</v>
          </cell>
          <cell r="H140">
            <v>3295.1373684341625</v>
          </cell>
          <cell r="I140" t="str">
            <v>Baby</v>
          </cell>
          <cell r="J140">
            <v>1</v>
          </cell>
          <cell r="K140">
            <v>3295.1373684341625</v>
          </cell>
          <cell r="L140">
            <v>1534</v>
          </cell>
          <cell r="M140">
            <v>3295</v>
          </cell>
          <cell r="N140"/>
          <cell r="P140">
            <v>1386</v>
          </cell>
          <cell r="Q140">
            <v>4566870</v>
          </cell>
        </row>
        <row r="141">
          <cell r="C141">
            <v>16903148358105</v>
          </cell>
          <cell r="E141" t="str">
            <v>Y</v>
          </cell>
          <cell r="F141" t="str">
            <v>[箱裝]Pampers 幫寶適 原廠公司貨 史上最強一級幫黏貼型護膚尿布/紙尿褲, S, 4~8kg, 224片_夏日遠離紅屁屁 (極上守護)</v>
          </cell>
          <cell r="G141">
            <v>1318</v>
          </cell>
          <cell r="H141">
            <v>0</v>
          </cell>
          <cell r="I141" t="str">
            <v>Baby</v>
          </cell>
          <cell r="J141">
            <v>1</v>
          </cell>
          <cell r="K141">
            <v>0</v>
          </cell>
          <cell r="L141">
            <v>0</v>
          </cell>
          <cell r="M141">
            <v>0</v>
          </cell>
          <cell r="N141"/>
          <cell r="P141">
            <v>1460</v>
          </cell>
          <cell r="Q141">
            <v>0</v>
          </cell>
        </row>
        <row r="142">
          <cell r="C142">
            <v>16903148358068</v>
          </cell>
          <cell r="E142" t="str">
            <v>N</v>
          </cell>
          <cell r="F142" t="str">
            <v>[箱裝]Pampers 幫寶適 原廠公司貨 史上最強一級幫黏貼型護膚尿布/紙尿褲, M, 6~11kg, 156片_夏日遠離紅屁屁 (極上守護)</v>
          </cell>
          <cell r="G142">
            <v>1097</v>
          </cell>
          <cell r="H142">
            <v>290.16000000000003</v>
          </cell>
          <cell r="I142" t="str">
            <v>Baby</v>
          </cell>
          <cell r="J142">
            <v>1</v>
          </cell>
          <cell r="K142">
            <v>290.16000000000003</v>
          </cell>
          <cell r="L142">
            <v>0</v>
          </cell>
          <cell r="M142"/>
          <cell r="N142"/>
          <cell r="P142">
            <v>1239</v>
          </cell>
          <cell r="Q142">
            <v>0</v>
          </cell>
        </row>
        <row r="143">
          <cell r="C143">
            <v>16903148358006</v>
          </cell>
          <cell r="E143" t="str">
            <v>N</v>
          </cell>
          <cell r="F143" t="str">
            <v>[箱裝]Pampers 幫寶適 原廠公司貨 史上最強一級幫黏貼型護膚尿布/紙尿褲, NB, 5kg以下, 256片_夏日遠離紅屁屁 (極上守護)</v>
          </cell>
          <cell r="G143">
            <v>1318</v>
          </cell>
          <cell r="H143">
            <v>217.61999999999998</v>
          </cell>
          <cell r="I143" t="str">
            <v>Baby</v>
          </cell>
          <cell r="J143">
            <v>1</v>
          </cell>
          <cell r="K143">
            <v>217.61999999999998</v>
          </cell>
          <cell r="L143">
            <v>0</v>
          </cell>
          <cell r="M143"/>
          <cell r="N143"/>
          <cell r="P143">
            <v>1460</v>
          </cell>
          <cell r="Q143">
            <v>0</v>
          </cell>
        </row>
        <row r="144">
          <cell r="C144">
            <v>14987176287011</v>
          </cell>
          <cell r="E144" t="str">
            <v>N</v>
          </cell>
          <cell r="F144" t="str">
            <v>Pampers 幫寶適 原廠公司貨 史上最強一級幫紙尿褲/尿布禮盒/彌月禮盒組(黏貼型尿布-S 56片+M 108片+拉拉褲M 4片), 168片, 1盒_(極上守護)</v>
          </cell>
          <cell r="G144">
            <v>1111</v>
          </cell>
          <cell r="H144">
            <v>486.82399999999996</v>
          </cell>
          <cell r="I144" t="str">
            <v>Baby</v>
          </cell>
          <cell r="J144">
            <v>1</v>
          </cell>
          <cell r="K144">
            <v>486.82399999999996</v>
          </cell>
          <cell r="L144">
            <v>0</v>
          </cell>
          <cell r="M144"/>
          <cell r="N144"/>
          <cell r="P144">
            <v>1169.2</v>
          </cell>
          <cell r="Q144">
            <v>0</v>
          </cell>
        </row>
        <row r="145">
          <cell r="C145">
            <v>14987176287004</v>
          </cell>
          <cell r="E145" t="str">
            <v>N</v>
          </cell>
          <cell r="F145" t="str">
            <v>[箱裝]Pampers 幫寶適 原廠公司貨 史上最強一級幫紙尿褲/尿布禮盒/彌月禮盒組(黏貼型尿布-NB 32片+S112片), 144片, 1盒_(極上守護)</v>
          </cell>
          <cell r="G145">
            <v>806</v>
          </cell>
          <cell r="H145">
            <v>754.28888671628465</v>
          </cell>
          <cell r="I145" t="str">
            <v>Baby</v>
          </cell>
          <cell r="J145">
            <v>1</v>
          </cell>
          <cell r="K145">
            <v>754.28888671628465</v>
          </cell>
          <cell r="L145">
            <v>0</v>
          </cell>
          <cell r="M145"/>
          <cell r="N145">
            <v>0</v>
          </cell>
          <cell r="P145">
            <v>856.4</v>
          </cell>
          <cell r="Q145">
            <v>0</v>
          </cell>
        </row>
        <row r="146">
          <cell r="C146">
            <v>6903148358221</v>
          </cell>
          <cell r="E146" t="str">
            <v>Y</v>
          </cell>
          <cell r="F146" t="str">
            <v>[箱裝]Pampers 幫寶適 原廠公司貨 史上最強一級幫散熱拉拉褲/尿布/褲型, M, 6~11kg, 152片_(極上守護)</v>
          </cell>
          <cell r="G146">
            <v>1056</v>
          </cell>
          <cell r="H146">
            <v>0</v>
          </cell>
          <cell r="I146" t="str">
            <v>Baby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/>
          <cell r="P146">
            <v>1168</v>
          </cell>
          <cell r="Q146">
            <v>0</v>
          </cell>
        </row>
        <row r="147">
          <cell r="C147">
            <v>6903148358153</v>
          </cell>
          <cell r="E147" t="str">
            <v>Y</v>
          </cell>
          <cell r="F147" t="str">
            <v>[箱裝]Pampers 幫寶適 原廠公司貨 史上最強一級幫散熱拉拉褲/尿布/褲型, L+, 10~15kg, 102片_(極上守護)</v>
          </cell>
          <cell r="G147">
            <v>1056</v>
          </cell>
          <cell r="H147">
            <v>0</v>
          </cell>
          <cell r="I147" t="str">
            <v>Baby</v>
          </cell>
          <cell r="J147">
            <v>1</v>
          </cell>
          <cell r="K147">
            <v>0</v>
          </cell>
          <cell r="L147">
            <v>0</v>
          </cell>
          <cell r="M147">
            <v>0</v>
          </cell>
          <cell r="N147"/>
          <cell r="P147">
            <v>1168</v>
          </cell>
          <cell r="Q147">
            <v>0</v>
          </cell>
        </row>
        <row r="148">
          <cell r="C148">
            <v>14987176337075</v>
          </cell>
          <cell r="E148" t="str">
            <v>N</v>
          </cell>
          <cell r="F148" t="str">
            <v>[箱裝]Pampers 幫寶適 原廠公司貨 清新幫褲型尿布, M, 6~11kg, 200片</v>
          </cell>
          <cell r="G148">
            <v>1175</v>
          </cell>
          <cell r="H148">
            <v>173.19696530964774</v>
          </cell>
          <cell r="I148" t="str">
            <v>Baby</v>
          </cell>
          <cell r="J148">
            <v>1</v>
          </cell>
          <cell r="K148">
            <v>173.19696530964774</v>
          </cell>
          <cell r="L148">
            <v>127</v>
          </cell>
          <cell r="M148">
            <v>173</v>
          </cell>
          <cell r="N148"/>
          <cell r="P148">
            <v>1386</v>
          </cell>
          <cell r="Q148">
            <v>239778</v>
          </cell>
        </row>
        <row r="149">
          <cell r="C149">
            <v>14987176337099</v>
          </cell>
          <cell r="E149" t="str">
            <v>N</v>
          </cell>
          <cell r="F149" t="str">
            <v>[箱裝]Pampers 幫寶適 原廠公司貨 清新幫黏貼型尿布, S, 4~8kg, 264片</v>
          </cell>
          <cell r="G149">
            <v>1231</v>
          </cell>
          <cell r="H149">
            <v>251.21102973156039</v>
          </cell>
          <cell r="I149" t="str">
            <v>Baby</v>
          </cell>
          <cell r="J149">
            <v>1</v>
          </cell>
          <cell r="K149">
            <v>251.21102973156039</v>
          </cell>
          <cell r="L149">
            <v>160</v>
          </cell>
          <cell r="M149">
            <v>251</v>
          </cell>
          <cell r="N149"/>
          <cell r="P149">
            <v>1464</v>
          </cell>
          <cell r="Q149">
            <v>367464</v>
          </cell>
        </row>
        <row r="150">
          <cell r="C150">
            <v>14987176337082</v>
          </cell>
          <cell r="E150" t="str">
            <v>N</v>
          </cell>
          <cell r="F150" t="str">
            <v>[箱裝]Pampers 幫寶適 原廠公司貨 清新幫黏貼型尿布, M, 6~11kg, 216片</v>
          </cell>
          <cell r="G150">
            <v>1231</v>
          </cell>
          <cell r="H150">
            <v>214.74847836638065</v>
          </cell>
          <cell r="I150" t="str">
            <v>Baby</v>
          </cell>
          <cell r="J150">
            <v>1</v>
          </cell>
          <cell r="K150">
            <v>214.74847836638065</v>
          </cell>
          <cell r="L150">
            <v>114</v>
          </cell>
          <cell r="M150">
            <v>214</v>
          </cell>
          <cell r="N150"/>
          <cell r="P150">
            <v>1464</v>
          </cell>
          <cell r="Q150">
            <v>313296</v>
          </cell>
        </row>
        <row r="151">
          <cell r="C151">
            <v>4987176337092</v>
          </cell>
          <cell r="E151" t="str">
            <v>N</v>
          </cell>
          <cell r="F151" t="str">
            <v>Pampers 幫寶適 原廠公司貨 清新幫黏貼型紙尿褲/尿布, S, 4~8kg, 66片</v>
          </cell>
          <cell r="G151">
            <v>307.8</v>
          </cell>
          <cell r="H151">
            <v>347.55866087736177</v>
          </cell>
          <cell r="I151" t="str">
            <v>Baby</v>
          </cell>
          <cell r="J151">
            <v>4</v>
          </cell>
          <cell r="K151">
            <v>86.889665219340444</v>
          </cell>
          <cell r="L151">
            <v>24</v>
          </cell>
          <cell r="M151">
            <v>86</v>
          </cell>
          <cell r="N151"/>
          <cell r="P151">
            <v>1464</v>
          </cell>
          <cell r="Q151">
            <v>125904</v>
          </cell>
        </row>
        <row r="152">
          <cell r="C152">
            <v>4987176337085</v>
          </cell>
          <cell r="E152" t="str">
            <v>N</v>
          </cell>
          <cell r="F152" t="str">
            <v>Pampers 幫寶適 原廠公司貨 清新幫黏貼型紙尿褲/尿布, M, 6~11kg, 54片</v>
          </cell>
          <cell r="G152">
            <v>339</v>
          </cell>
          <cell r="H152">
            <v>258.58466606303466</v>
          </cell>
          <cell r="I152" t="str">
            <v>Baby</v>
          </cell>
          <cell r="J152">
            <v>4</v>
          </cell>
          <cell r="K152">
            <v>64.646166515758665</v>
          </cell>
          <cell r="L152">
            <v>0</v>
          </cell>
          <cell r="M152">
            <v>64</v>
          </cell>
          <cell r="N152"/>
          <cell r="P152">
            <v>1464</v>
          </cell>
          <cell r="Q152">
            <v>93696</v>
          </cell>
        </row>
        <row r="153">
          <cell r="C153">
            <v>4987176337078</v>
          </cell>
          <cell r="E153" t="str">
            <v>N</v>
          </cell>
          <cell r="F153" t="str">
            <v>Pampers 幫寶適 原廠公司貨 清新幫拉拉褲/褲型尿布, M, 6~11kg, 50片</v>
          </cell>
          <cell r="G153">
            <v>323</v>
          </cell>
          <cell r="H153">
            <v>260.64811236651548</v>
          </cell>
          <cell r="I153" t="str">
            <v>Baby</v>
          </cell>
          <cell r="J153">
            <v>4</v>
          </cell>
          <cell r="K153">
            <v>65.162028091628869</v>
          </cell>
          <cell r="L153">
            <v>34</v>
          </cell>
          <cell r="M153">
            <v>65</v>
          </cell>
          <cell r="N153"/>
          <cell r="P153">
            <v>1386</v>
          </cell>
          <cell r="Q153">
            <v>90090</v>
          </cell>
        </row>
        <row r="154">
          <cell r="C154">
            <v>4987176232861</v>
          </cell>
          <cell r="E154" t="str">
            <v>N</v>
          </cell>
          <cell r="F154" t="str">
            <v>Pampers 幫寶適 原廠公司貨 清新幫黏貼型紙尿褲/尿布, L, 9~14kg, 46片</v>
          </cell>
          <cell r="G154">
            <v>339</v>
          </cell>
          <cell r="H154">
            <v>380.16314479880344</v>
          </cell>
          <cell r="I154" t="str">
            <v>Baby</v>
          </cell>
          <cell r="J154">
            <v>4</v>
          </cell>
          <cell r="K154">
            <v>95.040786199700861</v>
          </cell>
          <cell r="L154">
            <v>34</v>
          </cell>
          <cell r="M154">
            <v>95</v>
          </cell>
          <cell r="N154"/>
          <cell r="P154">
            <v>1464</v>
          </cell>
          <cell r="Q154">
            <v>139080</v>
          </cell>
        </row>
        <row r="155">
          <cell r="C155">
            <v>4987176232885</v>
          </cell>
          <cell r="E155" t="str">
            <v>N</v>
          </cell>
          <cell r="F155" t="str">
            <v>Pampers 幫寶適 原廠公司貨 清新幫拉拉褲/褲型尿布, L, 9~14kg, 42片</v>
          </cell>
          <cell r="G155">
            <v>323</v>
          </cell>
          <cell r="H155">
            <v>694.22323461295105</v>
          </cell>
          <cell r="I155" t="str">
            <v>Baby</v>
          </cell>
          <cell r="J155">
            <v>4</v>
          </cell>
          <cell r="K155">
            <v>173.55580865323776</v>
          </cell>
          <cell r="L155">
            <v>0</v>
          </cell>
          <cell r="M155">
            <v>173</v>
          </cell>
          <cell r="N155"/>
          <cell r="P155">
            <v>1386</v>
          </cell>
          <cell r="Q155">
            <v>239778</v>
          </cell>
        </row>
        <row r="156">
          <cell r="C156">
            <v>4987176232854</v>
          </cell>
          <cell r="E156" t="str">
            <v>N</v>
          </cell>
          <cell r="F156" t="str">
            <v>Pampers 幫寶適 原廠公司貨 清新幫黏貼型紙尿褲/尿布, XL, 12~17kg, 38片</v>
          </cell>
          <cell r="G156">
            <v>339</v>
          </cell>
          <cell r="H156">
            <v>302.73720692471625</v>
          </cell>
          <cell r="I156" t="str">
            <v>Baby</v>
          </cell>
          <cell r="J156">
            <v>4</v>
          </cell>
          <cell r="K156">
            <v>75.684301731179062</v>
          </cell>
          <cell r="L156">
            <v>42</v>
          </cell>
          <cell r="M156">
            <v>75</v>
          </cell>
          <cell r="N156"/>
          <cell r="P156">
            <v>1464</v>
          </cell>
          <cell r="Q156">
            <v>109800</v>
          </cell>
        </row>
        <row r="157">
          <cell r="C157">
            <v>4987176232892</v>
          </cell>
          <cell r="E157" t="str">
            <v>N</v>
          </cell>
          <cell r="F157" t="str">
            <v>Pampers 幫寶適 原廠公司貨 清新幫拉拉褲/褲型尿布, XL, 12~17kg, 38片</v>
          </cell>
          <cell r="G157">
            <v>323</v>
          </cell>
          <cell r="H157">
            <v>1513.5406102455672</v>
          </cell>
          <cell r="I157" t="str">
            <v>Baby</v>
          </cell>
          <cell r="J157">
            <v>4</v>
          </cell>
          <cell r="K157">
            <v>378.38515256139181</v>
          </cell>
          <cell r="L157">
            <v>0</v>
          </cell>
          <cell r="M157">
            <v>378</v>
          </cell>
          <cell r="N157"/>
          <cell r="P157">
            <v>1386</v>
          </cell>
          <cell r="Q157">
            <v>523908</v>
          </cell>
        </row>
        <row r="158">
          <cell r="C158">
            <v>4987176232878</v>
          </cell>
          <cell r="E158" t="str">
            <v>N</v>
          </cell>
          <cell r="F158" t="str">
            <v>Pampers 幫寶適 原廠公司貨 清新幫拉拉褲/褲型尿布, XXL, 15kg, 26片</v>
          </cell>
          <cell r="G158">
            <v>323</v>
          </cell>
          <cell r="H158">
            <v>128.90799999999996</v>
          </cell>
          <cell r="I158" t="str">
            <v>Baby</v>
          </cell>
          <cell r="J158">
            <v>4</v>
          </cell>
          <cell r="K158">
            <v>32.22699999999999</v>
          </cell>
          <cell r="L158">
            <v>52</v>
          </cell>
          <cell r="M158">
            <v>32</v>
          </cell>
          <cell r="N158"/>
          <cell r="P158">
            <v>1386</v>
          </cell>
          <cell r="Q158">
            <v>44352</v>
          </cell>
        </row>
        <row r="159">
          <cell r="C159">
            <v>4987176232847</v>
          </cell>
          <cell r="E159" t="str">
            <v>N</v>
          </cell>
          <cell r="F159" t="str">
            <v>Pampers 幫寶適 原廠公司貨 清新幫拉拉褲/褲型尿布, XXXL, 17kg, 22片</v>
          </cell>
          <cell r="G159">
            <v>294</v>
          </cell>
          <cell r="H159">
            <v>37.616</v>
          </cell>
          <cell r="I159" t="str">
            <v>Baby</v>
          </cell>
          <cell r="J159">
            <v>4</v>
          </cell>
          <cell r="K159">
            <v>9.4039999999999999</v>
          </cell>
          <cell r="L159">
            <v>18</v>
          </cell>
          <cell r="M159">
            <v>9</v>
          </cell>
          <cell r="N159"/>
          <cell r="P159">
            <v>1386</v>
          </cell>
          <cell r="Q159">
            <v>12474</v>
          </cell>
        </row>
        <row r="160">
          <cell r="C160">
            <v>6903148358023</v>
          </cell>
          <cell r="D160"/>
          <cell r="E160" t="str">
            <v>N</v>
          </cell>
          <cell r="F160" t="str">
            <v>[箱裝]Pampers 幫寶適 極上守護 一級幫 紙尿褲/尿布 12~17kg, 特大碼 (XL), 99片</v>
          </cell>
          <cell r="G160">
            <v>1079</v>
          </cell>
          <cell r="H160">
            <v>2917.4269090909092</v>
          </cell>
          <cell r="I160" t="e">
            <v>#N/A</v>
          </cell>
          <cell r="J160" t="e">
            <v>#N/A</v>
          </cell>
          <cell r="K160" t="e">
            <v>#N/A</v>
          </cell>
          <cell r="L160">
            <v>0</v>
          </cell>
          <cell r="M160" t="e">
            <v>#N/A</v>
          </cell>
          <cell r="N160"/>
          <cell r="P160" t="e">
            <v>#N/A</v>
          </cell>
          <cell r="Q160" t="e">
            <v>#N/A</v>
          </cell>
        </row>
        <row r="161">
          <cell r="C161">
            <v>6903148358085</v>
          </cell>
          <cell r="D161"/>
          <cell r="E161" t="str">
            <v>N</v>
          </cell>
          <cell r="F161" t="str">
            <v>[箱裝]Pampers 幫寶適 極上守護 一級幫 紙尿褲/尿布 6~11kg, 中碼 (M), 152片</v>
          </cell>
          <cell r="G161">
            <v>1079</v>
          </cell>
          <cell r="H161">
            <v>2963.068105263158</v>
          </cell>
          <cell r="I161" t="e">
            <v>#N/A</v>
          </cell>
          <cell r="J161" t="e">
            <v>#N/A</v>
          </cell>
          <cell r="K161" t="e">
            <v>#N/A</v>
          </cell>
          <cell r="L161">
            <v>0</v>
          </cell>
          <cell r="M161" t="e">
            <v>#N/A</v>
          </cell>
          <cell r="N161"/>
          <cell r="P161" t="e">
            <v>#N/A</v>
          </cell>
          <cell r="Q161" t="e">
            <v>#N/A</v>
          </cell>
        </row>
        <row r="162">
          <cell r="C162">
            <v>6903148358306</v>
          </cell>
          <cell r="D162"/>
          <cell r="E162" t="str">
            <v>N</v>
          </cell>
          <cell r="F162" t="str">
            <v>[箱裝]Pampers 幫寶適 極上守護 一級幫 褲型拉拉褲 12~17kg, 特大碼 (XL), 90片</v>
          </cell>
          <cell r="G162">
            <v>1056</v>
          </cell>
          <cell r="H162">
            <v>5402.7792000000009</v>
          </cell>
          <cell r="I162" t="e">
            <v>#N/A</v>
          </cell>
          <cell r="J162" t="e">
            <v>#N/A</v>
          </cell>
          <cell r="K162" t="e">
            <v>#N/A</v>
          </cell>
          <cell r="L162">
            <v>0</v>
          </cell>
          <cell r="M162" t="e">
            <v>#N/A</v>
          </cell>
          <cell r="N162"/>
          <cell r="P162" t="e">
            <v>#N/A</v>
          </cell>
          <cell r="Q162" t="e">
            <v>#N/A</v>
          </cell>
        </row>
        <row r="163">
          <cell r="C163">
            <v>6903148358078</v>
          </cell>
          <cell r="D163"/>
          <cell r="E163" t="str">
            <v>N</v>
          </cell>
          <cell r="F163" t="str">
            <v>[箱裝]Pampers 幫寶適 極上守護 一級幫 紙尿褲/尿布 9~14kg, 大碼 (L), 124片</v>
          </cell>
          <cell r="G163">
            <v>1079</v>
          </cell>
          <cell r="H163">
            <v>2833.1160000000004</v>
          </cell>
          <cell r="I163" t="e">
            <v>#N/A</v>
          </cell>
          <cell r="J163" t="e">
            <v>#N/A</v>
          </cell>
          <cell r="K163" t="e">
            <v>#N/A</v>
          </cell>
          <cell r="L163">
            <v>0</v>
          </cell>
          <cell r="M163" t="e">
            <v>#N/A</v>
          </cell>
          <cell r="N163"/>
          <cell r="P163" t="e">
            <v>#N/A</v>
          </cell>
          <cell r="Q163" t="e">
            <v>#N/A</v>
          </cell>
        </row>
        <row r="164">
          <cell r="C164">
            <v>6903148358276</v>
          </cell>
          <cell r="D164"/>
          <cell r="E164" t="str">
            <v>N</v>
          </cell>
          <cell r="F164" t="str">
            <v>[箱裝]Pampers 幫寶適 極上守護 一級幫 褲型拉拉褲 9~14kg, 大碼 (L), 117片</v>
          </cell>
          <cell r="G164">
            <v>1056</v>
          </cell>
          <cell r="H164">
            <v>3095.3706666666667</v>
          </cell>
          <cell r="I164" t="e">
            <v>#N/A</v>
          </cell>
          <cell r="J164" t="e">
            <v>#N/A</v>
          </cell>
          <cell r="K164" t="e">
            <v>#N/A</v>
          </cell>
          <cell r="L164">
            <v>0</v>
          </cell>
          <cell r="M164" t="e">
            <v>#N/A</v>
          </cell>
          <cell r="N164"/>
          <cell r="P164" t="e">
            <v>#N/A</v>
          </cell>
          <cell r="Q164" t="e">
            <v>#N/A</v>
          </cell>
        </row>
        <row r="165">
          <cell r="C165">
            <v>6903148358290</v>
          </cell>
          <cell r="D165"/>
          <cell r="E165" t="str">
            <v>N</v>
          </cell>
          <cell r="F165" t="str">
            <v>[箱裝]Pampers 幫寶適 極上守護 一級幫 褲型拉拉褲 15kg以上, 超大碼 (2XL), 70片</v>
          </cell>
          <cell r="G165">
            <v>1056</v>
          </cell>
          <cell r="H165">
            <v>2827.9085714285716</v>
          </cell>
          <cell r="I165" t="e">
            <v>#N/A</v>
          </cell>
          <cell r="J165" t="e">
            <v>#N/A</v>
          </cell>
          <cell r="K165" t="e">
            <v>#N/A</v>
          </cell>
          <cell r="L165">
            <v>0</v>
          </cell>
          <cell r="M165" t="e">
            <v>#N/A</v>
          </cell>
          <cell r="N165"/>
          <cell r="P165" t="e">
            <v>#N/A</v>
          </cell>
          <cell r="Q165" t="e">
            <v>#N/A</v>
          </cell>
        </row>
        <row r="166">
          <cell r="C166">
            <v>4987176386694</v>
          </cell>
          <cell r="D166"/>
          <cell r="E166" t="str">
            <v>N</v>
          </cell>
          <cell r="F166" t="str">
            <v>[箱裝]Pampers 幫寶適 原廠公司貨 史上最強一級幫散熱拉拉褲/尿布/褲型, L+, 10~15kg, 102片_夏日遠離紅屁屁 (極上守護)</v>
          </cell>
          <cell r="G166">
            <v>1232</v>
          </cell>
          <cell r="H166">
            <v>4012.268</v>
          </cell>
          <cell r="I166" t="str">
            <v>Baby</v>
          </cell>
          <cell r="J166" t="e">
            <v>#N/A</v>
          </cell>
          <cell r="K166" t="e">
            <v>#N/A</v>
          </cell>
          <cell r="L166">
            <v>0</v>
          </cell>
          <cell r="M166"/>
          <cell r="N166"/>
          <cell r="P166" t="e">
            <v>#N/A</v>
          </cell>
          <cell r="Q166"/>
        </row>
        <row r="167">
          <cell r="C167">
            <v>4987176386724</v>
          </cell>
          <cell r="D167"/>
          <cell r="E167" t="str">
            <v>N</v>
          </cell>
          <cell r="F167" t="str">
            <v>[箱裝]Pampers 幫寶適 原廠公司貨 史上最強一級幫散熱拉拉褲/尿布/褲型, M, 6~11kg, 150片_夏日遠離紅屁屁 (極上守護)</v>
          </cell>
          <cell r="G167">
            <v>1232</v>
          </cell>
          <cell r="H167">
            <v>2073.0320000000002</v>
          </cell>
          <cell r="I167" t="str">
            <v>Baby</v>
          </cell>
          <cell r="J167" t="e">
            <v>#N/A</v>
          </cell>
          <cell r="K167" t="e">
            <v>#N/A</v>
          </cell>
          <cell r="L167">
            <v>0</v>
          </cell>
          <cell r="M167"/>
          <cell r="N167"/>
          <cell r="P167" t="e">
            <v>#N/A</v>
          </cell>
          <cell r="Q167"/>
        </row>
        <row r="168">
          <cell r="C168">
            <v>4987176386793</v>
          </cell>
          <cell r="D168"/>
          <cell r="E168" t="str">
            <v>N</v>
          </cell>
          <cell r="F168" t="str">
            <v>[箱裝]Pampers 幫寶適 原廠公司貨 史上最強一級幫散熱拉拉褲/尿布/褲型, XXXL, 17kg以上, 78片_夏日遠離紅屁屁 (極上守護)</v>
          </cell>
          <cell r="G168">
            <v>1232</v>
          </cell>
          <cell r="H168">
            <v>468</v>
          </cell>
          <cell r="I168" t="str">
            <v>Baby</v>
          </cell>
          <cell r="J168" t="e">
            <v>#N/A</v>
          </cell>
          <cell r="K168" t="e">
            <v>#N/A</v>
          </cell>
          <cell r="L168">
            <v>0</v>
          </cell>
          <cell r="M168"/>
          <cell r="N168"/>
          <cell r="P168" t="e">
            <v>#N/A</v>
          </cell>
          <cell r="Q168"/>
        </row>
        <row r="169">
          <cell r="C169">
            <v>4987176386762</v>
          </cell>
          <cell r="D169"/>
          <cell r="E169" t="str">
            <v>N</v>
          </cell>
          <cell r="F169" t="str">
            <v>[箱裝]Pampers 幫寶適 原廠公司貨 史上最強一級幫黏貼型護膚尿布/紙尿褲, S, 4~8kg, 198片_夏日遠離紅屁屁 (極上守護)</v>
          </cell>
          <cell r="G169">
            <v>1232</v>
          </cell>
          <cell r="H169">
            <v>702</v>
          </cell>
          <cell r="I169" t="str">
            <v>Baby</v>
          </cell>
          <cell r="J169" t="e">
            <v>#N/A</v>
          </cell>
          <cell r="K169" t="e">
            <v>#N/A</v>
          </cell>
          <cell r="L169">
            <v>0</v>
          </cell>
          <cell r="M169"/>
          <cell r="N169"/>
          <cell r="P169" t="e">
            <v>#N/A</v>
          </cell>
          <cell r="Q169"/>
        </row>
        <row r="170">
          <cell r="C170">
            <v>3014260814854</v>
          </cell>
          <cell r="E170" t="str">
            <v>N</v>
          </cell>
          <cell r="F170" t="str">
            <v>Oral-B 歐樂B 薄荷微蠟牙線, 50m, 2入, 1組</v>
          </cell>
          <cell r="G170">
            <v>57</v>
          </cell>
          <cell r="H170">
            <v>7852.0519999999997</v>
          </cell>
          <cell r="I170" t="str">
            <v>OCM</v>
          </cell>
          <cell r="J170">
            <v>24</v>
          </cell>
          <cell r="K170">
            <v>327.16883333333334</v>
          </cell>
          <cell r="L170"/>
          <cell r="M170">
            <v>327.16883333333334</v>
          </cell>
          <cell r="N170"/>
          <cell r="P170">
            <v>1580</v>
          </cell>
          <cell r="Q170">
            <v>0</v>
          </cell>
        </row>
        <row r="171">
          <cell r="C171">
            <v>3014260814847</v>
          </cell>
          <cell r="E171" t="str">
            <v>N</v>
          </cell>
          <cell r="F171" t="str">
            <v>Oral-B 歐樂B 無蠟牙線, 50m, 2入, 1組</v>
          </cell>
          <cell r="G171">
            <v>58</v>
          </cell>
          <cell r="H171">
            <v>4642.5600000000004</v>
          </cell>
          <cell r="I171" t="str">
            <v>OCM</v>
          </cell>
          <cell r="J171">
            <v>24</v>
          </cell>
          <cell r="K171">
            <v>193.44000000000003</v>
          </cell>
          <cell r="L171"/>
          <cell r="M171">
            <v>193.44000000000003</v>
          </cell>
          <cell r="N171"/>
          <cell r="P171">
            <v>1583.6</v>
          </cell>
          <cell r="Q171">
            <v>0</v>
          </cell>
        </row>
        <row r="172">
          <cell r="C172">
            <v>4902430826846</v>
          </cell>
          <cell r="E172" t="str">
            <v>N</v>
          </cell>
          <cell r="F172" t="str">
            <v>Oral-B 歐樂B 抗敏護齦牙膏 極速抗敏, 海洋薄荷, 90g, 1條</v>
          </cell>
          <cell r="G172">
            <v>99</v>
          </cell>
          <cell r="H172">
            <v>899.49599999999998</v>
          </cell>
          <cell r="I172" t="str">
            <v>OCM</v>
          </cell>
          <cell r="J172">
            <v>12</v>
          </cell>
          <cell r="K172">
            <v>74.957999999999998</v>
          </cell>
          <cell r="L172"/>
          <cell r="M172">
            <v>74.957999999999998</v>
          </cell>
          <cell r="N172"/>
          <cell r="P172">
            <v>1209.5999999999999</v>
          </cell>
          <cell r="Q172">
            <v>0</v>
          </cell>
        </row>
        <row r="173">
          <cell r="C173">
            <v>4902430826815</v>
          </cell>
          <cell r="E173" t="str">
            <v>N</v>
          </cell>
          <cell r="F173" t="str">
            <v>Oral-B 歐樂B 抗敏護齦牙膏 專業修護, 森林薄荷, 90g, 1條</v>
          </cell>
          <cell r="G173">
            <v>99</v>
          </cell>
          <cell r="H173">
            <v>235.35199999999995</v>
          </cell>
          <cell r="I173" t="str">
            <v>OCM</v>
          </cell>
          <cell r="J173">
            <v>12</v>
          </cell>
          <cell r="K173">
            <v>19.612666666666662</v>
          </cell>
          <cell r="L173"/>
          <cell r="M173">
            <v>19.612666666666662</v>
          </cell>
          <cell r="N173"/>
          <cell r="P173">
            <v>1209.5999999999999</v>
          </cell>
          <cell r="Q173">
            <v>0</v>
          </cell>
        </row>
        <row r="174">
          <cell r="C174">
            <v>4902430789646</v>
          </cell>
          <cell r="E174" t="str">
            <v>N</v>
          </cell>
          <cell r="F174" t="str">
            <v>Oral-B 深層潔淨牙線, 清涼潔淨, 40m, 1個</v>
          </cell>
          <cell r="G174">
            <v>68</v>
          </cell>
          <cell r="H174">
            <v>2603.38</v>
          </cell>
          <cell r="I174" t="str">
            <v>OCM</v>
          </cell>
          <cell r="J174">
            <v>24</v>
          </cell>
          <cell r="K174">
            <v>108.47416666666668</v>
          </cell>
          <cell r="L174"/>
          <cell r="M174">
            <v>108.47416666666668</v>
          </cell>
          <cell r="N174"/>
          <cell r="P174">
            <v>1857.6</v>
          </cell>
          <cell r="Q174">
            <v>0</v>
          </cell>
        </row>
        <row r="175">
          <cell r="C175">
            <v>4902430789639</v>
          </cell>
          <cell r="E175" t="str">
            <v>N</v>
          </cell>
          <cell r="F175" t="str">
            <v>Oral-B 舒適深潔牙線, 清新薄荷, 40m, 1個</v>
          </cell>
          <cell r="G175">
            <v>65</v>
          </cell>
          <cell r="H175">
            <v>6630.155999999999</v>
          </cell>
          <cell r="I175" t="str">
            <v>OCM</v>
          </cell>
          <cell r="J175">
            <v>24</v>
          </cell>
          <cell r="K175">
            <v>276.25649999999996</v>
          </cell>
          <cell r="L175"/>
          <cell r="M175">
            <v>276.25649999999996</v>
          </cell>
          <cell r="N175"/>
          <cell r="P175">
            <v>1857.6</v>
          </cell>
          <cell r="Q175">
            <v>0</v>
          </cell>
        </row>
        <row r="176">
          <cell r="C176">
            <v>4902430056496</v>
          </cell>
          <cell r="E176" t="str">
            <v>N</v>
          </cell>
          <cell r="F176" t="str">
            <v>OLAY 歐蕾 活膚菁華霜, 50g, 1罐</v>
          </cell>
          <cell r="G176">
            <v>264</v>
          </cell>
          <cell r="H176">
            <v>315.952</v>
          </cell>
          <cell r="I176" t="str">
            <v>Skin</v>
          </cell>
          <cell r="J176">
            <v>6</v>
          </cell>
          <cell r="K176">
            <v>52.658666666666669</v>
          </cell>
          <cell r="L176">
            <v>57</v>
          </cell>
          <cell r="M176">
            <v>-4.3413333333333313</v>
          </cell>
          <cell r="N176">
            <v>312</v>
          </cell>
          <cell r="P176">
            <v>1788</v>
          </cell>
          <cell r="Q176">
            <v>92976</v>
          </cell>
        </row>
        <row r="177">
          <cell r="C177">
            <v>4902430396059</v>
          </cell>
          <cell r="E177" t="str">
            <v>N</v>
          </cell>
          <cell r="F177" t="str">
            <v>OLAY 歐蕾 多元修護霜無香料配方, 50g , 1入</v>
          </cell>
          <cell r="G177">
            <v>365</v>
          </cell>
          <cell r="H177">
            <v>222.45599999999999</v>
          </cell>
          <cell r="I177" t="str">
            <v>Skin</v>
          </cell>
          <cell r="J177">
            <v>6</v>
          </cell>
          <cell r="K177">
            <v>37.076000000000001</v>
          </cell>
          <cell r="L177">
            <v>40</v>
          </cell>
          <cell r="M177">
            <v>-2.9239999999999995</v>
          </cell>
          <cell r="N177">
            <v>222</v>
          </cell>
          <cell r="P177">
            <v>2387.9899999999998</v>
          </cell>
          <cell r="Q177">
            <v>88355.62999999999</v>
          </cell>
        </row>
        <row r="178">
          <cell r="C178">
            <v>4902430509695</v>
          </cell>
          <cell r="E178" t="str">
            <v>N</v>
          </cell>
          <cell r="F178" t="str">
            <v>OLAY 歐蕾 長效保濕凝露, 50g, 1罐</v>
          </cell>
          <cell r="G178">
            <v>196</v>
          </cell>
          <cell r="H178">
            <v>261.14400000000001</v>
          </cell>
          <cell r="I178" t="str">
            <v>Skin</v>
          </cell>
          <cell r="J178">
            <v>12</v>
          </cell>
          <cell r="K178">
            <v>21.762</v>
          </cell>
          <cell r="L178">
            <v>11</v>
          </cell>
          <cell r="M178">
            <v>10.762</v>
          </cell>
          <cell r="N178">
            <v>21</v>
          </cell>
          <cell r="P178">
            <v>2570.6799999999998</v>
          </cell>
          <cell r="Q178">
            <v>4498.6899999999996</v>
          </cell>
        </row>
        <row r="179">
          <cell r="C179">
            <v>4902430396073</v>
          </cell>
          <cell r="E179" t="str">
            <v>N</v>
          </cell>
          <cell r="F179" t="str">
            <v>OLAY 歐蕾 多元修護日霜, 50g, 1罐</v>
          </cell>
          <cell r="G179">
            <v>355</v>
          </cell>
          <cell r="H179">
            <v>279.41599999999994</v>
          </cell>
          <cell r="I179" t="str">
            <v>Skin</v>
          </cell>
          <cell r="J179">
            <v>12</v>
          </cell>
          <cell r="K179">
            <v>23.284666666666663</v>
          </cell>
          <cell r="L179">
            <v>20</v>
          </cell>
          <cell r="M179">
            <v>3.2846666666666628</v>
          </cell>
          <cell r="N179">
            <v>23</v>
          </cell>
          <cell r="P179">
            <v>4783.99</v>
          </cell>
          <cell r="Q179">
            <v>9169.314166666667</v>
          </cell>
        </row>
        <row r="180">
          <cell r="C180">
            <v>9300618556502</v>
          </cell>
          <cell r="E180" t="str">
            <v>N</v>
          </cell>
          <cell r="F180" t="str">
            <v>OLAY 歐蕾 滋潤保濕乳液, 150ml, 1瓶</v>
          </cell>
          <cell r="G180">
            <v>176</v>
          </cell>
          <cell r="H180">
            <v>214.30799999999994</v>
          </cell>
          <cell r="I180" t="str">
            <v>Skin</v>
          </cell>
          <cell r="J180">
            <v>6</v>
          </cell>
          <cell r="K180">
            <v>35.717999999999989</v>
          </cell>
          <cell r="L180">
            <v>52</v>
          </cell>
          <cell r="M180">
            <v>-16.282000000000011</v>
          </cell>
          <cell r="N180">
            <v>210</v>
          </cell>
          <cell r="P180">
            <v>1192</v>
          </cell>
          <cell r="Q180">
            <v>41720</v>
          </cell>
        </row>
        <row r="181">
          <cell r="C181">
            <v>4902430396066</v>
          </cell>
          <cell r="E181" t="str">
            <v>N</v>
          </cell>
          <cell r="F181" t="str">
            <v>OLAY 歐蕾 多元修護晚霜(6066), 50g, 1罐</v>
          </cell>
          <cell r="G181">
            <v>355</v>
          </cell>
          <cell r="H181">
            <v>165.32400000000001</v>
          </cell>
          <cell r="I181" t="str">
            <v>Skin</v>
          </cell>
          <cell r="J181">
            <v>12</v>
          </cell>
          <cell r="K181">
            <v>13.777000000000001</v>
          </cell>
          <cell r="L181">
            <v>13</v>
          </cell>
          <cell r="M181">
            <v>0.77700000000000102</v>
          </cell>
          <cell r="N181">
            <v>13</v>
          </cell>
          <cell r="P181">
            <v>4783.99</v>
          </cell>
          <cell r="Q181">
            <v>5182.6558333333323</v>
          </cell>
        </row>
        <row r="182">
          <cell r="C182">
            <v>4987176106438</v>
          </cell>
          <cell r="E182" t="str">
            <v>N</v>
          </cell>
          <cell r="F182" t="str">
            <v>OLAY 歐蕾水感透白光曜精華水, 150ml, 1瓶</v>
          </cell>
          <cell r="G182">
            <v>502</v>
          </cell>
          <cell r="H182">
            <v>116.24800000000002</v>
          </cell>
          <cell r="I182" t="str">
            <v>Skin</v>
          </cell>
          <cell r="J182">
            <v>12</v>
          </cell>
          <cell r="K182">
            <v>9.6873333333333349</v>
          </cell>
          <cell r="L182">
            <v>14</v>
          </cell>
          <cell r="M182">
            <v>-4.3126666666666651</v>
          </cell>
          <cell r="N182">
            <v>108</v>
          </cell>
          <cell r="P182">
            <v>6626.4</v>
          </cell>
          <cell r="Q182">
            <v>59637.599999999999</v>
          </cell>
        </row>
        <row r="183">
          <cell r="C183">
            <v>4987176161734</v>
          </cell>
          <cell r="E183" t="str">
            <v>N</v>
          </cell>
          <cell r="F183" t="str">
            <v>OLAY 歐蕾 滋潤緊緻優惠組 護膚霜50g+護膚霜14g*2+精華水18ml*2, 1組</v>
          </cell>
          <cell r="G183">
            <v>565</v>
          </cell>
          <cell r="H183">
            <v>183.768</v>
          </cell>
          <cell r="I183" t="str">
            <v>Skin</v>
          </cell>
          <cell r="J183">
            <v>6</v>
          </cell>
          <cell r="K183">
            <v>30.628</v>
          </cell>
          <cell r="L183">
            <v>0</v>
          </cell>
          <cell r="M183">
            <v>30.628</v>
          </cell>
          <cell r="N183"/>
          <cell r="P183">
            <v>3708</v>
          </cell>
          <cell r="Q183">
            <v>0</v>
          </cell>
        </row>
        <row r="184">
          <cell r="C184">
            <v>4987176146700</v>
          </cell>
          <cell r="E184" t="str">
            <v>N</v>
          </cell>
          <cell r="F184" t="str">
            <v>OLAY 歐蕾 台灣公司貨 多效防曬日霜優惠組, 1組</v>
          </cell>
          <cell r="G184">
            <v>726</v>
          </cell>
          <cell r="H184">
            <v>45.496000000000009</v>
          </cell>
          <cell r="I184" t="str">
            <v>Skin</v>
          </cell>
          <cell r="J184">
            <v>12</v>
          </cell>
          <cell r="K184">
            <v>3.7913333333333341</v>
          </cell>
          <cell r="L184">
            <v>0</v>
          </cell>
          <cell r="M184">
            <v>3.7913333333333341</v>
          </cell>
          <cell r="N184">
            <v>3</v>
          </cell>
          <cell r="P184">
            <v>9568</v>
          </cell>
          <cell r="Q184">
            <v>2392</v>
          </cell>
        </row>
        <row r="185">
          <cell r="C185">
            <v>4987176250353</v>
          </cell>
          <cell r="E185" t="str">
            <v>N</v>
          </cell>
          <cell r="F185" t="str">
            <v>OLAY 歐蕾 台灣公司貨 水感透白面膜, 5片, 1盒</v>
          </cell>
          <cell r="G185">
            <v>263</v>
          </cell>
          <cell r="H185">
            <v>378.82</v>
          </cell>
          <cell r="I185" t="str">
            <v>Skin</v>
          </cell>
          <cell r="J185">
            <v>6</v>
          </cell>
          <cell r="K185">
            <v>63.136666666666663</v>
          </cell>
          <cell r="L185">
            <v>34</v>
          </cell>
          <cell r="M185">
            <v>29.136666666666663</v>
          </cell>
          <cell r="N185">
            <v>63</v>
          </cell>
          <cell r="P185">
            <v>1691.58</v>
          </cell>
          <cell r="Q185">
            <v>17761.59</v>
          </cell>
        </row>
        <row r="186">
          <cell r="C186">
            <v>4987176190734</v>
          </cell>
          <cell r="E186" t="str">
            <v>Y</v>
          </cell>
          <cell r="F186" t="str">
            <v>OLAY 歐蕾 台灣公司貨 抗皺保濕面膜, 5片, 1盒</v>
          </cell>
          <cell r="G186">
            <v>264</v>
          </cell>
          <cell r="H186">
            <v>0</v>
          </cell>
          <cell r="I186" t="str">
            <v>Skin</v>
          </cell>
          <cell r="J186">
            <v>12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P186">
            <v>3383.16</v>
          </cell>
          <cell r="Q186">
            <v>0</v>
          </cell>
        </row>
        <row r="187">
          <cell r="C187">
            <v>4987176271624</v>
          </cell>
          <cell r="E187" t="str">
            <v>N</v>
          </cell>
          <cell r="F187" t="str">
            <v>OLAY 歐蕾 台灣公司貨 滋潤保溼霜, 100g, 1罐</v>
          </cell>
          <cell r="G187">
            <v>220</v>
          </cell>
          <cell r="H187">
            <v>63.944000000000031</v>
          </cell>
          <cell r="I187" t="str">
            <v>Skin</v>
          </cell>
          <cell r="J187">
            <v>6</v>
          </cell>
          <cell r="K187">
            <v>10.657333333333339</v>
          </cell>
          <cell r="L187">
            <v>5</v>
          </cell>
          <cell r="M187">
            <v>5.6573333333333391</v>
          </cell>
          <cell r="N187">
            <v>10</v>
          </cell>
          <cell r="P187">
            <v>1458.4</v>
          </cell>
          <cell r="Q187">
            <v>2430.666666666667</v>
          </cell>
        </row>
        <row r="188">
          <cell r="C188">
            <v>4987176271617</v>
          </cell>
          <cell r="E188" t="str">
            <v>N</v>
          </cell>
          <cell r="F188" t="str">
            <v>OLAY 歐蕾 台灣公司貨 滋潤保濕霜 無添加色素香料, 100g, 1罐</v>
          </cell>
          <cell r="G188">
            <v>220</v>
          </cell>
          <cell r="H188">
            <v>97.795999999999992</v>
          </cell>
          <cell r="I188" t="str">
            <v>Skin</v>
          </cell>
          <cell r="J188">
            <v>6</v>
          </cell>
          <cell r="K188">
            <v>16.299333333333333</v>
          </cell>
          <cell r="L188">
            <v>27</v>
          </cell>
          <cell r="M188">
            <v>-10.700666666666667</v>
          </cell>
          <cell r="N188">
            <v>96</v>
          </cell>
          <cell r="P188">
            <v>1458.4</v>
          </cell>
          <cell r="Q188">
            <v>23334.400000000001</v>
          </cell>
        </row>
        <row r="189">
          <cell r="C189">
            <v>4987176357526</v>
          </cell>
          <cell r="D189"/>
          <cell r="E189" t="str">
            <v>N</v>
          </cell>
          <cell r="F189" t="str">
            <v>OLAY 歐蕾 台灣公司貨 胜肽專研密集奢護面膜, 5片, 1盒</v>
          </cell>
          <cell r="G189">
            <v>280</v>
          </cell>
          <cell r="H189">
            <v>187.2</v>
          </cell>
          <cell r="I189" t="str">
            <v>Skin</v>
          </cell>
          <cell r="J189">
            <v>12</v>
          </cell>
          <cell r="K189">
            <v>15.6</v>
          </cell>
          <cell r="L189">
            <v>51</v>
          </cell>
          <cell r="M189">
            <v>-35.4</v>
          </cell>
          <cell r="N189">
            <v>180</v>
          </cell>
          <cell r="P189">
            <v>3520.8</v>
          </cell>
          <cell r="Q189">
            <v>52812</v>
          </cell>
        </row>
        <row r="190">
          <cell r="C190">
            <v>4987176274922</v>
          </cell>
          <cell r="E190" t="str">
            <v>Y</v>
          </cell>
          <cell r="F190" t="str">
            <v>Lenor 蘭諾 衣物芳香豆 春暖晨露, 455ml, 1包</v>
          </cell>
          <cell r="G190">
            <v>138</v>
          </cell>
          <cell r="H190">
            <v>0</v>
          </cell>
          <cell r="I190" t="str">
            <v>Fabric</v>
          </cell>
          <cell r="J190">
            <v>10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P190">
            <v>1440.3</v>
          </cell>
          <cell r="Q190">
            <v>0</v>
          </cell>
        </row>
        <row r="191">
          <cell r="C191">
            <v>4987176274908</v>
          </cell>
          <cell r="D191">
            <v>80815408</v>
          </cell>
          <cell r="E191" t="str">
            <v>N</v>
          </cell>
          <cell r="F191" t="str">
            <v>Lenor 蘭諾 衣物芳香豆 春暖晨露, 470ml, 1瓶</v>
          </cell>
          <cell r="G191">
            <v>166</v>
          </cell>
          <cell r="H191">
            <v>398.16399999999999</v>
          </cell>
          <cell r="I191" t="str">
            <v>Fabric</v>
          </cell>
          <cell r="J191">
            <v>6</v>
          </cell>
          <cell r="K191">
            <v>66.36066666666666</v>
          </cell>
          <cell r="L191">
            <v>0</v>
          </cell>
          <cell r="M191">
            <v>66.36066666666666</v>
          </cell>
          <cell r="N191"/>
          <cell r="P191">
            <v>1081.3</v>
          </cell>
          <cell r="Q191">
            <v>0</v>
          </cell>
          <cell r="R191">
            <v>0</v>
          </cell>
          <cell r="S191">
            <v>0</v>
          </cell>
          <cell r="T191" t="e">
            <v>#DIV/0!</v>
          </cell>
        </row>
        <row r="192">
          <cell r="C192">
            <v>4987176274915</v>
          </cell>
          <cell r="E192" t="str">
            <v>Y</v>
          </cell>
          <cell r="F192" t="str">
            <v>Lenor 蘭諾 衣物芳香豆 淨白純棉, 455ml, 1包</v>
          </cell>
          <cell r="G192">
            <v>138</v>
          </cell>
          <cell r="H192">
            <v>0</v>
          </cell>
          <cell r="I192" t="str">
            <v>Fabric</v>
          </cell>
          <cell r="J192">
            <v>10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P192">
            <v>1440.3</v>
          </cell>
          <cell r="Q192">
            <v>0</v>
          </cell>
        </row>
        <row r="193">
          <cell r="C193">
            <v>4987176274892</v>
          </cell>
          <cell r="D193">
            <v>80815407</v>
          </cell>
          <cell r="E193" t="str">
            <v>N</v>
          </cell>
          <cell r="F193" t="str">
            <v>Lenor 蘭諾 衣物芳香豆 淨白純棉, 470ml, 1瓶</v>
          </cell>
          <cell r="G193">
            <v>166</v>
          </cell>
          <cell r="H193">
            <v>1080.04</v>
          </cell>
          <cell r="I193" t="str">
            <v>Fabric</v>
          </cell>
          <cell r="J193">
            <v>6</v>
          </cell>
          <cell r="K193">
            <v>180.00666666666666</v>
          </cell>
          <cell r="L193">
            <v>0</v>
          </cell>
          <cell r="M193">
            <v>180.00666666666666</v>
          </cell>
          <cell r="N193"/>
          <cell r="P193">
            <v>1081.3</v>
          </cell>
          <cell r="Q193">
            <v>0</v>
          </cell>
          <cell r="R193">
            <v>50.5</v>
          </cell>
          <cell r="S193">
            <v>5.1666666666666572</v>
          </cell>
          <cell r="T193">
            <v>88.712871287128706</v>
          </cell>
        </row>
        <row r="194">
          <cell r="C194">
            <v>4987176314772</v>
          </cell>
          <cell r="E194" t="str">
            <v>Y</v>
          </cell>
          <cell r="F194" t="str">
            <v>Lenor 蘭諾 衣物芳香豆 雪松梔子花 補充包, 440ml, 1包</v>
          </cell>
          <cell r="G194">
            <v>136</v>
          </cell>
          <cell r="H194">
            <v>0</v>
          </cell>
          <cell r="I194" t="str">
            <v>Fabric</v>
          </cell>
          <cell r="J194">
            <v>10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P194">
            <v>1440.3</v>
          </cell>
          <cell r="Q194">
            <v>0</v>
          </cell>
        </row>
        <row r="195">
          <cell r="C195">
            <v>4987176314277</v>
          </cell>
          <cell r="D195">
            <v>80841892</v>
          </cell>
          <cell r="E195" t="str">
            <v>N</v>
          </cell>
          <cell r="F195" t="str">
            <v>Lenor 蘭諾 衣物芳香豆 甜柔麝香, 450ml, 1瓶</v>
          </cell>
          <cell r="G195">
            <v>174</v>
          </cell>
          <cell r="H195">
            <v>931.73599999999999</v>
          </cell>
          <cell r="I195" t="str">
            <v>Fabric</v>
          </cell>
          <cell r="J195">
            <v>6</v>
          </cell>
          <cell r="K195">
            <v>155.28933333333333</v>
          </cell>
          <cell r="L195">
            <v>0</v>
          </cell>
          <cell r="M195">
            <v>155.28933333333333</v>
          </cell>
          <cell r="N195"/>
          <cell r="P195">
            <v>1081.3</v>
          </cell>
          <cell r="Q195">
            <v>0</v>
          </cell>
          <cell r="R195">
            <v>0</v>
          </cell>
          <cell r="S195">
            <v>0</v>
          </cell>
          <cell r="T195" t="e">
            <v>#DIV/0!</v>
          </cell>
        </row>
        <row r="196">
          <cell r="C196">
            <v>4987176314338</v>
          </cell>
          <cell r="D196">
            <v>80841899</v>
          </cell>
          <cell r="E196" t="str">
            <v>N</v>
          </cell>
          <cell r="F196" t="str">
            <v>Lenor 蘭諾 衣物芳香豆 甜花石榴香, 450ml, 1瓶</v>
          </cell>
          <cell r="G196">
            <v>174</v>
          </cell>
          <cell r="H196">
            <v>2168.1400000000003</v>
          </cell>
          <cell r="I196" t="str">
            <v>Fabric</v>
          </cell>
          <cell r="J196">
            <v>6</v>
          </cell>
          <cell r="K196">
            <v>361.35666666666674</v>
          </cell>
          <cell r="L196">
            <v>0</v>
          </cell>
          <cell r="M196">
            <v>361.35666666666674</v>
          </cell>
          <cell r="N196"/>
          <cell r="P196">
            <v>1081.3</v>
          </cell>
          <cell r="Q196">
            <v>0</v>
          </cell>
          <cell r="R196">
            <v>0</v>
          </cell>
          <cell r="S196">
            <v>0</v>
          </cell>
          <cell r="T196" t="e">
            <v>#DIV/0!</v>
          </cell>
        </row>
        <row r="197">
          <cell r="C197">
            <v>4987176314413</v>
          </cell>
          <cell r="D197">
            <v>80841907</v>
          </cell>
          <cell r="E197" t="str">
            <v>N</v>
          </cell>
          <cell r="F197" t="str">
            <v>Lenor 蘭諾 衣物芳香豆 青檸紫羅蘭, 450ml, 1瓶</v>
          </cell>
          <cell r="G197">
            <v>174</v>
          </cell>
          <cell r="H197">
            <v>438.464</v>
          </cell>
          <cell r="I197" t="str">
            <v>Fabric</v>
          </cell>
          <cell r="J197">
            <v>6</v>
          </cell>
          <cell r="K197">
            <v>73.077333333333328</v>
          </cell>
          <cell r="L197">
            <v>0</v>
          </cell>
          <cell r="M197">
            <v>73.077333333333328</v>
          </cell>
          <cell r="N197"/>
          <cell r="P197">
            <v>1081.3</v>
          </cell>
          <cell r="Q197">
            <v>0</v>
          </cell>
          <cell r="R197">
            <v>0</v>
          </cell>
          <cell r="S197">
            <v>0</v>
          </cell>
          <cell r="T197" t="e">
            <v>#DIV/0!</v>
          </cell>
        </row>
        <row r="198">
          <cell r="C198">
            <v>4987176314406</v>
          </cell>
          <cell r="D198">
            <v>80841906</v>
          </cell>
          <cell r="E198" t="str">
            <v>N</v>
          </cell>
          <cell r="F198" t="str">
            <v>Lenor 蘭諾 衣物芳香豆 清晨草木, 450ml, 1瓶</v>
          </cell>
          <cell r="G198">
            <v>174</v>
          </cell>
          <cell r="H198">
            <v>702.83199999999988</v>
          </cell>
          <cell r="I198" t="str">
            <v>Fabric</v>
          </cell>
          <cell r="J198">
            <v>6</v>
          </cell>
          <cell r="K198">
            <v>117.13866666666665</v>
          </cell>
          <cell r="L198">
            <v>0</v>
          </cell>
          <cell r="M198">
            <v>117.13866666666665</v>
          </cell>
          <cell r="N198"/>
          <cell r="P198">
            <v>1081.3</v>
          </cell>
          <cell r="Q198">
            <v>0</v>
          </cell>
          <cell r="R198">
            <v>0</v>
          </cell>
          <cell r="S198">
            <v>0</v>
          </cell>
          <cell r="T198" t="e">
            <v>#DIV/0!</v>
          </cell>
        </row>
        <row r="199">
          <cell r="C199">
            <v>4987176314222</v>
          </cell>
          <cell r="D199">
            <v>80841888</v>
          </cell>
          <cell r="E199" t="str">
            <v>N</v>
          </cell>
          <cell r="F199" t="str">
            <v>Lenor 蘭諾 衣物芳香豆 雪松梔子花, 450ml, 1瓶</v>
          </cell>
          <cell r="G199">
            <v>174</v>
          </cell>
          <cell r="H199">
            <v>2350.2960000000003</v>
          </cell>
          <cell r="I199" t="str">
            <v>Fabric</v>
          </cell>
          <cell r="J199">
            <v>6</v>
          </cell>
          <cell r="K199">
            <v>391.71600000000007</v>
          </cell>
          <cell r="L199">
            <v>0</v>
          </cell>
          <cell r="M199">
            <v>391.71600000000007</v>
          </cell>
          <cell r="N199"/>
          <cell r="P199">
            <v>1081.3</v>
          </cell>
          <cell r="Q199">
            <v>0</v>
          </cell>
          <cell r="R199">
            <v>0</v>
          </cell>
          <cell r="S199">
            <v>0</v>
          </cell>
          <cell r="T199" t="e">
            <v>#DIV/0!</v>
          </cell>
        </row>
        <row r="200">
          <cell r="C200">
            <v>4987176314253</v>
          </cell>
          <cell r="D200">
            <v>80841891</v>
          </cell>
          <cell r="E200" t="str">
            <v>N</v>
          </cell>
          <cell r="F200" t="str">
            <v>Lenor 蘭諾 衣物芳香豆 潮濕天氣抗臭, 440ml, 1瓶</v>
          </cell>
          <cell r="G200">
            <v>174</v>
          </cell>
          <cell r="H200">
            <v>401.38799999999998</v>
          </cell>
          <cell r="I200" t="str">
            <v>Fabric</v>
          </cell>
          <cell r="J200">
            <v>6</v>
          </cell>
          <cell r="K200">
            <v>66.897999999999996</v>
          </cell>
          <cell r="L200">
            <v>0</v>
          </cell>
          <cell r="M200">
            <v>66.897999999999996</v>
          </cell>
          <cell r="N200"/>
          <cell r="P200">
            <v>1081.3</v>
          </cell>
          <cell r="Q200">
            <v>0</v>
          </cell>
          <cell r="R200">
            <v>0</v>
          </cell>
          <cell r="S200">
            <v>0</v>
          </cell>
          <cell r="T200" t="e">
            <v>#DIV/0!</v>
          </cell>
        </row>
        <row r="201">
          <cell r="C201">
            <v>4987176314796</v>
          </cell>
          <cell r="E201" t="str">
            <v>Y</v>
          </cell>
          <cell r="F201" t="str">
            <v>Lenor 蘭諾 衣物芳香豆 清晨草木 補充包, 440ml, 1包</v>
          </cell>
          <cell r="G201">
            <v>136</v>
          </cell>
          <cell r="H201">
            <v>0</v>
          </cell>
          <cell r="I201" t="str">
            <v>Fabric</v>
          </cell>
          <cell r="J201">
            <v>10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P201">
            <v>1440.3</v>
          </cell>
          <cell r="Q201">
            <v>0</v>
          </cell>
        </row>
        <row r="202">
          <cell r="C202">
            <v>4987176314291</v>
          </cell>
          <cell r="E202" t="str">
            <v>Y</v>
          </cell>
          <cell r="F202" t="str">
            <v>Lenor 蘭諾 衣物芳香豆 潮濕天氣抗臭 補充包, 430ml, 1包</v>
          </cell>
          <cell r="G202">
            <v>140</v>
          </cell>
          <cell r="H202">
            <v>0</v>
          </cell>
          <cell r="I202" t="str">
            <v>Fabric</v>
          </cell>
          <cell r="J202">
            <v>10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P202">
            <v>1440.3</v>
          </cell>
          <cell r="Q202">
            <v>0</v>
          </cell>
        </row>
        <row r="203">
          <cell r="C203">
            <v>4987176314789</v>
          </cell>
          <cell r="E203" t="str">
            <v>Y</v>
          </cell>
          <cell r="F203" t="str">
            <v>Lenor 蘭諾 衣物芳香豆 甜柔麝香 補充包, 440ml, 1包</v>
          </cell>
          <cell r="G203">
            <v>136</v>
          </cell>
          <cell r="H203">
            <v>0</v>
          </cell>
          <cell r="I203" t="str">
            <v>Fabric</v>
          </cell>
          <cell r="J203">
            <v>10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P203">
            <v>1440.3</v>
          </cell>
          <cell r="Q203">
            <v>0</v>
          </cell>
        </row>
        <row r="204">
          <cell r="C204">
            <v>4987176314802</v>
          </cell>
          <cell r="E204" t="str">
            <v>Y</v>
          </cell>
          <cell r="F204" t="str">
            <v>Lenor 蘭諾 衣物芳香豆 甜花石榴香 補充包, 440ml, 1包</v>
          </cell>
          <cell r="G204">
            <v>136</v>
          </cell>
          <cell r="H204">
            <v>0</v>
          </cell>
          <cell r="I204" t="str">
            <v>Fabric</v>
          </cell>
          <cell r="J204">
            <v>10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P204">
            <v>1440.3</v>
          </cell>
          <cell r="Q204">
            <v>0</v>
          </cell>
        </row>
        <row r="205">
          <cell r="C205">
            <v>4987176314765</v>
          </cell>
          <cell r="E205" t="str">
            <v>Y</v>
          </cell>
          <cell r="F205" t="str">
            <v>Lenor 蘭諾 衣物芳香豆 青檸紫羅蘭 補充包, 440ml, 1包</v>
          </cell>
          <cell r="G205">
            <v>136</v>
          </cell>
          <cell r="H205">
            <v>0</v>
          </cell>
          <cell r="I205" t="str">
            <v>Fabric</v>
          </cell>
          <cell r="J205">
            <v>10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P205">
            <v>1440.3</v>
          </cell>
          <cell r="Q205">
            <v>0</v>
          </cell>
        </row>
        <row r="206">
          <cell r="C206">
            <v>4987176314284</v>
          </cell>
          <cell r="D206">
            <v>80841894</v>
          </cell>
          <cell r="E206" t="str">
            <v>N</v>
          </cell>
          <cell r="F206" t="str">
            <v>Lenor 蘭諾 衣物芳香豆 運動衣物抗臭, 440ml, 1瓶</v>
          </cell>
          <cell r="G206">
            <v>174</v>
          </cell>
          <cell r="H206">
            <v>844.68799999999999</v>
          </cell>
          <cell r="I206" t="str">
            <v>Fabric</v>
          </cell>
          <cell r="J206">
            <v>6</v>
          </cell>
          <cell r="K206">
            <v>140.78133333333332</v>
          </cell>
          <cell r="L206">
            <v>0</v>
          </cell>
          <cell r="M206">
            <v>140.78133333333332</v>
          </cell>
          <cell r="N206"/>
          <cell r="P206">
            <v>1081.3</v>
          </cell>
          <cell r="Q206">
            <v>0</v>
          </cell>
          <cell r="R206">
            <v>0</v>
          </cell>
          <cell r="S206">
            <v>0</v>
          </cell>
          <cell r="T206" t="e">
            <v>#DIV/0!</v>
          </cell>
        </row>
        <row r="207">
          <cell r="C207">
            <v>4987176314369</v>
          </cell>
          <cell r="E207" t="str">
            <v>Y</v>
          </cell>
          <cell r="F207" t="str">
            <v>Lenor 蘭諾 衣物芳香豆 運動衣物抗臭 補充包, 430ml, 1包</v>
          </cell>
          <cell r="G207">
            <v>140</v>
          </cell>
          <cell r="H207">
            <v>0</v>
          </cell>
          <cell r="I207" t="str">
            <v>Fabric</v>
          </cell>
          <cell r="J207">
            <v>10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P207">
            <v>1440.3</v>
          </cell>
          <cell r="Q207">
            <v>0</v>
          </cell>
        </row>
        <row r="208">
          <cell r="C208">
            <v>4987176373922</v>
          </cell>
          <cell r="D208"/>
          <cell r="E208" t="str">
            <v>N</v>
          </cell>
          <cell r="F208" t="str">
            <v>Lenor 蘭諾 衣物芳香豆 甜花石榴香 補充包, 900ml, 1個</v>
          </cell>
          <cell r="G208">
            <v>272</v>
          </cell>
          <cell r="H208">
            <v>628</v>
          </cell>
          <cell r="I208" t="str">
            <v>Fabric</v>
          </cell>
          <cell r="J208">
            <v>8</v>
          </cell>
          <cell r="K208">
            <v>78.5</v>
          </cell>
          <cell r="L208">
            <v>0</v>
          </cell>
          <cell r="M208"/>
          <cell r="N208">
            <v>624</v>
          </cell>
          <cell r="P208" t="e">
            <v>#N/A</v>
          </cell>
          <cell r="Q208" t="e">
            <v>#N/A</v>
          </cell>
        </row>
        <row r="209">
          <cell r="C209">
            <v>4987176373939</v>
          </cell>
          <cell r="D209">
            <v>80890585</v>
          </cell>
          <cell r="E209" t="str">
            <v>N</v>
          </cell>
          <cell r="F209" t="str">
            <v>Lenor 蘭諾 衣物芳香豆 雪松梔子花 補充包, 900ml, 1個</v>
          </cell>
          <cell r="G209">
            <v>272</v>
          </cell>
          <cell r="H209">
            <v>1611.0735566410699</v>
          </cell>
          <cell r="I209" t="str">
            <v>Fabric</v>
          </cell>
          <cell r="J209">
            <v>8</v>
          </cell>
          <cell r="K209">
            <v>201.38419458013374</v>
          </cell>
          <cell r="L209">
            <v>0</v>
          </cell>
          <cell r="M209">
            <v>201.38419458013374</v>
          </cell>
          <cell r="N209"/>
          <cell r="P209" t="e">
            <v>#N/A</v>
          </cell>
          <cell r="Q209" t="e">
            <v>#N/A</v>
          </cell>
          <cell r="R209">
            <v>208.875</v>
          </cell>
          <cell r="S209">
            <v>208.5</v>
          </cell>
          <cell r="T209">
            <v>47.476017209721867</v>
          </cell>
        </row>
        <row r="210">
          <cell r="C210">
            <v>4987176373885</v>
          </cell>
          <cell r="D210">
            <v>80890580</v>
          </cell>
          <cell r="E210" t="str">
            <v>N</v>
          </cell>
          <cell r="F210" t="str">
            <v>Lenor 蘭諾 衣物芳香豆 運動衣物抗臭 補充包, 880ml, 1個</v>
          </cell>
          <cell r="G210">
            <v>272</v>
          </cell>
          <cell r="H210">
            <v>2269.760963743543</v>
          </cell>
          <cell r="I210" t="str">
            <v>Fabric</v>
          </cell>
          <cell r="J210">
            <v>8</v>
          </cell>
          <cell r="K210">
            <v>283.72012046794288</v>
          </cell>
          <cell r="L210">
            <v>0</v>
          </cell>
          <cell r="M210">
            <v>283.72012046794288</v>
          </cell>
          <cell r="N210"/>
          <cell r="P210" t="e">
            <v>#N/A</v>
          </cell>
          <cell r="Q210" t="e">
            <v>#N/A</v>
          </cell>
          <cell r="R210">
            <v>89.875</v>
          </cell>
          <cell r="S210">
            <v>261.375</v>
          </cell>
          <cell r="T210">
            <v>146.73474461876518</v>
          </cell>
        </row>
        <row r="211">
          <cell r="C211">
            <v>4987176373861</v>
          </cell>
          <cell r="D211">
            <v>80890578</v>
          </cell>
          <cell r="E211" t="str">
            <v>N</v>
          </cell>
          <cell r="F211" t="str">
            <v>Lenor 蘭諾 衣物芳香豆 清晨草木 補充包, 900ml, 1個</v>
          </cell>
          <cell r="G211">
            <v>272</v>
          </cell>
          <cell r="H211">
            <v>2049.8630663728763</v>
          </cell>
          <cell r="I211" t="str">
            <v>Fabric</v>
          </cell>
          <cell r="J211">
            <v>8</v>
          </cell>
          <cell r="K211">
            <v>256.23288329660954</v>
          </cell>
          <cell r="L211">
            <v>0</v>
          </cell>
          <cell r="M211">
            <v>256.23288329660954</v>
          </cell>
          <cell r="N211"/>
          <cell r="P211" t="e">
            <v>#N/A</v>
          </cell>
          <cell r="Q211" t="e">
            <v>#N/A</v>
          </cell>
          <cell r="R211">
            <v>89.875</v>
          </cell>
          <cell r="S211">
            <v>214.25</v>
          </cell>
          <cell r="T211">
            <v>126.64979585354466</v>
          </cell>
        </row>
        <row r="212">
          <cell r="C212">
            <v>4987176373908</v>
          </cell>
          <cell r="D212">
            <v>80890582</v>
          </cell>
          <cell r="E212" t="str">
            <v>N</v>
          </cell>
          <cell r="F212" t="str">
            <v>Lenor 蘭諾 衣物芳香豆 淨白純棉 補充包, 940ml, 1個</v>
          </cell>
          <cell r="G212">
            <v>272</v>
          </cell>
          <cell r="H212">
            <v>147.94776316504999</v>
          </cell>
          <cell r="I212" t="str">
            <v>Fabric</v>
          </cell>
          <cell r="J212">
            <v>8</v>
          </cell>
          <cell r="K212">
            <v>18.493470395631249</v>
          </cell>
          <cell r="L212">
            <v>0</v>
          </cell>
          <cell r="M212"/>
          <cell r="N212"/>
          <cell r="P212" t="e">
            <v>#N/A</v>
          </cell>
          <cell r="Q212" t="e">
            <v>#N/A</v>
          </cell>
          <cell r="R212">
            <v>48.125</v>
          </cell>
          <cell r="S212">
            <v>77.75</v>
          </cell>
          <cell r="T212">
            <v>48.383814191352116</v>
          </cell>
        </row>
        <row r="213">
          <cell r="C213">
            <v>4987176373878</v>
          </cell>
          <cell r="D213"/>
          <cell r="E213" t="str">
            <v>N</v>
          </cell>
          <cell r="F213" t="str">
            <v>Lenor 蘭諾 衣物芳香豆 青檸紫羅蘭 補充包, 900ml, 1個</v>
          </cell>
          <cell r="G213">
            <v>272</v>
          </cell>
          <cell r="H213">
            <v>286.00000000000006</v>
          </cell>
          <cell r="I213" t="str">
            <v>Fabric</v>
          </cell>
          <cell r="J213">
            <v>8</v>
          </cell>
          <cell r="K213">
            <v>35.750000000000007</v>
          </cell>
          <cell r="L213">
            <v>0</v>
          </cell>
          <cell r="M213"/>
          <cell r="N213">
            <v>280</v>
          </cell>
          <cell r="P213" t="e">
            <v>#N/A</v>
          </cell>
          <cell r="Q213" t="e">
            <v>#N/A</v>
          </cell>
        </row>
        <row r="214">
          <cell r="C214">
            <v>4987176373854</v>
          </cell>
          <cell r="D214">
            <v>80890577</v>
          </cell>
          <cell r="E214" t="str">
            <v>N</v>
          </cell>
          <cell r="F214" t="str">
            <v>Lenor 蘭諾 衣物芳香豆 春暖晨露 補充包, 940ml, 1個</v>
          </cell>
          <cell r="G214">
            <v>272</v>
          </cell>
          <cell r="H214">
            <v>273.51061319671203</v>
          </cell>
          <cell r="I214" t="str">
            <v>Fabric</v>
          </cell>
          <cell r="J214">
            <v>8</v>
          </cell>
          <cell r="K214">
            <v>34.188826649589004</v>
          </cell>
          <cell r="L214">
            <v>0</v>
          </cell>
          <cell r="M214">
            <v>34.188826649589004</v>
          </cell>
          <cell r="N214"/>
          <cell r="P214" t="e">
            <v>#N/A</v>
          </cell>
          <cell r="Q214" t="e">
            <v>#N/A</v>
          </cell>
          <cell r="R214">
            <v>39</v>
          </cell>
          <cell r="S214">
            <v>67.625</v>
          </cell>
          <cell r="T214">
            <v>63.159942090315766</v>
          </cell>
        </row>
        <row r="215">
          <cell r="C215">
            <v>4987176373915</v>
          </cell>
          <cell r="D215"/>
          <cell r="E215" t="str">
            <v>N</v>
          </cell>
          <cell r="F215" t="str">
            <v>Lenor 蘭諾 衣物芳香豆 潮濕天氣抗臭 補充包, 880ml, 1個</v>
          </cell>
          <cell r="G215">
            <v>272</v>
          </cell>
          <cell r="H215">
            <v>683.61223630149971</v>
          </cell>
          <cell r="I215" t="str">
            <v>Fabric</v>
          </cell>
          <cell r="J215">
            <v>8</v>
          </cell>
          <cell r="K215">
            <v>85.451529537687463</v>
          </cell>
          <cell r="L215">
            <v>0</v>
          </cell>
          <cell r="M215"/>
          <cell r="N215">
            <v>680</v>
          </cell>
          <cell r="P215" t="e">
            <v>#N/A</v>
          </cell>
          <cell r="Q215" t="e">
            <v>#N/A</v>
          </cell>
        </row>
        <row r="216">
          <cell r="C216">
            <v>4987176373892</v>
          </cell>
          <cell r="D216">
            <v>80890581</v>
          </cell>
          <cell r="E216" t="str">
            <v>N</v>
          </cell>
          <cell r="F216" t="str">
            <v>Lenor 蘭諾 衣物芳香豆 甜柔麝香 補充包, 900ml, 1個</v>
          </cell>
          <cell r="G216">
            <v>272</v>
          </cell>
          <cell r="H216">
            <v>802.49258363415993</v>
          </cell>
          <cell r="I216" t="str">
            <v>Fabric</v>
          </cell>
          <cell r="J216">
            <v>8</v>
          </cell>
          <cell r="K216">
            <v>100.31157295426999</v>
          </cell>
          <cell r="L216">
            <v>0</v>
          </cell>
          <cell r="M216">
            <v>100</v>
          </cell>
          <cell r="N216"/>
          <cell r="P216" t="e">
            <v>#N/A</v>
          </cell>
          <cell r="Q216" t="e">
            <v>#N/A</v>
          </cell>
          <cell r="R216">
            <v>123.125</v>
          </cell>
          <cell r="S216">
            <v>174.875</v>
          </cell>
          <cell r="T216">
            <v>54.073012533997712</v>
          </cell>
        </row>
        <row r="217">
          <cell r="C217">
            <v>4987176092724</v>
          </cell>
          <cell r="E217" t="str">
            <v>N</v>
          </cell>
          <cell r="F217" t="str">
            <v>head &amp; shoulders 海倫仙度絲 台灣公司貨 科研去屑洗髮露, 去油淨透, 300g, 1瓶</v>
          </cell>
          <cell r="G217">
            <v>213</v>
          </cell>
          <cell r="H217">
            <v>926.90000000000009</v>
          </cell>
          <cell r="I217" t="str">
            <v>Hair</v>
          </cell>
          <cell r="J217">
            <v>12</v>
          </cell>
          <cell r="K217">
            <v>77.241666666666674</v>
          </cell>
          <cell r="L217" t="e">
            <v>#N/A</v>
          </cell>
          <cell r="M217" t="e">
            <v>#N/A</v>
          </cell>
          <cell r="N217"/>
          <cell r="P217">
            <v>2904</v>
          </cell>
          <cell r="Q217">
            <v>0</v>
          </cell>
        </row>
        <row r="218">
          <cell r="C218">
            <v>4987176092731</v>
          </cell>
          <cell r="E218" t="str">
            <v>N</v>
          </cell>
          <cell r="F218" t="str">
            <v>head &amp; shoulders 海倫仙度絲 科研去屑洗髮露, 瞬效止癢, 300g, 1瓶</v>
          </cell>
          <cell r="G218">
            <v>213</v>
          </cell>
          <cell r="H218">
            <v>2363.192</v>
          </cell>
          <cell r="I218" t="str">
            <v>Hair</v>
          </cell>
          <cell r="J218">
            <v>12</v>
          </cell>
          <cell r="K218">
            <v>196.93266666666668</v>
          </cell>
          <cell r="L218" t="e">
            <v>#N/A</v>
          </cell>
          <cell r="M218" t="e">
            <v>#N/A</v>
          </cell>
          <cell r="N218"/>
          <cell r="P218">
            <v>2904</v>
          </cell>
          <cell r="Q218">
            <v>0</v>
          </cell>
        </row>
        <row r="219">
          <cell r="C219">
            <v>4987176273024</v>
          </cell>
          <cell r="E219" t="str">
            <v>N</v>
          </cell>
          <cell r="F219" t="str">
            <v>head&amp;shoulders 海倫仙度絲 去屑護理洗髮露, 淨爽止癢, 650g, 1瓶</v>
          </cell>
          <cell r="G219">
            <v>210</v>
          </cell>
          <cell r="H219">
            <v>2126.2280000000001</v>
          </cell>
          <cell r="I219" t="str">
            <v>Hair</v>
          </cell>
          <cell r="J219">
            <v>12</v>
          </cell>
          <cell r="K219">
            <v>177.18566666666666</v>
          </cell>
          <cell r="L219" t="e">
            <v>#N/A</v>
          </cell>
          <cell r="M219" t="e">
            <v>#N/A</v>
          </cell>
          <cell r="N219"/>
          <cell r="P219">
            <v>2733.6</v>
          </cell>
          <cell r="Q219">
            <v>0</v>
          </cell>
        </row>
        <row r="220">
          <cell r="C220">
            <v>4902430699525</v>
          </cell>
          <cell r="E220" t="str">
            <v>N</v>
          </cell>
          <cell r="F220" t="str">
            <v>head&amp;shoulders 海倫仙度絲 去屑洗髮乳 絲滑柔順, 1kg + 200g, 1組</v>
          </cell>
          <cell r="G220">
            <v>241</v>
          </cell>
          <cell r="H220">
            <v>75.763999999999996</v>
          </cell>
          <cell r="I220" t="str">
            <v>Hair</v>
          </cell>
          <cell r="J220">
            <v>6</v>
          </cell>
          <cell r="K220">
            <v>12.627333333333333</v>
          </cell>
          <cell r="L220" t="e">
            <v>#N/A</v>
          </cell>
          <cell r="M220" t="e">
            <v>#N/A</v>
          </cell>
          <cell r="N220"/>
          <cell r="P220">
            <v>1498.4</v>
          </cell>
          <cell r="Q220">
            <v>0</v>
          </cell>
        </row>
        <row r="221">
          <cell r="C221">
            <v>4987176222978</v>
          </cell>
          <cell r="E221" t="str">
            <v>N</v>
          </cell>
          <cell r="F221" t="str">
            <v>head&amp;shoulders 海倫仙度絲 台灣公司貨 去屑頭皮護理洗髮露 保水舒緩型, 650g, 1瓶</v>
          </cell>
          <cell r="G221">
            <v>210</v>
          </cell>
          <cell r="H221">
            <v>831.79199999999992</v>
          </cell>
          <cell r="I221" t="str">
            <v>Hair</v>
          </cell>
          <cell r="J221">
            <v>12</v>
          </cell>
          <cell r="K221">
            <v>69.315999999999988</v>
          </cell>
          <cell r="L221" t="e">
            <v>#N/A</v>
          </cell>
          <cell r="M221" t="e">
            <v>#N/A</v>
          </cell>
          <cell r="N221"/>
          <cell r="P221">
            <v>2733.6</v>
          </cell>
          <cell r="Q221">
            <v>0</v>
          </cell>
        </row>
        <row r="222">
          <cell r="C222">
            <v>4987176222961</v>
          </cell>
          <cell r="E222" t="str">
            <v>N</v>
          </cell>
          <cell r="F222" t="str">
            <v>head&amp;shoulders 海倫仙度絲 台灣公司貨 去屑頭皮護理洗髮露 控油蓬鬆型, 650g, 1瓶</v>
          </cell>
          <cell r="G222">
            <v>210</v>
          </cell>
          <cell r="H222">
            <v>3261.076</v>
          </cell>
          <cell r="I222" t="str">
            <v>Hair</v>
          </cell>
          <cell r="J222">
            <v>12</v>
          </cell>
          <cell r="K222">
            <v>271.75633333333332</v>
          </cell>
          <cell r="L222" t="e">
            <v>#N/A</v>
          </cell>
          <cell r="M222" t="e">
            <v>#N/A</v>
          </cell>
          <cell r="N222"/>
          <cell r="P222">
            <v>2733.6</v>
          </cell>
          <cell r="Q222">
            <v>0</v>
          </cell>
        </row>
        <row r="223">
          <cell r="C223">
            <v>4987176291561</v>
          </cell>
          <cell r="E223" t="str">
            <v>N</v>
          </cell>
          <cell r="F223" t="str">
            <v>head&amp;shoulders 海倫仙度絲 原廠公司貨 去屑頭皮護理洗髮露 淨爽止癢型, 350g, 1瓶</v>
          </cell>
          <cell r="G223">
            <v>146</v>
          </cell>
          <cell r="H223">
            <v>1307.3320000000001</v>
          </cell>
          <cell r="I223" t="str">
            <v>Hair</v>
          </cell>
          <cell r="J223">
            <v>12</v>
          </cell>
          <cell r="K223">
            <v>108.94433333333335</v>
          </cell>
          <cell r="L223" t="e">
            <v>#N/A</v>
          </cell>
          <cell r="M223" t="e">
            <v>#N/A</v>
          </cell>
          <cell r="N223"/>
          <cell r="P223">
            <v>1728</v>
          </cell>
          <cell r="Q223">
            <v>0</v>
          </cell>
        </row>
        <row r="224">
          <cell r="C224">
            <v>4987176291554</v>
          </cell>
          <cell r="E224" t="str">
            <v>N</v>
          </cell>
          <cell r="F224" t="str">
            <v>head&amp;shoulders 海倫仙度絲 原廠公司貨 去屑頭皮護理洗髮露 控油蓬鬆型, 350g, 1瓶</v>
          </cell>
          <cell r="G224">
            <v>146</v>
          </cell>
          <cell r="H224">
            <v>641.57600000000014</v>
          </cell>
          <cell r="I224" t="str">
            <v>Hair</v>
          </cell>
          <cell r="J224">
            <v>12</v>
          </cell>
          <cell r="K224">
            <v>53.46466666666668</v>
          </cell>
          <cell r="L224" t="e">
            <v>#N/A</v>
          </cell>
          <cell r="M224" t="e">
            <v>#N/A</v>
          </cell>
          <cell r="N224"/>
          <cell r="P224">
            <v>1728</v>
          </cell>
          <cell r="Q224">
            <v>0</v>
          </cell>
        </row>
        <row r="225">
          <cell r="C225">
            <v>4987176331823</v>
          </cell>
          <cell r="E225" t="str">
            <v>N</v>
          </cell>
          <cell r="F225" t="str">
            <v>head&amp;shoulders 海倫仙度絲 公司貨 2025 360度新升級 去屑洗髮露 強根韌髮, 680g, 1個</v>
          </cell>
          <cell r="G225">
            <v>199</v>
          </cell>
          <cell r="H225">
            <v>130.572</v>
          </cell>
          <cell r="I225" t="str">
            <v>Hair</v>
          </cell>
          <cell r="J225">
            <v>6</v>
          </cell>
          <cell r="K225">
            <v>21.762</v>
          </cell>
          <cell r="L225" t="e">
            <v>#N/A</v>
          </cell>
          <cell r="M225" t="e">
            <v>#N/A</v>
          </cell>
          <cell r="N225"/>
          <cell r="P225">
            <v>1245</v>
          </cell>
          <cell r="Q225">
            <v>0</v>
          </cell>
        </row>
        <row r="226">
          <cell r="C226">
            <v>4987176311047</v>
          </cell>
          <cell r="E226" t="str">
            <v>N</v>
          </cell>
          <cell r="F226" t="str">
            <v>head&amp;shoulders 海倫仙度絲 公司貨 2025 360度新升級 去屑洗髮露 海洋清新, 680g, 1個</v>
          </cell>
          <cell r="G226">
            <v>199</v>
          </cell>
          <cell r="H226">
            <v>949.46799999999996</v>
          </cell>
          <cell r="I226" t="str">
            <v>Hair</v>
          </cell>
          <cell r="J226">
            <v>6</v>
          </cell>
          <cell r="K226">
            <v>158.24466666666666</v>
          </cell>
          <cell r="L226" t="e">
            <v>#N/A</v>
          </cell>
          <cell r="M226" t="e">
            <v>#N/A</v>
          </cell>
          <cell r="N226"/>
          <cell r="P226">
            <v>1245</v>
          </cell>
          <cell r="Q226">
            <v>0</v>
          </cell>
        </row>
        <row r="227">
          <cell r="C227">
            <v>4987176311122</v>
          </cell>
          <cell r="E227" t="str">
            <v>N</v>
          </cell>
          <cell r="F227" t="str">
            <v>head&amp;shoulders 海倫仙度絲 公司貨 2025 360度新升級 舒緩去屑洗髮露 朝曦橙花, 680g, 1個</v>
          </cell>
          <cell r="G227">
            <v>199</v>
          </cell>
          <cell r="H227">
            <v>222.45599999999999</v>
          </cell>
          <cell r="I227" t="str">
            <v>Hair</v>
          </cell>
          <cell r="J227">
            <v>6</v>
          </cell>
          <cell r="K227">
            <v>37.076000000000001</v>
          </cell>
          <cell r="L227" t="e">
            <v>#N/A</v>
          </cell>
          <cell r="M227" t="e">
            <v>#N/A</v>
          </cell>
          <cell r="N227"/>
          <cell r="P227">
            <v>1245</v>
          </cell>
          <cell r="Q227">
            <v>0</v>
          </cell>
        </row>
        <row r="228">
          <cell r="C228">
            <v>4987176311191</v>
          </cell>
          <cell r="E228" t="str">
            <v>N</v>
          </cell>
          <cell r="F228" t="str">
            <v>head&amp;shoulders 海倫仙度絲 公司貨 男用 2025 360度新升級 去屑洗髮露 健髮強韌, 680g, 1個</v>
          </cell>
          <cell r="G228">
            <v>199</v>
          </cell>
          <cell r="H228">
            <v>183.768</v>
          </cell>
          <cell r="I228" t="str">
            <v>Hair</v>
          </cell>
          <cell r="J228">
            <v>6</v>
          </cell>
          <cell r="K228">
            <v>30.628</v>
          </cell>
          <cell r="L228" t="e">
            <v>#N/A</v>
          </cell>
          <cell r="M228" t="e">
            <v>#N/A</v>
          </cell>
          <cell r="N228"/>
          <cell r="P228">
            <v>1245</v>
          </cell>
          <cell r="Q228">
            <v>0</v>
          </cell>
        </row>
        <row r="229">
          <cell r="C229">
            <v>4987176311085</v>
          </cell>
          <cell r="E229" t="str">
            <v>N</v>
          </cell>
          <cell r="F229" t="str">
            <v>head&amp;shoulders 海倫仙度絲 公司貨 男用 2025 360度新升級 去屑洗髮露 淨爽控油, 680g, 1個</v>
          </cell>
          <cell r="G229">
            <v>199</v>
          </cell>
          <cell r="H229">
            <v>143.46799999999999</v>
          </cell>
          <cell r="I229" t="str">
            <v>Hair</v>
          </cell>
          <cell r="J229">
            <v>6</v>
          </cell>
          <cell r="K229">
            <v>23.911333333333332</v>
          </cell>
          <cell r="L229" t="e">
            <v>#N/A</v>
          </cell>
          <cell r="M229" t="e">
            <v>#N/A</v>
          </cell>
          <cell r="N229"/>
          <cell r="P229">
            <v>1245</v>
          </cell>
          <cell r="Q229">
            <v>0</v>
          </cell>
        </row>
        <row r="230">
          <cell r="C230">
            <v>4902430661898</v>
          </cell>
          <cell r="E230" t="str">
            <v>N</v>
          </cell>
          <cell r="F230" t="str">
            <v>HAIR RECIPE 髪的食譜 蘋果生薑防斷修護洗髮露, 530ml, 1瓶</v>
          </cell>
          <cell r="G230">
            <v>257</v>
          </cell>
          <cell r="H230">
            <v>580.32000000000005</v>
          </cell>
          <cell r="I230" t="str">
            <v>Hair</v>
          </cell>
          <cell r="J230">
            <v>9</v>
          </cell>
          <cell r="K230">
            <v>64.48</v>
          </cell>
          <cell r="L230">
            <v>200</v>
          </cell>
          <cell r="M230">
            <v>-135.51999999999998</v>
          </cell>
          <cell r="N230">
            <v>576</v>
          </cell>
          <cell r="P230">
            <v>2452.9699999999998</v>
          </cell>
          <cell r="Q230">
            <v>156990.07999999999</v>
          </cell>
          <cell r="R230">
            <v>0</v>
          </cell>
        </row>
        <row r="231">
          <cell r="C231">
            <v>4902430586177</v>
          </cell>
          <cell r="E231" t="str">
            <v>N</v>
          </cell>
          <cell r="F231" t="str">
            <v>HAIR RECIPE 髮的食譜 清爽豐盈洗髮露, 奇異果無花果, 530ml, 1瓶</v>
          </cell>
          <cell r="G231">
            <v>257</v>
          </cell>
          <cell r="H231">
            <v>4536.1679999999997</v>
          </cell>
          <cell r="I231" t="str">
            <v>Hair</v>
          </cell>
          <cell r="J231">
            <v>9</v>
          </cell>
          <cell r="K231">
            <v>504.0186666666666</v>
          </cell>
          <cell r="L231" t="e">
            <v>#N/A</v>
          </cell>
          <cell r="M231" t="e">
            <v>#N/A</v>
          </cell>
          <cell r="N231"/>
          <cell r="P231">
            <v>2452.9699999999998</v>
          </cell>
          <cell r="Q231">
            <v>0</v>
          </cell>
        </row>
        <row r="232">
          <cell r="C232">
            <v>4902430659567</v>
          </cell>
          <cell r="E232" t="str">
            <v>N</v>
          </cell>
          <cell r="F232" t="str">
            <v>HAIR RECIPE 髪的料理 蘋果生薑防斷修護潤髮乳, 530g, 1瓶</v>
          </cell>
          <cell r="G232">
            <v>257</v>
          </cell>
          <cell r="H232">
            <v>290.16000000000003</v>
          </cell>
          <cell r="I232" t="str">
            <v>Hair</v>
          </cell>
          <cell r="J232">
            <v>9</v>
          </cell>
          <cell r="K232">
            <v>32.24</v>
          </cell>
          <cell r="L232">
            <v>100</v>
          </cell>
          <cell r="M232">
            <v>-67.759999999999991</v>
          </cell>
          <cell r="N232">
            <v>288</v>
          </cell>
          <cell r="P232">
            <v>2452.9699999999998</v>
          </cell>
          <cell r="Q232">
            <v>78495.039999999994</v>
          </cell>
          <cell r="R232">
            <v>0</v>
          </cell>
        </row>
        <row r="233">
          <cell r="C233">
            <v>4902430587983</v>
          </cell>
          <cell r="E233" t="str">
            <v>N</v>
          </cell>
          <cell r="F233" t="str">
            <v>HAIR RECIPE 髪的料理 奇異果無花果清爽豐盈潤髮乳, 530g, 1瓶</v>
          </cell>
          <cell r="G233">
            <v>257</v>
          </cell>
          <cell r="H233">
            <v>1512.0559999999998</v>
          </cell>
          <cell r="I233" t="str">
            <v>Hair</v>
          </cell>
          <cell r="J233">
            <v>9</v>
          </cell>
          <cell r="K233">
            <v>168.00622222222219</v>
          </cell>
          <cell r="L233" t="e">
            <v>#N/A</v>
          </cell>
          <cell r="M233" t="e">
            <v>#N/A</v>
          </cell>
          <cell r="N233"/>
          <cell r="P233">
            <v>2452.9699999999998</v>
          </cell>
          <cell r="Q233">
            <v>0</v>
          </cell>
        </row>
        <row r="234">
          <cell r="C234">
            <v>4987176074010</v>
          </cell>
          <cell r="E234" t="str">
            <v>N</v>
          </cell>
          <cell r="F234" t="str">
            <v>HAIR RECIPE 髮的食譜 水潤亮澤潤髮乳, 蜂蜜石榴, 530g, 1瓶</v>
          </cell>
          <cell r="G234">
            <v>257</v>
          </cell>
          <cell r="H234">
            <v>667.36799999999994</v>
          </cell>
          <cell r="I234" t="str">
            <v>Hair</v>
          </cell>
          <cell r="J234">
            <v>9</v>
          </cell>
          <cell r="K234">
            <v>74.151999999999987</v>
          </cell>
          <cell r="L234" t="e">
            <v>#N/A</v>
          </cell>
          <cell r="M234" t="e">
            <v>#N/A</v>
          </cell>
          <cell r="N234"/>
          <cell r="P234">
            <v>2452.9699999999998</v>
          </cell>
          <cell r="Q234">
            <v>0</v>
          </cell>
        </row>
        <row r="235">
          <cell r="C235">
            <v>4987176074003</v>
          </cell>
          <cell r="E235" t="str">
            <v>N</v>
          </cell>
          <cell r="F235" t="str">
            <v>HAIR RECIPE 髮的食譜 水潤亮澤洗髮露, 蜂蜜石榴, 530ml, 1瓶</v>
          </cell>
          <cell r="G235">
            <v>257</v>
          </cell>
          <cell r="H235">
            <v>965.58799999999997</v>
          </cell>
          <cell r="I235" t="str">
            <v>Hair</v>
          </cell>
          <cell r="J235">
            <v>9</v>
          </cell>
          <cell r="K235">
            <v>107.28755555555556</v>
          </cell>
          <cell r="L235" t="e">
            <v>#N/A</v>
          </cell>
          <cell r="M235" t="e">
            <v>#N/A</v>
          </cell>
          <cell r="N235"/>
          <cell r="P235">
            <v>2452.9699999999998</v>
          </cell>
          <cell r="Q235">
            <v>0</v>
          </cell>
        </row>
        <row r="236">
          <cell r="C236">
            <v>4987176064004</v>
          </cell>
          <cell r="E236" t="str">
            <v>N</v>
          </cell>
          <cell r="F236" t="str">
            <v>HAIR RECIPE 髮的食譜 米糠溫養豐盈洗髮露, 檸檬青檸, 350ml, 1瓶</v>
          </cell>
          <cell r="G236">
            <v>402</v>
          </cell>
          <cell r="H236">
            <v>1689.376</v>
          </cell>
          <cell r="I236" t="str">
            <v>Hair</v>
          </cell>
          <cell r="J236">
            <v>9</v>
          </cell>
          <cell r="K236">
            <v>187.70844444444444</v>
          </cell>
          <cell r="L236" t="e">
            <v>#N/A</v>
          </cell>
          <cell r="M236" t="e">
            <v>#N/A</v>
          </cell>
          <cell r="N236"/>
          <cell r="P236">
            <v>4107.6000000000004</v>
          </cell>
          <cell r="Q236">
            <v>0</v>
          </cell>
        </row>
        <row r="237">
          <cell r="C237">
            <v>4987176064028</v>
          </cell>
          <cell r="E237" t="str">
            <v>N</v>
          </cell>
          <cell r="F237" t="str">
            <v>HAIR RECIPE 髮的食譜米糠溫養豐盈護髮精華素, 檸檬青檸香氛, 350g, 1瓶</v>
          </cell>
          <cell r="G237">
            <v>402</v>
          </cell>
          <cell r="H237">
            <v>427.18000000000006</v>
          </cell>
          <cell r="I237" t="str">
            <v>Hair</v>
          </cell>
          <cell r="J237">
            <v>9</v>
          </cell>
          <cell r="K237">
            <v>47.464444444444453</v>
          </cell>
          <cell r="L237" t="e">
            <v>#N/A</v>
          </cell>
          <cell r="M237" t="e">
            <v>#N/A</v>
          </cell>
          <cell r="N237"/>
          <cell r="P237">
            <v>4107.6000000000004</v>
          </cell>
          <cell r="Q237">
            <v>0</v>
          </cell>
        </row>
        <row r="238">
          <cell r="C238">
            <v>4987176063960</v>
          </cell>
          <cell r="E238" t="str">
            <v>N</v>
          </cell>
          <cell r="F238" t="str">
            <v>HAIR RECIPE 髮的食譜米糠溫養修護護髮精華素, 檸檬生薑, 350ml, 1瓶</v>
          </cell>
          <cell r="G238">
            <v>402</v>
          </cell>
          <cell r="H238">
            <v>314.33999999999997</v>
          </cell>
          <cell r="I238" t="str">
            <v>Hair</v>
          </cell>
          <cell r="J238">
            <v>9</v>
          </cell>
          <cell r="K238">
            <v>34.926666666666662</v>
          </cell>
          <cell r="L238" t="e">
            <v>#N/A</v>
          </cell>
          <cell r="M238" t="e">
            <v>#N/A</v>
          </cell>
          <cell r="N238"/>
          <cell r="P238">
            <v>4107.6000000000004</v>
          </cell>
          <cell r="Q238">
            <v>0</v>
          </cell>
        </row>
        <row r="239">
          <cell r="C239">
            <v>4987176063953</v>
          </cell>
          <cell r="E239" t="str">
            <v>N</v>
          </cell>
          <cell r="F239" t="str">
            <v>HAIR RECIPE 髮的食譜 米糠溫養修護洗髮露 生薑檸檬香氛, 350ml, 1瓶</v>
          </cell>
          <cell r="G239">
            <v>402</v>
          </cell>
          <cell r="H239">
            <v>652.86</v>
          </cell>
          <cell r="I239" t="str">
            <v>Hair</v>
          </cell>
          <cell r="J239">
            <v>9</v>
          </cell>
          <cell r="K239">
            <v>72.540000000000006</v>
          </cell>
          <cell r="L239" t="e">
            <v>#N/A</v>
          </cell>
          <cell r="M239" t="e">
            <v>#N/A</v>
          </cell>
          <cell r="N239"/>
          <cell r="P239">
            <v>4107.6000000000004</v>
          </cell>
          <cell r="Q239">
            <v>0</v>
          </cell>
        </row>
        <row r="240">
          <cell r="C240">
            <v>4987176186317</v>
          </cell>
          <cell r="E240" t="str">
            <v>N</v>
          </cell>
          <cell r="F240" t="str">
            <v>HAIR RECIPE 髮的食譜綠茶柚子淨油保濕水感洗髮露, 1瓶, 530ml</v>
          </cell>
          <cell r="G240">
            <v>257</v>
          </cell>
          <cell r="H240">
            <v>6989.6319999999987</v>
          </cell>
          <cell r="I240" t="str">
            <v>Hair</v>
          </cell>
          <cell r="J240">
            <v>9</v>
          </cell>
          <cell r="K240">
            <v>776.62577777777767</v>
          </cell>
          <cell r="L240" t="e">
            <v>#N/A</v>
          </cell>
          <cell r="M240" t="e">
            <v>#N/A</v>
          </cell>
          <cell r="N240"/>
          <cell r="P240">
            <v>2452.9699999999998</v>
          </cell>
          <cell r="Q240">
            <v>0</v>
          </cell>
        </row>
        <row r="241">
          <cell r="C241">
            <v>4987176186300</v>
          </cell>
          <cell r="E241" t="str">
            <v>N</v>
          </cell>
          <cell r="F241" t="str">
            <v>HAIR RECIPE 髮的食譜頭皮頭髮精華髮膜 6個, 1盒, 12ml</v>
          </cell>
          <cell r="G241">
            <v>189</v>
          </cell>
          <cell r="H241">
            <v>1536.2360000000001</v>
          </cell>
          <cell r="I241" t="str">
            <v>Hair</v>
          </cell>
          <cell r="J241">
            <v>12</v>
          </cell>
          <cell r="K241">
            <v>128.01966666666667</v>
          </cell>
          <cell r="L241" t="e">
            <v>#N/A</v>
          </cell>
          <cell r="M241" t="e">
            <v>#N/A</v>
          </cell>
          <cell r="N241"/>
          <cell r="P241">
            <v>2391.6</v>
          </cell>
          <cell r="Q241">
            <v>0</v>
          </cell>
        </row>
        <row r="242">
          <cell r="C242">
            <v>4987176276605</v>
          </cell>
          <cell r="E242" t="str">
            <v>N</v>
          </cell>
          <cell r="F242" t="str">
            <v>HAIR RECIPE 髪的食譜 原廠公司貨 生薑清茶防斷豐盈洗髮露, 530ml, 1瓶</v>
          </cell>
          <cell r="G242">
            <v>257</v>
          </cell>
          <cell r="H242">
            <v>2437.3439999999996</v>
          </cell>
          <cell r="I242" t="str">
            <v>Hair</v>
          </cell>
          <cell r="J242">
            <v>9</v>
          </cell>
          <cell r="K242">
            <v>270.81599999999997</v>
          </cell>
          <cell r="L242" t="e">
            <v>#N/A</v>
          </cell>
          <cell r="M242" t="e">
            <v>#N/A</v>
          </cell>
          <cell r="N242"/>
          <cell r="P242">
            <v>2452.9699999999998</v>
          </cell>
          <cell r="Q242">
            <v>0</v>
          </cell>
        </row>
        <row r="243">
          <cell r="C243">
            <v>4987176309655</v>
          </cell>
          <cell r="E243" t="str">
            <v>N</v>
          </cell>
          <cell r="F243" t="str">
            <v>HAIR RECIPE 髮的食譜 綠茶柚子清爽保濕洗髮露, 280ml, 1瓶</v>
          </cell>
          <cell r="G243">
            <v>135</v>
          </cell>
          <cell r="H243">
            <v>1097.7719999999999</v>
          </cell>
          <cell r="I243" t="str">
            <v>Hair</v>
          </cell>
          <cell r="J243">
            <v>12</v>
          </cell>
          <cell r="K243">
            <v>91.480999999999995</v>
          </cell>
          <cell r="L243" t="e">
            <v>#N/A</v>
          </cell>
          <cell r="M243" t="e">
            <v>#N/A</v>
          </cell>
          <cell r="N243"/>
          <cell r="P243">
            <v>1592.4</v>
          </cell>
          <cell r="Q243">
            <v>0</v>
          </cell>
        </row>
        <row r="244">
          <cell r="C244">
            <v>4987176039569</v>
          </cell>
          <cell r="E244" t="str">
            <v>y</v>
          </cell>
          <cell r="F244" t="str">
            <v>Gillette 吉列 維納斯零瑕疵除毛刀 1刀架+2刀頭, 1組</v>
          </cell>
          <cell r="G244">
            <v>260</v>
          </cell>
          <cell r="H244">
            <v>78.988</v>
          </cell>
          <cell r="I244" t="str">
            <v>Shave</v>
          </cell>
          <cell r="K244"/>
          <cell r="L244"/>
          <cell r="M244">
            <v>0</v>
          </cell>
          <cell r="N244">
            <v>0</v>
          </cell>
          <cell r="P244">
            <v>1107.2</v>
          </cell>
          <cell r="Q244"/>
        </row>
        <row r="245">
          <cell r="C245">
            <v>4987176324023</v>
          </cell>
          <cell r="E245" t="str">
            <v>N</v>
          </cell>
          <cell r="F245" t="str">
            <v>Gillette 吉列 維納斯 敏感肌適用除毛刀, 1刀架+2刀頭, 1組</v>
          </cell>
          <cell r="G245">
            <v>289</v>
          </cell>
          <cell r="H245">
            <v>115.19999999999999</v>
          </cell>
          <cell r="I245" t="str">
            <v>Shave</v>
          </cell>
          <cell r="J245">
            <v>4</v>
          </cell>
          <cell r="K245">
            <v>28.799999999999997</v>
          </cell>
          <cell r="L245">
            <v>131</v>
          </cell>
          <cell r="M245">
            <v>-102.2</v>
          </cell>
          <cell r="N245">
            <v>112</v>
          </cell>
          <cell r="P245">
            <v>1203.5999999999999</v>
          </cell>
          <cell r="Q245">
            <v>33700.799999999996</v>
          </cell>
        </row>
        <row r="246">
          <cell r="C246">
            <v>4987176039507</v>
          </cell>
          <cell r="E246" t="str">
            <v>N</v>
          </cell>
          <cell r="F246" t="str">
            <v>Gillette 吉列 維納斯 敏感肌適用除毛刀頭, 4個, 1盒</v>
          </cell>
          <cell r="G246">
            <v>428</v>
          </cell>
          <cell r="H246">
            <v>93.6</v>
          </cell>
          <cell r="I246" t="str">
            <v>Shave</v>
          </cell>
          <cell r="J246">
            <v>4</v>
          </cell>
          <cell r="K246">
            <v>23.4</v>
          </cell>
          <cell r="L246">
            <v>150</v>
          </cell>
          <cell r="M246">
            <v>-126.6</v>
          </cell>
          <cell r="N246">
            <v>92</v>
          </cell>
          <cell r="P246">
            <v>1780</v>
          </cell>
          <cell r="Q246">
            <v>40940</v>
          </cell>
        </row>
        <row r="247">
          <cell r="C247">
            <v>4987176176172</v>
          </cell>
          <cell r="E247" t="str">
            <v>N</v>
          </cell>
          <cell r="F247" t="str">
            <v>Gillette 吉列 Fusion鋒隱系列刮鬍刀頭, 4個, 1組</v>
          </cell>
          <cell r="G247">
            <v>323</v>
          </cell>
          <cell r="H247">
            <v>197.68267375697957</v>
          </cell>
          <cell r="I247" t="str">
            <v>Shave</v>
          </cell>
          <cell r="J247">
            <v>20</v>
          </cell>
          <cell r="K247">
            <v>9.8841336878489781</v>
          </cell>
          <cell r="L247">
            <v>4</v>
          </cell>
          <cell r="M247">
            <v>5.8841336878489781</v>
          </cell>
          <cell r="N247"/>
          <cell r="P247">
            <v>7163.15</v>
          </cell>
          <cell r="Q247">
            <v>0</v>
          </cell>
        </row>
        <row r="248">
          <cell r="C248">
            <v>4987176169914</v>
          </cell>
          <cell r="E248" t="str">
            <v>N</v>
          </cell>
          <cell r="F248" t="str">
            <v>Gillette 吉列 台灣公司貨 Fusion鋒隱系列刮鬍刀頭, 8入,1組</v>
          </cell>
          <cell r="G248">
            <v>557</v>
          </cell>
          <cell r="H248">
            <v>525.51199999999994</v>
          </cell>
          <cell r="I248" t="str">
            <v>Shave</v>
          </cell>
          <cell r="J248">
            <v>10</v>
          </cell>
          <cell r="K248">
            <v>52.551199999999994</v>
          </cell>
          <cell r="L248">
            <v>53</v>
          </cell>
          <cell r="M248">
            <v>-0.44880000000000564</v>
          </cell>
          <cell r="N248">
            <v>520</v>
          </cell>
          <cell r="P248">
            <v>5963.4</v>
          </cell>
          <cell r="Q248">
            <v>310096.8</v>
          </cell>
        </row>
        <row r="249">
          <cell r="C249">
            <v>4987176169921</v>
          </cell>
          <cell r="E249" t="str">
            <v>N</v>
          </cell>
          <cell r="F249" t="str">
            <v>Gillette 吉列 台灣公司貨 Fusion 鋒隱系列 刮鬍刀, 刀架*1+刀頭*2, 1組</v>
          </cell>
          <cell r="G249">
            <v>185</v>
          </cell>
          <cell r="H249">
            <v>281.35543885650759</v>
          </cell>
          <cell r="I249" t="str">
            <v>Shave</v>
          </cell>
          <cell r="J249">
            <v>6</v>
          </cell>
          <cell r="K249">
            <v>46.892573142751267</v>
          </cell>
          <cell r="L249">
            <v>30</v>
          </cell>
          <cell r="M249">
            <v>16.892573142751267</v>
          </cell>
          <cell r="N249"/>
          <cell r="P249">
            <v>1210.2</v>
          </cell>
          <cell r="Q249">
            <v>0</v>
          </cell>
        </row>
        <row r="250">
          <cell r="C250">
            <v>4987176169952</v>
          </cell>
          <cell r="E250" t="str">
            <v>N</v>
          </cell>
          <cell r="F250" t="str">
            <v>Gillette 吉列 Proglide 無感系列 刮鬍刀, 刀架 + 刀頭 2個, 1盒</v>
          </cell>
          <cell r="G250">
            <v>228</v>
          </cell>
          <cell r="H250">
            <v>324</v>
          </cell>
          <cell r="I250" t="str">
            <v>Shave</v>
          </cell>
          <cell r="J250">
            <v>6</v>
          </cell>
          <cell r="K250">
            <v>54</v>
          </cell>
          <cell r="L250">
            <v>111</v>
          </cell>
          <cell r="M250">
            <v>-57</v>
          </cell>
          <cell r="N250">
            <v>324</v>
          </cell>
          <cell r="P250">
            <v>1527.6</v>
          </cell>
          <cell r="Q250">
            <v>82490.399999999994</v>
          </cell>
        </row>
        <row r="251">
          <cell r="C251">
            <v>4987176169969</v>
          </cell>
          <cell r="E251" t="str">
            <v>N</v>
          </cell>
          <cell r="F251" t="str">
            <v>Gillette 吉列 Proshield鋒護系列刮鬍刀, 刀架*1+刀頭*2, 1組</v>
          </cell>
          <cell r="G251">
            <v>268</v>
          </cell>
          <cell r="H251">
            <v>187.2</v>
          </cell>
          <cell r="I251" t="str">
            <v>Shave</v>
          </cell>
          <cell r="J251">
            <v>6</v>
          </cell>
          <cell r="K251">
            <v>31.2</v>
          </cell>
          <cell r="L251">
            <v>0</v>
          </cell>
          <cell r="M251">
            <v>31.2</v>
          </cell>
          <cell r="N251"/>
          <cell r="P251">
            <v>1793.4</v>
          </cell>
          <cell r="Q251">
            <v>0</v>
          </cell>
        </row>
        <row r="252">
          <cell r="C252">
            <v>4987176134608</v>
          </cell>
          <cell r="E252" t="str">
            <v>N</v>
          </cell>
          <cell r="F252" t="str">
            <v>Gillette 吉列 Labs 極光系列 刮鬍刀組, 刀架 + 刀頭 5個 + 刀座 + 旅行盒, 1組</v>
          </cell>
          <cell r="G252">
            <v>995</v>
          </cell>
          <cell r="H252">
            <v>89.29411764705884</v>
          </cell>
          <cell r="I252" t="str">
            <v>Shave</v>
          </cell>
          <cell r="J252">
            <v>6</v>
          </cell>
          <cell r="K252">
            <v>14.882352941176473</v>
          </cell>
          <cell r="L252">
            <v>79</v>
          </cell>
          <cell r="M252">
            <v>-64.117647058823522</v>
          </cell>
          <cell r="N252">
            <v>84</v>
          </cell>
          <cell r="P252">
            <v>6275.4</v>
          </cell>
          <cell r="Q252">
            <v>87855.599999999991</v>
          </cell>
        </row>
        <row r="253">
          <cell r="C253">
            <v>4987176134578</v>
          </cell>
          <cell r="E253" t="str">
            <v>N</v>
          </cell>
          <cell r="F253" t="str">
            <v>Gillette 吉列 Labs 極光系列 刮鬍刀組, 刀架 + 刀頭 2個 + 刀座, 1組</v>
          </cell>
          <cell r="G253">
            <v>580</v>
          </cell>
          <cell r="H253">
            <v>246.636</v>
          </cell>
          <cell r="I253" t="str">
            <v>Shave</v>
          </cell>
          <cell r="J253">
            <v>6</v>
          </cell>
          <cell r="K253">
            <v>41.106000000000002</v>
          </cell>
          <cell r="L253">
            <v>41</v>
          </cell>
          <cell r="M253">
            <v>0.10600000000000165</v>
          </cell>
          <cell r="N253"/>
          <cell r="P253">
            <v>3652.8</v>
          </cell>
          <cell r="Q253">
            <v>0</v>
          </cell>
        </row>
        <row r="254">
          <cell r="C254">
            <v>4987176039545</v>
          </cell>
          <cell r="E254" t="str">
            <v>y</v>
          </cell>
          <cell r="F254" t="str">
            <v>Gillette 吉列 台灣公司貨 維納斯零瑕疵除毛刀頭, 4個, 1盒</v>
          </cell>
          <cell r="G254">
            <v>350</v>
          </cell>
          <cell r="H254">
            <v>49.972000000000016</v>
          </cell>
          <cell r="I254" t="str">
            <v>Shave</v>
          </cell>
          <cell r="K254"/>
          <cell r="L254"/>
          <cell r="M254">
            <v>0</v>
          </cell>
          <cell r="N254">
            <v>0</v>
          </cell>
          <cell r="P254">
            <v>1488.8</v>
          </cell>
          <cell r="Q254"/>
        </row>
        <row r="255">
          <cell r="C255">
            <v>4902430340526</v>
          </cell>
          <cell r="E255" t="str">
            <v>N</v>
          </cell>
          <cell r="F255" t="str">
            <v>Gillette 吉列 Mach3 Turbo 鋒速突破系列刮鬍刀頭, 4個, 1盒</v>
          </cell>
          <cell r="G255">
            <v>295</v>
          </cell>
          <cell r="H255">
            <v>49.972000000000016</v>
          </cell>
          <cell r="I255" t="str">
            <v>Shave</v>
          </cell>
          <cell r="J255">
            <v>12</v>
          </cell>
          <cell r="K255">
            <v>4.1643333333333343</v>
          </cell>
          <cell r="L255">
            <v>4</v>
          </cell>
          <cell r="M255">
            <v>0.16433333333333433</v>
          </cell>
          <cell r="N255"/>
          <cell r="P255">
            <v>3693.6</v>
          </cell>
          <cell r="Q255">
            <v>0</v>
          </cell>
        </row>
        <row r="256">
          <cell r="C256">
            <v>4902430341844</v>
          </cell>
          <cell r="E256" t="str">
            <v>N</v>
          </cell>
          <cell r="F256" t="str">
            <v>Gillette 吉列 台灣公司貨 Mach3 鋒速系列刮鬍刀頭, 4個, 1盒</v>
          </cell>
          <cell r="G256">
            <v>260</v>
          </cell>
          <cell r="H256">
            <v>36.300000000000018</v>
          </cell>
          <cell r="I256" t="str">
            <v>Shave</v>
          </cell>
          <cell r="J256">
            <v>12</v>
          </cell>
          <cell r="K256">
            <v>3.0250000000000017</v>
          </cell>
          <cell r="L256">
            <v>8</v>
          </cell>
          <cell r="M256">
            <v>-4.9749999999999979</v>
          </cell>
          <cell r="N256">
            <v>36</v>
          </cell>
          <cell r="P256">
            <v>3271.2</v>
          </cell>
          <cell r="Q256">
            <v>9813.5999999999985</v>
          </cell>
        </row>
        <row r="257">
          <cell r="C257">
            <v>4902430341820</v>
          </cell>
          <cell r="E257" t="str">
            <v>N</v>
          </cell>
          <cell r="F257" t="str">
            <v>Gillette 吉列 台灣公司貨 Mach3 鋒速系列刮鬍刀頭, 8個, 1盒</v>
          </cell>
          <cell r="G257">
            <v>435</v>
          </cell>
          <cell r="H257">
            <v>141.85599999999999</v>
          </cell>
          <cell r="I257" t="str">
            <v>Shave</v>
          </cell>
          <cell r="J257">
            <v>12</v>
          </cell>
          <cell r="K257">
            <v>11.821333333333333</v>
          </cell>
          <cell r="L257">
            <v>12</v>
          </cell>
          <cell r="M257">
            <v>-0.17866666666666653</v>
          </cell>
          <cell r="N257"/>
          <cell r="P257">
            <v>5492.4</v>
          </cell>
          <cell r="Q257">
            <v>0</v>
          </cell>
        </row>
        <row r="258">
          <cell r="C258">
            <v>4987176247681</v>
          </cell>
          <cell r="E258" t="str">
            <v>N</v>
          </cell>
          <cell r="F258" t="str">
            <v>Gillette 吉列 台灣公司貨 Mach3 Turbo 鋒速突破系列刮鬍刀組, 刀架+刀頭*2, 1盒</v>
          </cell>
          <cell r="G258">
            <v>180</v>
          </cell>
          <cell r="H258">
            <v>49.972000000000016</v>
          </cell>
          <cell r="I258" t="str">
            <v>Shave</v>
          </cell>
          <cell r="J258">
            <v>4</v>
          </cell>
          <cell r="K258">
            <v>12.493000000000004</v>
          </cell>
          <cell r="L258">
            <v>12</v>
          </cell>
          <cell r="M258">
            <v>0.49300000000000388</v>
          </cell>
          <cell r="N258"/>
          <cell r="P258">
            <v>758.8</v>
          </cell>
          <cell r="Q258">
            <v>0</v>
          </cell>
        </row>
        <row r="259">
          <cell r="C259">
            <v>4987176247674</v>
          </cell>
          <cell r="E259" t="str">
            <v>N</v>
          </cell>
          <cell r="F259" t="str">
            <v>Gillette 吉列 台灣公司貨 Mach3 鋒速系列刮鬍刀組, 刀架+刀頭*2, 1盒</v>
          </cell>
          <cell r="G259">
            <v>165</v>
          </cell>
          <cell r="H259">
            <v>114.45200000000001</v>
          </cell>
          <cell r="I259" t="str">
            <v>Shave</v>
          </cell>
          <cell r="J259">
            <v>4</v>
          </cell>
          <cell r="K259">
            <v>28.613000000000003</v>
          </cell>
          <cell r="L259">
            <v>38</v>
          </cell>
          <cell r="M259">
            <v>-9.3869999999999969</v>
          </cell>
          <cell r="N259">
            <v>112</v>
          </cell>
          <cell r="P259">
            <v>698</v>
          </cell>
          <cell r="Q259">
            <v>19544</v>
          </cell>
        </row>
        <row r="260">
          <cell r="C260">
            <v>4987176132185</v>
          </cell>
          <cell r="E260" t="str">
            <v>N</v>
          </cell>
          <cell r="F260" t="str">
            <v>Gillette 吉列 台灣公司貨 Labs 極光系列 刮鬍刀頭, 8個, 1盒</v>
          </cell>
          <cell r="G260">
            <v>920</v>
          </cell>
          <cell r="H260">
            <v>236.96400000000003</v>
          </cell>
          <cell r="I260" t="str">
            <v>Shave</v>
          </cell>
          <cell r="J260">
            <v>10</v>
          </cell>
          <cell r="K260">
            <v>23.696400000000004</v>
          </cell>
          <cell r="L260">
            <v>24</v>
          </cell>
          <cell r="M260">
            <v>-0.30359999999999587</v>
          </cell>
          <cell r="N260"/>
          <cell r="P260">
            <v>9712</v>
          </cell>
          <cell r="Q260">
            <v>0</v>
          </cell>
        </row>
        <row r="261">
          <cell r="C261">
            <v>4987176132178</v>
          </cell>
          <cell r="E261" t="str">
            <v>N</v>
          </cell>
          <cell r="F261" t="str">
            <v>Gillette 吉列 台灣公司貨 Labs 極光系列 刮鬍刀頭, 4個, 1盒</v>
          </cell>
          <cell r="G261">
            <v>610</v>
          </cell>
          <cell r="H261">
            <v>122.512</v>
          </cell>
          <cell r="I261" t="str">
            <v>Shave</v>
          </cell>
          <cell r="J261">
            <v>10</v>
          </cell>
          <cell r="K261">
            <v>12.251200000000001</v>
          </cell>
          <cell r="L261">
            <v>0</v>
          </cell>
          <cell r="M261">
            <v>12.251200000000001</v>
          </cell>
          <cell r="N261"/>
          <cell r="P261">
            <v>6420</v>
          </cell>
          <cell r="Q261">
            <v>0</v>
          </cell>
        </row>
        <row r="262">
          <cell r="C262">
            <v>4987176272768</v>
          </cell>
          <cell r="E262" t="str">
            <v>N</v>
          </cell>
          <cell r="F262" t="str">
            <v>Gillette 吉列 原廠公司貨 Proglide無感系列刮鬍刀頭, 1組, 4個</v>
          </cell>
          <cell r="G262">
            <v>470</v>
          </cell>
          <cell r="H262">
            <v>307.892</v>
          </cell>
          <cell r="I262" t="str">
            <v>Shave</v>
          </cell>
          <cell r="J262">
            <v>20</v>
          </cell>
          <cell r="K262">
            <v>15.394600000000001</v>
          </cell>
          <cell r="L262">
            <v>0</v>
          </cell>
          <cell r="M262">
            <v>15.394600000000001</v>
          </cell>
          <cell r="N262"/>
          <cell r="P262">
            <v>9034</v>
          </cell>
          <cell r="Q262">
            <v>0</v>
          </cell>
        </row>
        <row r="263">
          <cell r="C263">
            <v>4987176272799</v>
          </cell>
          <cell r="E263" t="str">
            <v>N</v>
          </cell>
          <cell r="F263" t="str">
            <v>Gillette 吉列 原廠公司貨 ProShield鋒護系列 刮鬍刀頭, 4個, 1組</v>
          </cell>
          <cell r="G263">
            <v>525</v>
          </cell>
          <cell r="H263">
            <v>315.952</v>
          </cell>
          <cell r="I263" t="str">
            <v>Shave</v>
          </cell>
          <cell r="J263">
            <v>20</v>
          </cell>
          <cell r="K263">
            <v>15.797599999999999</v>
          </cell>
          <cell r="L263">
            <v>0</v>
          </cell>
          <cell r="M263">
            <v>15.797599999999999</v>
          </cell>
          <cell r="N263"/>
          <cell r="P263">
            <v>10223.219999999999</v>
          </cell>
          <cell r="Q263">
            <v>0</v>
          </cell>
        </row>
        <row r="264">
          <cell r="C264">
            <v>4987176294395</v>
          </cell>
          <cell r="E264" t="str">
            <v>N</v>
          </cell>
          <cell r="F264" t="str">
            <v>Gillette 吉列 台灣公司貨 刮鬍泡 清新檸檬, 333g, 1罐</v>
          </cell>
          <cell r="G264">
            <v>112</v>
          </cell>
          <cell r="H264">
            <v>872.0920000000001</v>
          </cell>
          <cell r="I264" t="str">
            <v>Shave</v>
          </cell>
          <cell r="J264">
            <v>6</v>
          </cell>
          <cell r="K264">
            <v>145.34866666666667</v>
          </cell>
          <cell r="L264"/>
          <cell r="M264">
            <v>145.34866666666667</v>
          </cell>
          <cell r="N264"/>
          <cell r="P264">
            <v>672</v>
          </cell>
          <cell r="Q264">
            <v>0</v>
          </cell>
        </row>
        <row r="265">
          <cell r="C265">
            <v>4987176294388</v>
          </cell>
          <cell r="E265" t="str">
            <v>N</v>
          </cell>
          <cell r="F265" t="str">
            <v>Gillette 吉列 台灣公司貨 刮鬍泡 敏感肌適用, 333g, 1罐</v>
          </cell>
          <cell r="G265">
            <v>112</v>
          </cell>
          <cell r="H265">
            <v>1070.3679999999999</v>
          </cell>
          <cell r="I265" t="str">
            <v>Shave</v>
          </cell>
          <cell r="J265">
            <v>6</v>
          </cell>
          <cell r="K265">
            <v>178.39466666666667</v>
          </cell>
          <cell r="L265"/>
          <cell r="M265">
            <v>178.39466666666667</v>
          </cell>
          <cell r="N265"/>
          <cell r="P265">
            <v>672</v>
          </cell>
          <cell r="Q265">
            <v>0</v>
          </cell>
        </row>
        <row r="266">
          <cell r="C266">
            <v>4987176048950</v>
          </cell>
          <cell r="E266" t="str">
            <v>N</v>
          </cell>
          <cell r="F266" t="str">
            <v>Gillette 吉列 台灣公司貨 刮鬍泡 冰涼清爽型, 245g, 1罐</v>
          </cell>
          <cell r="G266">
            <v>112</v>
          </cell>
          <cell r="H266">
            <v>383.65600000000001</v>
          </cell>
          <cell r="I266" t="str">
            <v>Shave</v>
          </cell>
          <cell r="J266">
            <v>6</v>
          </cell>
          <cell r="K266">
            <v>63.942666666666668</v>
          </cell>
          <cell r="L266"/>
          <cell r="M266">
            <v>63.942666666666668</v>
          </cell>
          <cell r="N266"/>
          <cell r="P266">
            <v>672</v>
          </cell>
          <cell r="Q266">
            <v>0</v>
          </cell>
        </row>
        <row r="267">
          <cell r="C267">
            <v>4987176293374</v>
          </cell>
          <cell r="E267" t="str">
            <v>N</v>
          </cell>
          <cell r="F267" t="str">
            <v>Gillette 吉列 服貼滑順輕便刮鬍刀, 10支, 1包</v>
          </cell>
          <cell r="G267">
            <v>93</v>
          </cell>
          <cell r="H267">
            <v>604.5</v>
          </cell>
          <cell r="I267" t="str">
            <v>Shave</v>
          </cell>
          <cell r="J267">
            <v>12</v>
          </cell>
          <cell r="K267">
            <v>50.375</v>
          </cell>
          <cell r="L267">
            <v>85</v>
          </cell>
          <cell r="M267">
            <v>-34.625</v>
          </cell>
          <cell r="N267">
            <v>600</v>
          </cell>
          <cell r="P267">
            <v>1032</v>
          </cell>
          <cell r="Q267">
            <v>51600</v>
          </cell>
        </row>
        <row r="268">
          <cell r="C268">
            <v>4987176274168</v>
          </cell>
          <cell r="E268" t="str">
            <v>N</v>
          </cell>
          <cell r="F268" t="str">
            <v>Gillette 吉列 SkinGuard 紳適系列刮鬍刀頭, 4個, 1組</v>
          </cell>
          <cell r="G268">
            <v>419</v>
          </cell>
          <cell r="H268">
            <v>0</v>
          </cell>
          <cell r="I268" t="str">
            <v>Shave</v>
          </cell>
          <cell r="J268">
            <v>20</v>
          </cell>
          <cell r="K268">
            <v>0</v>
          </cell>
          <cell r="L268">
            <v>-1</v>
          </cell>
          <cell r="M268">
            <v>1</v>
          </cell>
          <cell r="N268"/>
          <cell r="P268">
            <v>8808</v>
          </cell>
          <cell r="Q268">
            <v>0</v>
          </cell>
        </row>
        <row r="269">
          <cell r="C269">
            <v>4987176030382</v>
          </cell>
          <cell r="E269" t="str">
            <v>N</v>
          </cell>
          <cell r="F269" t="str">
            <v>febreze 風倍清 台灣公司貨 浴廁用抗菌消臭防臭劑山谷微香, 6ml, 1入</v>
          </cell>
          <cell r="G269">
            <v>104</v>
          </cell>
          <cell r="H269">
            <v>0</v>
          </cell>
          <cell r="I269" t="str">
            <v>Home</v>
          </cell>
          <cell r="J269">
            <v>24</v>
          </cell>
          <cell r="K269">
            <v>0</v>
          </cell>
          <cell r="L269" t="e">
            <v>#N/A</v>
          </cell>
          <cell r="M269" t="e">
            <v>#N/A</v>
          </cell>
          <cell r="N269"/>
          <cell r="P269">
            <v>2896.8</v>
          </cell>
          <cell r="Q269">
            <v>0</v>
          </cell>
        </row>
        <row r="270">
          <cell r="C270">
            <v>4902430363938</v>
          </cell>
          <cell r="E270" t="str">
            <v>N</v>
          </cell>
          <cell r="F270" t="str">
            <v>Febreze 風倍清 織物除菌消臭噴霧 綠茶清香 370ml,1瓶</v>
          </cell>
          <cell r="G270">
            <v>106</v>
          </cell>
          <cell r="H270">
            <v>1700.6599999999996</v>
          </cell>
          <cell r="I270" t="str">
            <v>Home</v>
          </cell>
          <cell r="J270">
            <v>12</v>
          </cell>
          <cell r="K270">
            <v>141.72166666666664</v>
          </cell>
          <cell r="L270" t="e">
            <v>#N/A</v>
          </cell>
          <cell r="M270" t="e">
            <v>#N/A</v>
          </cell>
          <cell r="N270"/>
          <cell r="P270">
            <v>1486.8</v>
          </cell>
          <cell r="Q270">
            <v>0</v>
          </cell>
        </row>
        <row r="271">
          <cell r="C271">
            <v>4902430520294</v>
          </cell>
          <cell r="E271" t="str">
            <v>N</v>
          </cell>
          <cell r="F271" t="str">
            <v>Febreze 風倍清 織物除菌消臭噴霧 無香型,370ml, 1瓶</v>
          </cell>
          <cell r="G271">
            <v>106</v>
          </cell>
          <cell r="H271">
            <v>923.67599999999993</v>
          </cell>
          <cell r="I271" t="str">
            <v>Home</v>
          </cell>
          <cell r="J271">
            <v>12</v>
          </cell>
          <cell r="K271">
            <v>76.972999999999999</v>
          </cell>
          <cell r="L271" t="e">
            <v>#N/A</v>
          </cell>
          <cell r="M271" t="e">
            <v>#N/A</v>
          </cell>
          <cell r="N271"/>
          <cell r="P271">
            <v>1486.8</v>
          </cell>
          <cell r="Q271">
            <v>0</v>
          </cell>
        </row>
        <row r="272">
          <cell r="C272">
            <v>4987176030344</v>
          </cell>
          <cell r="E272" t="str">
            <v>N</v>
          </cell>
          <cell r="F272" t="str">
            <v>Febreze 風倍清 浴廁用抗菌消臭防臭劑 清爽皂香, 6ml, 1入</v>
          </cell>
          <cell r="G272">
            <v>105</v>
          </cell>
          <cell r="H272">
            <v>0</v>
          </cell>
          <cell r="I272" t="str">
            <v>Home</v>
          </cell>
          <cell r="J272">
            <v>24</v>
          </cell>
          <cell r="K272">
            <v>0</v>
          </cell>
          <cell r="L272" t="e">
            <v>#N/A</v>
          </cell>
          <cell r="M272" t="e">
            <v>#N/A</v>
          </cell>
          <cell r="N272"/>
          <cell r="P272">
            <v>2896.8</v>
          </cell>
          <cell r="Q272">
            <v>0</v>
          </cell>
        </row>
        <row r="273">
          <cell r="C273">
            <v>4902430910255</v>
          </cell>
          <cell r="E273" t="str">
            <v>N</v>
          </cell>
          <cell r="F273" t="str">
            <v>febreze 風倍清 織物除菌消臭噴霧 無香酒精+, 370ml, 1瓶</v>
          </cell>
          <cell r="G273">
            <v>106</v>
          </cell>
          <cell r="H273">
            <v>311.11599999999999</v>
          </cell>
          <cell r="I273" t="str">
            <v>Home</v>
          </cell>
          <cell r="J273">
            <v>12</v>
          </cell>
          <cell r="K273">
            <v>25.926333333333332</v>
          </cell>
          <cell r="L273" t="e">
            <v>#N/A</v>
          </cell>
          <cell r="M273" t="e">
            <v>#N/A</v>
          </cell>
          <cell r="N273"/>
          <cell r="P273">
            <v>1486.8</v>
          </cell>
          <cell r="Q273">
            <v>0</v>
          </cell>
        </row>
        <row r="274">
          <cell r="C274">
            <v>4902430363921</v>
          </cell>
          <cell r="E274" t="str">
            <v>N</v>
          </cell>
          <cell r="F274" t="str">
            <v>febreze 風倍清 台灣公司貨 織物除菌消臭噴霧 高效除菌, 370ml, 1瓶</v>
          </cell>
          <cell r="G274">
            <v>106</v>
          </cell>
          <cell r="H274">
            <v>3415.8280000000009</v>
          </cell>
          <cell r="I274" t="str">
            <v>Home</v>
          </cell>
          <cell r="J274">
            <v>12</v>
          </cell>
          <cell r="K274">
            <v>284.65233333333339</v>
          </cell>
          <cell r="L274" t="e">
            <v>#N/A</v>
          </cell>
          <cell r="M274" t="e">
            <v>#N/A</v>
          </cell>
          <cell r="N274"/>
          <cell r="P274">
            <v>1486.8</v>
          </cell>
          <cell r="Q274">
            <v>0</v>
          </cell>
        </row>
        <row r="275">
          <cell r="C275">
            <v>4902430955102</v>
          </cell>
          <cell r="E275" t="str">
            <v>N</v>
          </cell>
          <cell r="F275" t="str">
            <v>Febreze 風倍清 織物除菌消臭噴霧 補充包 ,綠茶清香, 320ml, 1包</v>
          </cell>
          <cell r="G275">
            <v>81</v>
          </cell>
          <cell r="H275">
            <v>1225.1199999999999</v>
          </cell>
          <cell r="I275" t="str">
            <v>Home</v>
          </cell>
          <cell r="J275">
            <v>24</v>
          </cell>
          <cell r="K275">
            <v>51.04666666666666</v>
          </cell>
          <cell r="L275" t="e">
            <v>#N/A</v>
          </cell>
          <cell r="M275" t="e">
            <v>#N/A</v>
          </cell>
          <cell r="N275"/>
          <cell r="P275">
            <v>2270.4</v>
          </cell>
          <cell r="Q275">
            <v>0</v>
          </cell>
        </row>
        <row r="276">
          <cell r="C276">
            <v>4902430910279</v>
          </cell>
          <cell r="E276" t="str">
            <v>N</v>
          </cell>
          <cell r="F276" t="str">
            <v>febreze 風倍清 織物除菌消臭噴霧 補充包無香含酒精, 320ml, 1包</v>
          </cell>
          <cell r="G276">
            <v>81</v>
          </cell>
          <cell r="H276">
            <v>306.27999999999997</v>
          </cell>
          <cell r="I276" t="str">
            <v>Home</v>
          </cell>
          <cell r="J276">
            <v>24</v>
          </cell>
          <cell r="K276">
            <v>12.761666666666665</v>
          </cell>
          <cell r="L276" t="e">
            <v>#N/A</v>
          </cell>
          <cell r="M276" t="e">
            <v>#N/A</v>
          </cell>
          <cell r="N276"/>
          <cell r="P276">
            <v>2270.4</v>
          </cell>
          <cell r="Q276">
            <v>0</v>
          </cell>
        </row>
        <row r="277">
          <cell r="C277">
            <v>4902430113205</v>
          </cell>
          <cell r="E277" t="str">
            <v>N</v>
          </cell>
          <cell r="F277" t="str">
            <v>febreze 風倍清 織物除菌消臭噴霧補充包, 高效除菌, 320ml, 1包</v>
          </cell>
          <cell r="G277">
            <v>81</v>
          </cell>
          <cell r="H277">
            <v>3773.692</v>
          </cell>
          <cell r="I277" t="str">
            <v>Home</v>
          </cell>
          <cell r="J277">
            <v>24</v>
          </cell>
          <cell r="K277">
            <v>157.23716666666667</v>
          </cell>
          <cell r="L277" t="e">
            <v>#N/A</v>
          </cell>
          <cell r="M277" t="e">
            <v>#N/A</v>
          </cell>
          <cell r="N277"/>
          <cell r="P277">
            <v>2270.4</v>
          </cell>
          <cell r="Q277">
            <v>0</v>
          </cell>
        </row>
        <row r="278">
          <cell r="C278">
            <v>4987176030368</v>
          </cell>
          <cell r="E278" t="str">
            <v>N</v>
          </cell>
          <cell r="F278" t="str">
            <v>Febreze 風倍清 浴廁用抗菌消臭防臭劑 薄荷綠香,6ml 1入</v>
          </cell>
          <cell r="G278">
            <v>104</v>
          </cell>
          <cell r="H278">
            <v>0</v>
          </cell>
          <cell r="I278" t="str">
            <v>Home</v>
          </cell>
          <cell r="J278">
            <v>24</v>
          </cell>
          <cell r="K278">
            <v>0</v>
          </cell>
          <cell r="L278" t="e">
            <v>#N/A</v>
          </cell>
          <cell r="M278" t="e">
            <v>#N/A</v>
          </cell>
          <cell r="N278"/>
          <cell r="P278">
            <v>2896.8</v>
          </cell>
          <cell r="Q278">
            <v>0</v>
          </cell>
        </row>
        <row r="279">
          <cell r="C279">
            <v>4987176030399</v>
          </cell>
          <cell r="E279" t="str">
            <v>N</v>
          </cell>
          <cell r="F279" t="str">
            <v>febreze 風倍清 台灣公司貨 浴廁用抗菌消臭防臭劑 山谷微香, 6ml, 2入,1組</v>
          </cell>
          <cell r="G279">
            <v>201</v>
          </cell>
          <cell r="H279">
            <v>1915.0560000000003</v>
          </cell>
          <cell r="I279" t="str">
            <v>Home</v>
          </cell>
          <cell r="J279">
            <v>12</v>
          </cell>
          <cell r="K279">
            <v>159.58800000000002</v>
          </cell>
          <cell r="L279" t="e">
            <v>#N/A</v>
          </cell>
          <cell r="M279" t="e">
            <v>#N/A</v>
          </cell>
          <cell r="N279"/>
          <cell r="P279">
            <v>2734.8</v>
          </cell>
          <cell r="Q279">
            <v>0</v>
          </cell>
        </row>
        <row r="280">
          <cell r="C280">
            <v>4987176030351</v>
          </cell>
          <cell r="E280" t="str">
            <v>N</v>
          </cell>
          <cell r="F280" t="str">
            <v>febreze 風倍清 台灣公司貨 浴廁用抗菌消臭防臭劑, 清爽皂香, 6ml, 2入,1組</v>
          </cell>
          <cell r="G280">
            <v>196</v>
          </cell>
          <cell r="H280">
            <v>3675.36</v>
          </cell>
          <cell r="I280" t="str">
            <v>Home</v>
          </cell>
          <cell r="J280">
            <v>12</v>
          </cell>
          <cell r="K280">
            <v>306.28000000000003</v>
          </cell>
          <cell r="L280" t="e">
            <v>#N/A</v>
          </cell>
          <cell r="M280" t="e">
            <v>#N/A</v>
          </cell>
          <cell r="N280"/>
          <cell r="P280">
            <v>2734.8</v>
          </cell>
          <cell r="Q280">
            <v>0</v>
          </cell>
        </row>
        <row r="281">
          <cell r="C281">
            <v>4987176030375</v>
          </cell>
          <cell r="E281" t="str">
            <v>N</v>
          </cell>
          <cell r="F281" t="str">
            <v>febreze 風倍清 台灣公司貨 浴廁用抗菌消臭防臭劑 薄荷綠香 6ml, 2入, 1組</v>
          </cell>
          <cell r="G281">
            <v>197</v>
          </cell>
          <cell r="H281">
            <v>1710.3320000000001</v>
          </cell>
          <cell r="I281" t="str">
            <v>Home</v>
          </cell>
          <cell r="J281">
            <v>12</v>
          </cell>
          <cell r="K281">
            <v>142.52766666666668</v>
          </cell>
          <cell r="L281" t="e">
            <v>#N/A</v>
          </cell>
          <cell r="M281" t="e">
            <v>#N/A</v>
          </cell>
          <cell r="N281"/>
          <cell r="P281">
            <v>2734.8</v>
          </cell>
          <cell r="Q281">
            <v>0</v>
          </cell>
        </row>
        <row r="282">
          <cell r="C282">
            <v>4902430341479</v>
          </cell>
          <cell r="E282" t="str">
            <v>N</v>
          </cell>
          <cell r="F282" t="str">
            <v xml:space="preserve"> febreze 風倍清 台灣公司貨 Naturis天然織物噴霧, 大馬士革玫瑰&amp;天竺葵, 370ml, 1瓶</v>
          </cell>
          <cell r="G282">
            <v>135</v>
          </cell>
          <cell r="H282">
            <v>509.39199999999994</v>
          </cell>
          <cell r="I282" t="str">
            <v>Home</v>
          </cell>
          <cell r="J282">
            <v>12</v>
          </cell>
          <cell r="K282">
            <v>42.449333333333328</v>
          </cell>
          <cell r="L282" t="e">
            <v>#N/A</v>
          </cell>
          <cell r="M282" t="e">
            <v>#N/A</v>
          </cell>
          <cell r="N282"/>
          <cell r="P282">
            <v>1884.3</v>
          </cell>
          <cell r="Q282">
            <v>0</v>
          </cell>
        </row>
        <row r="283">
          <cell r="C283">
            <v>4987176156570</v>
          </cell>
          <cell r="E283" t="str">
            <v>N</v>
          </cell>
          <cell r="F283" t="str">
            <v>febreze 風倍清  台灣公司貨  新包裝升級 浴廁用防霉防臭劑, 清新柑橘, 7ml, 1入</v>
          </cell>
          <cell r="G283">
            <v>118</v>
          </cell>
          <cell r="H283">
            <v>0</v>
          </cell>
          <cell r="I283" t="str">
            <v>Home</v>
          </cell>
          <cell r="J283">
            <v>24</v>
          </cell>
          <cell r="K283">
            <v>0</v>
          </cell>
          <cell r="L283" t="e">
            <v>#N/A</v>
          </cell>
          <cell r="M283" t="e">
            <v>#N/A</v>
          </cell>
          <cell r="N283"/>
          <cell r="P283">
            <v>3285.6</v>
          </cell>
          <cell r="Q283">
            <v>0</v>
          </cell>
        </row>
        <row r="284">
          <cell r="C284">
            <v>4987176156587</v>
          </cell>
          <cell r="E284" t="str">
            <v>N</v>
          </cell>
          <cell r="F284" t="str">
            <v>febreze 風倍清 台灣公司貨 新包裝升級 浴廁用防霉防臭劑, 柔和花香, 7ml, 2入,1組</v>
          </cell>
          <cell r="G284">
            <v>224</v>
          </cell>
          <cell r="H284">
            <v>9710.6880000000001</v>
          </cell>
          <cell r="I284" t="str">
            <v>Home</v>
          </cell>
          <cell r="J284">
            <v>12</v>
          </cell>
          <cell r="K284">
            <v>809.22400000000005</v>
          </cell>
          <cell r="L284" t="e">
            <v>#N/A</v>
          </cell>
          <cell r="M284" t="e">
            <v>#N/A</v>
          </cell>
          <cell r="N284"/>
          <cell r="P284">
            <v>3126.84</v>
          </cell>
          <cell r="Q284">
            <v>0</v>
          </cell>
        </row>
        <row r="285">
          <cell r="C285">
            <v>4987176156563</v>
          </cell>
          <cell r="E285" t="str">
            <v>N</v>
          </cell>
          <cell r="F285" t="str">
            <v>febreze 風倍清 台灣公司貨 新包裝升級 浴廁用防霉防臭劑, 柔和花香, 7ml, 1入</v>
          </cell>
          <cell r="G285">
            <v>126</v>
          </cell>
          <cell r="H285">
            <v>0</v>
          </cell>
          <cell r="I285" t="str">
            <v>Home</v>
          </cell>
          <cell r="J285">
            <v>24</v>
          </cell>
          <cell r="K285">
            <v>0</v>
          </cell>
          <cell r="L285" t="e">
            <v>#N/A</v>
          </cell>
          <cell r="M285" t="e">
            <v>#N/A</v>
          </cell>
          <cell r="N285"/>
          <cell r="P285">
            <v>3285.6</v>
          </cell>
          <cell r="Q285">
            <v>0</v>
          </cell>
        </row>
        <row r="286">
          <cell r="C286">
            <v>4987176156594</v>
          </cell>
          <cell r="E286" t="str">
            <v>N</v>
          </cell>
          <cell r="F286" t="str">
            <v>febreze 風倍清 台灣公司貨 新包裝升級浴廁用防霉防臭劑, 清新柑橘, 7ml, 2入,1組</v>
          </cell>
          <cell r="G286">
            <v>224</v>
          </cell>
          <cell r="H286">
            <v>660.92</v>
          </cell>
          <cell r="I286" t="str">
            <v>Home</v>
          </cell>
          <cell r="J286">
            <v>12</v>
          </cell>
          <cell r="K286">
            <v>55.076666666666661</v>
          </cell>
          <cell r="L286" t="e">
            <v>#N/A</v>
          </cell>
          <cell r="M286" t="e">
            <v>#N/A</v>
          </cell>
          <cell r="N286"/>
          <cell r="P286">
            <v>3126.84</v>
          </cell>
          <cell r="Q286">
            <v>0</v>
          </cell>
        </row>
        <row r="287">
          <cell r="C287">
            <v>4987176291929</v>
          </cell>
          <cell r="E287" t="str">
            <v>N</v>
          </cell>
          <cell r="F287" t="str">
            <v>febreze 風倍清 台灣公司貨 室內用抗菌消臭防臭劑 清爽皂香, 7ml, 1個</v>
          </cell>
          <cell r="G287">
            <v>132</v>
          </cell>
          <cell r="H287">
            <v>633.51599999999996</v>
          </cell>
          <cell r="I287" t="str">
            <v>Home</v>
          </cell>
          <cell r="J287">
            <v>24</v>
          </cell>
          <cell r="K287">
            <v>26.3965</v>
          </cell>
          <cell r="L287" t="e">
            <v>#N/A</v>
          </cell>
          <cell r="M287" t="e">
            <v>#N/A</v>
          </cell>
          <cell r="N287"/>
          <cell r="P287">
            <v>3285.6</v>
          </cell>
          <cell r="Q287">
            <v>0</v>
          </cell>
        </row>
        <row r="288">
          <cell r="C288">
            <v>4987176291936</v>
          </cell>
          <cell r="E288" t="str">
            <v>N</v>
          </cell>
          <cell r="F288" t="str">
            <v>febreze 風倍清 台灣公司貨 室內用抗菌消臭防臭劑 清新白茶, 7ml, 1個</v>
          </cell>
          <cell r="G288">
            <v>132</v>
          </cell>
          <cell r="H288">
            <v>1436.2919999999997</v>
          </cell>
          <cell r="I288" t="str">
            <v>Home</v>
          </cell>
          <cell r="J288">
            <v>24</v>
          </cell>
          <cell r="K288">
            <v>59.845499999999987</v>
          </cell>
          <cell r="L288" t="e">
            <v>#N/A</v>
          </cell>
          <cell r="M288" t="e">
            <v>#N/A</v>
          </cell>
          <cell r="N288"/>
          <cell r="P288">
            <v>3285.6</v>
          </cell>
          <cell r="Q288">
            <v>0</v>
          </cell>
        </row>
        <row r="289">
          <cell r="C289">
            <v>889714000434</v>
          </cell>
          <cell r="E289" t="str">
            <v>N</v>
          </cell>
          <cell r="F289" t="str">
            <v>Crest 3D White 美白牙貼高效組 溫和型, 14次, 28片, 1盒</v>
          </cell>
          <cell r="G289">
            <v>503</v>
          </cell>
          <cell r="H289">
            <v>728.62400000000002</v>
          </cell>
          <cell r="I289" t="str">
            <v>OCM</v>
          </cell>
          <cell r="J289">
            <v>8</v>
          </cell>
          <cell r="K289">
            <v>91.078000000000003</v>
          </cell>
          <cell r="L289"/>
          <cell r="M289">
            <v>91.078000000000003</v>
          </cell>
          <cell r="N289"/>
          <cell r="P289">
            <v>4795.2</v>
          </cell>
          <cell r="Q289">
            <v>0</v>
          </cell>
        </row>
        <row r="290">
          <cell r="C290">
            <v>4987176252227</v>
          </cell>
          <cell r="E290" t="str">
            <v>N</v>
          </cell>
          <cell r="F290" t="str">
            <v>Crest 台灣公司貨 香氛鎖白牙膏, 清新雪櫻, 120g, 1條</v>
          </cell>
          <cell r="G290">
            <v>91</v>
          </cell>
          <cell r="H290">
            <v>520.67600000000004</v>
          </cell>
          <cell r="I290" t="str">
            <v>OCM</v>
          </cell>
          <cell r="J290">
            <v>12</v>
          </cell>
          <cell r="K290">
            <v>43.38966666666667</v>
          </cell>
          <cell r="L290"/>
          <cell r="M290">
            <v>43.38966666666667</v>
          </cell>
          <cell r="N290"/>
          <cell r="P290">
            <v>1245.5999999999999</v>
          </cell>
          <cell r="Q290">
            <v>0</v>
          </cell>
        </row>
        <row r="291">
          <cell r="C291">
            <v>4987176252210</v>
          </cell>
          <cell r="E291" t="str">
            <v>N</v>
          </cell>
          <cell r="F291" t="str">
            <v>Crest 台灣公司貨 香氛鎖白牙膏 海洋薄荷, 120g, 1條</v>
          </cell>
          <cell r="G291">
            <v>91</v>
          </cell>
          <cell r="H291">
            <v>838.2399999999999</v>
          </cell>
          <cell r="I291" t="str">
            <v>OCM</v>
          </cell>
          <cell r="J291">
            <v>12</v>
          </cell>
          <cell r="K291">
            <v>69.853333333333325</v>
          </cell>
          <cell r="L291"/>
          <cell r="M291">
            <v>69.853333333333325</v>
          </cell>
          <cell r="N291"/>
          <cell r="P291">
            <v>1245.5999999999999</v>
          </cell>
          <cell r="Q291">
            <v>0</v>
          </cell>
        </row>
        <row r="292">
          <cell r="C292">
            <v>4987176139429</v>
          </cell>
          <cell r="E292" t="str">
            <v>N</v>
          </cell>
          <cell r="F292" t="str">
            <v>Crest 香氛鎖白牙膏 岡山夢白桃, 120g, 1條</v>
          </cell>
          <cell r="G292">
            <v>87</v>
          </cell>
          <cell r="H292">
            <v>2293.8759999999997</v>
          </cell>
          <cell r="I292" t="str">
            <v>OCM</v>
          </cell>
          <cell r="J292">
            <v>12</v>
          </cell>
          <cell r="K292">
            <v>191.15633333333332</v>
          </cell>
          <cell r="L292"/>
          <cell r="M292">
            <v>191.15633333333332</v>
          </cell>
          <cell r="N292"/>
          <cell r="P292">
            <v>1245.5999999999999</v>
          </cell>
          <cell r="Q292">
            <v>0</v>
          </cell>
        </row>
        <row r="293">
          <cell r="C293">
            <v>4987176139436</v>
          </cell>
          <cell r="E293" t="str">
            <v>N</v>
          </cell>
          <cell r="F293" t="str">
            <v>Crest 原廠公司貨 香氛鎖白牙膏 清柚白茶,120g, 1條</v>
          </cell>
          <cell r="G293">
            <v>91</v>
          </cell>
          <cell r="H293">
            <v>2285.8160000000003</v>
          </cell>
          <cell r="I293" t="str">
            <v>OCM</v>
          </cell>
          <cell r="J293">
            <v>12</v>
          </cell>
          <cell r="K293">
            <v>190.4846666666667</v>
          </cell>
          <cell r="L293"/>
          <cell r="M293">
            <v>190.4846666666667</v>
          </cell>
          <cell r="N293"/>
          <cell r="P293">
            <v>1245.5999999999999</v>
          </cell>
          <cell r="Q293">
            <v>0</v>
          </cell>
        </row>
        <row r="294">
          <cell r="C294">
            <v>4987176191557</v>
          </cell>
          <cell r="E294" t="str">
            <v>N</v>
          </cell>
          <cell r="F294" t="str">
            <v>Crest 極致鑽白牙膏 鑽感薄荷, 110g, 1條</v>
          </cell>
          <cell r="G294">
            <v>85</v>
          </cell>
          <cell r="H294">
            <v>1768.3640000000003</v>
          </cell>
          <cell r="I294" t="str">
            <v>OCM</v>
          </cell>
          <cell r="J294">
            <v>12</v>
          </cell>
          <cell r="K294">
            <v>147.36366666666669</v>
          </cell>
          <cell r="L294"/>
          <cell r="M294">
            <v>147.36366666666669</v>
          </cell>
          <cell r="N294"/>
          <cell r="P294">
            <v>1216.8</v>
          </cell>
          <cell r="Q294">
            <v>0</v>
          </cell>
        </row>
        <row r="295">
          <cell r="C295">
            <v>4987176191540</v>
          </cell>
          <cell r="E295" t="str">
            <v>N</v>
          </cell>
          <cell r="F295" t="str">
            <v>Crest 原廠公司貨 極致鑽白牙膏 鑽亮炫白, 110g, 1條</v>
          </cell>
          <cell r="G295">
            <v>85</v>
          </cell>
          <cell r="H295">
            <v>16755.127999999997</v>
          </cell>
          <cell r="I295" t="str">
            <v>OCM</v>
          </cell>
          <cell r="J295">
            <v>12</v>
          </cell>
          <cell r="K295">
            <v>1396.2606666666663</v>
          </cell>
          <cell r="L295"/>
          <cell r="M295">
            <v>1396.2606666666663</v>
          </cell>
          <cell r="N295"/>
          <cell r="P295">
            <v>1216.8</v>
          </cell>
          <cell r="Q295">
            <v>0</v>
          </cell>
        </row>
        <row r="296">
          <cell r="C296">
            <v>24987176191551</v>
          </cell>
          <cell r="E296" t="str">
            <v>N</v>
          </cell>
          <cell r="F296" t="str">
            <v xml:space="preserve">Crest 台灣公司貨 極致鑽白牙膏 鑽感薄荷, 110g, 6條 </v>
          </cell>
          <cell r="G296">
            <v>510</v>
          </cell>
          <cell r="H296">
            <v>599.6640000000001</v>
          </cell>
          <cell r="I296" t="str">
            <v>OCM</v>
          </cell>
          <cell r="J296">
            <v>2</v>
          </cell>
          <cell r="K296">
            <v>299.83200000000005</v>
          </cell>
          <cell r="L296"/>
          <cell r="M296">
            <v>299.83200000000005</v>
          </cell>
          <cell r="N296"/>
          <cell r="P296">
            <v>1216.8</v>
          </cell>
          <cell r="Q296">
            <v>0</v>
          </cell>
        </row>
        <row r="297">
          <cell r="C297">
            <v>24987176191544</v>
          </cell>
          <cell r="E297" t="str">
            <v>N</v>
          </cell>
          <cell r="F297" t="str">
            <v xml:space="preserve">Crest 台灣公司貨 極致鑽白牙膏 鑽亮炫白, 110g, 6條 </v>
          </cell>
          <cell r="G297">
            <v>508</v>
          </cell>
          <cell r="H297">
            <v>780.20799999999997</v>
          </cell>
          <cell r="I297" t="str">
            <v>OCM</v>
          </cell>
          <cell r="J297">
            <v>2</v>
          </cell>
          <cell r="K297">
            <v>390.10399999999998</v>
          </cell>
          <cell r="L297"/>
          <cell r="M297">
            <v>390.10399999999998</v>
          </cell>
          <cell r="N297"/>
          <cell r="P297">
            <v>1216.8</v>
          </cell>
          <cell r="Q297">
            <v>0</v>
          </cell>
        </row>
        <row r="298">
          <cell r="C298">
            <v>4987176191564</v>
          </cell>
          <cell r="E298" t="str">
            <v>N</v>
          </cell>
          <cell r="F298" t="str">
            <v>Crest 台灣公司貨 極致鑽白牙膏 亮白防蛀, 110g, 1條</v>
          </cell>
          <cell r="G298">
            <v>85</v>
          </cell>
          <cell r="H298">
            <v>5895.0840000000007</v>
          </cell>
          <cell r="I298" t="str">
            <v>OCM</v>
          </cell>
          <cell r="J298">
            <v>12</v>
          </cell>
          <cell r="K298">
            <v>491.25700000000006</v>
          </cell>
          <cell r="L298"/>
          <cell r="M298">
            <v>491.25700000000006</v>
          </cell>
          <cell r="N298"/>
          <cell r="P298">
            <v>1216.8</v>
          </cell>
          <cell r="Q298">
            <v>0</v>
          </cell>
        </row>
        <row r="299">
          <cell r="C299">
            <v>24987176191568</v>
          </cell>
          <cell r="E299" t="str">
            <v>N</v>
          </cell>
          <cell r="F299" t="str">
            <v xml:space="preserve">Crest 台灣公司貨 極致鑽白牙膏 亮白防蛀, 110g, 6條 </v>
          </cell>
          <cell r="G299">
            <v>516</v>
          </cell>
          <cell r="H299">
            <v>272.42800000000005</v>
          </cell>
          <cell r="I299" t="str">
            <v>OCM</v>
          </cell>
          <cell r="J299">
            <v>2</v>
          </cell>
          <cell r="K299">
            <v>136.21400000000003</v>
          </cell>
          <cell r="L299"/>
          <cell r="M299">
            <v>136.21400000000003</v>
          </cell>
          <cell r="N299"/>
          <cell r="P299">
            <v>1216.8</v>
          </cell>
          <cell r="Q299">
            <v>0</v>
          </cell>
        </row>
        <row r="300">
          <cell r="C300">
            <v>4987176376893</v>
          </cell>
          <cell r="E300" t="str">
            <v>N</v>
          </cell>
          <cell r="F300" t="str">
            <v>Crest 多效淨白牙膏 清新茉莉, 120g, 1條</v>
          </cell>
          <cell r="G300">
            <v>57</v>
          </cell>
          <cell r="H300">
            <v>187.2</v>
          </cell>
          <cell r="I300" t="str">
            <v>OCM</v>
          </cell>
          <cell r="J300">
            <v>24</v>
          </cell>
          <cell r="K300">
            <v>7.8</v>
          </cell>
          <cell r="L300">
            <v>100</v>
          </cell>
          <cell r="M300"/>
          <cell r="N300">
            <v>168</v>
          </cell>
          <cell r="P300" t="e">
            <v>#N/A</v>
          </cell>
          <cell r="Q300" t="e">
            <v>#N/A</v>
          </cell>
        </row>
        <row r="301">
          <cell r="C301">
            <v>44987176376891</v>
          </cell>
          <cell r="E301" t="str">
            <v>N</v>
          </cell>
          <cell r="F301" t="str">
            <v>Crest 多效淨白牙膏 清新茉莉, 120g, 6條</v>
          </cell>
          <cell r="G301">
            <v>342</v>
          </cell>
          <cell r="H301">
            <v>93.6</v>
          </cell>
          <cell r="I301" t="str">
            <v>OCM</v>
          </cell>
          <cell r="J301">
            <v>4</v>
          </cell>
          <cell r="K301">
            <v>23.4</v>
          </cell>
          <cell r="L301">
            <v>100</v>
          </cell>
          <cell r="M301"/>
          <cell r="N301">
            <v>92</v>
          </cell>
          <cell r="P301" t="e">
            <v>#N/A</v>
          </cell>
          <cell r="Q301" t="e">
            <v>#N/A</v>
          </cell>
        </row>
        <row r="302">
          <cell r="C302">
            <v>4987176376879</v>
          </cell>
          <cell r="E302" t="str">
            <v>N</v>
          </cell>
          <cell r="F302" t="str">
            <v>Crest 多效淨白牙膏 檸檬青茶, 120g , 1條</v>
          </cell>
          <cell r="G302">
            <v>57</v>
          </cell>
          <cell r="H302">
            <v>187.2</v>
          </cell>
          <cell r="I302" t="str">
            <v>OCM</v>
          </cell>
          <cell r="J302">
            <v>24</v>
          </cell>
          <cell r="K302">
            <v>7.8</v>
          </cell>
          <cell r="L302">
            <v>100</v>
          </cell>
          <cell r="M302"/>
          <cell r="N302">
            <v>168</v>
          </cell>
          <cell r="P302" t="e">
            <v>#N/A</v>
          </cell>
          <cell r="Q302" t="e">
            <v>#N/A</v>
          </cell>
        </row>
        <row r="303">
          <cell r="C303">
            <v>44987176376877</v>
          </cell>
          <cell r="E303" t="str">
            <v>N</v>
          </cell>
          <cell r="F303" t="str">
            <v>Crest 多效淨白牙膏 檸檬青茶, 120g, 6條</v>
          </cell>
          <cell r="G303">
            <v>342</v>
          </cell>
          <cell r="H303">
            <v>93.6</v>
          </cell>
          <cell r="I303" t="str">
            <v>OCM</v>
          </cell>
          <cell r="J303">
            <v>4</v>
          </cell>
          <cell r="K303">
            <v>23.4</v>
          </cell>
          <cell r="L303">
            <v>100</v>
          </cell>
          <cell r="M303"/>
          <cell r="N303">
            <v>92</v>
          </cell>
          <cell r="P303" t="e">
            <v>#N/A</v>
          </cell>
          <cell r="Q303" t="e">
            <v>#N/A</v>
          </cell>
        </row>
        <row r="304">
          <cell r="C304">
            <v>4987176376886</v>
          </cell>
          <cell r="E304" t="str">
            <v>N</v>
          </cell>
          <cell r="F304" t="str">
            <v>Crest 多效淨白牙膏 清爽薄荷, 120g , 1條</v>
          </cell>
          <cell r="G304">
            <v>57</v>
          </cell>
          <cell r="H304">
            <v>187.2</v>
          </cell>
          <cell r="I304" t="str">
            <v>OCM</v>
          </cell>
          <cell r="J304">
            <v>24</v>
          </cell>
          <cell r="K304">
            <v>7.8</v>
          </cell>
          <cell r="L304">
            <v>100</v>
          </cell>
          <cell r="M304"/>
          <cell r="N304">
            <v>168</v>
          </cell>
          <cell r="P304" t="e">
            <v>#N/A</v>
          </cell>
          <cell r="Q304" t="e">
            <v>#N/A</v>
          </cell>
        </row>
        <row r="305">
          <cell r="C305">
            <v>44987176376884</v>
          </cell>
          <cell r="E305" t="str">
            <v>N</v>
          </cell>
          <cell r="F305" t="str">
            <v>Crest 多效淨白牙膏 清爽薄荷, 120g, 6條</v>
          </cell>
          <cell r="G305">
            <v>342</v>
          </cell>
          <cell r="H305">
            <v>93.6</v>
          </cell>
          <cell r="I305" t="str">
            <v>OCM</v>
          </cell>
          <cell r="J305">
            <v>4</v>
          </cell>
          <cell r="K305">
            <v>23.4</v>
          </cell>
          <cell r="L305">
            <v>100</v>
          </cell>
          <cell r="M305"/>
          <cell r="N305">
            <v>92</v>
          </cell>
          <cell r="P305" t="e">
            <v>#N/A</v>
          </cell>
          <cell r="Q305" t="e">
            <v>#N/A</v>
          </cell>
        </row>
        <row r="306">
          <cell r="C306">
            <v>4987176339928</v>
          </cell>
          <cell r="E306" t="str">
            <v>Y</v>
          </cell>
          <cell r="F306" t="str">
            <v>Bold 原廠公司貨 四合一洗衣膠囊 清淨花香, 57個裝, 1套</v>
          </cell>
          <cell r="G306">
            <v>368</v>
          </cell>
          <cell r="H306">
            <v>0</v>
          </cell>
          <cell r="I306" t="str">
            <v>Fabric</v>
          </cell>
          <cell r="J306">
            <v>5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P306">
            <v>1955</v>
          </cell>
          <cell r="Q306">
            <v>0</v>
          </cell>
        </row>
        <row r="307">
          <cell r="C307"/>
          <cell r="D307"/>
          <cell r="E307" t="str">
            <v>N</v>
          </cell>
          <cell r="F307" t="str">
            <v>BOLD原廠公司貨 四合一洗衣膠囊 清淨花香, 31顆 ,1袋</v>
          </cell>
          <cell r="G307" t="str">
            <v>TBC</v>
          </cell>
          <cell r="H307">
            <v>187.2</v>
          </cell>
          <cell r="I307" t="e">
            <v>#N/A</v>
          </cell>
          <cell r="J307" t="e">
            <v>#N/A</v>
          </cell>
          <cell r="K307" t="e">
            <v>#N/A</v>
          </cell>
          <cell r="L307" t="e">
            <v>#N/A</v>
          </cell>
          <cell r="M307" t="e">
            <v>#N/A</v>
          </cell>
          <cell r="N307"/>
          <cell r="P307" t="e">
            <v>#N/A</v>
          </cell>
          <cell r="Q307" t="e">
            <v>#N/A</v>
          </cell>
        </row>
        <row r="308">
          <cell r="C308">
            <v>4987176339898</v>
          </cell>
          <cell r="D308"/>
          <cell r="E308" t="str">
            <v>N</v>
          </cell>
          <cell r="F308" t="str">
            <v>BOLD原廠公司貨 四合一洗衣膠囊 淡雅花香, 31顆 ,1袋</v>
          </cell>
          <cell r="G308" t="str">
            <v>TBC</v>
          </cell>
          <cell r="H308">
            <v>140.4</v>
          </cell>
          <cell r="I308" t="e">
            <v>#N/A</v>
          </cell>
          <cell r="J308" t="e">
            <v>#N/A</v>
          </cell>
          <cell r="K308" t="e">
            <v>#N/A</v>
          </cell>
          <cell r="L308" t="e">
            <v>#N/A</v>
          </cell>
          <cell r="M308" t="e">
            <v>#N/A</v>
          </cell>
          <cell r="N308"/>
          <cell r="P308" t="e">
            <v>#N/A</v>
          </cell>
          <cell r="Q308" t="e">
            <v>#N/A</v>
          </cell>
        </row>
        <row r="309">
          <cell r="C309">
            <v>4987176247728</v>
          </cell>
          <cell r="E309" t="str">
            <v>Y</v>
          </cell>
          <cell r="F309" t="str">
            <v>ARIEL 抗菌抗臭洗衣精補充包, 室內晾衣型, 1030g, 1包</v>
          </cell>
          <cell r="G309">
            <v>112</v>
          </cell>
          <cell r="H309">
            <v>0</v>
          </cell>
          <cell r="I309" t="str">
            <v>Fabric</v>
          </cell>
          <cell r="J309">
            <v>8</v>
          </cell>
          <cell r="K309">
            <v>0</v>
          </cell>
          <cell r="L309" t="e">
            <v>#N/A</v>
          </cell>
          <cell r="M309"/>
          <cell r="N309">
            <v>0</v>
          </cell>
          <cell r="P309">
            <v>955.7</v>
          </cell>
          <cell r="Q309">
            <v>0</v>
          </cell>
        </row>
        <row r="310">
          <cell r="C310">
            <v>4987176247711</v>
          </cell>
          <cell r="E310" t="str">
            <v>Y</v>
          </cell>
          <cell r="F310" t="str">
            <v>ARIEL 抗菌抗臭洗衣精補充包, 抗菌去漬型, 1030g, 1包</v>
          </cell>
          <cell r="G310">
            <v>112</v>
          </cell>
          <cell r="H310">
            <v>0</v>
          </cell>
          <cell r="I310" t="str">
            <v>Fabric</v>
          </cell>
          <cell r="J310">
            <v>8</v>
          </cell>
          <cell r="K310">
            <v>0</v>
          </cell>
          <cell r="L310" t="e">
            <v>#N/A</v>
          </cell>
          <cell r="M310"/>
          <cell r="N310">
            <v>0</v>
          </cell>
          <cell r="P310">
            <v>955.7</v>
          </cell>
          <cell r="Q310">
            <v>0</v>
          </cell>
        </row>
        <row r="311">
          <cell r="C311">
            <v>14987176340907</v>
          </cell>
          <cell r="D311">
            <v>80863067</v>
          </cell>
          <cell r="E311" t="str">
            <v>N</v>
          </cell>
          <cell r="F311" t="str">
            <v>[箱裝]ARIEL 抗菌洗衣精補充包, 抗菌去漬型, 1690g, 6包</v>
          </cell>
          <cell r="G311">
            <v>1158</v>
          </cell>
          <cell r="H311">
            <v>172</v>
          </cell>
          <cell r="I311" t="str">
            <v>Fabric</v>
          </cell>
          <cell r="J311">
            <v>1</v>
          </cell>
          <cell r="K311">
            <v>172</v>
          </cell>
          <cell r="L311">
            <v>0</v>
          </cell>
          <cell r="M311">
            <v>172</v>
          </cell>
          <cell r="N311"/>
          <cell r="P311" t="e">
            <v>#N/A</v>
          </cell>
          <cell r="Q311" t="e">
            <v>#N/A</v>
          </cell>
          <cell r="R311">
            <v>40</v>
          </cell>
          <cell r="S311">
            <v>84</v>
          </cell>
          <cell r="T311">
            <v>154.83870967741936</v>
          </cell>
        </row>
        <row r="312">
          <cell r="C312">
            <v>14987176340877</v>
          </cell>
          <cell r="D312"/>
          <cell r="E312" t="str">
            <v>N</v>
          </cell>
          <cell r="F312" t="str">
            <v>[箱裝]ARIEL 抗菌洗衣精補充包, 高效除螨, 1690g, 6包</v>
          </cell>
          <cell r="G312">
            <v>1158</v>
          </cell>
          <cell r="H312">
            <v>103.09090909090909</v>
          </cell>
          <cell r="I312" t="str">
            <v>Fabric</v>
          </cell>
          <cell r="J312">
            <v>1</v>
          </cell>
          <cell r="K312">
            <v>103.09090909090909</v>
          </cell>
          <cell r="L312">
            <v>0</v>
          </cell>
          <cell r="M312"/>
          <cell r="N312">
            <v>618</v>
          </cell>
          <cell r="P312" t="e">
            <v>#N/A</v>
          </cell>
          <cell r="Q312" t="e">
            <v>#N/A</v>
          </cell>
        </row>
        <row r="313">
          <cell r="C313">
            <v>14987176340921</v>
          </cell>
          <cell r="D313">
            <v>80863069</v>
          </cell>
          <cell r="E313" t="str">
            <v>N</v>
          </cell>
          <cell r="F313" t="str">
            <v>[箱裝]ARIEL 抗菌洗衣精補充包, 自然微香型, 1690g, 6包</v>
          </cell>
          <cell r="G313">
            <v>1158</v>
          </cell>
          <cell r="H313">
            <v>48.360000000000007</v>
          </cell>
          <cell r="I313" t="str">
            <v>Fabric</v>
          </cell>
          <cell r="J313">
            <v>1</v>
          </cell>
          <cell r="K313">
            <v>48.360000000000007</v>
          </cell>
          <cell r="L313">
            <v>0</v>
          </cell>
          <cell r="M313"/>
          <cell r="N313"/>
          <cell r="P313" t="e">
            <v>#N/A</v>
          </cell>
          <cell r="Q313" t="e">
            <v>#N/A</v>
          </cell>
          <cell r="R313">
            <v>5</v>
          </cell>
          <cell r="S313">
            <v>0</v>
          </cell>
          <cell r="T313">
            <v>234.00000000000003</v>
          </cell>
        </row>
        <row r="314">
          <cell r="C314">
            <v>4987176340856</v>
          </cell>
          <cell r="D314">
            <v>80863061</v>
          </cell>
          <cell r="E314" t="str">
            <v>N</v>
          </cell>
          <cell r="F314" t="str">
            <v>ARIEL 抗菌洗衣精補充 室內晾衣型, 1690g, 1個</v>
          </cell>
          <cell r="G314">
            <v>193</v>
          </cell>
          <cell r="H314">
            <v>7040.2991387390475</v>
          </cell>
          <cell r="I314" t="str">
            <v>Fabric</v>
          </cell>
          <cell r="J314">
            <v>6</v>
          </cell>
          <cell r="K314">
            <v>1173.3831897898413</v>
          </cell>
          <cell r="L314">
            <v>0</v>
          </cell>
          <cell r="M314">
            <v>1173.3831897898413</v>
          </cell>
          <cell r="N314"/>
          <cell r="P314" t="e">
            <v>#N/A</v>
          </cell>
          <cell r="Q314" t="e">
            <v>#N/A</v>
          </cell>
          <cell r="R314">
            <v>506.83333333333337</v>
          </cell>
          <cell r="S314">
            <v>1172.1666666666665</v>
          </cell>
          <cell r="T314">
            <v>111.96417089088143</v>
          </cell>
        </row>
        <row r="315">
          <cell r="C315">
            <v>4987176340900</v>
          </cell>
          <cell r="D315">
            <v>80863067</v>
          </cell>
          <cell r="E315" t="str">
            <v>N</v>
          </cell>
          <cell r="F315" t="str">
            <v>ARIEL 抗菌洗衣精補充 抗菌去漬型, 1690g, 1個</v>
          </cell>
          <cell r="G315">
            <v>193</v>
          </cell>
          <cell r="H315">
            <v>6170.6108297018664</v>
          </cell>
          <cell r="I315" t="str">
            <v>Fabric</v>
          </cell>
          <cell r="J315">
            <v>6</v>
          </cell>
          <cell r="K315">
            <v>1028.4351382836444</v>
          </cell>
          <cell r="L315">
            <v>0</v>
          </cell>
          <cell r="M315">
            <v>1028.4351382836444</v>
          </cell>
          <cell r="N315"/>
          <cell r="P315" t="e">
            <v>#N/A</v>
          </cell>
          <cell r="Q315" t="e">
            <v>#N/A</v>
          </cell>
          <cell r="R315">
            <v>551.16666666666663</v>
          </cell>
          <cell r="S315">
            <v>528.83333333333337</v>
          </cell>
          <cell r="T315">
            <v>68.356546936375423</v>
          </cell>
        </row>
        <row r="316">
          <cell r="C316">
            <v>4987176340917</v>
          </cell>
          <cell r="D316">
            <v>80870022</v>
          </cell>
          <cell r="E316" t="str">
            <v>N</v>
          </cell>
          <cell r="F316" t="str">
            <v>ARIEL 抗菌洗衣精 抗菌去漬型, 800g, 1個</v>
          </cell>
          <cell r="G316">
            <v>122</v>
          </cell>
          <cell r="H316">
            <v>3462.576</v>
          </cell>
          <cell r="I316" t="str">
            <v>Fabric</v>
          </cell>
          <cell r="J316">
            <v>12</v>
          </cell>
          <cell r="K316">
            <v>288.548</v>
          </cell>
          <cell r="L316">
            <v>0</v>
          </cell>
          <cell r="M316">
            <v>288.548</v>
          </cell>
          <cell r="N316"/>
          <cell r="P316" t="e">
            <v>#N/A</v>
          </cell>
          <cell r="Q316" t="e">
            <v>#N/A</v>
          </cell>
          <cell r="R316">
            <v>0</v>
          </cell>
          <cell r="S316">
            <v>0</v>
          </cell>
          <cell r="T316" t="e">
            <v>#DIV/0!</v>
          </cell>
        </row>
        <row r="317">
          <cell r="C317">
            <v>4987176340924</v>
          </cell>
          <cell r="D317">
            <v>80863069</v>
          </cell>
          <cell r="E317" t="str">
            <v>N</v>
          </cell>
          <cell r="F317" t="str">
            <v>ARIEL 抗菌洗衣精補充 自然微香型, 1690g, 1個</v>
          </cell>
          <cell r="G317">
            <v>193</v>
          </cell>
          <cell r="H317">
            <v>2177.8119999999999</v>
          </cell>
          <cell r="I317" t="str">
            <v>Fabric</v>
          </cell>
          <cell r="J317">
            <v>6</v>
          </cell>
          <cell r="K317">
            <v>362.96866666666665</v>
          </cell>
          <cell r="L317">
            <v>0</v>
          </cell>
          <cell r="M317">
            <v>362.96866666666665</v>
          </cell>
          <cell r="N317"/>
          <cell r="P317" t="e">
            <v>#N/A</v>
          </cell>
          <cell r="Q317" t="e">
            <v>#N/A</v>
          </cell>
          <cell r="R317">
            <v>14.5</v>
          </cell>
          <cell r="S317">
            <v>0.16666666666666785</v>
          </cell>
          <cell r="T317">
            <v>605.89877641824251</v>
          </cell>
        </row>
        <row r="318">
          <cell r="C318">
            <v>4987176340887</v>
          </cell>
          <cell r="D318">
            <v>80834744</v>
          </cell>
          <cell r="E318" t="str">
            <v>N</v>
          </cell>
          <cell r="F318" t="str">
            <v>ARIEL 抗菌洗衣精 自然微香型, 800g, 1個</v>
          </cell>
          <cell r="G318">
            <v>122</v>
          </cell>
          <cell r="H318">
            <v>914.00399999999991</v>
          </cell>
          <cell r="I318" t="str">
            <v>Fabric</v>
          </cell>
          <cell r="J318">
            <v>12</v>
          </cell>
          <cell r="K318">
            <v>76.166999999999987</v>
          </cell>
          <cell r="L318">
            <v>0</v>
          </cell>
          <cell r="M318">
            <v>76.166999999999987</v>
          </cell>
          <cell r="N318"/>
          <cell r="P318" t="e">
            <v>#N/A</v>
          </cell>
          <cell r="Q318" t="e">
            <v>#N/A</v>
          </cell>
          <cell r="R318">
            <v>0</v>
          </cell>
          <cell r="S318">
            <v>0</v>
          </cell>
          <cell r="T318" t="e">
            <v>#DIV/0!</v>
          </cell>
        </row>
        <row r="319">
          <cell r="C319">
            <v>4987176340931</v>
          </cell>
          <cell r="D319">
            <v>80870021</v>
          </cell>
          <cell r="E319" t="str">
            <v>N</v>
          </cell>
          <cell r="F319" t="str">
            <v>ARIEL 抗菌洗衣精 室內晾衣型, 800g, 1瓶</v>
          </cell>
          <cell r="G319">
            <v>122</v>
          </cell>
          <cell r="H319">
            <v>5782.2439999999997</v>
          </cell>
          <cell r="I319" t="str">
            <v>Fabric</v>
          </cell>
          <cell r="J319">
            <v>12</v>
          </cell>
          <cell r="K319">
            <v>481.85366666666664</v>
          </cell>
          <cell r="L319">
            <v>0</v>
          </cell>
          <cell r="M319">
            <v>481.85366666666664</v>
          </cell>
          <cell r="N319"/>
          <cell r="P319" t="e">
            <v>#N/A</v>
          </cell>
          <cell r="Q319" t="e">
            <v>#N/A</v>
          </cell>
          <cell r="R319">
            <v>0</v>
          </cell>
          <cell r="S319">
            <v>0</v>
          </cell>
          <cell r="T319" t="e">
            <v>#DIV/0!</v>
          </cell>
        </row>
        <row r="320">
          <cell r="C320">
            <v>4987176340870</v>
          </cell>
          <cell r="D320">
            <v>80863063</v>
          </cell>
          <cell r="E320" t="str">
            <v>N</v>
          </cell>
          <cell r="F320" t="str">
            <v>ARIEL 抗菌洗衣精補充 高效除蟎, 1690g, 1個</v>
          </cell>
          <cell r="G320">
            <v>193</v>
          </cell>
          <cell r="H320">
            <v>806.19910504006498</v>
          </cell>
          <cell r="I320" t="str">
            <v>Fabric</v>
          </cell>
          <cell r="J320">
            <v>6</v>
          </cell>
          <cell r="K320">
            <v>134.3665175066775</v>
          </cell>
          <cell r="L320">
            <v>0</v>
          </cell>
          <cell r="M320">
            <v>11</v>
          </cell>
          <cell r="N320"/>
          <cell r="P320" t="e">
            <v>#N/A</v>
          </cell>
          <cell r="Q320" t="e">
            <v>#N/A</v>
          </cell>
          <cell r="R320">
            <v>118.66666666666666</v>
          </cell>
          <cell r="S320">
            <v>395.33333333333337</v>
          </cell>
          <cell r="T320">
            <v>107.99426099945856</v>
          </cell>
        </row>
        <row r="321">
          <cell r="C321">
            <v>4987176337146</v>
          </cell>
          <cell r="E321" t="str">
            <v>N</v>
          </cell>
          <cell r="F321" t="str">
            <v>ARIEL 4D抗菌洗衣膠囊補充包 自然微香型, 30個裝, 1套</v>
          </cell>
          <cell r="G321">
            <v>208</v>
          </cell>
          <cell r="H321">
            <v>179.05263157894737</v>
          </cell>
          <cell r="I321" t="str">
            <v>Fabric</v>
          </cell>
          <cell r="J321">
            <v>10</v>
          </cell>
          <cell r="K321">
            <v>17.905263157894737</v>
          </cell>
          <cell r="L321">
            <v>0</v>
          </cell>
          <cell r="M321"/>
          <cell r="N321">
            <v>170</v>
          </cell>
          <cell r="P321" t="e">
            <v>#N/A</v>
          </cell>
          <cell r="Q321" t="e">
            <v>#N/A</v>
          </cell>
        </row>
        <row r="322">
          <cell r="C322">
            <v>4987176337153</v>
          </cell>
          <cell r="D322">
            <v>80820263</v>
          </cell>
          <cell r="E322" t="str">
            <v>N</v>
          </cell>
          <cell r="F322" t="str">
            <v>ARIEL 4D抗菌洗衣膠囊補充包 抗菌去漬型, 30個裝, 1套</v>
          </cell>
          <cell r="G322">
            <v>208</v>
          </cell>
          <cell r="H322">
            <v>6823.0476728085923</v>
          </cell>
          <cell r="I322" t="str">
            <v>Fabric</v>
          </cell>
          <cell r="J322">
            <v>10</v>
          </cell>
          <cell r="K322">
            <v>682.30476728085921</v>
          </cell>
          <cell r="L322">
            <v>0</v>
          </cell>
          <cell r="M322">
            <v>682.30476728085921</v>
          </cell>
          <cell r="N322"/>
          <cell r="P322" t="e">
            <v>#N/A</v>
          </cell>
          <cell r="Q322" t="e">
            <v>#N/A</v>
          </cell>
          <cell r="R322">
            <v>333.1</v>
          </cell>
          <cell r="S322">
            <v>400.70000000000005</v>
          </cell>
          <cell r="T322">
            <v>78.660246894824212</v>
          </cell>
        </row>
        <row r="323">
          <cell r="C323">
            <v>4987176340948</v>
          </cell>
          <cell r="D323">
            <v>80835222</v>
          </cell>
          <cell r="E323" t="str">
            <v>N</v>
          </cell>
          <cell r="F323" t="str">
            <v>ARIEL 抗菌洗衣精 高效除蟎, 800g, 1個</v>
          </cell>
          <cell r="G323">
            <v>122</v>
          </cell>
          <cell r="H323">
            <v>2139.1240000000003</v>
          </cell>
          <cell r="I323" t="str">
            <v>Fabric</v>
          </cell>
          <cell r="J323">
            <v>12</v>
          </cell>
          <cell r="K323">
            <v>178.26033333333336</v>
          </cell>
          <cell r="L323">
            <v>0</v>
          </cell>
          <cell r="M323">
            <v>178.26033333333336</v>
          </cell>
          <cell r="N323"/>
          <cell r="P323" t="e">
            <v>#N/A</v>
          </cell>
          <cell r="Q323" t="e">
            <v>#N/A</v>
          </cell>
          <cell r="R323">
            <v>0</v>
          </cell>
          <cell r="S323">
            <v>0</v>
          </cell>
          <cell r="T323" t="e">
            <v>#DIV/0!</v>
          </cell>
        </row>
        <row r="324">
          <cell r="C324">
            <v>4987176337160</v>
          </cell>
          <cell r="D324">
            <v>80820259</v>
          </cell>
          <cell r="E324" t="str">
            <v>N</v>
          </cell>
          <cell r="F324" t="str">
            <v>ARIEL 4D抗菌洗衣膠囊補充包 室內晾衣型, 30個裝, 1套</v>
          </cell>
          <cell r="G324">
            <v>208</v>
          </cell>
          <cell r="H324">
            <v>4393.9435318109881</v>
          </cell>
          <cell r="I324" t="str">
            <v>Fabric</v>
          </cell>
          <cell r="J324">
            <v>10</v>
          </cell>
          <cell r="K324">
            <v>439.39435318109884</v>
          </cell>
          <cell r="L324">
            <v>0</v>
          </cell>
          <cell r="M324">
            <v>439.39435318109884</v>
          </cell>
          <cell r="N324"/>
          <cell r="P324" t="e">
            <v>#N/A</v>
          </cell>
          <cell r="Q324" t="e">
            <v>#N/A</v>
          </cell>
          <cell r="R324">
            <v>132.69999999999999</v>
          </cell>
          <cell r="S324">
            <v>91.599999999999966</v>
          </cell>
          <cell r="T324">
            <v>96.809627558116574</v>
          </cell>
        </row>
        <row r="325">
          <cell r="C325">
            <v>14987176340853</v>
          </cell>
          <cell r="D325">
            <v>80863061</v>
          </cell>
          <cell r="E325" t="str">
            <v>N</v>
          </cell>
          <cell r="F325" t="str">
            <v>[箱裝]ARIEL 抗菌洗衣精補充包, 室內晾衣型, 1690g, 6包</v>
          </cell>
          <cell r="G325">
            <v>1158</v>
          </cell>
          <cell r="H325">
            <v>576.63170061698531</v>
          </cell>
          <cell r="I325" t="str">
            <v>Fabric</v>
          </cell>
          <cell r="J325">
            <v>1</v>
          </cell>
          <cell r="K325">
            <v>576.63170061698531</v>
          </cell>
          <cell r="L325">
            <v>0</v>
          </cell>
          <cell r="M325">
            <v>576.63170061698531</v>
          </cell>
          <cell r="N325"/>
          <cell r="P325" t="e">
            <v>#N/A</v>
          </cell>
          <cell r="Q325" t="e">
            <v>#N/A</v>
          </cell>
          <cell r="R325">
            <v>166</v>
          </cell>
          <cell r="S325">
            <v>384</v>
          </cell>
          <cell r="T325">
            <v>140.00656344009698</v>
          </cell>
        </row>
        <row r="326">
          <cell r="C326">
            <v>4987176405289</v>
          </cell>
          <cell r="E326" t="str">
            <v>N</v>
          </cell>
          <cell r="F326" t="str">
            <v>ARIEL 4D抗菌洗衣膠囊補充包 抗菌去漬型, 80顆, 1袋</v>
          </cell>
          <cell r="G326">
            <v>447</v>
          </cell>
          <cell r="H326">
            <v>3602.6760583989476</v>
          </cell>
          <cell r="I326" t="str">
            <v>Fabric</v>
          </cell>
          <cell r="J326">
            <v>4</v>
          </cell>
          <cell r="K326">
            <v>900.6690145997369</v>
          </cell>
          <cell r="L326">
            <v>0</v>
          </cell>
          <cell r="M326"/>
          <cell r="N326">
            <v>3600</v>
          </cell>
          <cell r="P326" t="e">
            <v>#N/A</v>
          </cell>
          <cell r="Q326" t="e">
            <v>#N/A</v>
          </cell>
        </row>
        <row r="327">
          <cell r="C327">
            <v>4987176340863</v>
          </cell>
          <cell r="E327" t="str">
            <v>N</v>
          </cell>
          <cell r="F327" t="str">
            <v>ARIEL 原廠公司貨 抗菌洗衣精, 室內晾衣型, 1.9kg , 1瓶</v>
          </cell>
          <cell r="G327">
            <v>202</v>
          </cell>
          <cell r="H327">
            <v>5.4</v>
          </cell>
          <cell r="I327" t="str">
            <v>Fabric</v>
          </cell>
          <cell r="J327">
            <v>6</v>
          </cell>
          <cell r="K327">
            <v>0.9</v>
          </cell>
          <cell r="L327">
            <v>0</v>
          </cell>
          <cell r="M327"/>
          <cell r="N327">
            <v>0</v>
          </cell>
          <cell r="P327" t="e">
            <v>#N/A</v>
          </cell>
          <cell r="Q327" t="e">
            <v>#N/A</v>
          </cell>
        </row>
        <row r="328">
          <cell r="C328">
            <v>4987176340894</v>
          </cell>
          <cell r="D328">
            <v>80864486</v>
          </cell>
          <cell r="E328" t="str">
            <v>N</v>
          </cell>
          <cell r="F328" t="str">
            <v>ARIEL 原廠公司貨 抗菌洗衣精, 抗菌去漬型, 1.9kg , 1瓶</v>
          </cell>
          <cell r="G328">
            <v>202</v>
          </cell>
          <cell r="H328">
            <v>2406.8571428571427</v>
          </cell>
          <cell r="I328" t="str">
            <v>Fabric</v>
          </cell>
          <cell r="J328">
            <v>6</v>
          </cell>
          <cell r="K328">
            <v>401.14285714285711</v>
          </cell>
          <cell r="L328">
            <v>0</v>
          </cell>
          <cell r="M328">
            <v>401.14285714285711</v>
          </cell>
          <cell r="N328"/>
          <cell r="P328" t="e">
            <v>#N/A</v>
          </cell>
          <cell r="Q328" t="e">
            <v>#N/A</v>
          </cell>
          <cell r="R328">
            <v>39.333333333333336</v>
          </cell>
          <cell r="S328">
            <v>110.66666666666666</v>
          </cell>
          <cell r="T328">
            <v>314.80902913379668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作表6"/>
      <sheetName val="總表"/>
      <sheetName val="投資"/>
      <sheetName val="髮品從竹運拉"/>
      <sheetName val="幫寶適4-6月供貨"/>
      <sheetName val="蘭諾剩餘庫存"/>
      <sheetName val="洗劑"/>
      <sheetName val="extra need"/>
      <sheetName val="工作表11"/>
      <sheetName val="extra need_BABY"/>
      <sheetName val="工作表3"/>
      <sheetName val="計算機"/>
      <sheetName val="4月"/>
      <sheetName val="3月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skuid</v>
          </cell>
          <cell r="D1" t="str">
            <v>Barcode</v>
          </cell>
          <cell r="E1" t="str">
            <v>Category</v>
          </cell>
          <cell r="F1" t="str">
            <v>Brand</v>
          </cell>
          <cell r="G1" t="str">
            <v>sku name</v>
          </cell>
          <cell r="H1" t="str">
            <v>箱入數</v>
          </cell>
          <cell r="I1" t="str">
            <v>酷澎demand(CS)</v>
          </cell>
          <cell r="J1" t="str">
            <v>P&amp;G 可供貨量(CS)</v>
          </cell>
          <cell r="K1" t="str">
            <v>PG最終可供貨量</v>
          </cell>
          <cell r="L1" t="str">
            <v>8月剩餘庫存</v>
          </cell>
          <cell r="M1" t="str">
            <v>目前剩餘周轉天數</v>
          </cell>
          <cell r="N1" t="str">
            <v>板進入數</v>
          </cell>
          <cell r="O1" t="str">
            <v>Status</v>
          </cell>
          <cell r="P1" t="str">
            <v>GIV</v>
          </cell>
          <cell r="Q1" t="str">
            <v>NIV</v>
          </cell>
        </row>
        <row r="2">
          <cell r="D2">
            <v>4987176314222</v>
          </cell>
          <cell r="E2" t="str">
            <v>Fabric</v>
          </cell>
          <cell r="F2" t="str">
            <v>Lenor 蘭諾</v>
          </cell>
          <cell r="G2" t="str">
            <v>Lenor 蘭諾 2025全新 台灣公司貨 衣物芳香豆, 雪松梔子花, 450ml, 1瓶</v>
          </cell>
          <cell r="H2">
            <v>6</v>
          </cell>
          <cell r="I2"/>
          <cell r="J2">
            <v>0</v>
          </cell>
          <cell r="K2"/>
          <cell r="L2"/>
          <cell r="M2"/>
          <cell r="N2"/>
          <cell r="O2"/>
          <cell r="P2">
            <v>1081.3</v>
          </cell>
          <cell r="Q2">
            <v>1045.29</v>
          </cell>
        </row>
        <row r="3">
          <cell r="D3">
            <v>4987176314406</v>
          </cell>
          <cell r="E3" t="str">
            <v>Fabric</v>
          </cell>
          <cell r="F3" t="str">
            <v>Lenor 蘭諾</v>
          </cell>
          <cell r="G3" t="str">
            <v>Lenor 蘭諾 2025全新 台灣公司貨 衣物芳香豆, 清晨草木, 450ml, 1瓶</v>
          </cell>
          <cell r="H3">
            <v>6</v>
          </cell>
          <cell r="I3"/>
          <cell r="J3">
            <v>0</v>
          </cell>
          <cell r="K3"/>
          <cell r="L3"/>
          <cell r="M3"/>
          <cell r="N3"/>
          <cell r="O3"/>
          <cell r="P3">
            <v>1081.3</v>
          </cell>
          <cell r="Q3">
            <v>1045.29</v>
          </cell>
        </row>
        <row r="4">
          <cell r="D4">
            <v>4987176314338</v>
          </cell>
          <cell r="E4" t="str">
            <v>Fabric</v>
          </cell>
          <cell r="F4" t="str">
            <v>Lenor 蘭諾</v>
          </cell>
          <cell r="G4" t="str">
            <v>Lenor 蘭諾 2025全新 台灣公司貨 衣物芳香豆, 甜花石榴香, 450ml, 1瓶</v>
          </cell>
          <cell r="H4">
            <v>6</v>
          </cell>
          <cell r="I4"/>
          <cell r="J4">
            <v>0</v>
          </cell>
          <cell r="K4"/>
          <cell r="L4"/>
          <cell r="M4"/>
          <cell r="N4"/>
          <cell r="O4"/>
          <cell r="P4">
            <v>1081.3</v>
          </cell>
          <cell r="Q4">
            <v>1045.29</v>
          </cell>
        </row>
        <row r="5">
          <cell r="D5">
            <v>4987176314413</v>
          </cell>
          <cell r="E5" t="str">
            <v>Fabric</v>
          </cell>
          <cell r="F5" t="str">
            <v>Lenor 蘭諾</v>
          </cell>
          <cell r="G5" t="str">
            <v>Lenor 蘭諾 2025全新 台灣公司貨 衣物芳香豆, 青檸紫羅蘭, 450ml, 1瓶</v>
          </cell>
          <cell r="H5">
            <v>6</v>
          </cell>
          <cell r="I5"/>
          <cell r="J5">
            <v>0</v>
          </cell>
          <cell r="K5"/>
          <cell r="L5"/>
          <cell r="M5"/>
          <cell r="N5"/>
          <cell r="O5"/>
          <cell r="P5">
            <v>1081.3</v>
          </cell>
          <cell r="Q5">
            <v>1045.29</v>
          </cell>
        </row>
        <row r="6">
          <cell r="D6">
            <v>4987176314277</v>
          </cell>
          <cell r="E6" t="str">
            <v>Fabric</v>
          </cell>
          <cell r="F6" t="str">
            <v>Lenor 蘭諾</v>
          </cell>
          <cell r="G6" t="str">
            <v>Lenor 蘭諾 2025全新 台灣公司貨 衣物芳香豆, 甜柔麝香, 450ml, 1瓶</v>
          </cell>
          <cell r="H6">
            <v>6</v>
          </cell>
          <cell r="I6"/>
          <cell r="J6">
            <v>0</v>
          </cell>
          <cell r="K6"/>
          <cell r="L6"/>
          <cell r="M6"/>
          <cell r="N6"/>
          <cell r="O6"/>
          <cell r="P6">
            <v>1081.3</v>
          </cell>
          <cell r="Q6">
            <v>1045.29</v>
          </cell>
        </row>
        <row r="7">
          <cell r="D7">
            <v>4987176314772</v>
          </cell>
          <cell r="E7" t="str">
            <v>Fabric</v>
          </cell>
          <cell r="F7" t="str">
            <v>Lenor 蘭諾</v>
          </cell>
          <cell r="G7" t="str">
            <v>Lenor 蘭諾 2025全新 台灣公司貨 衣物芳香豆, 雪松梔子花, 440ml, 1包</v>
          </cell>
          <cell r="H7">
            <v>10</v>
          </cell>
          <cell r="I7"/>
          <cell r="J7">
            <v>265</v>
          </cell>
          <cell r="K7"/>
          <cell r="L7"/>
          <cell r="M7"/>
          <cell r="N7"/>
          <cell r="O7"/>
          <cell r="P7">
            <v>1440.3</v>
          </cell>
          <cell r="Q7">
            <v>1396.23</v>
          </cell>
        </row>
        <row r="8">
          <cell r="D8">
            <v>4987176314796</v>
          </cell>
          <cell r="E8" t="str">
            <v>Fabric</v>
          </cell>
          <cell r="F8" t="str">
            <v>Lenor 蘭諾</v>
          </cell>
          <cell r="G8" t="str">
            <v>Lenor 蘭諾 2025全新 台灣公司貨 衣物芳香豆, 清晨草木, 440ml, 1包</v>
          </cell>
          <cell r="H8">
            <v>10</v>
          </cell>
          <cell r="I8"/>
          <cell r="J8">
            <v>233</v>
          </cell>
          <cell r="K8"/>
          <cell r="L8"/>
          <cell r="M8"/>
          <cell r="N8"/>
          <cell r="O8"/>
          <cell r="P8">
            <v>1440.3</v>
          </cell>
          <cell r="Q8">
            <v>1396.23</v>
          </cell>
        </row>
        <row r="9">
          <cell r="D9">
            <v>4987176314802</v>
          </cell>
          <cell r="E9" t="str">
            <v>Fabric</v>
          </cell>
          <cell r="F9" t="str">
            <v>Lenor 蘭諾</v>
          </cell>
          <cell r="G9" t="str">
            <v>Lenor 蘭諾 2025全新 台灣公司貨 衣物芳香豆, 甜花石榴香, 440ml, 1包</v>
          </cell>
          <cell r="H9">
            <v>10</v>
          </cell>
          <cell r="I9"/>
          <cell r="J9">
            <v>294</v>
          </cell>
          <cell r="K9"/>
          <cell r="L9"/>
          <cell r="M9"/>
          <cell r="N9"/>
          <cell r="O9"/>
          <cell r="P9">
            <v>1440.3</v>
          </cell>
          <cell r="Q9">
            <v>1396.23</v>
          </cell>
        </row>
        <row r="10">
          <cell r="D10">
            <v>4987176314765</v>
          </cell>
          <cell r="E10" t="str">
            <v>Fabric</v>
          </cell>
          <cell r="F10" t="str">
            <v>Lenor 蘭諾</v>
          </cell>
          <cell r="G10" t="str">
            <v>Lenor 蘭諾 衣物芳香豆, 青檸紫羅蘭, 440ml, 1包</v>
          </cell>
          <cell r="H10">
            <v>10</v>
          </cell>
          <cell r="I10"/>
          <cell r="J10">
            <v>220</v>
          </cell>
          <cell r="K10"/>
          <cell r="L10"/>
          <cell r="M10"/>
          <cell r="N10"/>
          <cell r="O10"/>
          <cell r="P10">
            <v>1440.3</v>
          </cell>
          <cell r="Q10">
            <v>1396.23</v>
          </cell>
        </row>
        <row r="11">
          <cell r="D11">
            <v>4987176314789</v>
          </cell>
          <cell r="E11" t="str">
            <v>Fabric</v>
          </cell>
          <cell r="F11" t="str">
            <v>Lenor 蘭諾</v>
          </cell>
          <cell r="G11" t="str">
            <v>Lenor 蘭諾 衣物芳香豆, 甜柔麝香, 440ml, 1包</v>
          </cell>
          <cell r="H11">
            <v>10</v>
          </cell>
          <cell r="I11"/>
          <cell r="J11">
            <v>307</v>
          </cell>
          <cell r="K11"/>
          <cell r="L11"/>
          <cell r="M11"/>
          <cell r="N11"/>
          <cell r="O11"/>
          <cell r="P11">
            <v>1440.3</v>
          </cell>
          <cell r="Q11">
            <v>1396.23</v>
          </cell>
        </row>
        <row r="12">
          <cell r="D12">
            <v>4987176314383</v>
          </cell>
          <cell r="E12" t="str">
            <v>Fabric</v>
          </cell>
          <cell r="F12" t="str">
            <v>Lenor 蘭諾</v>
          </cell>
          <cell r="G12" t="str">
            <v>Lenor 蘭諾 衣物芳香豆, 雪松梔子花, 260ml, 1瓶</v>
          </cell>
          <cell r="H12">
            <v>6</v>
          </cell>
          <cell r="I12"/>
          <cell r="J12">
            <v>26</v>
          </cell>
          <cell r="K12"/>
          <cell r="L12"/>
          <cell r="M12"/>
          <cell r="N12"/>
          <cell r="O12"/>
          <cell r="P12">
            <v>637.79999999999995</v>
          </cell>
          <cell r="Q12">
            <v>611.75</v>
          </cell>
        </row>
        <row r="13">
          <cell r="D13">
            <v>4987176314390</v>
          </cell>
          <cell r="E13" t="str">
            <v>Fabric</v>
          </cell>
          <cell r="F13" t="str">
            <v>Lenor 蘭諾</v>
          </cell>
          <cell r="G13" t="str">
            <v>Lenor 蘭諾 衣物芳香豆, 雪松梔子花, 1300ml, 1包</v>
          </cell>
          <cell r="H13">
            <v>6</v>
          </cell>
          <cell r="I13"/>
          <cell r="J13">
            <v>0</v>
          </cell>
          <cell r="K13"/>
          <cell r="L13"/>
          <cell r="M13"/>
          <cell r="N13"/>
          <cell r="O13"/>
          <cell r="P13">
            <v>2326.86</v>
          </cell>
          <cell r="Q13">
            <v>2262.89</v>
          </cell>
        </row>
        <row r="14">
          <cell r="D14">
            <v>4987176314260</v>
          </cell>
          <cell r="E14" t="str">
            <v>Fabric</v>
          </cell>
          <cell r="F14" t="str">
            <v>Lenor 蘭諾</v>
          </cell>
          <cell r="G14" t="str">
            <v>Lenor 蘭諾 衣物芳香豆, 清晨草木, 1300ml, 1包</v>
          </cell>
          <cell r="H14">
            <v>6</v>
          </cell>
          <cell r="I14"/>
          <cell r="J14">
            <v>192</v>
          </cell>
          <cell r="K14"/>
          <cell r="L14"/>
          <cell r="M14"/>
          <cell r="N14"/>
          <cell r="O14"/>
          <cell r="P14">
            <v>2326.86</v>
          </cell>
          <cell r="Q14">
            <v>2262.89</v>
          </cell>
        </row>
        <row r="15">
          <cell r="D15">
            <v>4987176314352</v>
          </cell>
          <cell r="E15" t="str">
            <v>Fabric</v>
          </cell>
          <cell r="F15" t="str">
            <v>Lenor 蘭諾</v>
          </cell>
          <cell r="G15" t="str">
            <v>Lenor 蘭諾 衣物芳香豆, 甜柔麝香, 1300ml, 1包</v>
          </cell>
          <cell r="H15">
            <v>6</v>
          </cell>
          <cell r="I15"/>
          <cell r="J15">
            <v>259</v>
          </cell>
          <cell r="K15"/>
          <cell r="L15"/>
          <cell r="M15"/>
          <cell r="N15"/>
          <cell r="O15"/>
          <cell r="P15">
            <v>2326.86</v>
          </cell>
          <cell r="Q15">
            <v>2262.89</v>
          </cell>
        </row>
        <row r="16">
          <cell r="D16">
            <v>4987176314284</v>
          </cell>
          <cell r="E16" t="str">
            <v>Fabric</v>
          </cell>
          <cell r="F16" t="str">
            <v>Lenor 蘭諾</v>
          </cell>
          <cell r="G16" t="str">
            <v>Lenor 蘭諾 衣物抗菌芳香豆, 運動衣物抗臭, 440ml, 1瓶</v>
          </cell>
          <cell r="H16">
            <v>6</v>
          </cell>
          <cell r="I16"/>
          <cell r="J16">
            <v>0</v>
          </cell>
          <cell r="K16"/>
          <cell r="L16"/>
          <cell r="M16"/>
          <cell r="N16"/>
          <cell r="O16"/>
          <cell r="P16">
            <v>1081.3</v>
          </cell>
          <cell r="Q16">
            <v>1045.29</v>
          </cell>
        </row>
        <row r="17">
          <cell r="D17">
            <v>4987176314253</v>
          </cell>
          <cell r="E17" t="str">
            <v>Fabric</v>
          </cell>
          <cell r="F17" t="str">
            <v>Lenor 蘭諾</v>
          </cell>
          <cell r="G17" t="str">
            <v>Lenor 蘭諾 衣物抗菌芳香豆, 潮濕天氣抗臭, 440ml, 1瓶</v>
          </cell>
          <cell r="H17">
            <v>6</v>
          </cell>
          <cell r="I17"/>
          <cell r="J17">
            <v>0</v>
          </cell>
          <cell r="K17"/>
          <cell r="L17"/>
          <cell r="M17"/>
          <cell r="N17"/>
          <cell r="O17"/>
          <cell r="P17">
            <v>1081.3</v>
          </cell>
          <cell r="Q17">
            <v>1045.29</v>
          </cell>
        </row>
        <row r="18">
          <cell r="D18">
            <v>4987176314369</v>
          </cell>
          <cell r="E18" t="str">
            <v>Fabric</v>
          </cell>
          <cell r="F18" t="str">
            <v>Lenor 蘭諾</v>
          </cell>
          <cell r="G18" t="str">
            <v>Lenor 蘭諾 衣物抗菌芳香豆, 運動衣物抗臭, 430ml, 1包</v>
          </cell>
          <cell r="H18">
            <v>10</v>
          </cell>
          <cell r="I18"/>
          <cell r="J18">
            <v>197</v>
          </cell>
          <cell r="K18"/>
          <cell r="L18"/>
          <cell r="M18"/>
          <cell r="N18"/>
          <cell r="O18"/>
          <cell r="P18">
            <v>1440.3</v>
          </cell>
          <cell r="Q18">
            <v>1396.23</v>
          </cell>
        </row>
        <row r="19">
          <cell r="D19">
            <v>4987176314291</v>
          </cell>
          <cell r="E19" t="str">
            <v>Fabric</v>
          </cell>
          <cell r="F19" t="str">
            <v>Lenor 蘭諾</v>
          </cell>
          <cell r="G19" t="str">
            <v>Lenor 蘭諾 衣物抗菌芳香豆, 潮濕天氣抗臭, 430ml, 1包</v>
          </cell>
          <cell r="H19">
            <v>10</v>
          </cell>
          <cell r="I19"/>
          <cell r="J19">
            <v>0</v>
          </cell>
          <cell r="K19"/>
          <cell r="L19"/>
          <cell r="M19"/>
          <cell r="N19"/>
          <cell r="O19"/>
          <cell r="P19">
            <v>1440.3</v>
          </cell>
          <cell r="Q19">
            <v>1396.23</v>
          </cell>
        </row>
        <row r="20">
          <cell r="D20">
            <v>4987176116086</v>
          </cell>
          <cell r="E20" t="str">
            <v>Fabric</v>
          </cell>
          <cell r="F20" t="str">
            <v>Lenor 蘭諾</v>
          </cell>
          <cell r="G20" t="str">
            <v>Lenor 蘭諾 衣物芳香豆甜柔麝香 補充包 455ml</v>
          </cell>
          <cell r="H20">
            <v>10</v>
          </cell>
          <cell r="I20"/>
          <cell r="J20"/>
          <cell r="K20"/>
          <cell r="L20"/>
          <cell r="M20"/>
          <cell r="N20"/>
          <cell r="O20" t="str">
            <v>停產</v>
          </cell>
          <cell r="P20">
            <v>1365</v>
          </cell>
          <cell r="Q20">
            <v>1322.6251500000001</v>
          </cell>
        </row>
        <row r="21">
          <cell r="D21">
            <v>4987176116109</v>
          </cell>
          <cell r="E21" t="str">
            <v>Fabric</v>
          </cell>
          <cell r="F21" t="str">
            <v>Lenor 蘭諾</v>
          </cell>
          <cell r="G21" t="str">
            <v>Lenor 蘭諾 衣物芳香豆晨曦玫瑰455ml</v>
          </cell>
          <cell r="H21">
            <v>10</v>
          </cell>
          <cell r="I21"/>
          <cell r="J21"/>
          <cell r="K21"/>
          <cell r="L21"/>
          <cell r="M21"/>
          <cell r="N21"/>
          <cell r="O21" t="str">
            <v>停產</v>
          </cell>
          <cell r="P21">
            <v>1365</v>
          </cell>
          <cell r="Q21">
            <v>1322.6251500000001</v>
          </cell>
        </row>
        <row r="22">
          <cell r="D22">
            <v>4987176116093</v>
          </cell>
          <cell r="E22" t="str">
            <v>Fabric</v>
          </cell>
          <cell r="F22" t="str">
            <v>Lenor 蘭諾</v>
          </cell>
          <cell r="G22" t="str">
            <v>Lenor 蘭諾 衣物芳香豆清晨草木455ml</v>
          </cell>
          <cell r="H22">
            <v>10</v>
          </cell>
          <cell r="I22"/>
          <cell r="J22"/>
          <cell r="K22"/>
          <cell r="L22"/>
          <cell r="M22"/>
          <cell r="N22"/>
          <cell r="O22" t="str">
            <v>停產</v>
          </cell>
          <cell r="P22">
            <v>1365</v>
          </cell>
          <cell r="Q22">
            <v>1322.6251500000001</v>
          </cell>
        </row>
        <row r="23">
          <cell r="D23">
            <v>4987176148858</v>
          </cell>
          <cell r="E23" t="str">
            <v>Fabric</v>
          </cell>
          <cell r="F23" t="str">
            <v>Lenor 蘭諾</v>
          </cell>
          <cell r="G23" t="str">
            <v>Lenor 蘭諾 衣物芳香抗菌豆清爽海洋香430ml</v>
          </cell>
          <cell r="H23">
            <v>10</v>
          </cell>
          <cell r="I23"/>
          <cell r="J23"/>
          <cell r="K23"/>
          <cell r="L23"/>
          <cell r="M23"/>
          <cell r="N23"/>
          <cell r="O23" t="str">
            <v>停產</v>
          </cell>
          <cell r="P23">
            <v>1463</v>
          </cell>
          <cell r="Q23">
            <v>1418.4250500000001</v>
          </cell>
        </row>
        <row r="24">
          <cell r="D24">
            <v>4987176116024</v>
          </cell>
          <cell r="E24" t="str">
            <v>Fabric</v>
          </cell>
          <cell r="F24" t="str">
            <v>Lenor 蘭諾</v>
          </cell>
          <cell r="G24" t="str">
            <v>Lenor 蘭諾 衣物芳香豆晨曦玫瑰, 520ml,, 1瓶</v>
          </cell>
          <cell r="H24">
            <v>6</v>
          </cell>
          <cell r="I24"/>
          <cell r="J24"/>
          <cell r="K24"/>
          <cell r="L24"/>
          <cell r="M24"/>
          <cell r="N24"/>
          <cell r="O24" t="str">
            <v>停產</v>
          </cell>
          <cell r="P24">
            <v>1230</v>
          </cell>
          <cell r="Q24">
            <v>1190.6559000000002</v>
          </cell>
        </row>
        <row r="25">
          <cell r="D25">
            <v>4987176069979</v>
          </cell>
          <cell r="E25" t="str">
            <v>Fabric</v>
          </cell>
          <cell r="F25" t="str">
            <v>Lenor 蘭諾</v>
          </cell>
          <cell r="G25" t="str">
            <v>Lenor 蘭諾 衣物芳香顆粒香香豆, 薰衣草花束, 330ml, 1包</v>
          </cell>
          <cell r="H25">
            <v>10</v>
          </cell>
          <cell r="I25"/>
          <cell r="J25"/>
          <cell r="K25"/>
          <cell r="L25"/>
          <cell r="M25"/>
          <cell r="N25"/>
          <cell r="O25" t="str">
            <v>停產</v>
          </cell>
          <cell r="P25">
            <v>1502</v>
          </cell>
          <cell r="Q25">
            <v>1456.5495000000001</v>
          </cell>
        </row>
        <row r="26">
          <cell r="D26">
            <v>4987176116079</v>
          </cell>
          <cell r="E26" t="str">
            <v>Fabric</v>
          </cell>
          <cell r="F26" t="str">
            <v>Lenor 蘭諾</v>
          </cell>
          <cell r="G26" t="str">
            <v>Lenor 蘭諾 衣物芳香豆甜花石榴香455ml</v>
          </cell>
          <cell r="H26">
            <v>10</v>
          </cell>
          <cell r="I26"/>
          <cell r="J26"/>
          <cell r="K26"/>
          <cell r="L26"/>
          <cell r="M26"/>
          <cell r="N26"/>
          <cell r="O26" t="str">
            <v>停產</v>
          </cell>
          <cell r="P26">
            <v>1365</v>
          </cell>
          <cell r="Q26">
            <v>1322.6251500000001</v>
          </cell>
        </row>
        <row r="27">
          <cell r="D27">
            <v>4987176116000</v>
          </cell>
          <cell r="E27" t="str">
            <v>Fabric</v>
          </cell>
          <cell r="F27" t="str">
            <v>Lenor 蘭諾</v>
          </cell>
          <cell r="G27" t="str">
            <v>Lenor 蘭諾 衣物芳香豆甜柔麝香520ml</v>
          </cell>
          <cell r="H27">
            <v>6</v>
          </cell>
          <cell r="I27"/>
          <cell r="J27"/>
          <cell r="K27"/>
          <cell r="L27"/>
          <cell r="M27"/>
          <cell r="N27"/>
          <cell r="O27" t="str">
            <v>停產</v>
          </cell>
          <cell r="P27">
            <v>1230</v>
          </cell>
          <cell r="Q27">
            <v>1190.6559000000002</v>
          </cell>
        </row>
        <row r="28">
          <cell r="D28">
            <v>4987176116116</v>
          </cell>
          <cell r="E28" t="str">
            <v>Fabric</v>
          </cell>
          <cell r="F28" t="str">
            <v>Lenor 蘭諾</v>
          </cell>
          <cell r="G28" t="str">
            <v>Lenor 蘭諾 衣物芳香豆青檸紫羅蘭455ml, 1包</v>
          </cell>
          <cell r="H28">
            <v>10</v>
          </cell>
          <cell r="I28"/>
          <cell r="J28"/>
          <cell r="K28"/>
          <cell r="L28"/>
          <cell r="M28"/>
          <cell r="N28"/>
          <cell r="O28" t="str">
            <v>停產</v>
          </cell>
          <cell r="P28">
            <v>1365</v>
          </cell>
          <cell r="Q28">
            <v>1322.6251500000001</v>
          </cell>
        </row>
        <row r="29">
          <cell r="D29">
            <v>4987176116017</v>
          </cell>
          <cell r="E29" t="str">
            <v>Fabric</v>
          </cell>
          <cell r="F29" t="str">
            <v>Lenor 蘭諾</v>
          </cell>
          <cell r="G29" t="str">
            <v>Lenor 蘭諾 衣物芳香豆清晨草木520ml</v>
          </cell>
          <cell r="H29">
            <v>6</v>
          </cell>
          <cell r="I29"/>
          <cell r="J29"/>
          <cell r="K29"/>
          <cell r="L29"/>
          <cell r="M29"/>
          <cell r="N29"/>
          <cell r="O29" t="str">
            <v>停產</v>
          </cell>
          <cell r="P29">
            <v>1230</v>
          </cell>
          <cell r="Q29">
            <v>1190.6559000000002</v>
          </cell>
        </row>
        <row r="30">
          <cell r="D30">
            <v>4987176148834</v>
          </cell>
          <cell r="E30" t="str">
            <v>Fabric</v>
          </cell>
          <cell r="F30" t="str">
            <v>Lenor 蘭諾</v>
          </cell>
          <cell r="G30" t="str">
            <v>Lenor 蘭諾 衣物芳香抗菌顆粒香香豆, 清爽海洋香, 490ml, 1瓶</v>
          </cell>
          <cell r="H30">
            <v>6</v>
          </cell>
          <cell r="I30"/>
          <cell r="J30"/>
          <cell r="K30"/>
          <cell r="L30"/>
          <cell r="M30"/>
          <cell r="N30"/>
          <cell r="O30" t="str">
            <v>停產</v>
          </cell>
          <cell r="P30">
            <v>1230</v>
          </cell>
          <cell r="Q30">
            <v>1190.6559000000002</v>
          </cell>
        </row>
        <row r="31">
          <cell r="D31">
            <v>4987176115997</v>
          </cell>
          <cell r="E31" t="str">
            <v>Fabric</v>
          </cell>
          <cell r="F31" t="str">
            <v>Lenor 蘭諾</v>
          </cell>
          <cell r="G31" t="str">
            <v>Lenor 蘭諾 衣物芳香豆, 甜花石榴香, 520ml, 1瓶</v>
          </cell>
          <cell r="H31">
            <v>6</v>
          </cell>
          <cell r="I31"/>
          <cell r="J31"/>
          <cell r="K31"/>
          <cell r="L31"/>
          <cell r="M31"/>
          <cell r="N31"/>
          <cell r="O31" t="str">
            <v>停產</v>
          </cell>
          <cell r="P31">
            <v>1230</v>
          </cell>
          <cell r="Q31">
            <v>1190.6559000000002</v>
          </cell>
        </row>
        <row r="32">
          <cell r="D32">
            <v>4987176148865</v>
          </cell>
          <cell r="E32" t="str">
            <v>Fabric</v>
          </cell>
          <cell r="F32" t="str">
            <v>Lenor 蘭諾</v>
          </cell>
          <cell r="G32" t="str">
            <v>Lenor 蘭諾 衣物芳香抗菌豆陽光森林香430ml</v>
          </cell>
          <cell r="H32">
            <v>10</v>
          </cell>
          <cell r="I32"/>
          <cell r="J32"/>
          <cell r="K32"/>
          <cell r="L32"/>
          <cell r="M32"/>
          <cell r="N32"/>
          <cell r="O32" t="str">
            <v>停產</v>
          </cell>
          <cell r="P32">
            <v>1463</v>
          </cell>
          <cell r="Q32">
            <v>1418.4250500000001</v>
          </cell>
        </row>
        <row r="33">
          <cell r="D33">
            <v>4902430360340</v>
          </cell>
          <cell r="E33" t="str">
            <v>Fabric</v>
          </cell>
          <cell r="F33" t="str">
            <v>Lenor 蘭諾</v>
          </cell>
          <cell r="G33" t="str">
            <v>Lenor 蘭諾 衣物柔軟芳香豆, 薔薇鈴蘭, 330ml, 1入</v>
          </cell>
          <cell r="H33">
            <v>10</v>
          </cell>
          <cell r="I33"/>
          <cell r="J33"/>
          <cell r="K33"/>
          <cell r="L33"/>
          <cell r="M33"/>
          <cell r="N33"/>
          <cell r="O33" t="str">
            <v>停產</v>
          </cell>
          <cell r="P33">
            <v>1502</v>
          </cell>
          <cell r="Q33">
            <v>1456.5495000000001</v>
          </cell>
        </row>
        <row r="34">
          <cell r="D34">
            <v>4987176212078</v>
          </cell>
          <cell r="E34" t="str">
            <v>Fabric</v>
          </cell>
          <cell r="F34" t="str">
            <v>Lenor 蘭諾</v>
          </cell>
          <cell r="G34" t="str">
            <v>Lenor 蘭諾 衣物芳香豆甜柔麝香1300ml</v>
          </cell>
          <cell r="H34">
            <v>6</v>
          </cell>
          <cell r="I34"/>
          <cell r="J34"/>
          <cell r="K34"/>
          <cell r="L34"/>
          <cell r="M34"/>
          <cell r="N34"/>
          <cell r="O34" t="str">
            <v>停產</v>
          </cell>
          <cell r="P34">
            <v>2281.1999999999998</v>
          </cell>
          <cell r="Q34">
            <v>2218.2564600000001</v>
          </cell>
        </row>
        <row r="35">
          <cell r="D35">
            <v>4987176069962</v>
          </cell>
          <cell r="E35" t="str">
            <v>Fabric</v>
          </cell>
          <cell r="F35" t="str">
            <v>Lenor 蘭諾</v>
          </cell>
          <cell r="G35" t="str">
            <v>Lenor 蘭諾 衣物柔軟芳香顆粒香香豆, 薰衣草花束, 360ml, 1瓶</v>
          </cell>
          <cell r="H35">
            <v>6</v>
          </cell>
          <cell r="I35"/>
          <cell r="J35"/>
          <cell r="K35"/>
          <cell r="L35"/>
          <cell r="M35"/>
          <cell r="N35"/>
          <cell r="O35" t="str">
            <v>停產</v>
          </cell>
          <cell r="P35">
            <v>1230</v>
          </cell>
          <cell r="Q35">
            <v>1190.6559000000002</v>
          </cell>
        </row>
        <row r="36">
          <cell r="D36">
            <v>4987176116031</v>
          </cell>
          <cell r="E36" t="str">
            <v>Fabric</v>
          </cell>
          <cell r="F36" t="str">
            <v>Lenor 蘭諾</v>
          </cell>
          <cell r="G36" t="str">
            <v>Lenor 蘭諾 衣物芳香豆青檸紫羅蘭520ml</v>
          </cell>
          <cell r="H36">
            <v>6</v>
          </cell>
          <cell r="I36"/>
          <cell r="J36"/>
          <cell r="K36"/>
          <cell r="L36"/>
          <cell r="M36"/>
          <cell r="N36"/>
          <cell r="O36" t="str">
            <v>停產</v>
          </cell>
          <cell r="P36">
            <v>1230</v>
          </cell>
          <cell r="Q36">
            <v>1190.6559000000002</v>
          </cell>
        </row>
        <row r="37">
          <cell r="D37">
            <v>4987176148841</v>
          </cell>
          <cell r="E37" t="str">
            <v>Fabric</v>
          </cell>
          <cell r="F37" t="str">
            <v>Lenor 蘭諾</v>
          </cell>
          <cell r="G37" t="str">
            <v>Lenor 蘭諾 衣物芳香抗菌豆, 陽光森林香, 490ml, 1瓶</v>
          </cell>
          <cell r="H37">
            <v>6</v>
          </cell>
          <cell r="I37"/>
          <cell r="J37"/>
          <cell r="K37"/>
          <cell r="L37"/>
          <cell r="M37"/>
          <cell r="N37"/>
          <cell r="O37" t="str">
            <v>停產</v>
          </cell>
          <cell r="P37">
            <v>1230</v>
          </cell>
          <cell r="Q37">
            <v>1190.6559000000002</v>
          </cell>
        </row>
        <row r="38">
          <cell r="D38">
            <v>4902430359306</v>
          </cell>
          <cell r="E38" t="str">
            <v>Fabric</v>
          </cell>
          <cell r="F38" t="str">
            <v>Lenor 蘭諾</v>
          </cell>
          <cell r="G38" t="str">
            <v>Lenor 蘭諾 衣物柔軟芳香豆 薔葳鈴蘭 360ml, 1瓶</v>
          </cell>
          <cell r="H38">
            <v>6</v>
          </cell>
          <cell r="I38"/>
          <cell r="J38"/>
          <cell r="K38"/>
          <cell r="L38"/>
          <cell r="M38"/>
          <cell r="N38"/>
          <cell r="O38" t="str">
            <v>停產</v>
          </cell>
          <cell r="P38">
            <v>1230</v>
          </cell>
          <cell r="Q38">
            <v>1190.6559000000002</v>
          </cell>
        </row>
        <row r="39">
          <cell r="D39">
            <v>4987176212092</v>
          </cell>
          <cell r="E39" t="str">
            <v>Fabric</v>
          </cell>
          <cell r="F39" t="str">
            <v>Lenor 蘭諾</v>
          </cell>
          <cell r="G39" t="str">
            <v>Lenor 蘭諾 衣物芳香豆晨曦玫瑰1300ml</v>
          </cell>
          <cell r="H39">
            <v>6</v>
          </cell>
          <cell r="I39"/>
          <cell r="J39"/>
          <cell r="K39"/>
          <cell r="L39"/>
          <cell r="M39"/>
          <cell r="N39"/>
          <cell r="O39" t="str">
            <v>停產</v>
          </cell>
          <cell r="P39">
            <v>2281.1999999999998</v>
          </cell>
          <cell r="Q39">
            <v>2218.2564600000001</v>
          </cell>
        </row>
        <row r="40">
          <cell r="D40">
            <v>4987176212085</v>
          </cell>
          <cell r="E40" t="str">
            <v>Fabric</v>
          </cell>
          <cell r="F40" t="str">
            <v>Lenor 蘭諾</v>
          </cell>
          <cell r="G40" t="str">
            <v>Lenor 蘭諾 衣物芳香豆清晨草木1300ml</v>
          </cell>
          <cell r="H40">
            <v>6</v>
          </cell>
          <cell r="I40"/>
          <cell r="J40"/>
          <cell r="K40"/>
          <cell r="L40"/>
          <cell r="M40"/>
          <cell r="N40"/>
          <cell r="O40" t="str">
            <v>停產</v>
          </cell>
          <cell r="P40">
            <v>2281.1999999999998</v>
          </cell>
          <cell r="Q40">
            <v>2218.2564600000001</v>
          </cell>
        </row>
        <row r="41">
          <cell r="D41">
            <v>4987176265449</v>
          </cell>
          <cell r="E41" t="str">
            <v>Fabric</v>
          </cell>
          <cell r="F41" t="str">
            <v>Lenor 蘭諾</v>
          </cell>
          <cell r="G41" t="str">
            <v>Lenor 蘭諾 衣物芳香抗菌顆粒香香豆, 清爽海洋香, 180ml, 1瓶</v>
          </cell>
          <cell r="H41">
            <v>6</v>
          </cell>
          <cell r="I41"/>
          <cell r="J41"/>
          <cell r="K41"/>
          <cell r="L41"/>
          <cell r="M41"/>
          <cell r="N41"/>
          <cell r="O41"/>
          <cell r="P41">
            <v>444</v>
          </cell>
          <cell r="Q41">
            <v>422.3</v>
          </cell>
        </row>
        <row r="42">
          <cell r="D42">
            <v>4987176274892</v>
          </cell>
          <cell r="E42" t="str">
            <v>Fabric</v>
          </cell>
          <cell r="F42" t="str">
            <v>Lenor 蘭諾</v>
          </cell>
          <cell r="G42" t="str">
            <v>Lenor蘭諾 衣物芳香豆, 淨白純棉, 470ml, 1瓶</v>
          </cell>
          <cell r="H42">
            <v>6</v>
          </cell>
          <cell r="I42"/>
          <cell r="J42">
            <v>76</v>
          </cell>
          <cell r="K42"/>
          <cell r="L42"/>
          <cell r="M42"/>
          <cell r="N42"/>
          <cell r="O42"/>
          <cell r="P42">
            <v>1081.3</v>
          </cell>
          <cell r="Q42">
            <v>1045.29</v>
          </cell>
        </row>
        <row r="43">
          <cell r="D43">
            <v>4987176274908</v>
          </cell>
          <cell r="E43" t="str">
            <v>Fabric</v>
          </cell>
          <cell r="F43" t="str">
            <v>Lenor 蘭諾</v>
          </cell>
          <cell r="G43" t="str">
            <v>Lenor蘭諾 衣物芳香豆, 春暖晨露, 470ml, 1瓶</v>
          </cell>
          <cell r="H43">
            <v>6</v>
          </cell>
          <cell r="I43"/>
          <cell r="J43">
            <v>0</v>
          </cell>
          <cell r="K43"/>
          <cell r="L43"/>
          <cell r="M43"/>
          <cell r="N43"/>
          <cell r="O43"/>
          <cell r="P43">
            <v>1081.3</v>
          </cell>
          <cell r="Q43">
            <v>1045.29</v>
          </cell>
        </row>
        <row r="44">
          <cell r="D44">
            <v>4987176274915</v>
          </cell>
          <cell r="E44" t="str">
            <v>Fabric</v>
          </cell>
          <cell r="F44" t="str">
            <v>Lenor 蘭諾</v>
          </cell>
          <cell r="G44" t="str">
            <v>Lenor蘭諾 衣物芳香豆, 淨白純棉, 455ml, 1包</v>
          </cell>
          <cell r="H44">
            <v>10</v>
          </cell>
          <cell r="I44"/>
          <cell r="J44">
            <v>73</v>
          </cell>
          <cell r="K44"/>
          <cell r="L44"/>
          <cell r="M44"/>
          <cell r="N44"/>
          <cell r="O44"/>
          <cell r="P44">
            <v>1440.3</v>
          </cell>
          <cell r="Q44">
            <v>1396.23</v>
          </cell>
        </row>
        <row r="45">
          <cell r="D45">
            <v>4987176274922</v>
          </cell>
          <cell r="E45" t="str">
            <v>Fabric</v>
          </cell>
          <cell r="F45" t="str">
            <v>Lenor 蘭諾</v>
          </cell>
          <cell r="G45" t="str">
            <v>Lenor蘭諾 衣物芳香豆, 春暖晨露, 455ml, 1包</v>
          </cell>
          <cell r="H45">
            <v>10</v>
          </cell>
          <cell r="I45"/>
          <cell r="J45">
            <v>53</v>
          </cell>
          <cell r="K45"/>
          <cell r="L45"/>
          <cell r="M45"/>
          <cell r="N45"/>
          <cell r="O45"/>
          <cell r="P45">
            <v>1440.3</v>
          </cell>
          <cell r="Q45">
            <v>1396.23</v>
          </cell>
        </row>
        <row r="46">
          <cell r="D46">
            <v>4987176274939</v>
          </cell>
          <cell r="E46" t="str">
            <v>Fabric</v>
          </cell>
          <cell r="F46" t="str">
            <v>Lenor 蘭諾</v>
          </cell>
          <cell r="G46" t="str">
            <v>Lenor蘭諾 衣物芳香豆, 淨白純棉, 180ml, 1瓶</v>
          </cell>
          <cell r="H46">
            <v>6</v>
          </cell>
          <cell r="I46"/>
          <cell r="J46">
            <v>0</v>
          </cell>
          <cell r="K46"/>
          <cell r="L46"/>
          <cell r="M46"/>
          <cell r="N46"/>
          <cell r="O46"/>
          <cell r="P46">
            <v>444</v>
          </cell>
          <cell r="Q46">
            <v>422.3</v>
          </cell>
        </row>
        <row r="47">
          <cell r="D47">
            <v>4987176316158</v>
          </cell>
          <cell r="E47" t="str">
            <v>Fabric</v>
          </cell>
          <cell r="F47" t="str">
            <v>Lenor 蘭諾</v>
          </cell>
          <cell r="G47" t="str">
            <v>Lenor蘭諾 衣物芳香豆, 淨白純棉, 260ml, 1瓶</v>
          </cell>
          <cell r="H47">
            <v>6</v>
          </cell>
          <cell r="I47"/>
          <cell r="J47">
            <v>31.833333333333332</v>
          </cell>
          <cell r="K47"/>
          <cell r="L47"/>
          <cell r="M47"/>
          <cell r="N47"/>
          <cell r="O47"/>
          <cell r="P47">
            <v>637.79999999999995</v>
          </cell>
          <cell r="Q47">
            <v>611.75</v>
          </cell>
        </row>
        <row r="48">
          <cell r="D48">
            <v>4987176294395</v>
          </cell>
          <cell r="E48" t="str">
            <v>Shave</v>
          </cell>
          <cell r="F48" t="str">
            <v>Gillette 吉列</v>
          </cell>
          <cell r="G48" t="str">
            <v>Gillette 吉列 刮鬍泡, 清新檸檬, 333g, 1罐</v>
          </cell>
          <cell r="H48">
            <v>6</v>
          </cell>
          <cell r="I48"/>
          <cell r="J48"/>
          <cell r="K48"/>
          <cell r="L48"/>
          <cell r="M48"/>
          <cell r="N48"/>
          <cell r="O48"/>
          <cell r="P48">
            <v>672</v>
          </cell>
          <cell r="Q48">
            <v>645.17999999999995</v>
          </cell>
        </row>
        <row r="49">
          <cell r="D49">
            <v>4987176294388</v>
          </cell>
          <cell r="E49" t="str">
            <v>Shave</v>
          </cell>
          <cell r="F49" t="str">
            <v>Gillette 吉列</v>
          </cell>
          <cell r="G49" t="str">
            <v>Gillette 吉列 刮鬍泡, 敏感肌適用, 333g, 1罐</v>
          </cell>
          <cell r="H49">
            <v>6</v>
          </cell>
          <cell r="I49"/>
          <cell r="J49"/>
          <cell r="K49"/>
          <cell r="L49"/>
          <cell r="M49"/>
          <cell r="N49"/>
          <cell r="O49"/>
          <cell r="P49">
            <v>672</v>
          </cell>
          <cell r="Q49">
            <v>645.17999999999995</v>
          </cell>
        </row>
        <row r="50">
          <cell r="D50">
            <v>4987176048950</v>
          </cell>
          <cell r="E50" t="str">
            <v>Shave</v>
          </cell>
          <cell r="F50" t="str">
            <v>Gillette 吉列</v>
          </cell>
          <cell r="G50" t="str">
            <v>Gillette 吉列 刮鬍泡, 冰涼清爽型, 245g, 1罐</v>
          </cell>
          <cell r="H50">
            <v>6</v>
          </cell>
          <cell r="I50"/>
          <cell r="J50"/>
          <cell r="K50"/>
          <cell r="L50"/>
          <cell r="M50"/>
          <cell r="N50"/>
          <cell r="O50"/>
          <cell r="P50">
            <v>672</v>
          </cell>
          <cell r="Q50">
            <v>645.17999999999995</v>
          </cell>
        </row>
        <row r="51">
          <cell r="D51">
            <v>4987176293374</v>
          </cell>
          <cell r="E51" t="str">
            <v>Shave</v>
          </cell>
          <cell r="F51" t="str">
            <v>Gillette 吉列</v>
          </cell>
          <cell r="G51" t="str">
            <v>Gillette 吉列 服貼滑順輕便刀, 10入裝, 1包</v>
          </cell>
          <cell r="H51">
            <v>12</v>
          </cell>
          <cell r="I51"/>
          <cell r="J51"/>
          <cell r="K51"/>
          <cell r="L51"/>
          <cell r="M51"/>
          <cell r="N51"/>
          <cell r="O51"/>
          <cell r="P51">
            <v>1032</v>
          </cell>
          <cell r="Q51">
            <v>997.1</v>
          </cell>
        </row>
        <row r="52">
          <cell r="D52">
            <v>7702018957286</v>
          </cell>
          <cell r="E52" t="str">
            <v>Shave</v>
          </cell>
          <cell r="F52" t="str">
            <v>Gillette 吉列</v>
          </cell>
          <cell r="G52" t="str">
            <v>Gillette 吉列 刮鬍泡, 檸檬, 210g, 1罐</v>
          </cell>
          <cell r="H52">
            <v>12</v>
          </cell>
          <cell r="I52"/>
          <cell r="J52"/>
          <cell r="K52"/>
          <cell r="L52"/>
          <cell r="M52"/>
          <cell r="N52"/>
          <cell r="O52" t="str">
            <v>停產</v>
          </cell>
          <cell r="P52">
            <v>860.5</v>
          </cell>
          <cell r="Q52">
            <v>829.45117500000003</v>
          </cell>
        </row>
        <row r="53">
          <cell r="D53">
            <v>4902430481298</v>
          </cell>
          <cell r="E53" t="str">
            <v>Shave</v>
          </cell>
          <cell r="F53" t="str">
            <v>Gillette 吉列</v>
          </cell>
          <cell r="G53" t="str">
            <v>Gillette 吉列 長柄潤滑輕便刀 日本包裝, 12入, 1包</v>
          </cell>
          <cell r="H53">
            <v>6</v>
          </cell>
          <cell r="I53"/>
          <cell r="J53"/>
          <cell r="K53"/>
          <cell r="L53"/>
          <cell r="M53"/>
          <cell r="N53"/>
          <cell r="O53" t="str">
            <v>停產</v>
          </cell>
          <cell r="P53">
            <v>627</v>
          </cell>
          <cell r="Q53">
            <v>601.19324999999992</v>
          </cell>
        </row>
        <row r="54">
          <cell r="D54">
            <v>7702018957309</v>
          </cell>
          <cell r="E54" t="str">
            <v>Shave</v>
          </cell>
          <cell r="F54" t="str">
            <v>Gillette 吉列</v>
          </cell>
          <cell r="G54" t="str">
            <v>Gillette 吉列 刮鬍泡, 薄荷, 210g, 1罐</v>
          </cell>
          <cell r="H54">
            <v>12</v>
          </cell>
          <cell r="I54"/>
          <cell r="J54"/>
          <cell r="K54"/>
          <cell r="L54"/>
          <cell r="M54"/>
          <cell r="N54"/>
          <cell r="O54" t="str">
            <v>停產</v>
          </cell>
          <cell r="P54">
            <v>860.5</v>
          </cell>
          <cell r="Q54">
            <v>829.45117500000003</v>
          </cell>
        </row>
        <row r="55">
          <cell r="D55">
            <v>4987176169921</v>
          </cell>
          <cell r="E55" t="str">
            <v>Shave</v>
          </cell>
          <cell r="F55" t="str">
            <v>Gillette 吉列</v>
          </cell>
          <cell r="G55" t="str">
            <v>Gillette 吉列 Fusion 鋒隱系列 刮鬍刀, 刀架*1+刀頭*2, 1組</v>
          </cell>
          <cell r="H55">
            <v>6</v>
          </cell>
          <cell r="I55"/>
          <cell r="J55"/>
          <cell r="K55"/>
          <cell r="L55"/>
          <cell r="M55"/>
          <cell r="N55"/>
          <cell r="O55"/>
          <cell r="P55">
            <v>1210.2</v>
          </cell>
          <cell r="Q55">
            <v>1171.3004100000001</v>
          </cell>
        </row>
        <row r="56">
          <cell r="D56">
            <v>6900068811058</v>
          </cell>
          <cell r="E56" t="str">
            <v>Shave</v>
          </cell>
          <cell r="F56" t="str">
            <v>Gillette 吉列</v>
          </cell>
          <cell r="G56" t="str">
            <v>Gillette 吉列 無感Proglide系列限量刮鬍刀豪華套組, 刀架*1+刀頭*5+底座*1, 1組</v>
          </cell>
          <cell r="H56">
            <v>6</v>
          </cell>
          <cell r="I56"/>
          <cell r="J56"/>
          <cell r="K56"/>
          <cell r="L56"/>
          <cell r="M56"/>
          <cell r="N56"/>
          <cell r="O56" t="str">
            <v>停產</v>
          </cell>
          <cell r="P56">
            <v>4110</v>
          </cell>
          <cell r="Q56">
            <v>4005.9999000000003</v>
          </cell>
        </row>
        <row r="57">
          <cell r="D57">
            <v>4987176169945</v>
          </cell>
          <cell r="E57" t="str">
            <v>Shave</v>
          </cell>
          <cell r="F57" t="str">
            <v>Gillette 吉列</v>
          </cell>
          <cell r="G57" t="str">
            <v>Gillette 吉列 Proglide無感系列刮鬍刀頭 (8刀頭)</v>
          </cell>
          <cell r="H57">
            <v>10</v>
          </cell>
          <cell r="I57"/>
          <cell r="J57"/>
          <cell r="K57"/>
          <cell r="L57"/>
          <cell r="M57"/>
          <cell r="N57"/>
          <cell r="O57" t="str">
            <v>停產</v>
          </cell>
          <cell r="P57">
            <v>6668</v>
          </cell>
          <cell r="Q57">
            <v>6506.5728000000008</v>
          </cell>
        </row>
        <row r="58">
          <cell r="D58">
            <v>4987176134608</v>
          </cell>
          <cell r="E58" t="str">
            <v>Shave</v>
          </cell>
          <cell r="F58" t="str">
            <v>Gillette 吉列</v>
          </cell>
          <cell r="G58" t="str">
            <v>Gillette 吉列  Labs 極光系列刮鬍刀旅行盒組 1刀架5刀頭1刀座</v>
          </cell>
          <cell r="H58">
            <v>6</v>
          </cell>
          <cell r="I58"/>
          <cell r="J58"/>
          <cell r="K58"/>
          <cell r="L58"/>
          <cell r="M58"/>
          <cell r="N58"/>
          <cell r="O58"/>
          <cell r="P58">
            <v>6275.4</v>
          </cell>
          <cell r="Q58">
            <v>6122.7866700000004</v>
          </cell>
        </row>
        <row r="59">
          <cell r="D59">
            <v>4987176169914</v>
          </cell>
          <cell r="E59" t="str">
            <v>Shave</v>
          </cell>
          <cell r="F59" t="str">
            <v>Gillette 吉列</v>
          </cell>
          <cell r="G59" t="str">
            <v>Gillette 吉列 Fusion鋒隱系列刮鬍刀頭 (8刀頭)</v>
          </cell>
          <cell r="H59">
            <v>10</v>
          </cell>
          <cell r="I59"/>
          <cell r="J59"/>
          <cell r="K59"/>
          <cell r="L59"/>
          <cell r="M59"/>
          <cell r="N59"/>
          <cell r="O59"/>
          <cell r="P59">
            <v>5963.4</v>
          </cell>
          <cell r="Q59">
            <v>5817.7910699999993</v>
          </cell>
        </row>
        <row r="60">
          <cell r="D60">
            <v>4987176134578</v>
          </cell>
          <cell r="E60" t="str">
            <v>Shave</v>
          </cell>
          <cell r="F60" t="str">
            <v>Gillette 吉列</v>
          </cell>
          <cell r="G60" t="str">
            <v>Gillette 吉列  Labs 極光系列刮鬍刀 1刀架2刀頭1刀座</v>
          </cell>
          <cell r="H60">
            <v>6</v>
          </cell>
          <cell r="I60"/>
          <cell r="J60"/>
          <cell r="K60"/>
          <cell r="L60"/>
          <cell r="M60"/>
          <cell r="N60"/>
          <cell r="O60"/>
          <cell r="P60">
            <v>3652.8</v>
          </cell>
          <cell r="Q60">
            <v>3559.0640400000002</v>
          </cell>
        </row>
        <row r="61">
          <cell r="D61">
            <v>4987176169952</v>
          </cell>
          <cell r="E61" t="str">
            <v>Shave</v>
          </cell>
          <cell r="F61" t="str">
            <v>Gillette 吉列</v>
          </cell>
          <cell r="G61" t="str">
            <v>Gillette 吉列 Proglide 無感系列 刮鬍刀, 刀架*1+刀頭*2, 1組</v>
          </cell>
          <cell r="H61">
            <v>6</v>
          </cell>
          <cell r="I61"/>
          <cell r="J61"/>
          <cell r="K61"/>
          <cell r="L61"/>
          <cell r="M61"/>
          <cell r="N61"/>
          <cell r="O61"/>
          <cell r="P61">
            <v>1527.6</v>
          </cell>
          <cell r="Q61">
            <v>1481.5747799999999</v>
          </cell>
        </row>
        <row r="62">
          <cell r="D62">
            <v>4902430698801</v>
          </cell>
          <cell r="E62" t="str">
            <v>Shave</v>
          </cell>
          <cell r="F62" t="str">
            <v>Gillette 吉列</v>
          </cell>
          <cell r="G62" t="str">
            <v>Gillette 吉列 刮鬍刀頭, Proglide 無感系列, 8入</v>
          </cell>
          <cell r="H62">
            <v>10</v>
          </cell>
          <cell r="I62"/>
          <cell r="J62"/>
          <cell r="K62"/>
          <cell r="L62"/>
          <cell r="M62"/>
          <cell r="N62"/>
          <cell r="O62" t="str">
            <v>停產 新款4987176169945</v>
          </cell>
          <cell r="P62">
            <v>6088</v>
          </cell>
          <cell r="Q62">
            <v>5939.5938000000006</v>
          </cell>
        </row>
        <row r="63">
          <cell r="D63">
            <v>4987176274168</v>
          </cell>
          <cell r="E63" t="str">
            <v>Shave</v>
          </cell>
          <cell r="F63" t="str">
            <v>Gillette 吉列</v>
          </cell>
          <cell r="G63" t="str">
            <v>Gillette 吉列 SkinGuard 紳適系列刮鬍刀頭, 1組, 4個</v>
          </cell>
          <cell r="H63">
            <v>20</v>
          </cell>
          <cell r="I63"/>
          <cell r="J63"/>
          <cell r="K63"/>
          <cell r="L63"/>
          <cell r="M63"/>
          <cell r="N63"/>
          <cell r="O63"/>
          <cell r="P63">
            <v>8808</v>
          </cell>
          <cell r="Q63">
            <v>8598.5300000000007</v>
          </cell>
        </row>
        <row r="64">
          <cell r="D64">
            <v>7702018495788</v>
          </cell>
          <cell r="E64" t="str">
            <v>Shave</v>
          </cell>
          <cell r="F64" t="str">
            <v>Gillette 吉列</v>
          </cell>
          <cell r="G64" t="str">
            <v>Gillette 吉列 SkinGuard 紳適系列刮鬍刀頭, 4入, 1盒</v>
          </cell>
          <cell r="H64">
            <v>10</v>
          </cell>
          <cell r="I64"/>
          <cell r="J64"/>
          <cell r="K64"/>
          <cell r="L64"/>
          <cell r="M64"/>
          <cell r="N64"/>
          <cell r="O64" t="str">
            <v>停產</v>
          </cell>
          <cell r="P64">
            <v>4184</v>
          </cell>
          <cell r="Q64">
            <v>4078.3386000000005</v>
          </cell>
        </row>
        <row r="65">
          <cell r="D65">
            <v>4902430689120</v>
          </cell>
          <cell r="E65" t="str">
            <v>Shave</v>
          </cell>
          <cell r="F65" t="str">
            <v>Gillette 吉列</v>
          </cell>
          <cell r="G65" t="str">
            <v>Gillette 吉列 Mach3 鋒速3 剃鬚 刮鬍露, 195g, 1罐</v>
          </cell>
          <cell r="H65">
            <v>6</v>
          </cell>
          <cell r="I65"/>
          <cell r="J65"/>
          <cell r="K65"/>
          <cell r="L65"/>
          <cell r="M65"/>
          <cell r="N65"/>
          <cell r="O65" t="str">
            <v>停產</v>
          </cell>
          <cell r="P65">
            <v>560.57000000000005</v>
          </cell>
          <cell r="Q65">
            <v>536.25460350000014</v>
          </cell>
        </row>
        <row r="66">
          <cell r="D66">
            <v>4987176272768</v>
          </cell>
          <cell r="E66" t="str">
            <v>Shave</v>
          </cell>
          <cell r="F66" t="str">
            <v>Gillette 吉列</v>
          </cell>
          <cell r="G66" t="str">
            <v>Gillette 吉列 Proglide無感系列刮鬍刀頭, 1組, 4個</v>
          </cell>
          <cell r="H66">
            <v>20</v>
          </cell>
          <cell r="I66"/>
          <cell r="J66"/>
          <cell r="K66"/>
          <cell r="L66"/>
          <cell r="M66"/>
          <cell r="N66"/>
          <cell r="O66"/>
          <cell r="P66">
            <v>9034</v>
          </cell>
          <cell r="Q66">
            <v>8819.4599999999991</v>
          </cell>
        </row>
        <row r="67">
          <cell r="D67">
            <v>4987176032706</v>
          </cell>
          <cell r="E67" t="str">
            <v>Shave</v>
          </cell>
          <cell r="F67" t="str">
            <v>Gillette 吉列</v>
          </cell>
          <cell r="G67" t="str">
            <v>Gillette 吉列 Proglide無感系列刮鬍刀頭, 1組, 8個</v>
          </cell>
          <cell r="H67">
            <v>10</v>
          </cell>
          <cell r="I67"/>
          <cell r="J67"/>
          <cell r="K67"/>
          <cell r="L67"/>
          <cell r="M67"/>
          <cell r="N67"/>
          <cell r="O67"/>
          <cell r="P67">
            <v>7136</v>
          </cell>
          <cell r="Q67">
            <v>6964.07</v>
          </cell>
        </row>
        <row r="68">
          <cell r="D68">
            <v>4987176169938</v>
          </cell>
          <cell r="E68" t="str">
            <v>Shave</v>
          </cell>
          <cell r="F68" t="str">
            <v>Gillette 吉列</v>
          </cell>
          <cell r="G68" t="str">
            <v>Gillette 吉列 Proglide無感系列刮鬍刀頭, 1組, 4個</v>
          </cell>
          <cell r="H68">
            <v>20</v>
          </cell>
          <cell r="I68"/>
          <cell r="J68"/>
          <cell r="K68"/>
          <cell r="L68"/>
          <cell r="M68"/>
          <cell r="N68"/>
          <cell r="O68" t="str">
            <v>停產</v>
          </cell>
          <cell r="P68">
            <v>8777.17</v>
          </cell>
          <cell r="Q68">
            <v>8568.391933500001</v>
          </cell>
        </row>
        <row r="69">
          <cell r="D69">
            <v>4987176156716</v>
          </cell>
          <cell r="E69" t="str">
            <v>Shave</v>
          </cell>
          <cell r="F69" t="str">
            <v>Gillette 吉列</v>
          </cell>
          <cell r="G69" t="str">
            <v>Gillette 吉列 Skinguard紳適系列刮鬍刀, 刀架*1+刀頭*2, 1組</v>
          </cell>
          <cell r="H69">
            <v>6</v>
          </cell>
          <cell r="I69"/>
          <cell r="J69"/>
          <cell r="K69"/>
          <cell r="L69"/>
          <cell r="M69"/>
          <cell r="N69"/>
          <cell r="O69" t="str">
            <v>停產</v>
          </cell>
          <cell r="P69">
            <v>1378.2</v>
          </cell>
          <cell r="Q69">
            <v>1335.5288100000002</v>
          </cell>
        </row>
        <row r="70">
          <cell r="D70">
            <v>4902430599122</v>
          </cell>
          <cell r="E70" t="str">
            <v>Shave</v>
          </cell>
          <cell r="F70" t="str">
            <v>Gillette 吉列</v>
          </cell>
          <cell r="G70" t="str">
            <v>Gillette 吉列 維納絲零瑕疵美肌刀刀架*1, 刀頭*2</v>
          </cell>
          <cell r="H70">
            <v>5</v>
          </cell>
          <cell r="I70"/>
          <cell r="J70"/>
          <cell r="K70"/>
          <cell r="L70"/>
          <cell r="M70"/>
          <cell r="N70"/>
          <cell r="O70" t="str">
            <v>停產</v>
          </cell>
          <cell r="P70">
            <v>1145.23</v>
          </cell>
          <cell r="Q70">
            <v>1107.7889865</v>
          </cell>
        </row>
        <row r="71">
          <cell r="D71">
            <v>4987176169969</v>
          </cell>
          <cell r="E71" t="str">
            <v>Shave</v>
          </cell>
          <cell r="F71" t="str">
            <v>Gillette 吉列</v>
          </cell>
          <cell r="G71" t="str">
            <v>Gillette 吉列 Proshield鋒護系列刮鬍刀, 刀架*1+刀頭*2, 1組</v>
          </cell>
          <cell r="H71">
            <v>6</v>
          </cell>
          <cell r="I71"/>
          <cell r="J71"/>
          <cell r="K71"/>
          <cell r="L71"/>
          <cell r="M71"/>
          <cell r="N71"/>
          <cell r="O71" t="str">
            <v>停產</v>
          </cell>
          <cell r="P71">
            <v>1793.4</v>
          </cell>
          <cell r="Q71">
            <v>1741.4075700000003</v>
          </cell>
        </row>
        <row r="72">
          <cell r="D72">
            <v>4902430651172</v>
          </cell>
          <cell r="E72" t="str">
            <v>Shave</v>
          </cell>
          <cell r="F72" t="str">
            <v>Gillette 吉列</v>
          </cell>
          <cell r="G72" t="str">
            <v>Gillette 吉列 Proshield鋒護系列刮鬍刀頭 (8刀頭)</v>
          </cell>
          <cell r="H72">
            <v>10</v>
          </cell>
          <cell r="I72"/>
          <cell r="J72"/>
          <cell r="K72"/>
          <cell r="L72"/>
          <cell r="M72"/>
          <cell r="N72"/>
          <cell r="O72" t="str">
            <v>停產</v>
          </cell>
          <cell r="P72">
            <v>7611</v>
          </cell>
          <cell r="Q72">
            <v>7428.4024500000005</v>
          </cell>
        </row>
        <row r="73">
          <cell r="D73">
            <v>4987176176172</v>
          </cell>
          <cell r="E73" t="str">
            <v>Shave</v>
          </cell>
          <cell r="F73" t="str">
            <v>Gillette 吉列</v>
          </cell>
          <cell r="G73" t="str">
            <v>Gillette 吉列 Fusion鋒隱系列刮鬍刀頭, 1組, 4個</v>
          </cell>
          <cell r="H73">
            <v>20</v>
          </cell>
          <cell r="I73"/>
          <cell r="J73"/>
          <cell r="K73"/>
          <cell r="L73"/>
          <cell r="M73"/>
          <cell r="N73"/>
          <cell r="O73"/>
          <cell r="P73">
            <v>7163.15</v>
          </cell>
          <cell r="Q73">
            <v>6990.6066825000007</v>
          </cell>
        </row>
        <row r="74">
          <cell r="D74">
            <v>6900068810839</v>
          </cell>
          <cell r="E74" t="str">
            <v>Shave</v>
          </cell>
          <cell r="F74" t="str">
            <v>Gillette 吉列</v>
          </cell>
          <cell r="G74" t="str">
            <v>Gillette 吉列 小白磚 鋒護Proshield系列限定刮鬍刀豪華套組, 磁吸刀座*1+刀架*1+刀頭*5, 1組</v>
          </cell>
          <cell r="H74">
            <v>6</v>
          </cell>
          <cell r="I74"/>
          <cell r="J74"/>
          <cell r="K74"/>
          <cell r="L74"/>
          <cell r="M74"/>
          <cell r="N74"/>
          <cell r="O74"/>
          <cell r="P74">
            <v>4566.6000000000004</v>
          </cell>
          <cell r="Q74">
            <v>4452.3492300000007</v>
          </cell>
        </row>
        <row r="75">
          <cell r="D75">
            <v>4902430341820</v>
          </cell>
          <cell r="E75" t="str">
            <v>Shave</v>
          </cell>
          <cell r="F75" t="str">
            <v>Gillette 吉列</v>
          </cell>
          <cell r="G75" t="str">
            <v>Gillette 吉列 Mach3 鋒速系列刮鬍刀頭 8刀入</v>
          </cell>
          <cell r="H75">
            <v>12</v>
          </cell>
          <cell r="I75"/>
          <cell r="J75"/>
          <cell r="K75"/>
          <cell r="L75"/>
          <cell r="M75"/>
          <cell r="N75"/>
          <cell r="O75"/>
          <cell r="P75">
            <v>5492.4</v>
          </cell>
          <cell r="Q75">
            <v>5357.3650199999993</v>
          </cell>
        </row>
        <row r="76">
          <cell r="D76">
            <v>4902430688987</v>
          </cell>
          <cell r="E76" t="str">
            <v>Shave</v>
          </cell>
          <cell r="F76" t="str">
            <v>Gillette 吉列</v>
          </cell>
          <cell r="G76" t="str">
            <v>Gillette 吉列 無感動力Proglide系列刮鬍刀, 刀架*1,+刀頭*2+電池*1, 1組</v>
          </cell>
          <cell r="H76">
            <v>6</v>
          </cell>
          <cell r="I76"/>
          <cell r="J76"/>
          <cell r="K76"/>
          <cell r="L76"/>
          <cell r="M76"/>
          <cell r="N76"/>
          <cell r="O76" t="str">
            <v>停產</v>
          </cell>
          <cell r="P76">
            <v>2491.1999999999998</v>
          </cell>
          <cell r="Q76">
            <v>2423.54196</v>
          </cell>
        </row>
        <row r="77">
          <cell r="D77">
            <v>4987176272799</v>
          </cell>
          <cell r="E77" t="str">
            <v>Shave</v>
          </cell>
          <cell r="F77" t="str">
            <v>Gillette 吉列</v>
          </cell>
          <cell r="G77" t="str">
            <v>Gillette 吉列 ProShield鋒護系列刮鬍刀頭, 1組, 4個</v>
          </cell>
          <cell r="H77">
            <v>20</v>
          </cell>
          <cell r="I77"/>
          <cell r="J77"/>
          <cell r="K77"/>
          <cell r="L77"/>
          <cell r="M77"/>
          <cell r="N77"/>
          <cell r="O77"/>
          <cell r="P77">
            <v>10223.219999999999</v>
          </cell>
          <cell r="Q77">
            <v>10470</v>
          </cell>
        </row>
        <row r="78">
          <cell r="D78">
            <v>4987176032720</v>
          </cell>
          <cell r="E78" t="str">
            <v>Shave</v>
          </cell>
          <cell r="F78" t="str">
            <v>Gillette 吉列</v>
          </cell>
          <cell r="G78" t="str">
            <v>Gillette 吉列 ProShield鋒護系列刮鬍刀頭, 1組, 8個</v>
          </cell>
          <cell r="H78">
            <v>10</v>
          </cell>
          <cell r="I78"/>
          <cell r="J78"/>
          <cell r="K78"/>
          <cell r="L78"/>
          <cell r="M78"/>
          <cell r="N78"/>
          <cell r="O78"/>
          <cell r="P78">
            <v>8426</v>
          </cell>
          <cell r="Q78">
            <v>8225.11</v>
          </cell>
        </row>
        <row r="79">
          <cell r="D79">
            <v>4987176169976</v>
          </cell>
          <cell r="E79" t="str">
            <v>Shave</v>
          </cell>
          <cell r="F79" t="str">
            <v>Gillette 吉列</v>
          </cell>
          <cell r="G79" t="str">
            <v>Gillette 吉列 Proshield鋒護系列刮鬍刀頭, 1組, 4個</v>
          </cell>
          <cell r="H79">
            <v>20</v>
          </cell>
          <cell r="I79"/>
          <cell r="J79"/>
          <cell r="K79"/>
          <cell r="L79"/>
          <cell r="M79"/>
          <cell r="N79"/>
          <cell r="O79" t="str">
            <v>停產</v>
          </cell>
          <cell r="P79">
            <v>10112</v>
          </cell>
          <cell r="Q79">
            <v>9873.2549999999992</v>
          </cell>
        </row>
        <row r="80">
          <cell r="D80">
            <v>4987176247674</v>
          </cell>
          <cell r="E80" t="str">
            <v>Shave</v>
          </cell>
          <cell r="F80" t="str">
            <v>Gillette 吉列</v>
          </cell>
          <cell r="G80" t="str">
            <v>Gillette 吉列 Mach3 鋒速系列刮鬍刀 1刀架2刀頭</v>
          </cell>
          <cell r="H80">
            <v>4</v>
          </cell>
          <cell r="I80"/>
          <cell r="J80"/>
          <cell r="K80"/>
          <cell r="L80"/>
          <cell r="M80"/>
          <cell r="N80"/>
          <cell r="O80"/>
          <cell r="P80">
            <v>698</v>
          </cell>
          <cell r="Q80">
            <v>670.59930000000008</v>
          </cell>
        </row>
        <row r="81">
          <cell r="D81">
            <v>4902430340526</v>
          </cell>
          <cell r="E81" t="str">
            <v>Shave</v>
          </cell>
          <cell r="F81" t="str">
            <v>Gillette 吉列</v>
          </cell>
          <cell r="G81" t="str">
            <v>Gillette 吉列 Mach3 Turbo 鋒速突破系列刮鬍刀頭 4刀入</v>
          </cell>
          <cell r="H81">
            <v>12</v>
          </cell>
          <cell r="I81"/>
          <cell r="J81"/>
          <cell r="K81"/>
          <cell r="L81"/>
          <cell r="M81"/>
          <cell r="N81"/>
          <cell r="O81"/>
          <cell r="P81">
            <v>3693.6</v>
          </cell>
          <cell r="Q81">
            <v>3598.9480800000001</v>
          </cell>
        </row>
        <row r="82">
          <cell r="D82">
            <v>4987176039569</v>
          </cell>
          <cell r="E82" t="str">
            <v>Shave</v>
          </cell>
          <cell r="F82" t="str">
            <v>Gillette 吉列</v>
          </cell>
          <cell r="G82" t="str">
            <v>Gillette 吉列 維納斯 零瑕疵除毛刀1刀架2刀頭</v>
          </cell>
          <cell r="H82">
            <v>4</v>
          </cell>
          <cell r="I82"/>
          <cell r="J82"/>
          <cell r="K82"/>
          <cell r="L82"/>
          <cell r="M82"/>
          <cell r="N82"/>
          <cell r="O82" t="str">
            <v>新品</v>
          </cell>
          <cell r="P82">
            <v>1107.2</v>
          </cell>
          <cell r="Q82">
            <v>1070.6127600000002</v>
          </cell>
        </row>
        <row r="83">
          <cell r="D83">
            <v>6900068809840</v>
          </cell>
          <cell r="E83" t="str">
            <v>Shave</v>
          </cell>
          <cell r="F83" t="str">
            <v>Gillette 吉列</v>
          </cell>
          <cell r="G83" t="str">
            <v>Gillette 吉列 無感Proglide系列限量版1刀架1刀頭刮鬍刀套裝, 1組</v>
          </cell>
          <cell r="H83">
            <v>6</v>
          </cell>
          <cell r="I83"/>
          <cell r="J83"/>
          <cell r="K83"/>
          <cell r="L83"/>
          <cell r="M83"/>
          <cell r="N83"/>
          <cell r="O83"/>
          <cell r="P83">
            <v>2281.1999999999998</v>
          </cell>
          <cell r="Q83">
            <v>2218.2564600000001</v>
          </cell>
        </row>
        <row r="84">
          <cell r="D84">
            <v>7702018487486</v>
          </cell>
          <cell r="E84" t="str">
            <v>Shave</v>
          </cell>
          <cell r="F84" t="str">
            <v>Gillette 吉列</v>
          </cell>
          <cell r="G84" t="str">
            <v>Gillette 吉列 SkinGuard紳適系列刮鬍刀 刀架*1+刀頭*2, 1組</v>
          </cell>
          <cell r="H84">
            <v>6</v>
          </cell>
          <cell r="I84"/>
          <cell r="J84"/>
          <cell r="K84"/>
          <cell r="L84"/>
          <cell r="M84"/>
          <cell r="N84"/>
          <cell r="O84" t="str">
            <v>停產</v>
          </cell>
          <cell r="P84">
            <v>1281.5999999999999</v>
          </cell>
          <cell r="Q84">
            <v>1241.0974799999999</v>
          </cell>
        </row>
        <row r="85">
          <cell r="D85">
            <v>6900068807440</v>
          </cell>
          <cell r="E85" t="str">
            <v>Shave</v>
          </cell>
          <cell r="F85" t="str">
            <v>Gillette 吉列</v>
          </cell>
          <cell r="G85" t="str">
            <v>Gillette 吉列 鋒護Proshield潤滑系列刮鬍刀, 1個</v>
          </cell>
          <cell r="H85">
            <v>6</v>
          </cell>
          <cell r="I85"/>
          <cell r="J85"/>
          <cell r="K85"/>
          <cell r="L85"/>
          <cell r="M85"/>
          <cell r="N85"/>
          <cell r="O85" t="str">
            <v>停產 新款4987176169969</v>
          </cell>
          <cell r="P85">
            <v>1398</v>
          </cell>
          <cell r="Q85">
            <v>1354.8843000000002</v>
          </cell>
        </row>
        <row r="86">
          <cell r="D86">
            <v>4987176247681</v>
          </cell>
          <cell r="E86" t="str">
            <v>Shave</v>
          </cell>
          <cell r="F86" t="str">
            <v>Gillette 吉列</v>
          </cell>
          <cell r="G86" t="str">
            <v>Gillette 吉列 Mach3 Turbo 鋒速突破系列 1刀架2刀頭</v>
          </cell>
          <cell r="H86">
            <v>4</v>
          </cell>
          <cell r="I86"/>
          <cell r="J86"/>
          <cell r="K86"/>
          <cell r="L86"/>
          <cell r="M86"/>
          <cell r="N86"/>
          <cell r="O86"/>
          <cell r="P86">
            <v>758.8</v>
          </cell>
          <cell r="Q86">
            <v>730.03433999999993</v>
          </cell>
        </row>
        <row r="87">
          <cell r="D87">
            <v>4902430341844</v>
          </cell>
          <cell r="E87" t="str">
            <v>Shave</v>
          </cell>
          <cell r="F87" t="str">
            <v>Gillette 吉列</v>
          </cell>
          <cell r="G87" t="str">
            <v>Gillette 吉列 Mach3 鋒速系列刮鬍刀頭 4刀入</v>
          </cell>
          <cell r="H87">
            <v>12</v>
          </cell>
          <cell r="I87"/>
          <cell r="J87"/>
          <cell r="K87"/>
          <cell r="L87"/>
          <cell r="M87"/>
          <cell r="N87"/>
          <cell r="O87"/>
          <cell r="P87">
            <v>3271.2</v>
          </cell>
          <cell r="Q87">
            <v>3186.0309600000001</v>
          </cell>
        </row>
        <row r="88">
          <cell r="D88">
            <v>4987176039545</v>
          </cell>
          <cell r="E88" t="str">
            <v>Shave</v>
          </cell>
          <cell r="F88" t="str">
            <v>Gillette 吉列</v>
          </cell>
          <cell r="G88" t="str">
            <v>Gillette 吉列  維納斯 零瑕疵除毛刀4刀頭入</v>
          </cell>
          <cell r="H88">
            <v>4</v>
          </cell>
          <cell r="I88"/>
          <cell r="J88"/>
          <cell r="K88"/>
          <cell r="L88"/>
          <cell r="M88"/>
          <cell r="N88"/>
          <cell r="O88"/>
          <cell r="P88">
            <v>1488.8</v>
          </cell>
          <cell r="Q88">
            <v>1443.6458399999999</v>
          </cell>
        </row>
        <row r="89">
          <cell r="D89">
            <v>4987176132185</v>
          </cell>
          <cell r="E89" t="str">
            <v>Shave</v>
          </cell>
          <cell r="F89" t="str">
            <v>Gillette 吉列</v>
          </cell>
          <cell r="G89" t="str">
            <v>Gillette 吉列  Labs 極光系列刮鬍刀頭 8刀入</v>
          </cell>
          <cell r="H89">
            <v>10</v>
          </cell>
          <cell r="I89"/>
          <cell r="J89"/>
          <cell r="K89"/>
          <cell r="L89"/>
          <cell r="M89"/>
          <cell r="N89"/>
          <cell r="O89"/>
          <cell r="P89">
            <v>9712</v>
          </cell>
          <cell r="Q89">
            <v>9482.2350000000006</v>
          </cell>
        </row>
        <row r="90">
          <cell r="D90">
            <v>4987176132178</v>
          </cell>
          <cell r="E90" t="str">
            <v>Shave</v>
          </cell>
          <cell r="F90" t="str">
            <v>Gillette 吉列</v>
          </cell>
          <cell r="G90" t="str">
            <v>Gillette 吉列  Labs 極光系列刮鬍刀頭 4刀入</v>
          </cell>
          <cell r="H90">
            <v>10</v>
          </cell>
          <cell r="I90"/>
          <cell r="J90"/>
          <cell r="K90"/>
          <cell r="L90"/>
          <cell r="M90"/>
          <cell r="N90"/>
          <cell r="O90"/>
          <cell r="P90">
            <v>6420</v>
          </cell>
          <cell r="Q90">
            <v>6264.1404000000002</v>
          </cell>
        </row>
        <row r="91">
          <cell r="D91">
            <v>4987176309655</v>
          </cell>
          <cell r="E91" t="str">
            <v>Hair</v>
          </cell>
          <cell r="F91" t="str">
            <v>HAIR RECIPE 髮的食譜</v>
          </cell>
          <cell r="G91" t="str">
            <v>HAIR RECIPE 髮的食譜 綠茶柚子清爽保濕洗髮露, 280ml, 1瓶</v>
          </cell>
          <cell r="H91">
            <v>12</v>
          </cell>
          <cell r="I91"/>
          <cell r="J91"/>
          <cell r="K91"/>
          <cell r="L91"/>
          <cell r="M91"/>
          <cell r="N91"/>
          <cell r="O91"/>
          <cell r="P91">
            <v>1592.4</v>
          </cell>
          <cell r="Q91">
            <v>1544.92</v>
          </cell>
        </row>
        <row r="92">
          <cell r="D92">
            <v>4987176276605</v>
          </cell>
          <cell r="E92" t="str">
            <v>Hair</v>
          </cell>
          <cell r="F92" t="str">
            <v>HAIR RECIPE 髮的食譜</v>
          </cell>
          <cell r="G92" t="str">
            <v>HAIR RECIPE 髪的食譜 生薑清茶防斷豐盈洗髮露, 530ml, 1瓶</v>
          </cell>
          <cell r="H92">
            <v>9</v>
          </cell>
          <cell r="I92"/>
          <cell r="J92"/>
          <cell r="K92"/>
          <cell r="L92"/>
          <cell r="M92"/>
          <cell r="N92"/>
          <cell r="O92"/>
          <cell r="P92">
            <v>2452.9699999999998</v>
          </cell>
          <cell r="Q92">
            <v>2386.17</v>
          </cell>
        </row>
        <row r="93">
          <cell r="D93">
            <v>4902430661898</v>
          </cell>
          <cell r="E93" t="str">
            <v>Hair</v>
          </cell>
          <cell r="F93" t="str">
            <v>HAIR RECIPE 髮的食譜</v>
          </cell>
          <cell r="G93" t="str">
            <v>HAIR RECIPE 髪的食譜 蘋果生薑防斷修護洗髮露, 530ml, 1瓶</v>
          </cell>
          <cell r="H93">
            <v>9</v>
          </cell>
          <cell r="I93"/>
          <cell r="J93"/>
          <cell r="K93"/>
          <cell r="L93"/>
          <cell r="M93"/>
          <cell r="N93"/>
          <cell r="O93"/>
          <cell r="P93">
            <v>2452.9699999999998</v>
          </cell>
          <cell r="Q93">
            <v>2386.1702234999998</v>
          </cell>
        </row>
        <row r="94">
          <cell r="D94">
            <v>4987176186317</v>
          </cell>
          <cell r="E94" t="str">
            <v>Hair</v>
          </cell>
          <cell r="F94" t="str">
            <v>HAIR RECIPE 髮的食譜</v>
          </cell>
          <cell r="G94" t="str">
            <v>HAIR RECIPE 髮的食譜 綠茶柚子淨油保濕水感洗髮露, 1瓶, 530ml</v>
          </cell>
          <cell r="H94">
            <v>9</v>
          </cell>
          <cell r="I94"/>
          <cell r="J94"/>
          <cell r="K94"/>
          <cell r="L94"/>
          <cell r="M94"/>
          <cell r="N94"/>
          <cell r="O94"/>
          <cell r="P94">
            <v>2452.9699999999998</v>
          </cell>
          <cell r="Q94">
            <v>2386.1702234999998</v>
          </cell>
        </row>
        <row r="95">
          <cell r="D95">
            <v>4902430586177</v>
          </cell>
          <cell r="E95" t="str">
            <v>Hair</v>
          </cell>
          <cell r="F95" t="str">
            <v>HAIR RECIPE 髮的食譜</v>
          </cell>
          <cell r="G95" t="str">
            <v>HAIR RECIPE 髮的食譜 清爽豐盈洗髮露, 奇異果無花果, 530ml, 1瓶</v>
          </cell>
          <cell r="H95">
            <v>9</v>
          </cell>
          <cell r="I95"/>
          <cell r="J95"/>
          <cell r="K95"/>
          <cell r="L95"/>
          <cell r="M95"/>
          <cell r="N95"/>
          <cell r="O95"/>
          <cell r="P95">
            <v>2452.9699999999998</v>
          </cell>
          <cell r="Q95">
            <v>2386.1702234999998</v>
          </cell>
        </row>
        <row r="96">
          <cell r="D96">
            <v>4902430659567</v>
          </cell>
          <cell r="E96" t="str">
            <v>Hair</v>
          </cell>
          <cell r="F96" t="str">
            <v>HAIR RECIPE 髮的食譜</v>
          </cell>
          <cell r="G96" t="str">
            <v>HAIR RECIPE 髮的食譜 蘋果生薑防斷修護潤髮乳, 530g, 1瓶</v>
          </cell>
          <cell r="H96">
            <v>9</v>
          </cell>
          <cell r="I96"/>
          <cell r="J96"/>
          <cell r="K96"/>
          <cell r="L96"/>
          <cell r="M96"/>
          <cell r="N96"/>
          <cell r="O96"/>
          <cell r="P96">
            <v>2452.9699999999998</v>
          </cell>
          <cell r="Q96">
            <v>2386.1702234999998</v>
          </cell>
        </row>
        <row r="97">
          <cell r="D97">
            <v>4987176064004</v>
          </cell>
          <cell r="E97" t="str">
            <v>Hair</v>
          </cell>
          <cell r="F97" t="str">
            <v>HAIR RECIPE 髮的食譜</v>
          </cell>
          <cell r="G97" t="str">
            <v>HAIR RECIPE 髮的食譜 米糠溫養豐盈 洗髮露, 檸檬青檸, 350ml, 1瓶</v>
          </cell>
          <cell r="H97">
            <v>9</v>
          </cell>
          <cell r="I97"/>
          <cell r="J97"/>
          <cell r="K97"/>
          <cell r="L97"/>
          <cell r="M97"/>
          <cell r="N97"/>
          <cell r="O97"/>
          <cell r="P97">
            <v>4107.6000000000004</v>
          </cell>
          <cell r="Q97">
            <v>4003.6537800000006</v>
          </cell>
        </row>
        <row r="98">
          <cell r="D98">
            <v>4902430587983</v>
          </cell>
          <cell r="E98" t="str">
            <v>Hair</v>
          </cell>
          <cell r="F98" t="str">
            <v>HAIR RECIPE 髮的食譜</v>
          </cell>
          <cell r="G98" t="str">
            <v>HAIR RECIPE 髮的食譜 奇異果無花果清爽豐盈潤髮乳, 530g, 1瓶</v>
          </cell>
          <cell r="H98">
            <v>9</v>
          </cell>
          <cell r="I98"/>
          <cell r="J98"/>
          <cell r="K98"/>
          <cell r="L98"/>
          <cell r="M98"/>
          <cell r="N98"/>
          <cell r="O98"/>
          <cell r="P98">
            <v>2452.9699999999998</v>
          </cell>
          <cell r="Q98">
            <v>2386.1702234999998</v>
          </cell>
        </row>
        <row r="99">
          <cell r="D99">
            <v>4987176219596</v>
          </cell>
          <cell r="E99" t="str">
            <v>Hair</v>
          </cell>
          <cell r="F99" t="str">
            <v>HAIR RECIPE 髮的食譜</v>
          </cell>
          <cell r="G99" t="str">
            <v>HAIR RECIPE 髮的食譜 頭皮頭髮精華髮膜, 綠茶柚子, 2個, 1盒, 12ml</v>
          </cell>
          <cell r="H99">
            <v>6</v>
          </cell>
          <cell r="I99"/>
          <cell r="J99"/>
          <cell r="K99"/>
          <cell r="L99"/>
          <cell r="M99"/>
          <cell r="N99"/>
          <cell r="O99" t="str">
            <v>不要進貨</v>
          </cell>
          <cell r="P99">
            <v>383.4</v>
          </cell>
          <cell r="Q99">
            <v>363.06</v>
          </cell>
        </row>
        <row r="100">
          <cell r="D100">
            <v>4987176186300</v>
          </cell>
          <cell r="E100" t="str">
            <v>Hair</v>
          </cell>
          <cell r="F100" t="str">
            <v>HAIR RECIPE 髮的食譜</v>
          </cell>
          <cell r="G100" t="str">
            <v>HAIR RECIPE 髮的食譜 頭皮頭髮精華髮膜 6個, 1盒, 12ml</v>
          </cell>
          <cell r="H100">
            <v>12</v>
          </cell>
          <cell r="I100"/>
          <cell r="J100"/>
          <cell r="K100"/>
          <cell r="L100"/>
          <cell r="M100"/>
          <cell r="N100"/>
          <cell r="O100"/>
          <cell r="P100">
            <v>2391.6</v>
          </cell>
          <cell r="Q100">
            <v>2326.1779799999999</v>
          </cell>
        </row>
        <row r="101">
          <cell r="D101">
            <v>4987176074003</v>
          </cell>
          <cell r="E101" t="str">
            <v>Hair</v>
          </cell>
          <cell r="F101" t="str">
            <v>HAIR RECIPE 髮的食譜</v>
          </cell>
          <cell r="G101" t="str">
            <v>HAIR RECIPE 髮的食譜 水潤亮澤洗髮露, 蜂蜜石榴, 530ml, 1瓶</v>
          </cell>
          <cell r="H101">
            <v>9</v>
          </cell>
          <cell r="I101"/>
          <cell r="J101"/>
          <cell r="K101"/>
          <cell r="L101"/>
          <cell r="M101"/>
          <cell r="N101"/>
          <cell r="O101"/>
          <cell r="P101">
            <v>2452.9699999999998</v>
          </cell>
          <cell r="Q101">
            <v>2386.1702234999998</v>
          </cell>
        </row>
        <row r="102">
          <cell r="D102">
            <v>4987176074010</v>
          </cell>
          <cell r="E102" t="str">
            <v>Hair</v>
          </cell>
          <cell r="F102" t="str">
            <v>HAIR RECIPE 髮的食譜</v>
          </cell>
          <cell r="G102" t="str">
            <v>HAIR RECIPE 髮的食譜 水潤亮澤潤髮乳, 蜂蜜石榴, 530g, 1瓶</v>
          </cell>
          <cell r="H102">
            <v>9</v>
          </cell>
          <cell r="I102"/>
          <cell r="J102"/>
          <cell r="K102"/>
          <cell r="L102"/>
          <cell r="M102"/>
          <cell r="N102"/>
          <cell r="O102"/>
          <cell r="P102">
            <v>2452.9699999999998</v>
          </cell>
          <cell r="Q102">
            <v>2386.1702234999998</v>
          </cell>
        </row>
        <row r="103">
          <cell r="D103">
            <v>4987176064028</v>
          </cell>
          <cell r="E103" t="str">
            <v>Hair</v>
          </cell>
          <cell r="F103" t="str">
            <v>HAIR RECIPE 髮的食譜</v>
          </cell>
          <cell r="G103" t="str">
            <v>HAIR RECIPE 髮的食譜 米糠溫養豐盈 護髮精華素, 檸檬青檸香氛, 350g, 1瓶</v>
          </cell>
          <cell r="H103">
            <v>9</v>
          </cell>
          <cell r="I103"/>
          <cell r="J103"/>
          <cell r="K103"/>
          <cell r="L103"/>
          <cell r="M103"/>
          <cell r="N103"/>
          <cell r="O103"/>
          <cell r="P103">
            <v>4107.6000000000004</v>
          </cell>
          <cell r="Q103">
            <v>4003.6537800000006</v>
          </cell>
        </row>
        <row r="104">
          <cell r="D104">
            <v>4987176063953</v>
          </cell>
          <cell r="E104" t="str">
            <v>Hair</v>
          </cell>
          <cell r="F104" t="str">
            <v>HAIR RECIPE 髮的食譜</v>
          </cell>
          <cell r="G104" t="str">
            <v>HAIR RECIPE 髮的食譜 米糠溫養修護洗髮露 生薑檸檬香氛, 350ml, 1瓶</v>
          </cell>
          <cell r="H104">
            <v>9</v>
          </cell>
          <cell r="I104"/>
          <cell r="J104"/>
          <cell r="K104"/>
          <cell r="L104"/>
          <cell r="M104"/>
          <cell r="N104"/>
          <cell r="O104"/>
          <cell r="P104">
            <v>4107.6000000000004</v>
          </cell>
          <cell r="Q104">
            <v>4003.6537800000006</v>
          </cell>
        </row>
        <row r="105">
          <cell r="D105">
            <v>4987176064042</v>
          </cell>
          <cell r="E105" t="str">
            <v>Hair</v>
          </cell>
          <cell r="F105" t="str">
            <v>HAIR RECIPE 髮的食譜</v>
          </cell>
          <cell r="G105" t="str">
            <v>HAIR RECIPE 髮的食譜 純米溫和養髮精油 53ML</v>
          </cell>
          <cell r="H105">
            <v>12</v>
          </cell>
          <cell r="I105"/>
          <cell r="J105"/>
          <cell r="K105"/>
          <cell r="L105"/>
          <cell r="M105"/>
          <cell r="N105"/>
          <cell r="O105" t="str">
            <v>停產</v>
          </cell>
          <cell r="P105">
            <v>7276.8</v>
          </cell>
          <cell r="Q105">
            <v>7101.7052400000002</v>
          </cell>
        </row>
        <row r="106">
          <cell r="D106">
            <v>4987176063960</v>
          </cell>
          <cell r="E106" t="str">
            <v>Hair</v>
          </cell>
          <cell r="F106" t="str">
            <v>HAIR RECIPE 髮的食譜</v>
          </cell>
          <cell r="G106" t="str">
            <v>HAIR RECIPE 髮的食譜 米糠溫養修護 護髮精華素, 檸檬生薑, 350ml, 1瓶</v>
          </cell>
          <cell r="H106">
            <v>9</v>
          </cell>
          <cell r="I106"/>
          <cell r="J106"/>
          <cell r="K106"/>
          <cell r="L106"/>
          <cell r="M106"/>
          <cell r="N106"/>
          <cell r="O106"/>
          <cell r="P106">
            <v>4107.6000000000004</v>
          </cell>
          <cell r="Q106">
            <v>4003.6537800000006</v>
          </cell>
        </row>
        <row r="107">
          <cell r="D107">
            <v>4987176311061</v>
          </cell>
          <cell r="E107" t="str">
            <v>Hair</v>
          </cell>
          <cell r="F107" t="str">
            <v>head &amp; shoulders 海倫仙度絲</v>
          </cell>
          <cell r="G107" t="str">
            <v>head &amp; shoulders 海倫仙度絲 2025全新 台灣公司貨 去屑洗髮露, 清爽控油, 680g, 1瓶</v>
          </cell>
          <cell r="H107">
            <v>6</v>
          </cell>
          <cell r="I107"/>
          <cell r="J107"/>
          <cell r="K107"/>
          <cell r="L107"/>
          <cell r="M107"/>
          <cell r="N107"/>
          <cell r="O107"/>
          <cell r="P107">
            <v>1245</v>
          </cell>
          <cell r="Q107">
            <v>1205.32</v>
          </cell>
        </row>
        <row r="108">
          <cell r="D108">
            <v>4987176311115</v>
          </cell>
          <cell r="E108" t="str">
            <v>Hair</v>
          </cell>
          <cell r="F108" t="str">
            <v>head &amp; shoulders 海倫仙度絲</v>
          </cell>
          <cell r="G108" t="str">
            <v>head &amp; shoulders 海倫仙度絲 2025全新 台灣公司貨 去屑洗髮露, 薄荷舒爽, 680g, 1瓶</v>
          </cell>
          <cell r="H108">
            <v>6</v>
          </cell>
          <cell r="I108"/>
          <cell r="J108"/>
          <cell r="K108"/>
          <cell r="L108"/>
          <cell r="M108"/>
          <cell r="N108"/>
          <cell r="O108"/>
          <cell r="P108">
            <v>1245</v>
          </cell>
          <cell r="Q108">
            <v>1205.32</v>
          </cell>
        </row>
        <row r="109">
          <cell r="D109">
            <v>4987176311139</v>
          </cell>
          <cell r="E109" t="str">
            <v>Hair</v>
          </cell>
          <cell r="F109" t="str">
            <v>head &amp; shoulders 海倫仙度絲</v>
          </cell>
          <cell r="G109" t="str">
            <v>head &amp; shoulders 海倫仙度絲 2025全新 台灣公司貨 去屑洗髮露, 止癢呵護, 680g, 1瓶</v>
          </cell>
          <cell r="H109">
            <v>6</v>
          </cell>
          <cell r="I109"/>
          <cell r="J109"/>
          <cell r="K109"/>
          <cell r="L109"/>
          <cell r="M109"/>
          <cell r="N109"/>
          <cell r="O109"/>
          <cell r="P109">
            <v>1245</v>
          </cell>
          <cell r="Q109">
            <v>1205.32</v>
          </cell>
        </row>
        <row r="110">
          <cell r="D110">
            <v>4987176311023</v>
          </cell>
          <cell r="E110" t="str">
            <v>Hair</v>
          </cell>
          <cell r="F110" t="str">
            <v>head &amp; shoulders 海倫仙度絲</v>
          </cell>
          <cell r="G110" t="str">
            <v>head &amp; shoulders 海倫仙度絲 2025全新 台灣公司貨 去屑洗髮露, 深層潔淨, 680g, 1瓶</v>
          </cell>
          <cell r="H110">
            <v>6</v>
          </cell>
          <cell r="I110"/>
          <cell r="J110"/>
          <cell r="K110"/>
          <cell r="L110"/>
          <cell r="M110"/>
          <cell r="N110"/>
          <cell r="O110"/>
          <cell r="P110">
            <v>1245</v>
          </cell>
          <cell r="Q110">
            <v>1205.32</v>
          </cell>
        </row>
        <row r="111">
          <cell r="D111">
            <v>4987176311047</v>
          </cell>
          <cell r="E111" t="str">
            <v>Hair</v>
          </cell>
          <cell r="F111" t="str">
            <v>head &amp; shoulders 海倫仙度絲</v>
          </cell>
          <cell r="G111" t="str">
            <v>head &amp; shoulders 海倫仙度絲 2025 360度新升級 原廠公司貨 去屑洗髮露, 海洋清新, 680g, 1瓶</v>
          </cell>
          <cell r="H111">
            <v>6</v>
          </cell>
          <cell r="I111"/>
          <cell r="J111"/>
          <cell r="K111"/>
          <cell r="L111"/>
          <cell r="M111"/>
          <cell r="N111"/>
          <cell r="O111"/>
          <cell r="P111">
            <v>1245</v>
          </cell>
          <cell r="Q111">
            <v>1205.32</v>
          </cell>
        </row>
        <row r="112">
          <cell r="D112">
            <v>4987176311016</v>
          </cell>
          <cell r="E112" t="str">
            <v>Hair</v>
          </cell>
          <cell r="F112" t="str">
            <v>head &amp; shoulders 海倫仙度絲</v>
          </cell>
          <cell r="G112" t="str">
            <v>head &amp; shoulders 海倫仙度絲 2025全新 台灣公司貨 去屑洗髮露, 絲滑柔順, 680g, 1瓶</v>
          </cell>
          <cell r="H112">
            <v>6</v>
          </cell>
          <cell r="I112"/>
          <cell r="J112"/>
          <cell r="K112"/>
          <cell r="L112"/>
          <cell r="M112"/>
          <cell r="N112"/>
          <cell r="O112"/>
          <cell r="P112">
            <v>1245</v>
          </cell>
          <cell r="Q112">
            <v>1205.32</v>
          </cell>
        </row>
        <row r="113">
          <cell r="D113">
            <v>4987176311054</v>
          </cell>
          <cell r="E113" t="str">
            <v>Hair</v>
          </cell>
          <cell r="F113" t="str">
            <v>head &amp; shoulders 海倫仙度絲</v>
          </cell>
          <cell r="G113" t="str">
            <v>head &amp; shoulders 海倫仙度絲 去屑潤髮乳 絲滑柔順 680gX6</v>
          </cell>
          <cell r="H113">
            <v>6</v>
          </cell>
          <cell r="I113"/>
          <cell r="J113"/>
          <cell r="K113"/>
          <cell r="L113"/>
          <cell r="M113"/>
          <cell r="N113"/>
          <cell r="O113"/>
          <cell r="P113">
            <v>1245</v>
          </cell>
          <cell r="Q113">
            <v>1205.32</v>
          </cell>
        </row>
        <row r="114">
          <cell r="D114">
            <v>4987176311221</v>
          </cell>
          <cell r="E114" t="str">
            <v>Hair</v>
          </cell>
          <cell r="F114" t="str">
            <v>head &amp; shoulders 海倫仙度絲</v>
          </cell>
          <cell r="G114" t="str">
            <v>head &amp; shoulders 海倫仙度絲 去屑洗髮露 舒癢水潤680gX6</v>
          </cell>
          <cell r="H114">
            <v>6</v>
          </cell>
          <cell r="I114"/>
          <cell r="J114"/>
          <cell r="K114"/>
          <cell r="L114"/>
          <cell r="M114"/>
          <cell r="N114"/>
          <cell r="O114"/>
          <cell r="P114">
            <v>1245</v>
          </cell>
          <cell r="Q114">
            <v>1205.32</v>
          </cell>
        </row>
        <row r="115">
          <cell r="D115">
            <v>4987176331823</v>
          </cell>
          <cell r="E115" t="str">
            <v>Hair</v>
          </cell>
          <cell r="F115" t="str">
            <v>head &amp; shoulders 海倫仙度絲</v>
          </cell>
          <cell r="G115" t="str">
            <v>head &amp; shoulders 海倫仙度絲 2025 360度新升級 原廠公司貨 去屑洗髮露, 強根韌髮, 680g, 1瓶</v>
          </cell>
          <cell r="H115">
            <v>6</v>
          </cell>
          <cell r="I115"/>
          <cell r="J115"/>
          <cell r="K115"/>
          <cell r="L115"/>
          <cell r="M115"/>
          <cell r="N115"/>
          <cell r="O115"/>
          <cell r="P115">
            <v>1245</v>
          </cell>
          <cell r="Q115">
            <v>1205.32</v>
          </cell>
        </row>
        <row r="116">
          <cell r="D116">
            <v>4987176311122</v>
          </cell>
          <cell r="E116" t="str">
            <v>Hair</v>
          </cell>
          <cell r="F116" t="str">
            <v>head &amp; shoulders 海倫仙度絲</v>
          </cell>
          <cell r="G116" t="str">
            <v>head &amp; shoulders 海倫仙度絲 2025 360度新升級 原廠公司貨 舒緩去屑洗髮露, 朝曦橙花, 680g, 1瓶</v>
          </cell>
          <cell r="H116">
            <v>6</v>
          </cell>
          <cell r="I116"/>
          <cell r="J116"/>
          <cell r="K116"/>
          <cell r="L116"/>
          <cell r="M116"/>
          <cell r="N116"/>
          <cell r="O116"/>
          <cell r="P116">
            <v>1245</v>
          </cell>
          <cell r="Q116">
            <v>1205.32</v>
          </cell>
        </row>
        <row r="117">
          <cell r="D117">
            <v>4987176311030</v>
          </cell>
          <cell r="E117" t="str">
            <v>Hair</v>
          </cell>
          <cell r="F117" t="str">
            <v>head &amp; shoulders 海倫仙度絲</v>
          </cell>
          <cell r="G117" t="str">
            <v>head &amp; shoulders 海倫仙度絲 舒緩去屑洗髮露 小蒼蘭680gX6</v>
          </cell>
          <cell r="H117">
            <v>6</v>
          </cell>
          <cell r="I117"/>
          <cell r="J117"/>
          <cell r="K117"/>
          <cell r="L117"/>
          <cell r="M117"/>
          <cell r="N117"/>
          <cell r="O117"/>
          <cell r="P117">
            <v>1245</v>
          </cell>
          <cell r="Q117">
            <v>1205.32</v>
          </cell>
        </row>
        <row r="118">
          <cell r="D118">
            <v>4987176311085</v>
          </cell>
          <cell r="E118" t="str">
            <v>Hair</v>
          </cell>
          <cell r="F118" t="str">
            <v>head &amp; shoulders 海倫仙度絲</v>
          </cell>
          <cell r="G118" t="str">
            <v>head &amp; shoulders 海倫仙度絲 2025 360度新升級 原廠公司貨 男士適用去屑洗髮露, 淨爽控油, 680g, 1瓶</v>
          </cell>
          <cell r="H118">
            <v>6</v>
          </cell>
          <cell r="I118"/>
          <cell r="J118"/>
          <cell r="K118"/>
          <cell r="L118"/>
          <cell r="M118"/>
          <cell r="N118"/>
          <cell r="O118"/>
          <cell r="P118">
            <v>1245</v>
          </cell>
          <cell r="Q118">
            <v>1205.32</v>
          </cell>
        </row>
        <row r="119">
          <cell r="D119">
            <v>4987176311191</v>
          </cell>
          <cell r="E119" t="str">
            <v>Hair</v>
          </cell>
          <cell r="F119" t="str">
            <v>head &amp; shoulders 海倫仙度絲</v>
          </cell>
          <cell r="G119" t="str">
            <v>head &amp; shoulders 海倫仙度絲 2025 360度新升級 原廠公司貨 男士適用去屑洗髮露, 健髮強韌, 680g, 1瓶</v>
          </cell>
          <cell r="H119">
            <v>6</v>
          </cell>
          <cell r="I119"/>
          <cell r="J119"/>
          <cell r="K119"/>
          <cell r="L119"/>
          <cell r="M119"/>
          <cell r="N119"/>
          <cell r="O119"/>
          <cell r="P119">
            <v>1245</v>
          </cell>
          <cell r="Q119">
            <v>1205.32</v>
          </cell>
        </row>
        <row r="120">
          <cell r="D120">
            <v>4987176311146</v>
          </cell>
          <cell r="E120" t="str">
            <v>Hair</v>
          </cell>
          <cell r="F120" t="str">
            <v>head &amp; shoulders 海倫仙度絲</v>
          </cell>
          <cell r="G120" t="str">
            <v>head &amp; shoulders 海倫仙度絲 去屑洗髮露 薄荷舒爽 400gX12</v>
          </cell>
          <cell r="H120">
            <v>12</v>
          </cell>
          <cell r="I120"/>
          <cell r="J120"/>
          <cell r="K120"/>
          <cell r="L120"/>
          <cell r="M120"/>
          <cell r="N120"/>
          <cell r="O120"/>
          <cell r="P120">
            <v>1738.8</v>
          </cell>
          <cell r="Q120">
            <v>1688.03</v>
          </cell>
        </row>
        <row r="121">
          <cell r="D121">
            <v>4987176320285</v>
          </cell>
          <cell r="E121" t="str">
            <v>Hair</v>
          </cell>
          <cell r="F121" t="str">
            <v>head &amp; shoulders 海倫仙度絲</v>
          </cell>
          <cell r="G121" t="str">
            <v>head &amp; shoulders 海倫仙度絲 去屑洗髮露 薄荷舒爽 680g+400gX6</v>
          </cell>
          <cell r="H121">
            <v>6</v>
          </cell>
          <cell r="I121"/>
          <cell r="J121"/>
          <cell r="K121"/>
          <cell r="L121"/>
          <cell r="M121"/>
          <cell r="N121"/>
          <cell r="O121"/>
          <cell r="P121">
            <v>1657.2</v>
          </cell>
          <cell r="Q121">
            <v>1608.27</v>
          </cell>
        </row>
        <row r="122">
          <cell r="D122">
            <v>4987176320308</v>
          </cell>
          <cell r="E122" t="str">
            <v>Hair</v>
          </cell>
          <cell r="F122" t="str">
            <v>head &amp; shoulders 海倫仙度絲</v>
          </cell>
          <cell r="G122" t="str">
            <v>head &amp; shoulders 海倫仙度絲 去屑洗髮露 清爽控油 680g+400gX6</v>
          </cell>
          <cell r="H122">
            <v>6</v>
          </cell>
          <cell r="I122"/>
          <cell r="J122"/>
          <cell r="K122"/>
          <cell r="L122"/>
          <cell r="M122"/>
          <cell r="N122"/>
          <cell r="O122"/>
          <cell r="P122">
            <v>1657.2</v>
          </cell>
          <cell r="Q122">
            <v>1608.27</v>
          </cell>
        </row>
        <row r="123">
          <cell r="D123">
            <v>4987176320254</v>
          </cell>
          <cell r="E123" t="str">
            <v>Hair</v>
          </cell>
          <cell r="F123" t="str">
            <v>head &amp; shoulders 海倫仙度絲</v>
          </cell>
          <cell r="G123" t="str">
            <v>head &amp; shoulders 海倫仙度絲 去屑洗髮露  絲滑柔順 680g+400gX6</v>
          </cell>
          <cell r="H123">
            <v>6</v>
          </cell>
          <cell r="I123"/>
          <cell r="J123"/>
          <cell r="K123"/>
          <cell r="L123"/>
          <cell r="M123"/>
          <cell r="N123"/>
          <cell r="O123"/>
          <cell r="P123">
            <v>1657.2</v>
          </cell>
          <cell r="Q123">
            <v>1608.27</v>
          </cell>
        </row>
        <row r="124">
          <cell r="D124">
            <v>4902430918015</v>
          </cell>
          <cell r="E124" t="str">
            <v>Hair</v>
          </cell>
          <cell r="F124" t="str">
            <v>head &amp; shoulders 海倫仙度絲</v>
          </cell>
          <cell r="G124" t="str">
            <v>head &amp; shoulders 海倫仙度絲 原廠公司貨 去屑洗髮乳, 絲滑柔順, 1200g, 1瓶</v>
          </cell>
          <cell r="H124">
            <v>6</v>
          </cell>
          <cell r="I124"/>
          <cell r="J124"/>
          <cell r="K124"/>
          <cell r="L124"/>
          <cell r="M124"/>
          <cell r="N124"/>
          <cell r="O124" t="str">
            <v>停產</v>
          </cell>
          <cell r="P124">
            <v>1491</v>
          </cell>
          <cell r="Q124">
            <v>1445.8</v>
          </cell>
        </row>
        <row r="125">
          <cell r="D125">
            <v>4902430699525</v>
          </cell>
          <cell r="E125" t="str">
            <v>Hair</v>
          </cell>
          <cell r="F125" t="str">
            <v>head &amp; shoulders 海倫仙度絲</v>
          </cell>
          <cell r="G125" t="str">
            <v>head &amp; shoulders 海倫仙度絲 原廠公司貨 去屑洗髮乳, 絲滑柔順, 1000g+200g, 1組</v>
          </cell>
          <cell r="H125">
            <v>6</v>
          </cell>
          <cell r="I125"/>
          <cell r="J125"/>
          <cell r="K125"/>
          <cell r="L125"/>
          <cell r="M125"/>
          <cell r="N125"/>
          <cell r="O125"/>
          <cell r="P125">
            <v>1498.4</v>
          </cell>
          <cell r="Q125">
            <v>1453.03</v>
          </cell>
        </row>
        <row r="126">
          <cell r="D126">
            <v>4987176321886</v>
          </cell>
          <cell r="E126" t="str">
            <v>Hair</v>
          </cell>
          <cell r="F126" t="str">
            <v>head &amp; shoulders 海倫仙度絲</v>
          </cell>
          <cell r="G126" t="str">
            <v>head &amp; shoulders 海倫仙度絲 原廠公司貨 去屑洗髮乳, 檸檬清爽 750g+控油蓬鬆 350g, 1組</v>
          </cell>
          <cell r="H126">
            <v>6</v>
          </cell>
          <cell r="I126"/>
          <cell r="J126"/>
          <cell r="K126"/>
          <cell r="L126"/>
          <cell r="M126"/>
          <cell r="N126"/>
          <cell r="O126"/>
          <cell r="P126">
            <v>1998.12</v>
          </cell>
          <cell r="Q126">
            <v>1941.53</v>
          </cell>
        </row>
        <row r="127">
          <cell r="D127">
            <v>4902430138031</v>
          </cell>
          <cell r="E127" t="str">
            <v>Hair</v>
          </cell>
          <cell r="F127" t="str">
            <v>head &amp; shoulders 海倫仙度絲</v>
          </cell>
          <cell r="G127" t="str">
            <v>head &amp; shoulders 海倫仙度絲 香氛去屑洗髮乳, 薄荷舒爽, 750ml, 1瓶</v>
          </cell>
          <cell r="H127">
            <v>6</v>
          </cell>
          <cell r="I127"/>
          <cell r="J127"/>
          <cell r="K127"/>
          <cell r="L127"/>
          <cell r="M127"/>
          <cell r="N127"/>
          <cell r="O127" t="str">
            <v>停產</v>
          </cell>
          <cell r="P127">
            <v>1330.4</v>
          </cell>
          <cell r="Q127">
            <v>1288.8019200000003</v>
          </cell>
        </row>
        <row r="128">
          <cell r="D128">
            <v>4902430875844</v>
          </cell>
          <cell r="E128" t="str">
            <v>Hair</v>
          </cell>
          <cell r="F128" t="str">
            <v>head &amp; shoulders 海倫仙度絲</v>
          </cell>
          <cell r="G128" t="str">
            <v>head &amp; shoulders 海倫仙度絲 香氛去屑洗髮乳, 小蒼蘭, 750ml, 1瓶</v>
          </cell>
          <cell r="H128">
            <v>6</v>
          </cell>
          <cell r="I128"/>
          <cell r="J128"/>
          <cell r="K128"/>
          <cell r="L128"/>
          <cell r="M128"/>
          <cell r="N128"/>
          <cell r="O128" t="str">
            <v>停產</v>
          </cell>
          <cell r="P128">
            <v>1330.4</v>
          </cell>
          <cell r="Q128">
            <v>1288.8019200000003</v>
          </cell>
        </row>
        <row r="129">
          <cell r="D129">
            <v>4987176092731</v>
          </cell>
          <cell r="E129" t="str">
            <v>Hair</v>
          </cell>
          <cell r="F129" t="str">
            <v>head &amp; shoulders 海倫仙度絲</v>
          </cell>
          <cell r="G129" t="str">
            <v>head &amp; shoulders 海倫仙度絲 科研去屑洗髮露, 瞬效止癢, 300g, 1瓶</v>
          </cell>
          <cell r="H129">
            <v>12</v>
          </cell>
          <cell r="I129"/>
          <cell r="J129"/>
          <cell r="K129"/>
          <cell r="L129"/>
          <cell r="M129"/>
          <cell r="N129"/>
          <cell r="O129"/>
          <cell r="P129">
            <v>2904</v>
          </cell>
          <cell r="Q129">
            <v>2827.0745999999999</v>
          </cell>
        </row>
        <row r="130">
          <cell r="D130">
            <v>4902430875851</v>
          </cell>
          <cell r="E130" t="str">
            <v>Hair</v>
          </cell>
          <cell r="F130" t="str">
            <v>head &amp; shoulders 海倫仙度絲</v>
          </cell>
          <cell r="G130" t="str">
            <v>head &amp; shoulders 海倫仙度絲 香氛去屑洗髮乳, 茉莉花, 750ml, 1瓶</v>
          </cell>
          <cell r="H130">
            <v>6</v>
          </cell>
          <cell r="I130"/>
          <cell r="J130"/>
          <cell r="K130"/>
          <cell r="L130"/>
          <cell r="M130"/>
          <cell r="N130"/>
          <cell r="O130" t="str">
            <v>停產</v>
          </cell>
          <cell r="P130">
            <v>1330.4</v>
          </cell>
          <cell r="Q130">
            <v>1288.8019200000003</v>
          </cell>
        </row>
        <row r="131">
          <cell r="D131">
            <v>4902430137997</v>
          </cell>
          <cell r="E131" t="str">
            <v>Hair</v>
          </cell>
          <cell r="F131" t="str">
            <v>head &amp; shoulders 海倫仙度絲</v>
          </cell>
          <cell r="G131" t="str">
            <v>head &amp; shoulders 海倫仙度絲 香氛去屑洗髮乳, 海洋活力, 750ml, 1瓶</v>
          </cell>
          <cell r="H131">
            <v>6</v>
          </cell>
          <cell r="I131"/>
          <cell r="J131"/>
          <cell r="K131"/>
          <cell r="L131"/>
          <cell r="M131"/>
          <cell r="N131"/>
          <cell r="O131" t="str">
            <v>停產</v>
          </cell>
          <cell r="P131">
            <v>1330.4</v>
          </cell>
          <cell r="Q131">
            <v>1288.8019200000003</v>
          </cell>
        </row>
        <row r="132">
          <cell r="D132">
            <v>4902430138048</v>
          </cell>
          <cell r="E132" t="str">
            <v>Hair</v>
          </cell>
          <cell r="F132" t="str">
            <v>head &amp; shoulders 海倫仙度絲</v>
          </cell>
          <cell r="G132" t="str">
            <v>head &amp; shoulders 海倫仙度絲 香氛去屑洗髮乳 潔淨保濕, 750ml, 1瓶</v>
          </cell>
          <cell r="H132">
            <v>6</v>
          </cell>
          <cell r="I132"/>
          <cell r="J132"/>
          <cell r="K132"/>
          <cell r="L132"/>
          <cell r="M132"/>
          <cell r="N132"/>
          <cell r="O132" t="str">
            <v>停產</v>
          </cell>
          <cell r="P132">
            <v>1330.4</v>
          </cell>
          <cell r="Q132">
            <v>1288.8019200000003</v>
          </cell>
        </row>
        <row r="133">
          <cell r="D133">
            <v>4902430137959</v>
          </cell>
          <cell r="E133" t="str">
            <v>Hair</v>
          </cell>
          <cell r="F133" t="str">
            <v>head &amp; shoulders 海倫仙度絲</v>
          </cell>
          <cell r="G133" t="str">
            <v>head &amp; shoulders 海倫仙度絲 去屑洗髮乳, 檸檬清爽, 750ml, 1瓶</v>
          </cell>
          <cell r="H133">
            <v>6</v>
          </cell>
          <cell r="I133"/>
          <cell r="J133"/>
          <cell r="K133"/>
          <cell r="L133"/>
          <cell r="M133"/>
          <cell r="N133"/>
          <cell r="O133" t="str">
            <v>停產</v>
          </cell>
          <cell r="P133">
            <v>1330.4</v>
          </cell>
          <cell r="Q133">
            <v>1288.8019200000003</v>
          </cell>
        </row>
        <row r="134">
          <cell r="D134">
            <v>4902430304504</v>
          </cell>
          <cell r="E134" t="str">
            <v>Hair</v>
          </cell>
          <cell r="F134" t="str">
            <v>head &amp; shoulders 海倫仙度絲</v>
          </cell>
          <cell r="G134" t="str">
            <v>head &amp; shoulders 海倫仙度絲 香氛去屑洗髮乳, 止癢呵護, 750ml, 1瓶</v>
          </cell>
          <cell r="H134">
            <v>6</v>
          </cell>
          <cell r="I134"/>
          <cell r="J134"/>
          <cell r="K134"/>
          <cell r="L134"/>
          <cell r="M134"/>
          <cell r="N134"/>
          <cell r="O134" t="str">
            <v>停產</v>
          </cell>
          <cell r="P134">
            <v>1330.4</v>
          </cell>
          <cell r="Q134">
            <v>1288.8019200000003</v>
          </cell>
        </row>
        <row r="135">
          <cell r="D135">
            <v>4902430546324</v>
          </cell>
          <cell r="E135" t="str">
            <v>Hair</v>
          </cell>
          <cell r="F135" t="str">
            <v>head &amp; shoulders 海倫仙度絲</v>
          </cell>
          <cell r="G135" t="str">
            <v>head &amp; shoulders 海倫仙度絲 男士頭皮護理去屑洗髮乳, 活力酷爽, 750ml, 1瓶</v>
          </cell>
          <cell r="H135">
            <v>6</v>
          </cell>
          <cell r="I135"/>
          <cell r="J135"/>
          <cell r="K135"/>
          <cell r="L135"/>
          <cell r="M135"/>
          <cell r="N135"/>
          <cell r="O135" t="str">
            <v>停產</v>
          </cell>
          <cell r="P135">
            <v>1316.74</v>
          </cell>
          <cell r="Q135">
            <v>1275.4485870000001</v>
          </cell>
        </row>
        <row r="136">
          <cell r="D136">
            <v>4987176092724</v>
          </cell>
          <cell r="E136" t="str">
            <v>Hair</v>
          </cell>
          <cell r="F136" t="str">
            <v>head &amp; shoulders 海倫仙度絲</v>
          </cell>
          <cell r="G136" t="str">
            <v>head &amp; shoulders 海倫仙度絲 科研去屑洗髮露, 去油淨透, 300g, 1瓶</v>
          </cell>
          <cell r="H136">
            <v>12</v>
          </cell>
          <cell r="I136"/>
          <cell r="J136"/>
          <cell r="K136"/>
          <cell r="L136"/>
          <cell r="M136"/>
          <cell r="N136"/>
          <cell r="O136"/>
          <cell r="P136">
            <v>2904</v>
          </cell>
          <cell r="Q136">
            <v>2827.0745999999999</v>
          </cell>
        </row>
        <row r="137">
          <cell r="D137">
            <v>4902430552189</v>
          </cell>
          <cell r="E137" t="str">
            <v>Hair</v>
          </cell>
          <cell r="F137" t="str">
            <v>head &amp; shoulders 海倫仙度絲</v>
          </cell>
          <cell r="G137" t="str">
            <v>head &amp; shoulders 海倫仙度絲 男士頭皮護理去屑洗髮乳, 淨爽控油, 750ml, 1瓶</v>
          </cell>
          <cell r="H137">
            <v>6</v>
          </cell>
          <cell r="I137"/>
          <cell r="J137"/>
          <cell r="K137"/>
          <cell r="L137"/>
          <cell r="M137"/>
          <cell r="N137"/>
          <cell r="O137" t="str">
            <v>停產</v>
          </cell>
          <cell r="P137">
            <v>1316.74</v>
          </cell>
          <cell r="Q137">
            <v>1275.4485870000001</v>
          </cell>
        </row>
        <row r="138">
          <cell r="D138">
            <v>4902430137935</v>
          </cell>
          <cell r="E138" t="str">
            <v>Hair</v>
          </cell>
          <cell r="F138" t="str">
            <v>head &amp; shoulders 海倫仙度絲</v>
          </cell>
          <cell r="G138" t="str">
            <v>head &amp; shoulders 海倫仙度絲 去屑洗髮乳 絲滑柔順, 750ml, 1瓶</v>
          </cell>
          <cell r="H138">
            <v>6</v>
          </cell>
          <cell r="I138"/>
          <cell r="J138"/>
          <cell r="K138"/>
          <cell r="L138"/>
          <cell r="M138"/>
          <cell r="N138"/>
          <cell r="O138"/>
          <cell r="P138">
            <v>1330.4</v>
          </cell>
          <cell r="Q138">
            <v>1288.8019200000003</v>
          </cell>
        </row>
        <row r="139">
          <cell r="D139">
            <v>4987176291561</v>
          </cell>
          <cell r="E139" t="str">
            <v>Hair</v>
          </cell>
          <cell r="F139" t="str">
            <v>head &amp; shoulders 海倫仙度絲</v>
          </cell>
          <cell r="G139" t="str">
            <v>head&amp;shoulders 海倫仙度絲 台灣公司貨 去屑頭皮護理洗髮露, 淨爽止癢型, 350g, 1瓶</v>
          </cell>
          <cell r="H139">
            <v>12</v>
          </cell>
          <cell r="I139"/>
          <cell r="J139"/>
          <cell r="K139"/>
          <cell r="L139"/>
          <cell r="M139"/>
          <cell r="N139"/>
          <cell r="O139"/>
          <cell r="P139">
            <v>1728</v>
          </cell>
          <cell r="Q139">
            <v>1677.48</v>
          </cell>
        </row>
        <row r="140">
          <cell r="D140">
            <v>4987176291554</v>
          </cell>
          <cell r="E140" t="str">
            <v>Hair</v>
          </cell>
          <cell r="F140" t="str">
            <v>head &amp; shoulders 海倫仙度絲</v>
          </cell>
          <cell r="G140" t="str">
            <v>head&amp;shoulders 海倫仙度絲 台灣公司貨 去屑頭皮護理洗髮露, 控油蓬鬆型, 350g, 1瓶</v>
          </cell>
          <cell r="H140">
            <v>12</v>
          </cell>
          <cell r="I140"/>
          <cell r="J140"/>
          <cell r="K140"/>
          <cell r="L140"/>
          <cell r="M140"/>
          <cell r="N140"/>
          <cell r="O140"/>
          <cell r="P140">
            <v>1728</v>
          </cell>
          <cell r="Q140">
            <v>1677.48</v>
          </cell>
        </row>
        <row r="141">
          <cell r="D141">
            <v>4987176222961</v>
          </cell>
          <cell r="E141" t="str">
            <v>Hair</v>
          </cell>
          <cell r="F141" t="str">
            <v>head &amp; shoulders 海倫仙度絲</v>
          </cell>
          <cell r="G141" t="str">
            <v>head&amp;shoulders 海倫仙度絲 台灣公司貨 去屑頭皮護理洗髮露 控油蓬鬆型, 650g, 1瓶</v>
          </cell>
          <cell r="H141">
            <v>12</v>
          </cell>
          <cell r="I141"/>
          <cell r="J141"/>
          <cell r="K141"/>
          <cell r="L141"/>
          <cell r="M141"/>
          <cell r="N141"/>
          <cell r="O141"/>
          <cell r="P141">
            <v>2733.6</v>
          </cell>
          <cell r="Q141">
            <v>2660.5000800000003</v>
          </cell>
        </row>
        <row r="142">
          <cell r="D142">
            <v>4902430137881</v>
          </cell>
          <cell r="E142" t="str">
            <v>Hair</v>
          </cell>
          <cell r="F142" t="str">
            <v>head &amp; shoulders 海倫仙度絲</v>
          </cell>
          <cell r="G142" t="str">
            <v>head &amp; shoulders 海倫仙度絲 去屑潤髮乳, 絲滑柔順, 750ml, 1瓶</v>
          </cell>
          <cell r="H142">
            <v>6</v>
          </cell>
          <cell r="I142"/>
          <cell r="J142"/>
          <cell r="K142"/>
          <cell r="L142"/>
          <cell r="M142"/>
          <cell r="N142"/>
          <cell r="O142" t="str">
            <v>停產</v>
          </cell>
          <cell r="P142">
            <v>1248.46</v>
          </cell>
          <cell r="Q142">
            <v>1208.7014730000001</v>
          </cell>
        </row>
        <row r="143">
          <cell r="D143">
            <v>4987176222978</v>
          </cell>
          <cell r="E143" t="str">
            <v>Hair</v>
          </cell>
          <cell r="F143" t="str">
            <v>head &amp; shoulders 海倫仙度絲</v>
          </cell>
          <cell r="G143" t="str">
            <v>head&amp;shoulders 海倫仙度絲 台灣公司貨 去屑頭皮護理洗髮露 保水舒緩型, 650g, 1瓶</v>
          </cell>
          <cell r="H143">
            <v>12</v>
          </cell>
          <cell r="I143"/>
          <cell r="J143"/>
          <cell r="K143"/>
          <cell r="L143"/>
          <cell r="M143"/>
          <cell r="N143"/>
          <cell r="O143"/>
          <cell r="P143">
            <v>2733.6</v>
          </cell>
          <cell r="Q143">
            <v>2660.5000800000003</v>
          </cell>
        </row>
        <row r="144">
          <cell r="D144">
            <v>4987176273024</v>
          </cell>
          <cell r="E144" t="str">
            <v>Hair</v>
          </cell>
          <cell r="F144" t="str">
            <v>head &amp; shoulders 海倫仙度絲</v>
          </cell>
          <cell r="G144" t="str">
            <v>head&amp;shoulders 海倫仙度絲 台灣公司貨 去屑頭皮護理洗髮露 淨爽止癢型, 650g, 1瓶</v>
          </cell>
          <cell r="H144">
            <v>12</v>
          </cell>
          <cell r="I144"/>
          <cell r="J144"/>
          <cell r="K144"/>
          <cell r="L144"/>
          <cell r="M144"/>
          <cell r="N144"/>
          <cell r="O144"/>
          <cell r="P144">
            <v>2733.6</v>
          </cell>
          <cell r="Q144">
            <v>2660.5</v>
          </cell>
        </row>
        <row r="145">
          <cell r="D145">
            <v>30772121009</v>
          </cell>
          <cell r="E145" t="str">
            <v>Fabric</v>
          </cell>
          <cell r="F145" t="str">
            <v>Tide 汰漬</v>
          </cell>
          <cell r="G145" t="str">
            <v>Tide 汰漬2倍超濃縮洗衣精132oz</v>
          </cell>
          <cell r="H145">
            <v>4</v>
          </cell>
          <cell r="I145"/>
          <cell r="J145">
            <v>158</v>
          </cell>
          <cell r="K145"/>
          <cell r="L145"/>
          <cell r="M145"/>
          <cell r="N145"/>
          <cell r="O145"/>
          <cell r="P145">
            <v>2376.48</v>
          </cell>
          <cell r="Q145">
            <v>2311.4</v>
          </cell>
        </row>
        <row r="146">
          <cell r="D146">
            <v>37000402138</v>
          </cell>
          <cell r="E146" t="str">
            <v>Fabric</v>
          </cell>
          <cell r="F146" t="str">
            <v>Tide 汰漬</v>
          </cell>
          <cell r="G146" t="str">
            <v>Tide 汰漬 2倍超濃縮洗衣精46oz</v>
          </cell>
          <cell r="H146">
            <v>6</v>
          </cell>
          <cell r="I146"/>
          <cell r="J146"/>
          <cell r="K146"/>
          <cell r="L146"/>
          <cell r="M146"/>
          <cell r="N146"/>
          <cell r="O146" t="str">
            <v>停產</v>
          </cell>
          <cell r="P146">
            <v>1453.2</v>
          </cell>
          <cell r="Q146">
            <v>1408.8450600000001</v>
          </cell>
        </row>
        <row r="147">
          <cell r="D147">
            <v>30772094648</v>
          </cell>
          <cell r="E147" t="str">
            <v>Fabric</v>
          </cell>
          <cell r="F147" t="str">
            <v>Tide 汰漬</v>
          </cell>
          <cell r="G147" t="str">
            <v>Tide 汰漬 2倍超濃縮洗衣精146oz</v>
          </cell>
          <cell r="H147">
            <v>4</v>
          </cell>
          <cell r="I147"/>
          <cell r="J147"/>
          <cell r="K147"/>
          <cell r="L147"/>
          <cell r="M147"/>
          <cell r="N147"/>
          <cell r="O147" t="str">
            <v>停產</v>
          </cell>
          <cell r="P147">
            <v>2376.48</v>
          </cell>
          <cell r="Q147">
            <v>2311.4</v>
          </cell>
        </row>
        <row r="148">
          <cell r="D148">
            <v>4987176283825</v>
          </cell>
          <cell r="E148" t="str">
            <v>Fabric</v>
          </cell>
          <cell r="F148" t="str">
            <v>ARIEL</v>
          </cell>
          <cell r="G148" t="str">
            <v>ARIEL抗菌洗衣精補充包, 抗菌去漬型, 500g, 1包</v>
          </cell>
          <cell r="H148">
            <v>12</v>
          </cell>
          <cell r="I148"/>
          <cell r="J148"/>
          <cell r="K148"/>
          <cell r="L148"/>
          <cell r="M148"/>
          <cell r="N148"/>
          <cell r="O148"/>
          <cell r="P148">
            <v>810.8</v>
          </cell>
          <cell r="Q148">
            <v>780.87</v>
          </cell>
        </row>
        <row r="149">
          <cell r="D149">
            <v>4987176283863</v>
          </cell>
          <cell r="E149" t="str">
            <v>Fabric</v>
          </cell>
          <cell r="F149" t="str">
            <v>ARIEL</v>
          </cell>
          <cell r="G149" t="str">
            <v>ARIEL抗菌洗衣精補充包, 室內晾衣型, 500g, 1包</v>
          </cell>
          <cell r="H149">
            <v>12</v>
          </cell>
          <cell r="I149"/>
          <cell r="J149"/>
          <cell r="K149"/>
          <cell r="L149"/>
          <cell r="M149"/>
          <cell r="N149"/>
          <cell r="O149"/>
          <cell r="P149">
            <v>810.8</v>
          </cell>
          <cell r="Q149">
            <v>780.87</v>
          </cell>
        </row>
        <row r="150">
          <cell r="D150">
            <v>4987176342867</v>
          </cell>
          <cell r="E150" t="str">
            <v>Fabric</v>
          </cell>
          <cell r="F150" t="str">
            <v>ARIEL</v>
          </cell>
          <cell r="G150" t="str">
            <v>ARIEL 原廠公司貨 新升級 抗菌洗衣精補充包, 抗菌去漬型, 800g+500g, 1組</v>
          </cell>
          <cell r="H150">
            <v>6</v>
          </cell>
          <cell r="I150"/>
          <cell r="J150"/>
          <cell r="K150"/>
          <cell r="L150"/>
          <cell r="M150"/>
          <cell r="N150"/>
          <cell r="O150" t="str">
            <v>2025最新</v>
          </cell>
          <cell r="P150"/>
          <cell r="Q150"/>
        </row>
        <row r="151">
          <cell r="D151">
            <v>4987176342874</v>
          </cell>
          <cell r="E151" t="str">
            <v>Fabric</v>
          </cell>
          <cell r="F151" t="str">
            <v>ARIEL</v>
          </cell>
          <cell r="G151" t="str">
            <v>ARIEL 原廠公司貨 新升級 抗菌洗衣精補充包, 室內晾衣型, 800g+500g, 1組</v>
          </cell>
          <cell r="H151">
            <v>6</v>
          </cell>
          <cell r="I151"/>
          <cell r="J151"/>
          <cell r="K151"/>
          <cell r="L151"/>
          <cell r="M151"/>
          <cell r="N151"/>
          <cell r="O151" t="str">
            <v>2025最新</v>
          </cell>
          <cell r="P151"/>
          <cell r="Q151"/>
        </row>
        <row r="152">
          <cell r="D152">
            <v>4987176340900</v>
          </cell>
          <cell r="E152" t="str">
            <v>Fabric</v>
          </cell>
          <cell r="F152" t="str">
            <v>ARIEL</v>
          </cell>
          <cell r="G152" t="str">
            <v>ARIEL 原廠公司貨 新升級 抗菌洗衣精補充包, 抗菌去漬型, 1690g, 1包</v>
          </cell>
          <cell r="H152">
            <v>6</v>
          </cell>
          <cell r="I152"/>
          <cell r="J152">
            <v>0</v>
          </cell>
          <cell r="K152"/>
          <cell r="L152"/>
          <cell r="M152"/>
          <cell r="N152"/>
          <cell r="O152" t="str">
            <v>2025最新</v>
          </cell>
          <cell r="P152">
            <v>1283.4000000000001</v>
          </cell>
          <cell r="Q152">
            <v>1242.8599999999999</v>
          </cell>
        </row>
        <row r="153">
          <cell r="D153">
            <v>4987176340856</v>
          </cell>
          <cell r="E153" t="str">
            <v>Fabric</v>
          </cell>
          <cell r="F153" t="str">
            <v>ARIEL</v>
          </cell>
          <cell r="G153" t="str">
            <v>ARIEL 原廠公司貨 新升級 抗菌洗衣精補充包, 室內晾衣型, 1690g, 1包</v>
          </cell>
          <cell r="H153">
            <v>6</v>
          </cell>
          <cell r="I153"/>
          <cell r="J153">
            <v>0</v>
          </cell>
          <cell r="K153"/>
          <cell r="L153"/>
          <cell r="M153"/>
          <cell r="N153"/>
          <cell r="O153" t="str">
            <v>2025最新</v>
          </cell>
          <cell r="P153">
            <v>1283.4000000000001</v>
          </cell>
          <cell r="Q153">
            <v>1242.8599999999999</v>
          </cell>
        </row>
        <row r="154">
          <cell r="D154">
            <v>4987176340924</v>
          </cell>
          <cell r="E154" t="str">
            <v>Fabric</v>
          </cell>
          <cell r="F154" t="str">
            <v>ARIEL</v>
          </cell>
          <cell r="G154" t="str">
            <v>ARIEL 原廠公司貨 新升級 抗菌洗衣精補充包, 自然微香型, 1690g, 1包</v>
          </cell>
          <cell r="H154">
            <v>6</v>
          </cell>
          <cell r="I154"/>
          <cell r="J154">
            <v>0</v>
          </cell>
          <cell r="K154"/>
          <cell r="L154"/>
          <cell r="M154"/>
          <cell r="N154"/>
          <cell r="O154" t="str">
            <v>2025最新</v>
          </cell>
          <cell r="P154">
            <v>1283.4000000000001</v>
          </cell>
          <cell r="Q154">
            <v>1242.8599999999999</v>
          </cell>
        </row>
        <row r="155">
          <cell r="D155">
            <v>4987176340870</v>
          </cell>
          <cell r="E155" t="str">
            <v>Fabric</v>
          </cell>
          <cell r="F155" t="str">
            <v>ARIEL</v>
          </cell>
          <cell r="G155" t="str">
            <v>ARIEL 原廠公司貨 新升級 抗菌洗衣精補充包, 高效除螨, 1690g, 1包</v>
          </cell>
          <cell r="H155">
            <v>6</v>
          </cell>
          <cell r="I155"/>
          <cell r="J155">
            <v>0</v>
          </cell>
          <cell r="K155"/>
          <cell r="L155"/>
          <cell r="M155"/>
          <cell r="N155"/>
          <cell r="O155" t="str">
            <v>2025最新</v>
          </cell>
          <cell r="P155">
            <v>1283.4000000000001</v>
          </cell>
          <cell r="Q155">
            <v>1242.8599999999999</v>
          </cell>
        </row>
        <row r="156">
          <cell r="D156">
            <v>4987176340917</v>
          </cell>
          <cell r="E156" t="str">
            <v>Fabric</v>
          </cell>
          <cell r="F156" t="str">
            <v>ARIEL</v>
          </cell>
          <cell r="G156" t="str">
            <v>ARIEL 原廠公司貨 新升級 抗菌洗衣精, 抗菌去漬型, 800g, 1瓶</v>
          </cell>
          <cell r="H156">
            <v>12</v>
          </cell>
          <cell r="I156"/>
          <cell r="J156">
            <v>0</v>
          </cell>
          <cell r="K156"/>
          <cell r="L156"/>
          <cell r="M156"/>
          <cell r="N156"/>
          <cell r="O156" t="str">
            <v>2025最新</v>
          </cell>
          <cell r="P156">
            <v>1620</v>
          </cell>
          <cell r="Q156">
            <v>1571.9</v>
          </cell>
        </row>
        <row r="157">
          <cell r="D157">
            <v>4987176340931</v>
          </cell>
          <cell r="E157" t="str">
            <v>Fabric</v>
          </cell>
          <cell r="F157" t="str">
            <v>ARIEL</v>
          </cell>
          <cell r="G157" t="str">
            <v>ARIEL 原廠公司貨 新升級 抗菌洗衣精, 室內晾衣型, 800g, 1瓶</v>
          </cell>
          <cell r="H157">
            <v>12</v>
          </cell>
          <cell r="I157"/>
          <cell r="J157">
            <v>0</v>
          </cell>
          <cell r="K157"/>
          <cell r="L157"/>
          <cell r="M157"/>
          <cell r="N157"/>
          <cell r="O157" t="str">
            <v>2025最新</v>
          </cell>
          <cell r="P157">
            <v>1620</v>
          </cell>
          <cell r="Q157">
            <v>1571.9</v>
          </cell>
        </row>
        <row r="158">
          <cell r="D158">
            <v>4987176340887</v>
          </cell>
          <cell r="E158" t="str">
            <v>Fabric</v>
          </cell>
          <cell r="F158" t="str">
            <v>ARIEL</v>
          </cell>
          <cell r="G158" t="str">
            <v>ARIEL 原廠公司貨 新升級 抗菌洗衣精, 自然微香型, 800g, 1瓶</v>
          </cell>
          <cell r="H158">
            <v>12</v>
          </cell>
          <cell r="I158"/>
          <cell r="J158">
            <v>0</v>
          </cell>
          <cell r="K158"/>
          <cell r="L158"/>
          <cell r="M158"/>
          <cell r="N158"/>
          <cell r="O158" t="str">
            <v>2025最新</v>
          </cell>
          <cell r="P158">
            <v>1620</v>
          </cell>
          <cell r="Q158">
            <v>1571.9</v>
          </cell>
        </row>
        <row r="159">
          <cell r="D159">
            <v>4987176340948</v>
          </cell>
          <cell r="E159" t="str">
            <v>Fabric</v>
          </cell>
          <cell r="F159" t="str">
            <v>ARIEL</v>
          </cell>
          <cell r="G159" t="str">
            <v>ARIEL 原廠公司貨 新升級 抗菌洗衣精, 高效除螨, 800g, 1瓶</v>
          </cell>
          <cell r="H159">
            <v>12</v>
          </cell>
          <cell r="I159"/>
          <cell r="J159">
            <v>0</v>
          </cell>
          <cell r="K159"/>
          <cell r="L159"/>
          <cell r="M159"/>
          <cell r="N159"/>
          <cell r="O159" t="str">
            <v>2025最新</v>
          </cell>
          <cell r="P159">
            <v>1620</v>
          </cell>
          <cell r="Q159">
            <v>1571.9</v>
          </cell>
        </row>
        <row r="160">
          <cell r="D160">
            <v>4987176283832</v>
          </cell>
          <cell r="E160" t="str">
            <v>Fabric</v>
          </cell>
          <cell r="F160" t="str">
            <v>ARIEL</v>
          </cell>
          <cell r="G160" t="str">
            <v>ARIEL抗菌洗衣精補充包, 抗菌去漬型, 1690g, 1包</v>
          </cell>
          <cell r="H160">
            <v>6</v>
          </cell>
          <cell r="I160"/>
          <cell r="J160"/>
          <cell r="K160"/>
          <cell r="L160"/>
          <cell r="M160"/>
          <cell r="N160"/>
          <cell r="O160" t="str">
            <v>停產</v>
          </cell>
          <cell r="P160">
            <v>1283.4000000000001</v>
          </cell>
          <cell r="Q160">
            <v>1242.8599999999999</v>
          </cell>
        </row>
        <row r="161">
          <cell r="D161">
            <v>4987176283856</v>
          </cell>
          <cell r="E161" t="str">
            <v>Fabric</v>
          </cell>
          <cell r="F161" t="str">
            <v>ARIEL</v>
          </cell>
          <cell r="G161" t="str">
            <v>ARIEL抗菌洗衣精補充包, 室內晾衣型, 1690g, 1包</v>
          </cell>
          <cell r="H161">
            <v>6</v>
          </cell>
          <cell r="I161"/>
          <cell r="J161"/>
          <cell r="K161"/>
          <cell r="L161"/>
          <cell r="M161"/>
          <cell r="N161"/>
          <cell r="O161" t="str">
            <v>停產</v>
          </cell>
          <cell r="P161">
            <v>1283.4000000000001</v>
          </cell>
          <cell r="Q161">
            <v>1242.8599999999999</v>
          </cell>
        </row>
        <row r="162">
          <cell r="D162">
            <v>4987176283788</v>
          </cell>
          <cell r="E162" t="str">
            <v>Fabric</v>
          </cell>
          <cell r="F162" t="str">
            <v>ARIEL</v>
          </cell>
          <cell r="G162" t="str">
            <v>ARIEL抗菌洗衣精補充包, 自然微香型, 1690g, 1包</v>
          </cell>
          <cell r="H162">
            <v>6</v>
          </cell>
          <cell r="I162"/>
          <cell r="J162"/>
          <cell r="K162"/>
          <cell r="L162"/>
          <cell r="M162"/>
          <cell r="N162"/>
          <cell r="O162" t="str">
            <v>停產</v>
          </cell>
          <cell r="P162">
            <v>1283.4000000000001</v>
          </cell>
          <cell r="Q162">
            <v>1242.8599999999999</v>
          </cell>
        </row>
        <row r="163">
          <cell r="D163">
            <v>4987176277145</v>
          </cell>
          <cell r="E163" t="str">
            <v>Fabric</v>
          </cell>
          <cell r="F163" t="str">
            <v>ARIEL</v>
          </cell>
          <cell r="G163" t="str">
            <v>ARIEL抗菌洗衣精, 抗菌去漬型, 800g, 1瓶</v>
          </cell>
          <cell r="H163">
            <v>9</v>
          </cell>
          <cell r="I163"/>
          <cell r="J163"/>
          <cell r="K163"/>
          <cell r="L163"/>
          <cell r="M163"/>
          <cell r="N163"/>
          <cell r="O163" t="str">
            <v>停產</v>
          </cell>
          <cell r="P163">
            <v>1215</v>
          </cell>
          <cell r="Q163">
            <v>1175.99</v>
          </cell>
        </row>
        <row r="164">
          <cell r="D164">
            <v>4987176277138</v>
          </cell>
          <cell r="E164" t="str">
            <v>Fabric</v>
          </cell>
          <cell r="F164" t="str">
            <v>ARIEL</v>
          </cell>
          <cell r="G164" t="str">
            <v>ARIEL抗菌洗衣精, 室內晾衣型, 800g, 1瓶</v>
          </cell>
          <cell r="H164">
            <v>9</v>
          </cell>
          <cell r="I164"/>
          <cell r="J164"/>
          <cell r="K164"/>
          <cell r="L164"/>
          <cell r="M164"/>
          <cell r="N164"/>
          <cell r="O164" t="str">
            <v>停產</v>
          </cell>
          <cell r="P164">
            <v>1215</v>
          </cell>
          <cell r="Q164">
            <v>1175.99</v>
          </cell>
        </row>
        <row r="165">
          <cell r="D165">
            <v>4987176283801</v>
          </cell>
          <cell r="E165" t="str">
            <v>Fabric</v>
          </cell>
          <cell r="F165" t="str">
            <v>ARIEL</v>
          </cell>
          <cell r="G165" t="str">
            <v>ARIEL抗菌洗衣精, 自然微香型, 800g, 1瓶</v>
          </cell>
          <cell r="H165">
            <v>12</v>
          </cell>
          <cell r="I165"/>
          <cell r="J165"/>
          <cell r="K165"/>
          <cell r="L165"/>
          <cell r="M165"/>
          <cell r="N165"/>
          <cell r="O165" t="str">
            <v>停產</v>
          </cell>
          <cell r="P165">
            <v>1620</v>
          </cell>
          <cell r="Q165">
            <v>1571.9</v>
          </cell>
        </row>
        <row r="166">
          <cell r="D166">
            <v>4987176283818</v>
          </cell>
          <cell r="E166" t="str">
            <v>Fabric</v>
          </cell>
          <cell r="F166" t="str">
            <v>ARIEL</v>
          </cell>
          <cell r="G166" t="str">
            <v>ARIEL抗菌洗衣精, 高效除螨, 800g, 1瓶</v>
          </cell>
          <cell r="H166">
            <v>12</v>
          </cell>
          <cell r="I166"/>
          <cell r="J166"/>
          <cell r="K166"/>
          <cell r="L166"/>
          <cell r="M166"/>
          <cell r="N166"/>
          <cell r="O166" t="str">
            <v>停產</v>
          </cell>
          <cell r="P166">
            <v>1620</v>
          </cell>
          <cell r="Q166">
            <v>1571.9</v>
          </cell>
        </row>
        <row r="167">
          <cell r="D167">
            <v>4987176283771</v>
          </cell>
          <cell r="E167" t="str">
            <v>Fabric</v>
          </cell>
          <cell r="F167" t="str">
            <v>ARIEL</v>
          </cell>
          <cell r="G167" t="str">
            <v>ARIEL抗菌洗衣精補充包, 高效除螨, 1690g, 1包</v>
          </cell>
          <cell r="H167">
            <v>6</v>
          </cell>
          <cell r="I167"/>
          <cell r="J167"/>
          <cell r="K167"/>
          <cell r="L167"/>
          <cell r="M167"/>
          <cell r="N167"/>
          <cell r="O167" t="str">
            <v>停產</v>
          </cell>
          <cell r="P167">
            <v>1283.4000000000001</v>
          </cell>
          <cell r="Q167">
            <v>1242.8599999999999</v>
          </cell>
        </row>
        <row r="168">
          <cell r="D168">
            <v>4987176219152</v>
          </cell>
          <cell r="E168" t="str">
            <v>Fabric</v>
          </cell>
          <cell r="F168" t="str">
            <v>ARIEL</v>
          </cell>
          <cell r="G168" t="str">
            <v xml:space="preserve">ARIEL 超濃縮抗菌洗衣精補充包,  抗菌去漬型, 405g, 1包 </v>
          </cell>
          <cell r="H168">
            <v>16</v>
          </cell>
          <cell r="I168"/>
          <cell r="J168"/>
          <cell r="K168"/>
          <cell r="L168"/>
          <cell r="M168"/>
          <cell r="N168"/>
          <cell r="O168" t="str">
            <v>停產</v>
          </cell>
          <cell r="P168">
            <v>836.6</v>
          </cell>
          <cell r="Q168">
            <v>806.09</v>
          </cell>
        </row>
        <row r="169">
          <cell r="D169">
            <v>4987176221605</v>
          </cell>
          <cell r="E169" t="str">
            <v>Fabric</v>
          </cell>
          <cell r="F169" t="str">
            <v>ARIEL</v>
          </cell>
          <cell r="G169" t="str">
            <v>ARIEL 超濃縮抗菌洗衣精補充包, 室內晾衣型, 380g,  1包</v>
          </cell>
          <cell r="H169">
            <v>16</v>
          </cell>
          <cell r="I169"/>
          <cell r="J169"/>
          <cell r="K169"/>
          <cell r="L169"/>
          <cell r="M169"/>
          <cell r="N169"/>
          <cell r="O169" t="str">
            <v>停產</v>
          </cell>
          <cell r="P169">
            <v>800.1</v>
          </cell>
          <cell r="Q169">
            <v>770.41</v>
          </cell>
        </row>
        <row r="170">
          <cell r="D170">
            <v>4987176247711</v>
          </cell>
          <cell r="E170" t="str">
            <v>Fabric</v>
          </cell>
          <cell r="F170" t="str">
            <v>ARIEL</v>
          </cell>
          <cell r="G170" t="str">
            <v xml:space="preserve">ARIEL 抗菌抗臭洗衣精補充包, 抗菌去漬型, 1030g, 1包 </v>
          </cell>
          <cell r="H170">
            <v>8</v>
          </cell>
          <cell r="I170"/>
          <cell r="J170">
            <v>0</v>
          </cell>
          <cell r="K170"/>
          <cell r="L170"/>
          <cell r="M170"/>
          <cell r="N170"/>
          <cell r="O170"/>
          <cell r="P170">
            <v>955.7</v>
          </cell>
          <cell r="Q170">
            <v>922.51199999999994</v>
          </cell>
        </row>
        <row r="171">
          <cell r="D171">
            <v>4987176247728</v>
          </cell>
          <cell r="E171" t="str">
            <v>Fabric</v>
          </cell>
          <cell r="F171" t="str">
            <v>ARIEL</v>
          </cell>
          <cell r="G171" t="str">
            <v xml:space="preserve">ARIEL 抗菌抗臭洗衣精補充包, 室內晾衣型, 1030g, 1包 </v>
          </cell>
          <cell r="H171">
            <v>8</v>
          </cell>
          <cell r="I171"/>
          <cell r="J171">
            <v>0</v>
          </cell>
          <cell r="K171"/>
          <cell r="L171"/>
          <cell r="M171"/>
          <cell r="N171"/>
          <cell r="O171"/>
          <cell r="P171">
            <v>955.7</v>
          </cell>
          <cell r="Q171">
            <v>922.51199999999994</v>
          </cell>
        </row>
        <row r="172">
          <cell r="D172">
            <v>4987176175434</v>
          </cell>
          <cell r="E172" t="str">
            <v>Fabric</v>
          </cell>
          <cell r="F172" t="str">
            <v>ARIEL</v>
          </cell>
          <cell r="G172" t="str">
            <v>ARIEL 超濃縮抗菌洗衣精補充包 室內晾衣型, 630g, 1包</v>
          </cell>
          <cell r="H172">
            <v>12</v>
          </cell>
          <cell r="I172"/>
          <cell r="J172"/>
          <cell r="K172"/>
          <cell r="L172"/>
          <cell r="M172"/>
          <cell r="N172"/>
          <cell r="O172" t="str">
            <v>停產</v>
          </cell>
          <cell r="P172">
            <v>886.1</v>
          </cell>
          <cell r="Q172">
            <v>854.47645499999999</v>
          </cell>
        </row>
        <row r="173">
          <cell r="D173">
            <v>4987176175441</v>
          </cell>
          <cell r="E173" t="str">
            <v>Fabric</v>
          </cell>
          <cell r="F173" t="str">
            <v>ARIEL</v>
          </cell>
          <cell r="G173" t="str">
            <v>ARIEL 抗菌抗臭洗衣精 (抗菌去漬型) 補充包, 630g, 1包</v>
          </cell>
          <cell r="H173">
            <v>12</v>
          </cell>
          <cell r="I173"/>
          <cell r="J173"/>
          <cell r="K173"/>
          <cell r="L173"/>
          <cell r="M173"/>
          <cell r="N173"/>
          <cell r="O173" t="str">
            <v>停產</v>
          </cell>
          <cell r="P173">
            <v>886.1</v>
          </cell>
          <cell r="Q173">
            <v>854.47645499999999</v>
          </cell>
        </row>
        <row r="174">
          <cell r="D174">
            <v>4987176175427</v>
          </cell>
          <cell r="E174" t="str">
            <v>Fabric</v>
          </cell>
          <cell r="F174" t="str">
            <v>ARIEL</v>
          </cell>
          <cell r="G174" t="str">
            <v>ARIEL 抗菌抗臭洗衣精補充包 室內晾衣型, 1590g, 1包</v>
          </cell>
          <cell r="H174">
            <v>6</v>
          </cell>
          <cell r="I174"/>
          <cell r="J174"/>
          <cell r="K174"/>
          <cell r="L174"/>
          <cell r="M174"/>
          <cell r="N174"/>
          <cell r="O174" t="str">
            <v>停產</v>
          </cell>
          <cell r="P174">
            <v>1253.4000000000001</v>
          </cell>
          <cell r="Q174">
            <v>1213.5305700000001</v>
          </cell>
        </row>
        <row r="175">
          <cell r="D175">
            <v>4987176175465</v>
          </cell>
          <cell r="E175" t="str">
            <v>Fabric</v>
          </cell>
          <cell r="F175" t="str">
            <v>ARIEL</v>
          </cell>
          <cell r="G175" t="str">
            <v>ARIEL 超濃縮抗菌洗衣精 室內晾衣型, 800g, 1瓶</v>
          </cell>
          <cell r="H175">
            <v>9</v>
          </cell>
          <cell r="I175"/>
          <cell r="J175"/>
          <cell r="K175"/>
          <cell r="L175"/>
          <cell r="M175"/>
          <cell r="N175"/>
          <cell r="O175" t="str">
            <v>停產</v>
          </cell>
          <cell r="P175">
            <v>1215</v>
          </cell>
          <cell r="Q175">
            <v>1175.9926500000001</v>
          </cell>
        </row>
        <row r="176">
          <cell r="D176">
            <v>4987176146540</v>
          </cell>
          <cell r="E176" t="str">
            <v>Fabric</v>
          </cell>
          <cell r="F176" t="str">
            <v>ARIEL</v>
          </cell>
          <cell r="G176" t="str">
            <v>ARIEL 抗菌抗臭洗衣精 抗菌去漬型 補充包, 1590g, 1包</v>
          </cell>
          <cell r="H176">
            <v>6</v>
          </cell>
          <cell r="I176"/>
          <cell r="J176"/>
          <cell r="K176"/>
          <cell r="L176"/>
          <cell r="M176"/>
          <cell r="N176"/>
          <cell r="O176" t="str">
            <v>停產</v>
          </cell>
          <cell r="P176">
            <v>1253.4000000000001</v>
          </cell>
          <cell r="Q176">
            <v>1213.5305700000001</v>
          </cell>
        </row>
        <row r="177">
          <cell r="D177">
            <v>4987176158703</v>
          </cell>
          <cell r="E177" t="str">
            <v>Fabric</v>
          </cell>
          <cell r="F177" t="str">
            <v>ARIEL</v>
          </cell>
          <cell r="G177" t="str">
            <v>ARIEL 超濃縮抗菌抗蟎洗衣精 補充包, 1360g, 1包</v>
          </cell>
          <cell r="H177">
            <v>6</v>
          </cell>
          <cell r="I177"/>
          <cell r="J177"/>
          <cell r="K177"/>
          <cell r="L177"/>
          <cell r="M177"/>
          <cell r="N177"/>
          <cell r="O177" t="str">
            <v>停產</v>
          </cell>
          <cell r="P177">
            <v>1147.9000000000001</v>
          </cell>
          <cell r="Q177">
            <v>1110.3990450000001</v>
          </cell>
        </row>
        <row r="178">
          <cell r="D178">
            <v>4987176175458</v>
          </cell>
          <cell r="E178" t="str">
            <v>Fabric</v>
          </cell>
          <cell r="F178" t="str">
            <v>ARIEL</v>
          </cell>
          <cell r="G178" t="str">
            <v>ARIEL 超濃縮抗菌洗衣精 經典抗菌型, 800g, 1瓶</v>
          </cell>
          <cell r="H178">
            <v>9</v>
          </cell>
          <cell r="I178"/>
          <cell r="J178"/>
          <cell r="K178"/>
          <cell r="L178"/>
          <cell r="M178"/>
          <cell r="N178"/>
          <cell r="O178" t="str">
            <v>停產</v>
          </cell>
          <cell r="P178">
            <v>1215</v>
          </cell>
          <cell r="Q178">
            <v>1175.9926500000001</v>
          </cell>
        </row>
        <row r="179">
          <cell r="D179">
            <v>4987176169242</v>
          </cell>
          <cell r="E179" t="str">
            <v>Fabric</v>
          </cell>
          <cell r="F179" t="str">
            <v>ARIEL</v>
          </cell>
          <cell r="G179" t="str">
            <v>ARIEL 4D抗菌抗蟎洗衣膠囊, 27顆, 1袋</v>
          </cell>
          <cell r="H179">
            <v>9</v>
          </cell>
          <cell r="I179"/>
          <cell r="J179"/>
          <cell r="K179"/>
          <cell r="L179"/>
          <cell r="M179"/>
          <cell r="N179"/>
          <cell r="O179" t="str">
            <v>停產</v>
          </cell>
          <cell r="P179">
            <v>1973.7</v>
          </cell>
          <cell r="Q179">
            <v>1917.6598350000002</v>
          </cell>
        </row>
        <row r="180">
          <cell r="D180">
            <v>14987176146547</v>
          </cell>
          <cell r="E180" t="str">
            <v>Fabric</v>
          </cell>
          <cell r="F180" t="str">
            <v>ARIEL</v>
          </cell>
          <cell r="G180" t="str">
            <v>[箱購] ARIEL 超濃縮抗菌洗衣精1590g補充包 (經典抗菌型)X6</v>
          </cell>
          <cell r="H180">
            <v>1</v>
          </cell>
          <cell r="I180"/>
          <cell r="J180"/>
          <cell r="K180"/>
          <cell r="L180"/>
          <cell r="M180"/>
          <cell r="N180"/>
          <cell r="O180" t="str">
            <v>停產</v>
          </cell>
          <cell r="P180">
            <v>1253.4000000000001</v>
          </cell>
          <cell r="Q180">
            <v>1213.5305700000001</v>
          </cell>
        </row>
        <row r="181">
          <cell r="D181">
            <v>14987176175424</v>
          </cell>
          <cell r="E181" t="str">
            <v>Fabric</v>
          </cell>
          <cell r="F181" t="str">
            <v>ARIEL</v>
          </cell>
          <cell r="G181" t="str">
            <v>[箱購] ARIEL 超濃縮抗菌洗衣精1590g補充包 (室內晾衣型)X6</v>
          </cell>
          <cell r="H181">
            <v>1</v>
          </cell>
          <cell r="I181"/>
          <cell r="J181"/>
          <cell r="K181"/>
          <cell r="L181"/>
          <cell r="M181"/>
          <cell r="N181"/>
          <cell r="O181" t="str">
            <v>停產</v>
          </cell>
          <cell r="P181">
            <v>1253.4000000000001</v>
          </cell>
          <cell r="Q181">
            <v>1213.5305700000001</v>
          </cell>
        </row>
        <row r="182">
          <cell r="D182">
            <v>4987176280800</v>
          </cell>
          <cell r="E182" t="str">
            <v>Fabric</v>
          </cell>
          <cell r="F182" t="str">
            <v>ARIEL</v>
          </cell>
          <cell r="G182" t="str">
            <v>ARIEL 4D 洗衣膠囊 抗菌去漬型, 64顆, 1包</v>
          </cell>
          <cell r="H182">
            <v>4</v>
          </cell>
          <cell r="I182"/>
          <cell r="J182"/>
          <cell r="K182"/>
          <cell r="L182"/>
          <cell r="M182"/>
          <cell r="N182"/>
          <cell r="O182" t="str">
            <v>新品</v>
          </cell>
          <cell r="P182">
            <v>1746.4</v>
          </cell>
          <cell r="Q182">
            <v>1695.46</v>
          </cell>
        </row>
        <row r="183">
          <cell r="D183">
            <v>4987176280794</v>
          </cell>
          <cell r="E183" t="str">
            <v>Fabric</v>
          </cell>
          <cell r="F183" t="str">
            <v>ARIEL</v>
          </cell>
          <cell r="G183" t="str">
            <v>ARIEL 4D 洗衣膠囊 室內晾衣型, 64顆, 1包</v>
          </cell>
          <cell r="H183">
            <v>4</v>
          </cell>
          <cell r="I183"/>
          <cell r="J183">
            <v>0</v>
          </cell>
          <cell r="K183"/>
          <cell r="L183"/>
          <cell r="M183"/>
          <cell r="N183"/>
          <cell r="O183" t="str">
            <v>新品</v>
          </cell>
          <cell r="P183">
            <v>1746.4</v>
          </cell>
          <cell r="Q183">
            <v>1695.46</v>
          </cell>
        </row>
        <row r="184">
          <cell r="D184">
            <v>4987176337153</v>
          </cell>
          <cell r="E184" t="str">
            <v>Fabric</v>
          </cell>
          <cell r="F184" t="str">
            <v>ARIEL</v>
          </cell>
          <cell r="G184" t="str">
            <v>ARIEL 原廠公司貨 新升級 4D抗菌洗衣膠囊, 抗菌去漬型, 30顆, 1包</v>
          </cell>
          <cell r="H184">
            <v>10</v>
          </cell>
          <cell r="I184"/>
          <cell r="J184">
            <v>1500</v>
          </cell>
          <cell r="K184"/>
          <cell r="L184"/>
          <cell r="M184"/>
          <cell r="N184"/>
          <cell r="O184" t="str">
            <v>2025最新</v>
          </cell>
          <cell r="P184">
            <v>2256.9</v>
          </cell>
          <cell r="Q184">
            <v>2194.5</v>
          </cell>
        </row>
        <row r="185">
          <cell r="D185">
            <v>4987176337160</v>
          </cell>
          <cell r="E185" t="str">
            <v>Fabric</v>
          </cell>
          <cell r="F185" t="str">
            <v>ARIEL</v>
          </cell>
          <cell r="G185" t="str">
            <v>ARIEL 原廠公司貨 新升級 4D抗菌洗衣膠囊, 室內晾衣型, 30顆, 1包</v>
          </cell>
          <cell r="H185">
            <v>10</v>
          </cell>
          <cell r="I185"/>
          <cell r="J185">
            <v>333</v>
          </cell>
          <cell r="K185"/>
          <cell r="L185"/>
          <cell r="M185"/>
          <cell r="N185"/>
          <cell r="O185" t="str">
            <v>2025最新</v>
          </cell>
          <cell r="P185">
            <v>2256.9</v>
          </cell>
          <cell r="Q185">
            <v>2194.5</v>
          </cell>
        </row>
        <row r="186">
          <cell r="D186">
            <v>4987176337146</v>
          </cell>
          <cell r="E186" t="str">
            <v>Fabric</v>
          </cell>
          <cell r="F186" t="str">
            <v>ARIEL</v>
          </cell>
          <cell r="G186" t="str">
            <v>ARIEL 原廠公司貨 新升級 4D抗菌洗衣膠囊, 自然微香型, 30顆, 1包</v>
          </cell>
          <cell r="H186">
            <v>10</v>
          </cell>
          <cell r="I186"/>
          <cell r="J186">
            <v>200</v>
          </cell>
          <cell r="K186"/>
          <cell r="L186"/>
          <cell r="M186"/>
          <cell r="N186"/>
          <cell r="O186" t="str">
            <v>2025最新</v>
          </cell>
          <cell r="P186">
            <v>2256.9</v>
          </cell>
          <cell r="Q186">
            <v>2194.5</v>
          </cell>
        </row>
        <row r="187">
          <cell r="D187">
            <v>4987176280817</v>
          </cell>
          <cell r="E187" t="str">
            <v>Fabric</v>
          </cell>
          <cell r="F187" t="str">
            <v>ARIEL</v>
          </cell>
          <cell r="G187" t="str">
            <v>ARIEL 4D抗菌洗衣膠囊, 抗菌去漬型, 30顆, 1包</v>
          </cell>
          <cell r="H187">
            <v>10</v>
          </cell>
          <cell r="I187"/>
          <cell r="J187"/>
          <cell r="K187"/>
          <cell r="L187"/>
          <cell r="M187"/>
          <cell r="N187"/>
          <cell r="O187" t="str">
            <v>停產</v>
          </cell>
          <cell r="P187">
            <v>2256.9</v>
          </cell>
          <cell r="Q187">
            <v>2194.5</v>
          </cell>
        </row>
        <row r="188">
          <cell r="D188">
            <v>4987176280787</v>
          </cell>
          <cell r="E188" t="str">
            <v>Fabric</v>
          </cell>
          <cell r="F188" t="str">
            <v>ARIEL</v>
          </cell>
          <cell r="G188" t="str">
            <v>ARIEL 4D抗菌洗衣膠囊, 室內晾衣型, 30顆, 1包</v>
          </cell>
          <cell r="H188">
            <v>10</v>
          </cell>
          <cell r="I188"/>
          <cell r="J188"/>
          <cell r="K188"/>
          <cell r="L188"/>
          <cell r="M188"/>
          <cell r="N188"/>
          <cell r="O188" t="str">
            <v>停產</v>
          </cell>
          <cell r="P188">
            <v>2256.9</v>
          </cell>
          <cell r="Q188">
            <v>2194.5</v>
          </cell>
        </row>
        <row r="189">
          <cell r="D189">
            <v>4987176280824</v>
          </cell>
          <cell r="E189" t="str">
            <v>Fabric</v>
          </cell>
          <cell r="F189" t="str">
            <v>ARIEL</v>
          </cell>
          <cell r="G189" t="str">
            <v>ARIEL 4D抗菌洗衣膠囊, 自然微香型, 30顆, 1包</v>
          </cell>
          <cell r="H189">
            <v>10</v>
          </cell>
          <cell r="I189"/>
          <cell r="J189"/>
          <cell r="K189"/>
          <cell r="L189"/>
          <cell r="M189"/>
          <cell r="N189"/>
          <cell r="O189" t="str">
            <v>停產</v>
          </cell>
          <cell r="P189">
            <v>2256.9</v>
          </cell>
          <cell r="Q189">
            <v>2194.5</v>
          </cell>
        </row>
        <row r="190">
          <cell r="D190">
            <v>4987176351142</v>
          </cell>
          <cell r="E190" t="str">
            <v>Fabric</v>
          </cell>
          <cell r="F190" t="str">
            <v>ARIEL</v>
          </cell>
          <cell r="G190" t="str">
            <v>ARIEL 原廠公司貨 新升級 4D抗菌洗衣膠囊, 抗菌去漬型, 11顆, 1盒</v>
          </cell>
          <cell r="H190">
            <v>6</v>
          </cell>
          <cell r="I190"/>
          <cell r="J190">
            <v>414</v>
          </cell>
          <cell r="K190"/>
          <cell r="L190"/>
          <cell r="M190"/>
          <cell r="N190"/>
          <cell r="O190" t="str">
            <v>2025最新</v>
          </cell>
          <cell r="P190">
            <v>655.8</v>
          </cell>
          <cell r="Q190">
            <v>629.35</v>
          </cell>
        </row>
        <row r="191">
          <cell r="D191">
            <v>4987176351104</v>
          </cell>
          <cell r="E191" t="str">
            <v>Fabric</v>
          </cell>
          <cell r="F191" t="str">
            <v>ARIEL</v>
          </cell>
          <cell r="G191" t="str">
            <v>ARIEL 原廠公司貨 新升級 4D抗菌洗衣膠囊, 室內晾衣型, 11顆, 1盒</v>
          </cell>
          <cell r="H191">
            <v>6</v>
          </cell>
          <cell r="I191"/>
          <cell r="J191">
            <v>0</v>
          </cell>
          <cell r="K191"/>
          <cell r="L191"/>
          <cell r="M191"/>
          <cell r="N191"/>
          <cell r="O191" t="str">
            <v>2025最新</v>
          </cell>
          <cell r="P191">
            <v>655.8</v>
          </cell>
          <cell r="Q191">
            <v>629.35</v>
          </cell>
        </row>
        <row r="192">
          <cell r="D192">
            <v>4987176351111</v>
          </cell>
          <cell r="E192" t="str">
            <v>Fabric</v>
          </cell>
          <cell r="F192" t="str">
            <v>ARIEL</v>
          </cell>
          <cell r="G192" t="str">
            <v>ARIEL 原廠公司貨 新升級 4D抗菌洗衣膠囊, 自然微香型, 12顆, 1盒</v>
          </cell>
          <cell r="H192">
            <v>6</v>
          </cell>
          <cell r="I192"/>
          <cell r="J192"/>
          <cell r="K192"/>
          <cell r="L192"/>
          <cell r="M192"/>
          <cell r="N192"/>
          <cell r="O192" t="str">
            <v>2025最新</v>
          </cell>
          <cell r="P192">
            <v>655.8</v>
          </cell>
          <cell r="Q192">
            <v>629.35</v>
          </cell>
        </row>
        <row r="193">
          <cell r="D193">
            <v>4987176238511</v>
          </cell>
          <cell r="E193" t="str">
            <v>Fabric</v>
          </cell>
          <cell r="F193" t="str">
            <v>ARIEL</v>
          </cell>
          <cell r="G193" t="str">
            <v>ARIEL 4D抗菌洗衣膠囊11顆盒裝 (抗菌去漬)</v>
          </cell>
          <cell r="H193">
            <v>6</v>
          </cell>
          <cell r="I193"/>
          <cell r="J193"/>
          <cell r="K193"/>
          <cell r="L193"/>
          <cell r="M193"/>
          <cell r="N193"/>
          <cell r="O193" t="str">
            <v>停產</v>
          </cell>
          <cell r="P193">
            <v>655.8</v>
          </cell>
          <cell r="Q193">
            <v>629.35</v>
          </cell>
        </row>
        <row r="194">
          <cell r="D194">
            <v>4987176238566</v>
          </cell>
          <cell r="E194" t="str">
            <v>Fabric</v>
          </cell>
          <cell r="F194" t="str">
            <v>ARIEL</v>
          </cell>
          <cell r="G194" t="str">
            <v>ARIEL 4D抗菌洗衣膠囊11顆盒裝 (室內晾衣)</v>
          </cell>
          <cell r="H194">
            <v>6</v>
          </cell>
          <cell r="I194"/>
          <cell r="J194"/>
          <cell r="K194"/>
          <cell r="L194"/>
          <cell r="M194"/>
          <cell r="N194"/>
          <cell r="O194" t="str">
            <v>停產</v>
          </cell>
          <cell r="P194">
            <v>655.8</v>
          </cell>
          <cell r="Q194">
            <v>629.35</v>
          </cell>
        </row>
        <row r="195">
          <cell r="D195">
            <v>4987176062307</v>
          </cell>
          <cell r="E195" t="str">
            <v>Fabric</v>
          </cell>
          <cell r="F195" t="str">
            <v>ARIEL</v>
          </cell>
          <cell r="G195" t="str">
            <v>ARIEL 4D抗菌洗衣膠囊12顆盒裝 (自然微香)</v>
          </cell>
          <cell r="H195">
            <v>6</v>
          </cell>
          <cell r="I195"/>
          <cell r="J195"/>
          <cell r="K195"/>
          <cell r="L195"/>
          <cell r="M195"/>
          <cell r="N195"/>
          <cell r="O195" t="str">
            <v>停產</v>
          </cell>
          <cell r="P195">
            <v>655.8</v>
          </cell>
          <cell r="Q195">
            <v>629.35</v>
          </cell>
        </row>
        <row r="196">
          <cell r="D196">
            <v>4987176208781</v>
          </cell>
          <cell r="E196" t="str">
            <v>Fabric</v>
          </cell>
          <cell r="F196" t="str">
            <v>ARIEL</v>
          </cell>
          <cell r="G196" t="str">
            <v>ARIEL 4D 洗衣膠囊 室內晾衣型, 32顆, 1包</v>
          </cell>
          <cell r="H196">
            <v>9</v>
          </cell>
          <cell r="I196"/>
          <cell r="J196"/>
          <cell r="K196"/>
          <cell r="L196"/>
          <cell r="M196"/>
          <cell r="N196"/>
          <cell r="O196" t="str">
            <v>停產</v>
          </cell>
          <cell r="P196">
            <v>2171.8000000000002</v>
          </cell>
          <cell r="Q196">
            <v>2111.3124900000003</v>
          </cell>
        </row>
        <row r="197">
          <cell r="D197">
            <v>4987176090539</v>
          </cell>
          <cell r="E197" t="str">
            <v>Fabric</v>
          </cell>
          <cell r="F197" t="str">
            <v>ARIEL</v>
          </cell>
          <cell r="G197" t="str">
            <v xml:space="preserve">ARIEL 4D抗菌抗蟎洗衣膠囊12顆盒裝 </v>
          </cell>
          <cell r="H197">
            <v>6</v>
          </cell>
          <cell r="I197"/>
          <cell r="J197"/>
          <cell r="K197"/>
          <cell r="L197"/>
          <cell r="M197"/>
          <cell r="N197"/>
          <cell r="O197" t="str">
            <v>停產</v>
          </cell>
          <cell r="P197">
            <v>655.8</v>
          </cell>
          <cell r="Q197">
            <v>629.34669000000008</v>
          </cell>
        </row>
        <row r="198">
          <cell r="D198">
            <v>4987176208828</v>
          </cell>
          <cell r="E198" t="str">
            <v>Fabric</v>
          </cell>
          <cell r="F198" t="str">
            <v>ARIEL</v>
          </cell>
          <cell r="G198" t="str">
            <v>ARIEL 4D 洗衣膠囊 室內晾衣型, 60顆, 1包</v>
          </cell>
          <cell r="H198">
            <v>4</v>
          </cell>
          <cell r="I198"/>
          <cell r="J198"/>
          <cell r="K198"/>
          <cell r="L198"/>
          <cell r="M198"/>
          <cell r="N198"/>
          <cell r="O198" t="str">
            <v>停產</v>
          </cell>
          <cell r="P198">
            <v>1631.6</v>
          </cell>
          <cell r="Q198">
            <v>1583.24</v>
          </cell>
        </row>
        <row r="199">
          <cell r="D199">
            <v>4987176208811</v>
          </cell>
          <cell r="E199" t="str">
            <v>Fabric</v>
          </cell>
          <cell r="F199" t="str">
            <v>ARIEL</v>
          </cell>
          <cell r="G199" t="str">
            <v>ARIEL 4D 洗衣膠囊 抗菌去漬型, 60顆, 1包</v>
          </cell>
          <cell r="H199">
            <v>4</v>
          </cell>
          <cell r="I199"/>
          <cell r="J199"/>
          <cell r="K199"/>
          <cell r="L199"/>
          <cell r="M199"/>
          <cell r="N199"/>
          <cell r="O199" t="str">
            <v>停產</v>
          </cell>
          <cell r="P199">
            <v>1631.6</v>
          </cell>
          <cell r="Q199">
            <v>1583.24</v>
          </cell>
        </row>
        <row r="200">
          <cell r="D200">
            <v>4987176208835</v>
          </cell>
          <cell r="E200" t="str">
            <v>Fabric</v>
          </cell>
          <cell r="F200" t="str">
            <v>ARIEL</v>
          </cell>
          <cell r="G200" t="str">
            <v>ARIEL 4D 洗衣膠囊 抗菌去漬型, 32顆, 1包</v>
          </cell>
          <cell r="H200">
            <v>9</v>
          </cell>
          <cell r="I200"/>
          <cell r="J200"/>
          <cell r="K200"/>
          <cell r="L200"/>
          <cell r="M200"/>
          <cell r="N200"/>
          <cell r="O200" t="str">
            <v>停產</v>
          </cell>
          <cell r="P200">
            <v>2171.8000000000002</v>
          </cell>
          <cell r="Q200">
            <v>2111.3124900000003</v>
          </cell>
        </row>
        <row r="201">
          <cell r="D201">
            <v>4987176214225</v>
          </cell>
          <cell r="E201" t="str">
            <v>Fabric</v>
          </cell>
          <cell r="F201" t="str">
            <v>ARIEL</v>
          </cell>
          <cell r="G201" t="str">
            <v>ARIEL 4D抗菌洗衣膠囊11顆盒裝 (抗菌去漬)</v>
          </cell>
          <cell r="H201">
            <v>6</v>
          </cell>
          <cell r="I201"/>
          <cell r="J201"/>
          <cell r="K201"/>
          <cell r="L201"/>
          <cell r="M201"/>
          <cell r="N201"/>
          <cell r="O201" t="str">
            <v>停產</v>
          </cell>
          <cell r="P201">
            <v>655.8</v>
          </cell>
          <cell r="Q201">
            <v>629.34669000000008</v>
          </cell>
        </row>
        <row r="202">
          <cell r="D202">
            <v>4987176214232</v>
          </cell>
          <cell r="E202" t="str">
            <v>Fabric</v>
          </cell>
          <cell r="F202" t="str">
            <v>ARIEL</v>
          </cell>
          <cell r="G202" t="str">
            <v>ARIEL 4D抗菌洗衣膠囊11顆盒裝 (室內晾衣)</v>
          </cell>
          <cell r="H202">
            <v>6</v>
          </cell>
          <cell r="I202"/>
          <cell r="J202"/>
          <cell r="K202"/>
          <cell r="L202"/>
          <cell r="M202"/>
          <cell r="N202"/>
          <cell r="O202" t="str">
            <v>停產</v>
          </cell>
          <cell r="P202">
            <v>655.8</v>
          </cell>
          <cell r="Q202">
            <v>629.34669000000008</v>
          </cell>
        </row>
        <row r="203">
          <cell r="D203">
            <v>4987176214249</v>
          </cell>
          <cell r="E203" t="str">
            <v>Fabric</v>
          </cell>
          <cell r="F203" t="str">
            <v>ARIEL</v>
          </cell>
          <cell r="G203" t="str">
            <v>ARIEL 4D抗菌洗衣膠囊12顆盒裝 (微香型)</v>
          </cell>
          <cell r="H203">
            <v>6</v>
          </cell>
          <cell r="I203"/>
          <cell r="J203"/>
          <cell r="K203"/>
          <cell r="L203"/>
          <cell r="M203"/>
          <cell r="N203"/>
          <cell r="O203" t="str">
            <v>停產</v>
          </cell>
          <cell r="P203">
            <v>655.8</v>
          </cell>
          <cell r="Q203">
            <v>629.34669000000008</v>
          </cell>
        </row>
        <row r="204">
          <cell r="D204">
            <v>4987176214621</v>
          </cell>
          <cell r="E204" t="str">
            <v>Fabric</v>
          </cell>
          <cell r="F204" t="str">
            <v>ARIEL</v>
          </cell>
          <cell r="G204" t="str">
            <v>ARIEL 4D抗菌洗衣膠囊 微香型 39顆, 1袋</v>
          </cell>
          <cell r="H204">
            <v>9</v>
          </cell>
          <cell r="I204"/>
          <cell r="J204"/>
          <cell r="K204"/>
          <cell r="L204"/>
          <cell r="M204"/>
          <cell r="N204"/>
          <cell r="O204"/>
          <cell r="P204">
            <v>2630.3</v>
          </cell>
          <cell r="Q204">
            <v>2559.5191650000002</v>
          </cell>
        </row>
        <row r="205">
          <cell r="D205">
            <v>4902430529488</v>
          </cell>
          <cell r="E205" t="str">
            <v>Skin</v>
          </cell>
          <cell r="F205" t="str">
            <v>OLAY 歐蕾</v>
          </cell>
          <cell r="G205" t="str">
            <v>OLAY 歐蕾 新生高效緊緻護膚霜, 50g, 1入</v>
          </cell>
          <cell r="H205">
            <v>12</v>
          </cell>
          <cell r="I205"/>
          <cell r="J205"/>
          <cell r="K205"/>
          <cell r="L205"/>
          <cell r="M205"/>
          <cell r="N205"/>
          <cell r="O205" t="str">
            <v>不放貨</v>
          </cell>
          <cell r="P205">
            <v>7416</v>
          </cell>
          <cell r="Q205">
            <v>7237.7802000000001</v>
          </cell>
        </row>
        <row r="206">
          <cell r="D206">
            <v>4987176161734</v>
          </cell>
          <cell r="E206" t="str">
            <v>Skin</v>
          </cell>
          <cell r="F206" t="str">
            <v>OLAY 歐蕾</v>
          </cell>
          <cell r="G206" t="str">
            <v>OLAY 歐蕾 新生高效緊緻優惠組 護膚霜50g+緊緻活膚露18mlx2+護膚霜 14gx2, 1組</v>
          </cell>
          <cell r="H206">
            <v>6</v>
          </cell>
          <cell r="I206"/>
          <cell r="J206"/>
          <cell r="K206"/>
          <cell r="L206"/>
          <cell r="M206"/>
          <cell r="N206"/>
          <cell r="O206" t="str">
            <v>不放貨</v>
          </cell>
          <cell r="P206">
            <v>3708</v>
          </cell>
          <cell r="Q206">
            <v>3613.0248000000001</v>
          </cell>
        </row>
        <row r="207">
          <cell r="D207">
            <v>4987176146717</v>
          </cell>
          <cell r="E207" t="str">
            <v>Skin</v>
          </cell>
          <cell r="F207" t="str">
            <v>OLAY 歐蕾</v>
          </cell>
          <cell r="G207" t="str">
            <v>OLAY 歐蕾 滋潤淡紋優惠組 活膚精華霜50gx2+多元修護晚霜14g, 1組</v>
          </cell>
          <cell r="H207">
            <v>12</v>
          </cell>
          <cell r="I207"/>
          <cell r="J207"/>
          <cell r="K207"/>
          <cell r="L207"/>
          <cell r="M207"/>
          <cell r="N207"/>
          <cell r="O207"/>
          <cell r="P207">
            <v>7152</v>
          </cell>
          <cell r="Q207">
            <v>6979.7070000000003</v>
          </cell>
        </row>
        <row r="208">
          <cell r="D208">
            <v>4902430056496</v>
          </cell>
          <cell r="E208" t="str">
            <v>Skin</v>
          </cell>
          <cell r="F208" t="str">
            <v>OLAY 歐蕾</v>
          </cell>
          <cell r="G208" t="str">
            <v>OLAY 歐蕾 活膚菁華霜, 50g, 1罐</v>
          </cell>
          <cell r="H208">
            <v>6</v>
          </cell>
          <cell r="I208"/>
          <cell r="J208">
            <v>30</v>
          </cell>
          <cell r="K208"/>
          <cell r="L208"/>
          <cell r="M208"/>
          <cell r="N208"/>
          <cell r="O208"/>
          <cell r="P208">
            <v>1788</v>
          </cell>
          <cell r="Q208">
            <v>1736.1288000000002</v>
          </cell>
        </row>
        <row r="209">
          <cell r="D209">
            <v>4902430396073</v>
          </cell>
          <cell r="E209" t="str">
            <v>Skin</v>
          </cell>
          <cell r="F209" t="str">
            <v>OLAY 歐蕾</v>
          </cell>
          <cell r="G209" t="str">
            <v>OLAY 歐蕾 多元修護日霜, 50g, 1罐</v>
          </cell>
          <cell r="H209">
            <v>12</v>
          </cell>
          <cell r="I209"/>
          <cell r="J209">
            <v>16</v>
          </cell>
          <cell r="K209"/>
          <cell r="L209"/>
          <cell r="M209"/>
          <cell r="N209"/>
          <cell r="O209"/>
          <cell r="P209">
            <v>4783.99</v>
          </cell>
          <cell r="Q209">
            <v>4664.8588245000001</v>
          </cell>
        </row>
        <row r="210">
          <cell r="D210">
            <v>4902430509695</v>
          </cell>
          <cell r="E210" t="str">
            <v>Skin</v>
          </cell>
          <cell r="F210" t="str">
            <v>OLAY 歐蕾</v>
          </cell>
          <cell r="G210" t="str">
            <v>OLAY 歐蕾 長效保濕凝露, 50g, 1罐</v>
          </cell>
          <cell r="H210">
            <v>12</v>
          </cell>
          <cell r="I210"/>
          <cell r="J210">
            <v>13</v>
          </cell>
          <cell r="K210"/>
          <cell r="L210"/>
          <cell r="M210"/>
          <cell r="N210"/>
          <cell r="O210"/>
          <cell r="P210">
            <v>2570.6799999999998</v>
          </cell>
          <cell r="Q210">
            <v>2501.2376340000001</v>
          </cell>
        </row>
        <row r="211">
          <cell r="D211">
            <v>4902430396066</v>
          </cell>
          <cell r="E211" t="str">
            <v>Skin</v>
          </cell>
          <cell r="F211" t="str">
            <v>OLAY 歐蕾</v>
          </cell>
          <cell r="G211" t="str">
            <v>OLAY歐蕾 多元修護晚霜(6066)50g, 50g, 1罐</v>
          </cell>
          <cell r="H211">
            <v>12</v>
          </cell>
          <cell r="I211"/>
          <cell r="J211">
            <v>13</v>
          </cell>
          <cell r="K211"/>
          <cell r="L211"/>
          <cell r="M211"/>
          <cell r="N211"/>
          <cell r="O211"/>
          <cell r="P211">
            <v>4783.99</v>
          </cell>
          <cell r="Q211">
            <v>4664.8588245000001</v>
          </cell>
        </row>
        <row r="212">
          <cell r="D212">
            <v>4987176126467</v>
          </cell>
          <cell r="E212" t="str">
            <v>Skin</v>
          </cell>
          <cell r="F212" t="str">
            <v>OLAY 歐蕾</v>
          </cell>
          <cell r="G212" t="str">
            <v>OLAY 歐蕾 3步水潤亮白組 高效透白光曜精華30ml+透白光曜精華6ml+透白光曜精華水50ml+面膜x1, 1組</v>
          </cell>
          <cell r="H212">
            <v>12</v>
          </cell>
          <cell r="I212"/>
          <cell r="J212"/>
          <cell r="K212"/>
          <cell r="L212"/>
          <cell r="M212"/>
          <cell r="N212"/>
          <cell r="O212" t="str">
            <v>不放貨</v>
          </cell>
          <cell r="P212">
            <v>8100</v>
          </cell>
          <cell r="Q212">
            <v>7906.4244000000008</v>
          </cell>
        </row>
        <row r="213">
          <cell r="D213">
            <v>4987176106438</v>
          </cell>
          <cell r="E213" t="str">
            <v>Skin</v>
          </cell>
          <cell r="F213" t="str">
            <v>OLAY 歐蕾</v>
          </cell>
          <cell r="G213" t="str">
            <v>OLAY歐蕾水感透白光曜精華水150ML, 1瓶, 150ml</v>
          </cell>
          <cell r="H213">
            <v>12</v>
          </cell>
          <cell r="I213"/>
          <cell r="J213"/>
          <cell r="K213"/>
          <cell r="L213"/>
          <cell r="M213"/>
          <cell r="N213"/>
          <cell r="O213" t="str">
            <v>不放貨</v>
          </cell>
          <cell r="P213">
            <v>6626.4</v>
          </cell>
          <cell r="Q213">
            <v>6465.906719999999</v>
          </cell>
        </row>
        <row r="214">
          <cell r="D214">
            <v>4902430056519</v>
          </cell>
          <cell r="E214" t="str">
            <v>Skin</v>
          </cell>
          <cell r="F214" t="str">
            <v>OLAY 歐蕾</v>
          </cell>
          <cell r="G214" t="str">
            <v>OLAY 滋潤保濕乳液, 150ml, 1瓶</v>
          </cell>
          <cell r="H214">
            <v>6</v>
          </cell>
          <cell r="I214"/>
          <cell r="J214">
            <v>17</v>
          </cell>
          <cell r="K214"/>
          <cell r="L214"/>
          <cell r="M214"/>
          <cell r="N214"/>
          <cell r="O214"/>
          <cell r="P214">
            <v>1192</v>
          </cell>
          <cell r="Q214">
            <v>1153.509</v>
          </cell>
        </row>
        <row r="215">
          <cell r="D215">
            <v>4902430506250</v>
          </cell>
          <cell r="E215" t="str">
            <v>Skin</v>
          </cell>
          <cell r="F215" t="str">
            <v>OLAY 歐蕾</v>
          </cell>
          <cell r="G215" t="str">
            <v>OLAY 歐蕾 淨白保濕露, 1瓶, 150ml</v>
          </cell>
          <cell r="H215">
            <v>12</v>
          </cell>
          <cell r="I215"/>
          <cell r="J215"/>
          <cell r="K215"/>
          <cell r="L215"/>
          <cell r="M215"/>
          <cell r="N215"/>
          <cell r="O215" t="str">
            <v>停產</v>
          </cell>
          <cell r="P215">
            <v>3184</v>
          </cell>
          <cell r="Q215">
            <v>3100.7886000000003</v>
          </cell>
        </row>
        <row r="216">
          <cell r="D216">
            <v>9300618556502</v>
          </cell>
          <cell r="E216" t="str">
            <v>Skin</v>
          </cell>
          <cell r="F216" t="str">
            <v>OLAY 歐蕾</v>
          </cell>
          <cell r="G216" t="str">
            <v>OLAY 歐蕾 歐蕾滋潤保濕乳液(敏感), 150ml, 1瓶</v>
          </cell>
          <cell r="H216">
            <v>6</v>
          </cell>
          <cell r="I216"/>
          <cell r="J216">
            <v>27</v>
          </cell>
          <cell r="K216"/>
          <cell r="L216"/>
          <cell r="M216"/>
          <cell r="N216"/>
          <cell r="O216"/>
          <cell r="P216">
            <v>1192</v>
          </cell>
          <cell r="Q216">
            <v>1153.509</v>
          </cell>
        </row>
        <row r="217">
          <cell r="D217">
            <v>4987176170279</v>
          </cell>
          <cell r="E217" t="str">
            <v>Skin</v>
          </cell>
          <cell r="F217" t="str">
            <v>OLAY 歐蕾</v>
          </cell>
          <cell r="G217" t="str">
            <v>OLAY 歐蕾 新生高效緊緻活膚露, 150ml, 1瓶</v>
          </cell>
          <cell r="H217">
            <v>12</v>
          </cell>
          <cell r="I217"/>
          <cell r="J217"/>
          <cell r="K217"/>
          <cell r="L217"/>
          <cell r="M217"/>
          <cell r="N217"/>
          <cell r="O217" t="str">
            <v>不放貨
Hard conversion SOS 7/15, new barcode 4987176271716</v>
          </cell>
          <cell r="P217">
            <v>6626.4</v>
          </cell>
          <cell r="Q217">
            <v>6465.906719999999</v>
          </cell>
        </row>
        <row r="218">
          <cell r="D218">
            <v>9300618556519</v>
          </cell>
          <cell r="E218" t="str">
            <v>Skin</v>
          </cell>
          <cell r="F218" t="str">
            <v>OLAY 歐蕾</v>
          </cell>
          <cell r="G218" t="str">
            <v>OLAY 歐蕾 滋潤保濕霜 無添加色素香料, 100g, 1罐</v>
          </cell>
          <cell r="H218">
            <v>6</v>
          </cell>
          <cell r="I218"/>
          <cell r="J218"/>
          <cell r="K218"/>
          <cell r="L218"/>
          <cell r="M218"/>
          <cell r="N218"/>
          <cell r="O218" t="str">
            <v>停產</v>
          </cell>
          <cell r="P218">
            <v>1458.4</v>
          </cell>
          <cell r="Q218">
            <v>1413.92832</v>
          </cell>
        </row>
        <row r="219">
          <cell r="D219">
            <v>4902430396059</v>
          </cell>
          <cell r="E219" t="str">
            <v>Skin</v>
          </cell>
          <cell r="F219" t="str">
            <v>OLAY 歐蕾</v>
          </cell>
          <cell r="G219" t="str">
            <v>OLAY 歐蕾 多元修護霜無香料配方, 50g , 1入</v>
          </cell>
          <cell r="H219">
            <v>6</v>
          </cell>
          <cell r="I219"/>
          <cell r="J219">
            <v>14</v>
          </cell>
          <cell r="K219"/>
          <cell r="L219"/>
          <cell r="M219"/>
          <cell r="N219"/>
          <cell r="O219"/>
          <cell r="P219">
            <v>2387.9899999999998</v>
          </cell>
          <cell r="Q219">
            <v>2322.6490245</v>
          </cell>
        </row>
        <row r="220">
          <cell r="D220">
            <v>4987176146700</v>
          </cell>
          <cell r="E220" t="str">
            <v>Skin</v>
          </cell>
          <cell r="F220" t="str">
            <v>OLAY 歐蕾</v>
          </cell>
          <cell r="G220" t="str">
            <v>OLAY 歐蕾 多元修護日霜2入優惠組 日霜50gx2+晚霜14gx3, 1組</v>
          </cell>
          <cell r="H220">
            <v>12</v>
          </cell>
          <cell r="I220"/>
          <cell r="J220">
            <v>5</v>
          </cell>
          <cell r="K220"/>
          <cell r="L220"/>
          <cell r="M220"/>
          <cell r="N220"/>
          <cell r="O220"/>
          <cell r="P220">
            <v>9568</v>
          </cell>
          <cell r="Q220">
            <v>9341.4678000000004</v>
          </cell>
        </row>
        <row r="221">
          <cell r="D221">
            <v>4987176155047</v>
          </cell>
          <cell r="E221" t="str">
            <v>Skin</v>
          </cell>
          <cell r="F221" t="str">
            <v>OLAY 歐蕾</v>
          </cell>
          <cell r="G221" t="str">
            <v>OLAY 歐蕾 多元修護 日晚霜組 日霜50gx3+晚霜14gx4, 1組</v>
          </cell>
          <cell r="H221">
            <v>12</v>
          </cell>
          <cell r="I221"/>
          <cell r="J221"/>
          <cell r="K221"/>
          <cell r="L221"/>
          <cell r="M221"/>
          <cell r="N221"/>
          <cell r="O221" t="str">
            <v>停產</v>
          </cell>
          <cell r="P221">
            <v>14352</v>
          </cell>
          <cell r="Q221">
            <v>14018.067000000001</v>
          </cell>
        </row>
        <row r="222">
          <cell r="D222">
            <v>4902430299534</v>
          </cell>
          <cell r="E222" t="str">
            <v>Skin</v>
          </cell>
          <cell r="F222" t="str">
            <v>OLAY 歐蕾</v>
          </cell>
          <cell r="G222" t="str">
            <v>OLAY歐蕾滋潤保溼霜 100g, 100g, 1罐</v>
          </cell>
          <cell r="H222">
            <v>6</v>
          </cell>
          <cell r="I222"/>
          <cell r="J222"/>
          <cell r="K222"/>
          <cell r="L222"/>
          <cell r="M222"/>
          <cell r="N222"/>
          <cell r="O222" t="str">
            <v>停產</v>
          </cell>
          <cell r="P222">
            <v>1458.4</v>
          </cell>
          <cell r="Q222">
            <v>1413.92832</v>
          </cell>
        </row>
        <row r="223">
          <cell r="D223">
            <v>4987176271624</v>
          </cell>
          <cell r="E223" t="str">
            <v>Skin</v>
          </cell>
          <cell r="F223" t="str">
            <v>OLAY 歐蕾</v>
          </cell>
          <cell r="G223" t="str">
            <v>OLAY歐蕾 滋潤保溼霜, 100g, 1罐</v>
          </cell>
          <cell r="H223">
            <v>6</v>
          </cell>
          <cell r="I223"/>
          <cell r="J223">
            <v>9</v>
          </cell>
          <cell r="K223"/>
          <cell r="L223"/>
          <cell r="M223"/>
          <cell r="N223"/>
          <cell r="O223"/>
          <cell r="P223">
            <v>1458.4</v>
          </cell>
          <cell r="Q223">
            <v>1413.93</v>
          </cell>
        </row>
        <row r="224">
          <cell r="D224">
            <v>4987176271617</v>
          </cell>
          <cell r="E224" t="str">
            <v>Skin</v>
          </cell>
          <cell r="F224" t="str">
            <v>OLAY 歐蕾</v>
          </cell>
          <cell r="G224" t="str">
            <v>OLAY歐蕾 滋潤保濕霜, 無添加色素香料, 100g, 1罐</v>
          </cell>
          <cell r="H224">
            <v>6</v>
          </cell>
          <cell r="I224"/>
          <cell r="J224">
            <v>4</v>
          </cell>
          <cell r="K224"/>
          <cell r="L224"/>
          <cell r="M224"/>
          <cell r="N224"/>
          <cell r="O224"/>
          <cell r="P224">
            <v>1458.4</v>
          </cell>
          <cell r="Q224">
            <v>1413.93</v>
          </cell>
        </row>
        <row r="225">
          <cell r="D225">
            <v>4987176155030</v>
          </cell>
          <cell r="E225" t="str">
            <v>Skin</v>
          </cell>
          <cell r="F225" t="str">
            <v>OLAY 歐蕾</v>
          </cell>
          <cell r="G225" t="str">
            <v>OLAY 歐蕾 多元修護 晚霜組 晚霜50gx3+晚霜14gx4, 1組</v>
          </cell>
          <cell r="H225">
            <v>12</v>
          </cell>
          <cell r="I225"/>
          <cell r="J225"/>
          <cell r="K225"/>
          <cell r="L225"/>
          <cell r="M225"/>
          <cell r="N225"/>
          <cell r="O225" t="str">
            <v>停產</v>
          </cell>
          <cell r="P225">
            <v>14352</v>
          </cell>
          <cell r="Q225">
            <v>14018.067000000001</v>
          </cell>
        </row>
        <row r="226">
          <cell r="D226">
            <v>4902430729642</v>
          </cell>
          <cell r="E226" t="str">
            <v>Skin</v>
          </cell>
          <cell r="F226" t="str">
            <v>OLAY 歐蕾</v>
          </cell>
          <cell r="G226" t="str">
            <v>OLAY 歐蕾 高效透白光曜精華30ML, 1瓶, 30ml</v>
          </cell>
          <cell r="H226">
            <v>12</v>
          </cell>
          <cell r="I226"/>
          <cell r="J226"/>
          <cell r="K226"/>
          <cell r="L226"/>
          <cell r="M226"/>
          <cell r="N226"/>
          <cell r="O226" t="str">
            <v>不放貨</v>
          </cell>
          <cell r="P226">
            <v>8100</v>
          </cell>
          <cell r="Q226">
            <v>7906.4244000000008</v>
          </cell>
        </row>
        <row r="227">
          <cell r="D227">
            <v>4987176146724</v>
          </cell>
          <cell r="E227" t="str">
            <v>Skin</v>
          </cell>
          <cell r="F227" t="str">
            <v>OLAY 歐蕾</v>
          </cell>
          <cell r="G227" t="str">
            <v>OLAY 歐蕾 長效滋潤優惠組(滋潤保濕乳液150mlx2+多元修護晚霜14g)</v>
          </cell>
          <cell r="H227">
            <v>12</v>
          </cell>
          <cell r="I227"/>
          <cell r="J227"/>
          <cell r="K227"/>
          <cell r="L227"/>
          <cell r="M227"/>
          <cell r="N227"/>
          <cell r="O227" t="str">
            <v>停產</v>
          </cell>
          <cell r="P227">
            <v>4836</v>
          </cell>
          <cell r="Q227">
            <v>4715.7012000000004</v>
          </cell>
        </row>
        <row r="228">
          <cell r="D228">
            <v>4987176250353</v>
          </cell>
          <cell r="E228" t="str">
            <v>Skin</v>
          </cell>
          <cell r="F228" t="str">
            <v>OLAY 歐蕾</v>
          </cell>
          <cell r="G228" t="str">
            <v>OLAY 歐蕾 水感透白面膜 , 5片, 1盒</v>
          </cell>
          <cell r="H228">
            <v>6</v>
          </cell>
          <cell r="I228"/>
          <cell r="J228">
            <v>23</v>
          </cell>
          <cell r="K228"/>
          <cell r="L228"/>
          <cell r="M228"/>
          <cell r="N228"/>
          <cell r="O228"/>
          <cell r="P228">
            <v>1691.58</v>
          </cell>
          <cell r="Q228">
            <v>1641.87</v>
          </cell>
        </row>
        <row r="229">
          <cell r="D229">
            <v>4987176190734</v>
          </cell>
          <cell r="E229" t="str">
            <v>Skin</v>
          </cell>
          <cell r="F229" t="str">
            <v>OLAY 歐蕾</v>
          </cell>
          <cell r="G229" t="str">
            <v>OLAY 歐蕾 抗皺保濕面膜 , 5片, 1盒</v>
          </cell>
          <cell r="H229">
            <v>12</v>
          </cell>
          <cell r="I229"/>
          <cell r="J229">
            <v>0</v>
          </cell>
          <cell r="K229"/>
          <cell r="L229"/>
          <cell r="M229"/>
          <cell r="N229"/>
          <cell r="O229"/>
          <cell r="P229">
            <v>3383.16</v>
          </cell>
          <cell r="Q229">
            <v>3295.48</v>
          </cell>
        </row>
        <row r="230">
          <cell r="D230">
            <v>4902430265812</v>
          </cell>
          <cell r="E230" t="str">
            <v>Skin</v>
          </cell>
          <cell r="F230" t="str">
            <v>OLAY 歐蕾</v>
          </cell>
          <cell r="G230" t="str">
            <v>OLAY 歐蕾 多元修護眼霜, 15g, 1罐</v>
          </cell>
          <cell r="H230">
            <v>12</v>
          </cell>
          <cell r="I230"/>
          <cell r="J230"/>
          <cell r="K230"/>
          <cell r="L230"/>
          <cell r="M230"/>
          <cell r="N230"/>
          <cell r="O230"/>
          <cell r="P230">
            <v>4464</v>
          </cell>
          <cell r="Q230">
            <v>4352.05</v>
          </cell>
        </row>
        <row r="231">
          <cell r="D231">
            <v>6903148358160</v>
          </cell>
          <cell r="E231" t="str">
            <v>Baby</v>
          </cell>
          <cell r="F231" t="str">
            <v>Pampers 幫寶適</v>
          </cell>
          <cell r="G231" t="str">
            <v>2024全新 Pampers 幫寶適 台灣公司貨 極上守護 一級幫散熱拉拉褲/尿布, 褲型, L, 9~14kg, 8片</v>
          </cell>
          <cell r="H231">
            <v>6</v>
          </cell>
          <cell r="I231"/>
          <cell r="J231"/>
          <cell r="K231"/>
          <cell r="L231"/>
          <cell r="M231"/>
          <cell r="N231"/>
          <cell r="O231"/>
          <cell r="P231">
            <v>480</v>
          </cell>
          <cell r="Q231">
            <v>444.79019999999997</v>
          </cell>
        </row>
        <row r="232">
          <cell r="D232">
            <v>14987176287004</v>
          </cell>
          <cell r="E232" t="str">
            <v>Baby</v>
          </cell>
          <cell r="F232" t="str">
            <v>Pampers 幫寶適</v>
          </cell>
          <cell r="G232" t="str">
            <v>2024全新 Pampers 幫寶適 台灣公司貨 極上守護 一級幫紙尿褲/尿布新生禮盒組 (NB 32片+S 112片)</v>
          </cell>
          <cell r="H232">
            <v>1</v>
          </cell>
          <cell r="I232"/>
          <cell r="J232"/>
          <cell r="K232"/>
          <cell r="L232"/>
          <cell r="M232"/>
          <cell r="N232"/>
          <cell r="O232"/>
          <cell r="P232">
            <v>856.4</v>
          </cell>
          <cell r="Q232">
            <v>812.74</v>
          </cell>
        </row>
        <row r="233">
          <cell r="D233">
            <v>14987176287011</v>
          </cell>
          <cell r="E233" t="str">
            <v>Baby</v>
          </cell>
          <cell r="F233" t="str">
            <v>Pampers 幫寶適</v>
          </cell>
          <cell r="G233" t="str">
            <v>2024全新 Pampers 幫寶適 台灣公司貨 極上守護 一級幫紙尿褲/尿布成長禮盒組(S 56片+M 108片)</v>
          </cell>
          <cell r="H233">
            <v>1</v>
          </cell>
          <cell r="I233"/>
          <cell r="J233"/>
          <cell r="K233"/>
          <cell r="L233"/>
          <cell r="M233"/>
          <cell r="N233"/>
          <cell r="O233"/>
          <cell r="P233">
            <v>1169.2</v>
          </cell>
          <cell r="Q233">
            <v>1118.51</v>
          </cell>
        </row>
        <row r="234">
          <cell r="D234">
            <v>16903148358006</v>
          </cell>
          <cell r="E234" t="str">
            <v>Baby</v>
          </cell>
          <cell r="F234" t="str">
            <v>Pampers 幫寶適</v>
          </cell>
          <cell r="G234" t="str">
            <v>2024全新 Pampers 幫寶適 台灣公司貨 極上守護 一級幫紙尿褲/尿布, 黏貼型, NB, 5kg, 256片</v>
          </cell>
          <cell r="H234">
            <v>1</v>
          </cell>
          <cell r="I234"/>
          <cell r="J234">
            <v>0</v>
          </cell>
          <cell r="K234"/>
          <cell r="L234"/>
          <cell r="M234"/>
          <cell r="N234"/>
          <cell r="O234"/>
          <cell r="P234">
            <v>1460</v>
          </cell>
          <cell r="Q234">
            <v>1402.78</v>
          </cell>
        </row>
        <row r="235">
          <cell r="D235">
            <v>16903148358105</v>
          </cell>
          <cell r="E235" t="str">
            <v>Baby</v>
          </cell>
          <cell r="F235" t="str">
            <v>Pampers 幫寶適</v>
          </cell>
          <cell r="G235" t="str">
            <v>2024全新 Pampers 幫寶適 台灣公司貨 極上守護 一級幫紙尿褲/尿布, 黏貼型, S, 4-8kg, 224片</v>
          </cell>
          <cell r="H235">
            <v>1</v>
          </cell>
          <cell r="I235"/>
          <cell r="J235">
            <v>0</v>
          </cell>
          <cell r="K235"/>
          <cell r="L235"/>
          <cell r="M235"/>
          <cell r="N235"/>
          <cell r="O235"/>
          <cell r="P235">
            <v>1460</v>
          </cell>
          <cell r="Q235">
            <v>1402.78</v>
          </cell>
        </row>
        <row r="236">
          <cell r="D236">
            <v>16903148358068</v>
          </cell>
          <cell r="E236" t="str">
            <v>Baby</v>
          </cell>
          <cell r="F236" t="str">
            <v>Pampers 幫寶適</v>
          </cell>
          <cell r="G236" t="str">
            <v>2024全新 Pampers 幫寶適 台灣公司貨 極上守護 一級幫紙尿褲/尿布, 黏貼型, M, 6-11kg, 156片</v>
          </cell>
          <cell r="H236">
            <v>1</v>
          </cell>
          <cell r="I236"/>
          <cell r="J236"/>
          <cell r="K236"/>
          <cell r="L236"/>
          <cell r="M236"/>
          <cell r="N236"/>
          <cell r="O236"/>
          <cell r="P236">
            <v>1239</v>
          </cell>
          <cell r="Q236">
            <v>1186.75</v>
          </cell>
        </row>
        <row r="237">
          <cell r="D237">
            <v>16903148358013</v>
          </cell>
          <cell r="E237" t="str">
            <v>Baby</v>
          </cell>
          <cell r="F237" t="str">
            <v>Pampers 幫寶適</v>
          </cell>
          <cell r="G237" t="str">
            <v>2024全新 Pampers 幫寶適 台灣公司貨 極上守護 一級幫紙尿褲/尿布, 黏貼型, L, 9-14kg, 132片</v>
          </cell>
          <cell r="H237">
            <v>1</v>
          </cell>
          <cell r="I237"/>
          <cell r="J237"/>
          <cell r="K237"/>
          <cell r="L237"/>
          <cell r="M237"/>
          <cell r="N237"/>
          <cell r="O237"/>
          <cell r="P237">
            <v>1239</v>
          </cell>
          <cell r="Q237">
            <v>1186.75</v>
          </cell>
        </row>
        <row r="238">
          <cell r="D238">
            <v>16903148358143</v>
          </cell>
          <cell r="E238" t="str">
            <v>Baby</v>
          </cell>
          <cell r="F238" t="str">
            <v>Pampers 幫寶適</v>
          </cell>
          <cell r="G238" t="str">
            <v>2024全新 Pampers 幫寶適 台灣公司貨 極上守護 一級幫紙尿褲/尿布, 黏貼型, XL, 12~17kg, 108片</v>
          </cell>
          <cell r="H238">
            <v>1</v>
          </cell>
          <cell r="I238"/>
          <cell r="J238"/>
          <cell r="K238"/>
          <cell r="L238"/>
          <cell r="M238"/>
          <cell r="N238"/>
          <cell r="O238"/>
          <cell r="P238">
            <v>1239</v>
          </cell>
          <cell r="Q238">
            <v>1186.75</v>
          </cell>
        </row>
        <row r="239">
          <cell r="D239">
            <v>16903148358235</v>
          </cell>
          <cell r="E239" t="str">
            <v>Baby</v>
          </cell>
          <cell r="F239" t="str">
            <v>Pampers 幫寶適</v>
          </cell>
          <cell r="G239" t="str">
            <v>2024全新 Pampers 幫寶適 台灣公司貨 極上守護 一級幫散熱拉拉褲/尿布, 褲型, M, 6-11kg, 126片</v>
          </cell>
          <cell r="H239">
            <v>1</v>
          </cell>
          <cell r="I239"/>
          <cell r="J239"/>
          <cell r="K239"/>
          <cell r="L239"/>
          <cell r="M239"/>
          <cell r="N239"/>
          <cell r="O239"/>
          <cell r="P239">
            <v>1000.5</v>
          </cell>
          <cell r="Q239">
            <v>953.6</v>
          </cell>
        </row>
        <row r="240">
          <cell r="D240">
            <v>16903148358211</v>
          </cell>
          <cell r="E240" t="str">
            <v>Baby</v>
          </cell>
          <cell r="F240" t="str">
            <v>Pampers 幫寶適</v>
          </cell>
          <cell r="G240" t="str">
            <v>2024全新 Pampers 幫寶適 台灣公司貨 極上守護 一級幫散熱拉拉褲/尿布, 褲型, L+, 10-15kg, 90片</v>
          </cell>
          <cell r="H240">
            <v>1</v>
          </cell>
          <cell r="I240"/>
          <cell r="J240"/>
          <cell r="K240"/>
          <cell r="L240"/>
          <cell r="M240"/>
          <cell r="N240"/>
          <cell r="O240"/>
          <cell r="P240">
            <v>1000.5</v>
          </cell>
          <cell r="Q240">
            <v>953.6</v>
          </cell>
        </row>
        <row r="241">
          <cell r="D241">
            <v>6903148358221</v>
          </cell>
          <cell r="E241" t="str">
            <v>Baby</v>
          </cell>
          <cell r="F241" t="str">
            <v>Pampers 幫寶適</v>
          </cell>
          <cell r="G241" t="str">
            <v>2024全新 Pampers 幫寶適 台灣公司貨 極上守護 一級幫散熱拉拉褲/尿布, 褲型, M, 6-11kg, 152片</v>
          </cell>
          <cell r="H241">
            <v>1</v>
          </cell>
          <cell r="I241"/>
          <cell r="J241">
            <v>0</v>
          </cell>
          <cell r="K241"/>
          <cell r="L241"/>
          <cell r="M241"/>
          <cell r="N241"/>
          <cell r="O241"/>
          <cell r="P241">
            <v>1168</v>
          </cell>
          <cell r="Q241">
            <v>1117.3399999999999</v>
          </cell>
        </row>
        <row r="242">
          <cell r="D242">
            <v>6903148358153</v>
          </cell>
          <cell r="E242" t="str">
            <v>Baby</v>
          </cell>
          <cell r="F242" t="str">
            <v>Pampers 幫寶適</v>
          </cell>
          <cell r="G242" t="str">
            <v>2024全新 Pampers 幫寶適 台灣公司貨 極上守護 一級幫散熱拉拉褲/尿布, 褲型, L+, 10-15kg, 102片</v>
          </cell>
          <cell r="H242">
            <v>1</v>
          </cell>
          <cell r="I242"/>
          <cell r="J242">
            <v>0</v>
          </cell>
          <cell r="K242"/>
          <cell r="L242"/>
          <cell r="M242"/>
          <cell r="N242"/>
          <cell r="O242"/>
          <cell r="P242">
            <v>1168</v>
          </cell>
          <cell r="Q242">
            <v>1117.3399999999999</v>
          </cell>
        </row>
        <row r="243">
          <cell r="D243">
            <v>16903148358358</v>
          </cell>
          <cell r="E243" t="str">
            <v>Baby</v>
          </cell>
          <cell r="F243" t="str">
            <v>Pampers 幫寶適</v>
          </cell>
          <cell r="G243" t="str">
            <v>2024全新 Pampers 幫寶適 台灣公司貨 極上守護 一級幫散熱拉拉褲/尿布, 褲型, L, 9~14kg, 132片</v>
          </cell>
          <cell r="H243">
            <v>1</v>
          </cell>
          <cell r="I243"/>
          <cell r="J243"/>
          <cell r="K243"/>
          <cell r="L243"/>
          <cell r="M243"/>
          <cell r="N243"/>
          <cell r="O243"/>
          <cell r="P243">
            <v>1231</v>
          </cell>
          <cell r="Q243">
            <v>1178.93</v>
          </cell>
        </row>
        <row r="244">
          <cell r="D244">
            <v>16903148358341</v>
          </cell>
          <cell r="E244" t="str">
            <v>Baby</v>
          </cell>
          <cell r="F244" t="str">
            <v>Pampers 幫寶適</v>
          </cell>
          <cell r="G244" t="str">
            <v>2024全新 Pampers 幫寶適 台灣公司貨 極上守護 一級幫散熱拉拉褲/尿布, 褲型, XL, 12~17kg, 108片</v>
          </cell>
          <cell r="H244">
            <v>1</v>
          </cell>
          <cell r="I244"/>
          <cell r="J244"/>
          <cell r="K244"/>
          <cell r="L244"/>
          <cell r="M244"/>
          <cell r="N244"/>
          <cell r="O244"/>
          <cell r="P244">
            <v>1231</v>
          </cell>
          <cell r="Q244">
            <v>1178.93</v>
          </cell>
        </row>
        <row r="245">
          <cell r="D245">
            <v>16903148358310</v>
          </cell>
          <cell r="E245" t="str">
            <v>Baby</v>
          </cell>
          <cell r="F245" t="str">
            <v>Pampers 幫寶適</v>
          </cell>
          <cell r="G245" t="str">
            <v>2024全新 Pampers 幫寶適 台灣公司貨 極上守護 一級幫散熱拉拉褲/尿布, 褲型, XXL, 15kg以上, 80片</v>
          </cell>
          <cell r="H245">
            <v>1</v>
          </cell>
          <cell r="I245"/>
          <cell r="J245"/>
          <cell r="K245"/>
          <cell r="L245"/>
          <cell r="M245"/>
          <cell r="N245"/>
          <cell r="O245"/>
          <cell r="P245">
            <v>1231</v>
          </cell>
          <cell r="Q245">
            <v>1178.93</v>
          </cell>
        </row>
        <row r="246">
          <cell r="D246">
            <v>14902430894491</v>
          </cell>
          <cell r="E246" t="str">
            <v>Baby</v>
          </cell>
          <cell r="F246" t="str">
            <v>Pampers 幫寶適</v>
          </cell>
          <cell r="G246" t="str">
            <v>Pampers 幫寶適 台灣公司貨 超薄乾爽紙尿褲/尿布, 黏貼型, L, 9~14kg, 168片</v>
          </cell>
          <cell r="H246">
            <v>1</v>
          </cell>
          <cell r="I246"/>
          <cell r="J246"/>
          <cell r="K246"/>
          <cell r="L246"/>
          <cell r="M246"/>
          <cell r="N246">
            <v>24</v>
          </cell>
          <cell r="O246" t="str">
            <v>停產</v>
          </cell>
          <cell r="P246">
            <v>1132.3800000000001</v>
          </cell>
          <cell r="Q246">
            <v>1082.519319</v>
          </cell>
        </row>
        <row r="247">
          <cell r="D247">
            <v>14902430894439</v>
          </cell>
          <cell r="E247" t="str">
            <v>Baby</v>
          </cell>
          <cell r="F247" t="str">
            <v>Pampers 幫寶適</v>
          </cell>
          <cell r="G247" t="str">
            <v>Pampers 幫寶適 台灣公司貨 超薄乾爽紙尿褲/尿布, 黏貼型, L,  9-14kg, 156片</v>
          </cell>
          <cell r="H247">
            <v>1</v>
          </cell>
          <cell r="I247"/>
          <cell r="J247"/>
          <cell r="K247"/>
          <cell r="L247"/>
          <cell r="M247"/>
          <cell r="N247">
            <v>30</v>
          </cell>
          <cell r="O247"/>
          <cell r="P247">
            <v>1110.3599999999999</v>
          </cell>
          <cell r="Q247">
            <v>1060.9936680000001</v>
          </cell>
        </row>
        <row r="248">
          <cell r="D248">
            <v>14902430746004</v>
          </cell>
          <cell r="E248" t="str">
            <v>Baby</v>
          </cell>
          <cell r="F248" t="str">
            <v>Pampers 幫寶適</v>
          </cell>
          <cell r="G248" t="str">
            <v>Pampers 幫寶適 台灣公司貨 2023新升級 日本原裝 一級幫紙尿褲/尿布, 黏貼型, L, 9~14kg, 168片</v>
          </cell>
          <cell r="H248">
            <v>1</v>
          </cell>
          <cell r="I248"/>
          <cell r="J248"/>
          <cell r="K248"/>
          <cell r="L248"/>
          <cell r="M248"/>
          <cell r="N248">
            <v>30</v>
          </cell>
          <cell r="O248" t="str">
            <v>停產</v>
          </cell>
          <cell r="P248">
            <v>1789.61</v>
          </cell>
          <cell r="Q248">
            <v>1724.9945054999998</v>
          </cell>
        </row>
        <row r="249">
          <cell r="D249">
            <v>24987176203452</v>
          </cell>
          <cell r="E249" t="str">
            <v>Baby</v>
          </cell>
          <cell r="F249" t="str">
            <v>Pampers 幫寶適</v>
          </cell>
          <cell r="G249" t="str">
            <v>Pampers 幫寶適 台灣公司貨 2023新升級 一級幫巧虎安睡褲/拉拉褲/尿布, 褲型, XL ,12-17kg ,104片</v>
          </cell>
          <cell r="H249">
            <v>1</v>
          </cell>
          <cell r="I249"/>
          <cell r="J249"/>
          <cell r="K249"/>
          <cell r="L249"/>
          <cell r="M249"/>
          <cell r="N249">
            <v>40</v>
          </cell>
          <cell r="O249"/>
          <cell r="P249">
            <v>1539.6</v>
          </cell>
          <cell r="Q249">
            <v>1480.5972299999999</v>
          </cell>
        </row>
        <row r="250">
          <cell r="D250">
            <v>14987176147544</v>
          </cell>
          <cell r="E250" t="str">
            <v>Baby</v>
          </cell>
          <cell r="F250" t="str">
            <v>Pampers 幫寶適</v>
          </cell>
          <cell r="G250" t="str">
            <v>Pampers 幫寶適 台灣公司貨 2023新升級 日本原裝 一級幫紙尿褲/尿布, 黏貼型,  M, 6-11kg, 144片</v>
          </cell>
          <cell r="H250">
            <v>1</v>
          </cell>
          <cell r="I250"/>
          <cell r="J250"/>
          <cell r="K250"/>
          <cell r="L250"/>
          <cell r="M250"/>
          <cell r="N250">
            <v>39</v>
          </cell>
          <cell r="O250"/>
          <cell r="P250">
            <v>1177.9000000000001</v>
          </cell>
          <cell r="Q250">
            <v>1127.0173950000001</v>
          </cell>
        </row>
        <row r="251">
          <cell r="D251">
            <v>14902430894484</v>
          </cell>
          <cell r="E251" t="str">
            <v>Baby</v>
          </cell>
          <cell r="F251" t="str">
            <v>Pampers 幫寶適</v>
          </cell>
          <cell r="G251" t="str">
            <v>Pampers 幫寶適 台灣公司貨 超薄乾爽紙尿褲/尿布, 黏貼型, M, 6-11kg, 200片</v>
          </cell>
          <cell r="H251">
            <v>1</v>
          </cell>
          <cell r="I251"/>
          <cell r="J251"/>
          <cell r="K251"/>
          <cell r="L251"/>
          <cell r="M251"/>
          <cell r="N251">
            <v>24</v>
          </cell>
          <cell r="O251" t="str">
            <v>停產</v>
          </cell>
          <cell r="P251">
            <v>1132.3800000000001</v>
          </cell>
          <cell r="Q251">
            <v>1082.519319</v>
          </cell>
        </row>
        <row r="252">
          <cell r="D252">
            <v>14902430739884</v>
          </cell>
          <cell r="E252" t="str">
            <v>Baby</v>
          </cell>
          <cell r="F252" t="str">
            <v>Pampers 幫寶適</v>
          </cell>
          <cell r="G252" t="str">
            <v>Pampers 幫寶適 台灣公司貨 超薄乾爽拉拉褲/尿布, 褲型, L, 9-14kg, 148片</v>
          </cell>
          <cell r="H252">
            <v>1</v>
          </cell>
          <cell r="I252"/>
          <cell r="J252"/>
          <cell r="K252"/>
          <cell r="L252"/>
          <cell r="M252"/>
          <cell r="N252">
            <v>32</v>
          </cell>
          <cell r="O252"/>
          <cell r="P252">
            <v>1093.49</v>
          </cell>
          <cell r="Q252">
            <v>1044.5023994999999</v>
          </cell>
        </row>
        <row r="253">
          <cell r="D253">
            <v>14987176147568</v>
          </cell>
          <cell r="E253" t="str">
            <v>Baby</v>
          </cell>
          <cell r="F253" t="str">
            <v>Pampers 幫寶適</v>
          </cell>
          <cell r="G253" t="str">
            <v>Pampers 幫寶適 台灣公司貨 2023新升級 日本原裝 一級幫紙尿褲/尿布, 黏貼型, XL, 12-17kg, 96片</v>
          </cell>
          <cell r="H253">
            <v>1</v>
          </cell>
          <cell r="I253"/>
          <cell r="J253"/>
          <cell r="K253"/>
          <cell r="L253"/>
          <cell r="M253"/>
          <cell r="N253">
            <v>40</v>
          </cell>
          <cell r="O253" t="str">
            <v>停產</v>
          </cell>
          <cell r="P253">
            <v>1177.9000000000001</v>
          </cell>
          <cell r="Q253">
            <v>1127.0173950000001</v>
          </cell>
        </row>
        <row r="254">
          <cell r="D254">
            <v>14987176080377</v>
          </cell>
          <cell r="E254" t="str">
            <v>Baby</v>
          </cell>
          <cell r="F254" t="str">
            <v>Pampers 幫寶適</v>
          </cell>
          <cell r="G254" t="str">
            <v>Pampers 幫寶適 台灣公司貨 清新幫拉拉褲/尿布, 褲型, XXL, 15kg+, 104片</v>
          </cell>
          <cell r="H254">
            <v>1</v>
          </cell>
          <cell r="I254"/>
          <cell r="J254"/>
          <cell r="K254"/>
          <cell r="L254"/>
          <cell r="M254"/>
          <cell r="N254">
            <v>40</v>
          </cell>
          <cell r="O254" t="str">
            <v>停產</v>
          </cell>
          <cell r="P254">
            <v>1386</v>
          </cell>
          <cell r="Q254">
            <v>1330.4455500000001</v>
          </cell>
        </row>
        <row r="255">
          <cell r="D255">
            <v>14987176232875</v>
          </cell>
          <cell r="E255" t="str">
            <v>Baby</v>
          </cell>
          <cell r="F255" t="str">
            <v>Pampers 幫寶適</v>
          </cell>
          <cell r="G255" t="str">
            <v>Pampers 幫寶適 台灣公司貨 清新幫拉拉褲/尿布, 褲型, XXL, 15kg+, 104片</v>
          </cell>
          <cell r="H255">
            <v>1</v>
          </cell>
          <cell r="I255"/>
          <cell r="J255">
            <v>500</v>
          </cell>
          <cell r="K255"/>
          <cell r="L255"/>
          <cell r="M255"/>
          <cell r="N255"/>
          <cell r="O255" t="str">
            <v>新品</v>
          </cell>
          <cell r="P255">
            <v>1386</v>
          </cell>
          <cell r="Q255">
            <v>1330.45</v>
          </cell>
        </row>
        <row r="256">
          <cell r="D256">
            <v>14902430739297</v>
          </cell>
          <cell r="E256" t="str">
            <v>Baby</v>
          </cell>
          <cell r="F256" t="str">
            <v>Pampers 幫寶適</v>
          </cell>
          <cell r="G256" t="str">
            <v>Pampers 幫寶適 台灣公司貨 超薄乾爽拉拉褲/尿布, 褲型, XL, 12~17kg, 192片</v>
          </cell>
          <cell r="H256">
            <v>1</v>
          </cell>
          <cell r="I256"/>
          <cell r="J256"/>
          <cell r="K256"/>
          <cell r="L256"/>
          <cell r="M256"/>
          <cell r="N256">
            <v>21</v>
          </cell>
          <cell r="O256"/>
          <cell r="P256">
            <v>1640.23</v>
          </cell>
          <cell r="Q256">
            <v>1578.9680865</v>
          </cell>
        </row>
        <row r="257">
          <cell r="D257">
            <v>14902430747285</v>
          </cell>
          <cell r="E257" t="str">
            <v>Baby</v>
          </cell>
          <cell r="F257" t="str">
            <v>Pampers 幫寶適</v>
          </cell>
          <cell r="G257" t="str">
            <v xml:space="preserve">Pampers 幫寶適 台灣公司貨 2023新升級 日本原裝 一級幫拉拉褲/尿布, 褲型, XXL, 15kg以上, 90片 </v>
          </cell>
          <cell r="H257">
            <v>1</v>
          </cell>
          <cell r="I257"/>
          <cell r="J257"/>
          <cell r="K257"/>
          <cell r="L257"/>
          <cell r="M257"/>
          <cell r="N257">
            <v>40</v>
          </cell>
          <cell r="O257" t="str">
            <v>停產</v>
          </cell>
          <cell r="P257">
            <v>1453.29</v>
          </cell>
          <cell r="Q257">
            <v>1396.2248895</v>
          </cell>
        </row>
        <row r="258">
          <cell r="D258">
            <v>14987176147551</v>
          </cell>
          <cell r="E258" t="str">
            <v>Baby</v>
          </cell>
          <cell r="F258" t="str">
            <v>Pampers 幫寶適</v>
          </cell>
          <cell r="G258" t="str">
            <v>Pampers 幫寶適 台灣公司貨 2023新升級 日本原裝 一級幫紙尿褲/尿布, 黏貼型, L, 9-14kg, 120片</v>
          </cell>
          <cell r="H258">
            <v>1</v>
          </cell>
          <cell r="I258"/>
          <cell r="J258"/>
          <cell r="K258"/>
          <cell r="L258"/>
          <cell r="M258"/>
          <cell r="N258">
            <v>32</v>
          </cell>
          <cell r="O258" t="str">
            <v>停產</v>
          </cell>
          <cell r="P258">
            <v>1177.9000000000001</v>
          </cell>
          <cell r="Q258">
            <v>1127.0173950000001</v>
          </cell>
        </row>
        <row r="259">
          <cell r="D259">
            <v>34902430693210</v>
          </cell>
          <cell r="E259" t="str">
            <v>Baby</v>
          </cell>
          <cell r="F259" t="str">
            <v>Pampers 幫寶適</v>
          </cell>
          <cell r="G259" t="str">
            <v>Pampers 幫寶適 台灣公司貨 2023新升級 日本原裝 一級幫紙尿褲/尿布, 黏貼型, S, 4-8kg, 240片</v>
          </cell>
          <cell r="H259">
            <v>1</v>
          </cell>
          <cell r="I259"/>
          <cell r="J259"/>
          <cell r="K259"/>
          <cell r="L259"/>
          <cell r="M259"/>
          <cell r="N259">
            <v>24</v>
          </cell>
          <cell r="O259" t="str">
            <v>停產</v>
          </cell>
          <cell r="P259">
            <v>1580.58</v>
          </cell>
          <cell r="Q259">
            <v>1520.6572289999999</v>
          </cell>
        </row>
        <row r="260">
          <cell r="D260">
            <v>64902430680433</v>
          </cell>
          <cell r="E260" t="str">
            <v>Baby</v>
          </cell>
          <cell r="F260" t="str">
            <v>Pampers 幫寶適</v>
          </cell>
          <cell r="G260" t="str">
            <v>Pampers 幫寶適 台灣公司貨 2023新升級 日本原裝 一級幫拉拉褲/尿布, 褲型, XL, 12-22kg, 120片</v>
          </cell>
          <cell r="H260">
            <v>1</v>
          </cell>
          <cell r="I260"/>
          <cell r="J260"/>
          <cell r="K260"/>
          <cell r="L260"/>
          <cell r="M260"/>
          <cell r="N260">
            <v>30</v>
          </cell>
          <cell r="O260" t="str">
            <v>停產</v>
          </cell>
          <cell r="P260">
            <v>1382.42</v>
          </cell>
          <cell r="Q260">
            <v>1326.945921</v>
          </cell>
        </row>
        <row r="261">
          <cell r="D261">
            <v>14902430894446</v>
          </cell>
          <cell r="E261" t="str">
            <v>Baby</v>
          </cell>
          <cell r="F261" t="str">
            <v>Pampers 幫寶適</v>
          </cell>
          <cell r="G261" t="str">
            <v>Pampers 幫寶適 台灣公司貨 超薄乾爽紙尿褲/尿布, 黏貼型, XL, 12-17kg, 120片</v>
          </cell>
          <cell r="H261">
            <v>1</v>
          </cell>
          <cell r="I261"/>
          <cell r="J261"/>
          <cell r="K261"/>
          <cell r="L261"/>
          <cell r="M261"/>
          <cell r="N261">
            <v>33</v>
          </cell>
          <cell r="O261"/>
          <cell r="P261">
            <v>1101.24</v>
          </cell>
          <cell r="Q261">
            <v>1052.0784120000001</v>
          </cell>
        </row>
        <row r="262">
          <cell r="D262">
            <v>24987176203421</v>
          </cell>
          <cell r="E262" t="str">
            <v>Baby</v>
          </cell>
          <cell r="F262" t="str">
            <v>Pampers 幫寶適</v>
          </cell>
          <cell r="G262" t="str">
            <v>Pampers 幫寶適 台灣公司貨 2023新升級 一級幫巧虎安睡褲/拉拉褲/尿布, 褲型, L, 9-14kg,120片</v>
          </cell>
          <cell r="H262">
            <v>1</v>
          </cell>
          <cell r="I262"/>
          <cell r="J262"/>
          <cell r="K262"/>
          <cell r="L262"/>
          <cell r="M262"/>
          <cell r="N262">
            <v>32</v>
          </cell>
          <cell r="O262"/>
          <cell r="P262">
            <v>1539.6</v>
          </cell>
          <cell r="Q262">
            <v>1480.5972299999999</v>
          </cell>
        </row>
        <row r="263">
          <cell r="D263">
            <v>24987176203445</v>
          </cell>
          <cell r="E263" t="str">
            <v>Baby</v>
          </cell>
          <cell r="F263" t="str">
            <v>Pampers 幫寶適</v>
          </cell>
          <cell r="G263" t="str">
            <v>Pampers 幫寶適 台灣公司貨 2023新升級 一級幫巧虎安睡褲/拉拉褲/尿布, 褲型, XXL ,15-28kg, 88片</v>
          </cell>
          <cell r="H263">
            <v>1</v>
          </cell>
          <cell r="I263"/>
          <cell r="J263"/>
          <cell r="K263"/>
          <cell r="L263"/>
          <cell r="M263"/>
          <cell r="N263">
            <v>30</v>
          </cell>
          <cell r="O263"/>
          <cell r="P263">
            <v>1539.6</v>
          </cell>
          <cell r="Q263">
            <v>1480.5972299999999</v>
          </cell>
        </row>
        <row r="264">
          <cell r="D264">
            <v>14987176195101</v>
          </cell>
          <cell r="E264" t="str">
            <v>Baby</v>
          </cell>
          <cell r="F264" t="str">
            <v>Pampers 幫寶適</v>
          </cell>
          <cell r="G264" t="str">
            <v>Pampers 幫寶適 台灣公司貨 2023新升級 日本原裝 一級幫拉拉褲/尿布, 褲型, L, 9-14kg, 144片</v>
          </cell>
          <cell r="H264">
            <v>1</v>
          </cell>
          <cell r="I264"/>
          <cell r="J264"/>
          <cell r="K264"/>
          <cell r="L264"/>
          <cell r="M264"/>
          <cell r="N264">
            <v>30</v>
          </cell>
          <cell r="O264" t="str">
            <v>停產</v>
          </cell>
          <cell r="P264">
            <v>1545.4</v>
          </cell>
          <cell r="Q264">
            <v>1486.2670200000002</v>
          </cell>
        </row>
        <row r="265">
          <cell r="D265">
            <v>4987176337092</v>
          </cell>
          <cell r="E265" t="str">
            <v>Baby</v>
          </cell>
          <cell r="F265" t="str">
            <v>Pampers 幫寶適</v>
          </cell>
          <cell r="G265" t="str">
            <v>Pampers 幫寶適 台灣公司貨 清新幫紙尿褲/尿布, 黏貼型, S 66片, 超薄透氣大吸量</v>
          </cell>
          <cell r="H265">
            <v>4</v>
          </cell>
          <cell r="I265"/>
          <cell r="J265">
            <v>0</v>
          </cell>
          <cell r="K265"/>
          <cell r="L265"/>
          <cell r="M265"/>
          <cell r="N265"/>
          <cell r="O265"/>
          <cell r="P265">
            <v>1464</v>
          </cell>
          <cell r="Q265">
            <v>1406.69</v>
          </cell>
        </row>
        <row r="266">
          <cell r="D266">
            <v>4987176337085</v>
          </cell>
          <cell r="E266" t="str">
            <v>Baby</v>
          </cell>
          <cell r="F266" t="str">
            <v>Pampers 幫寶適</v>
          </cell>
          <cell r="G266" t="str">
            <v>Pampers 幫寶適 台灣公司貨 清新幫紙尿褲/尿布, 黏貼型, M 54片, 超薄透氣大吸量</v>
          </cell>
          <cell r="H266">
            <v>4</v>
          </cell>
          <cell r="I266"/>
          <cell r="J266">
            <v>0</v>
          </cell>
          <cell r="K266"/>
          <cell r="L266"/>
          <cell r="M266"/>
          <cell r="N266"/>
          <cell r="O266"/>
          <cell r="P266">
            <v>1464</v>
          </cell>
          <cell r="Q266">
            <v>1406.69</v>
          </cell>
        </row>
        <row r="267">
          <cell r="D267">
            <v>4987176232861</v>
          </cell>
          <cell r="E267" t="str">
            <v>Baby</v>
          </cell>
          <cell r="F267" t="str">
            <v>Pampers 幫寶適</v>
          </cell>
          <cell r="G267" t="str">
            <v>Pampers 幫寶適 台灣公司貨 清新幫紙尿褲/尿布, 黏貼型, L 46片, 超薄透氣大吸量</v>
          </cell>
          <cell r="H267">
            <v>4</v>
          </cell>
          <cell r="I267"/>
          <cell r="J267">
            <v>0</v>
          </cell>
          <cell r="K267"/>
          <cell r="L267"/>
          <cell r="M267"/>
          <cell r="N267"/>
          <cell r="O267"/>
          <cell r="P267">
            <v>1464</v>
          </cell>
          <cell r="Q267">
            <v>1406.69</v>
          </cell>
        </row>
        <row r="268">
          <cell r="D268">
            <v>4987176232854</v>
          </cell>
          <cell r="E268" t="str">
            <v>Baby</v>
          </cell>
          <cell r="F268" t="str">
            <v>Pampers 幫寶適</v>
          </cell>
          <cell r="G268" t="str">
            <v>Pampers 幫寶適 台灣公司貨 清新幫紙尿褲/尿布, 黏貼型, XL 38片, 超薄透氣大吸量</v>
          </cell>
          <cell r="H268">
            <v>4</v>
          </cell>
          <cell r="I268"/>
          <cell r="J268">
            <v>0</v>
          </cell>
          <cell r="K268"/>
          <cell r="L268"/>
          <cell r="M268"/>
          <cell r="N268"/>
          <cell r="O268"/>
          <cell r="P268">
            <v>1464</v>
          </cell>
          <cell r="Q268">
            <v>1406.69</v>
          </cell>
        </row>
        <row r="269">
          <cell r="D269">
            <v>4987176337078</v>
          </cell>
          <cell r="E269" t="str">
            <v>Baby</v>
          </cell>
          <cell r="F269" t="str">
            <v>Pampers 幫寶適</v>
          </cell>
          <cell r="G269" t="str">
            <v>Pampers 幫寶適 台灣公司貨 清新幫拉拉褲/尿布, 褲型, M 50片, 超薄透氣大吸量</v>
          </cell>
          <cell r="H269">
            <v>4</v>
          </cell>
          <cell r="I269"/>
          <cell r="J269">
            <v>0</v>
          </cell>
          <cell r="K269"/>
          <cell r="L269"/>
          <cell r="M269"/>
          <cell r="N269"/>
          <cell r="O269"/>
          <cell r="P269">
            <v>1386</v>
          </cell>
          <cell r="Q269">
            <v>1330.45</v>
          </cell>
        </row>
        <row r="270">
          <cell r="D270">
            <v>4987176232885</v>
          </cell>
          <cell r="E270" t="str">
            <v>Baby</v>
          </cell>
          <cell r="F270" t="str">
            <v>Pampers 幫寶適</v>
          </cell>
          <cell r="G270" t="str">
            <v>Pampers 幫寶適 台灣公司貨 清新幫拉拉褲/尿布, 褲型, L 42片, 超薄透氣大吸量</v>
          </cell>
          <cell r="H270">
            <v>4</v>
          </cell>
          <cell r="I270"/>
          <cell r="J270">
            <v>0</v>
          </cell>
          <cell r="K270"/>
          <cell r="L270"/>
          <cell r="M270"/>
          <cell r="N270"/>
          <cell r="O270"/>
          <cell r="P270">
            <v>1386</v>
          </cell>
          <cell r="Q270">
            <v>1330.45</v>
          </cell>
        </row>
        <row r="271">
          <cell r="D271">
            <v>4987176232892</v>
          </cell>
          <cell r="E271" t="str">
            <v>Baby</v>
          </cell>
          <cell r="F271" t="str">
            <v>Pampers 幫寶適</v>
          </cell>
          <cell r="G271" t="str">
            <v>Pampers 幫寶適 台灣公司貨 清新幫拉拉褲/尿布, 褲型, XL 38片, 超薄透氣大吸量</v>
          </cell>
          <cell r="H271">
            <v>4</v>
          </cell>
          <cell r="I271"/>
          <cell r="J271">
            <v>0</v>
          </cell>
          <cell r="K271"/>
          <cell r="L271"/>
          <cell r="M271"/>
          <cell r="N271"/>
          <cell r="O271"/>
          <cell r="P271">
            <v>1386</v>
          </cell>
          <cell r="Q271">
            <v>1330.45</v>
          </cell>
        </row>
        <row r="272">
          <cell r="D272">
            <v>4987176232878</v>
          </cell>
          <cell r="E272" t="str">
            <v>Baby</v>
          </cell>
          <cell r="F272" t="str">
            <v>Pampers 幫寶適</v>
          </cell>
          <cell r="G272" t="str">
            <v>Pampers 幫寶適 台灣公司貨 清新幫拉拉褲/尿布, 褲型, XXL 26片, 超薄透氣大吸量</v>
          </cell>
          <cell r="H272">
            <v>4</v>
          </cell>
          <cell r="I272"/>
          <cell r="J272">
            <v>0</v>
          </cell>
          <cell r="K272"/>
          <cell r="L272"/>
          <cell r="M272"/>
          <cell r="N272"/>
          <cell r="O272"/>
          <cell r="P272">
            <v>1386</v>
          </cell>
          <cell r="Q272">
            <v>1330.45</v>
          </cell>
        </row>
        <row r="273">
          <cell r="D273">
            <v>4987176232847</v>
          </cell>
          <cell r="E273" t="str">
            <v>Baby</v>
          </cell>
          <cell r="F273" t="str">
            <v>Pampers 幫寶適</v>
          </cell>
          <cell r="G273" t="str">
            <v>Pampers 幫寶適 台灣公司貨 清新幫拉拉褲/尿布, 褲型, XXXL 22片, 超薄透氣大吸量</v>
          </cell>
          <cell r="H273">
            <v>4</v>
          </cell>
          <cell r="I273"/>
          <cell r="J273">
            <v>0</v>
          </cell>
          <cell r="K273"/>
          <cell r="L273"/>
          <cell r="M273"/>
          <cell r="N273"/>
          <cell r="O273"/>
          <cell r="P273">
            <v>1386</v>
          </cell>
          <cell r="Q273">
            <v>1330.45</v>
          </cell>
        </row>
        <row r="274">
          <cell r="D274">
            <v>14987176337075</v>
          </cell>
          <cell r="E274" t="str">
            <v>Baby</v>
          </cell>
          <cell r="F274" t="str">
            <v>Pampers 幫寶適</v>
          </cell>
          <cell r="G274" t="str">
            <v>Pampers 幫寶適 台灣公司貨 清新幫拉拉褲/尿布, 褲型, M 200片, 超薄透氣大吸量</v>
          </cell>
          <cell r="H274">
            <v>1</v>
          </cell>
          <cell r="I274"/>
          <cell r="J274">
            <v>300</v>
          </cell>
          <cell r="K274"/>
          <cell r="L274"/>
          <cell r="M274"/>
          <cell r="N274"/>
          <cell r="O274"/>
          <cell r="P274">
            <v>1386</v>
          </cell>
          <cell r="Q274">
            <v>1330.45</v>
          </cell>
        </row>
        <row r="275">
          <cell r="D275">
            <v>14987176080360</v>
          </cell>
          <cell r="E275" t="str">
            <v>Baby</v>
          </cell>
          <cell r="F275" t="str">
            <v>Pampers 幫寶適</v>
          </cell>
          <cell r="G275" t="str">
            <v>Pampers 幫寶適 台灣公司貨 清新幫拉拉褲/尿布, 褲型, XL, 12~17kg, 136片</v>
          </cell>
          <cell r="H275">
            <v>1</v>
          </cell>
          <cell r="I275"/>
          <cell r="J275"/>
          <cell r="K275"/>
          <cell r="L275"/>
          <cell r="M275"/>
          <cell r="N275">
            <v>32</v>
          </cell>
          <cell r="O275" t="str">
            <v>停產</v>
          </cell>
          <cell r="P275">
            <v>1386</v>
          </cell>
          <cell r="Q275">
            <v>1330.4455500000001</v>
          </cell>
        </row>
        <row r="276">
          <cell r="D276">
            <v>14987176232899</v>
          </cell>
          <cell r="E276" t="str">
            <v>Baby</v>
          </cell>
          <cell r="F276" t="str">
            <v>Pampers 幫寶適</v>
          </cell>
          <cell r="G276" t="str">
            <v>Pampers 幫寶適 台灣公司貨 清新幫拉拉褲/尿布, 褲型, XL, 12~17kg, 152片</v>
          </cell>
          <cell r="H276">
            <v>1</v>
          </cell>
          <cell r="I276"/>
          <cell r="J276">
            <v>500</v>
          </cell>
          <cell r="K276"/>
          <cell r="L276"/>
          <cell r="M276"/>
          <cell r="N276"/>
          <cell r="O276" t="str">
            <v>新品</v>
          </cell>
          <cell r="P276">
            <v>1386</v>
          </cell>
          <cell r="Q276">
            <v>1330.45</v>
          </cell>
        </row>
        <row r="277">
          <cell r="D277">
            <v>14987176128864</v>
          </cell>
          <cell r="E277" t="str">
            <v>Baby</v>
          </cell>
          <cell r="F277" t="str">
            <v>Pampers 幫寶適</v>
          </cell>
          <cell r="G277" t="str">
            <v>Pampers 幫寶適 台灣公司貨 清新幫拉拉褲/尿布, 褲型, XXXL, 17kg+, 88片</v>
          </cell>
          <cell r="H277">
            <v>1</v>
          </cell>
          <cell r="I277"/>
          <cell r="J277"/>
          <cell r="K277"/>
          <cell r="L277"/>
          <cell r="M277"/>
          <cell r="N277">
            <v>40</v>
          </cell>
          <cell r="O277" t="str">
            <v>停產</v>
          </cell>
          <cell r="P277">
            <v>1386</v>
          </cell>
          <cell r="Q277">
            <v>1330.4455500000001</v>
          </cell>
        </row>
        <row r="278">
          <cell r="D278">
            <v>14987176232844</v>
          </cell>
          <cell r="E278" t="str">
            <v>Baby</v>
          </cell>
          <cell r="F278" t="str">
            <v>Pampers 幫寶適</v>
          </cell>
          <cell r="G278" t="str">
            <v>Pampers 幫寶適 台灣公司貨 清新幫拉拉褲/尿布, 褲型, XXXL, 17kg+, 88片</v>
          </cell>
          <cell r="H278">
            <v>1</v>
          </cell>
          <cell r="I278"/>
          <cell r="J278">
            <v>0</v>
          </cell>
          <cell r="K278"/>
          <cell r="L278"/>
          <cell r="M278"/>
          <cell r="N278"/>
          <cell r="O278" t="str">
            <v>新品</v>
          </cell>
          <cell r="P278">
            <v>1386</v>
          </cell>
          <cell r="Q278">
            <v>1330.45</v>
          </cell>
        </row>
        <row r="279">
          <cell r="D279">
            <v>14902430739891</v>
          </cell>
          <cell r="E279" t="str">
            <v>Baby</v>
          </cell>
          <cell r="F279" t="str">
            <v>Pampers 幫寶適</v>
          </cell>
          <cell r="G279" t="str">
            <v>Pampers 幫寶適 台灣公司貨 超薄乾爽拉拉褲/尿布, 褲型, XXL, 15kg+, 126片</v>
          </cell>
          <cell r="H279">
            <v>1</v>
          </cell>
          <cell r="I279"/>
          <cell r="J279"/>
          <cell r="K279"/>
          <cell r="L279"/>
          <cell r="M279"/>
          <cell r="N279">
            <v>30</v>
          </cell>
          <cell r="O279"/>
          <cell r="P279">
            <v>1640.23</v>
          </cell>
          <cell r="Q279">
            <v>1578.9680865</v>
          </cell>
        </row>
        <row r="280">
          <cell r="D280">
            <v>14987176195095</v>
          </cell>
          <cell r="E280" t="str">
            <v>Baby</v>
          </cell>
          <cell r="F280" t="str">
            <v>Pampers 幫寶適</v>
          </cell>
          <cell r="G280" t="str">
            <v>Pampers 幫寶適 台灣公司貨 2023新升級 日本原裝 一級幫拉拉褲/尿布, 褲型, M, 6-11kg, 184片</v>
          </cell>
          <cell r="H280">
            <v>1</v>
          </cell>
          <cell r="I280"/>
          <cell r="J280"/>
          <cell r="K280"/>
          <cell r="L280"/>
          <cell r="M280"/>
          <cell r="N280">
            <v>27</v>
          </cell>
          <cell r="O280" t="str">
            <v>停產</v>
          </cell>
          <cell r="P280">
            <v>1545.4</v>
          </cell>
          <cell r="Q280">
            <v>1486.2670200000002</v>
          </cell>
        </row>
        <row r="281">
          <cell r="D281">
            <v>14987176080353</v>
          </cell>
          <cell r="E281" t="str">
            <v>Baby</v>
          </cell>
          <cell r="F281" t="str">
            <v>Pampers 幫寶適</v>
          </cell>
          <cell r="G281" t="str">
            <v>Pampers 幫寶適 台灣公司貨 清新幫拉拉褲/尿布, 褲型, L, 9~14kg, 168片</v>
          </cell>
          <cell r="H281">
            <v>1</v>
          </cell>
          <cell r="I281"/>
          <cell r="J281"/>
          <cell r="K281"/>
          <cell r="L281"/>
          <cell r="M281"/>
          <cell r="N281">
            <v>24</v>
          </cell>
          <cell r="O281" t="str">
            <v>停產</v>
          </cell>
          <cell r="P281">
            <v>1386</v>
          </cell>
          <cell r="Q281">
            <v>1330.4455500000001</v>
          </cell>
        </row>
        <row r="282">
          <cell r="D282">
            <v>14987176232882</v>
          </cell>
          <cell r="E282" t="str">
            <v>Baby</v>
          </cell>
          <cell r="F282" t="str">
            <v>Pampers 幫寶適</v>
          </cell>
          <cell r="G282" t="str">
            <v>Pampers 幫寶適 台灣公司貨 清新幫拉拉褲/尿布, 褲型, L, 9~14kg, 168片</v>
          </cell>
          <cell r="H282">
            <v>1</v>
          </cell>
          <cell r="I282"/>
          <cell r="J282">
            <v>800</v>
          </cell>
          <cell r="K282"/>
          <cell r="L282"/>
          <cell r="M282"/>
          <cell r="N282"/>
          <cell r="O282" t="str">
            <v>新品</v>
          </cell>
          <cell r="P282">
            <v>1386</v>
          </cell>
          <cell r="Q282">
            <v>1330.45</v>
          </cell>
        </row>
        <row r="283">
          <cell r="D283">
            <v>44902430680385</v>
          </cell>
          <cell r="E283" t="str">
            <v>Baby</v>
          </cell>
          <cell r="F283" t="str">
            <v>Pampers 幫寶適</v>
          </cell>
          <cell r="G283" t="str">
            <v>Pampers 幫寶適 台灣公司貨 2023新升級 日本原裝 一級幫拉拉褲/尿布, 褲型, M, 6-11kg, 174片</v>
          </cell>
          <cell r="H283">
            <v>1</v>
          </cell>
          <cell r="I283"/>
          <cell r="J283"/>
          <cell r="K283"/>
          <cell r="L283"/>
          <cell r="M283"/>
          <cell r="N283">
            <v>24</v>
          </cell>
          <cell r="O283" t="str">
            <v>停產</v>
          </cell>
          <cell r="P283">
            <v>1477.4</v>
          </cell>
          <cell r="Q283">
            <v>1419.7936200000001</v>
          </cell>
        </row>
        <row r="284">
          <cell r="D284">
            <v>14902430894507</v>
          </cell>
          <cell r="E284" t="str">
            <v>Baby</v>
          </cell>
          <cell r="F284" t="str">
            <v>Pampers 幫寶適</v>
          </cell>
          <cell r="G284" t="str">
            <v>Pampers 幫寶適 台灣公司貨 超薄乾爽紙尿褲/尿布, 黏貼型, XL, 12-17kg, 136片</v>
          </cell>
          <cell r="H284">
            <v>1</v>
          </cell>
          <cell r="I284"/>
          <cell r="J284"/>
          <cell r="K284"/>
          <cell r="L284"/>
          <cell r="M284"/>
          <cell r="N284">
            <v>40</v>
          </cell>
          <cell r="O284" t="str">
            <v>停產</v>
          </cell>
          <cell r="P284">
            <v>1131.25</v>
          </cell>
          <cell r="Q284">
            <v>1081.4146874999999</v>
          </cell>
        </row>
        <row r="285">
          <cell r="D285">
            <v>14987176337099</v>
          </cell>
          <cell r="E285" t="str">
            <v>Baby</v>
          </cell>
          <cell r="F285" t="str">
            <v>Pampers 幫寶適</v>
          </cell>
          <cell r="G285" t="str">
            <v>Pampers 幫寶適 台灣公司貨 清新幫紙尿褲/尿布, 黏貼型, S 264片, 超薄透氣大吸量</v>
          </cell>
          <cell r="H285">
            <v>1</v>
          </cell>
          <cell r="I285"/>
          <cell r="J285">
            <v>0</v>
          </cell>
          <cell r="K285"/>
          <cell r="L285"/>
          <cell r="M285"/>
          <cell r="N285"/>
          <cell r="O285"/>
          <cell r="P285">
            <v>1464</v>
          </cell>
          <cell r="Q285">
            <v>1406.69</v>
          </cell>
        </row>
        <row r="286">
          <cell r="D286">
            <v>14987176337082</v>
          </cell>
          <cell r="E286" t="str">
            <v>Baby</v>
          </cell>
          <cell r="F286" t="str">
            <v>Pampers 幫寶適</v>
          </cell>
          <cell r="G286" t="str">
            <v>Pampers 幫寶適 台灣公司貨 清新幫紙尿褲/尿布, 黏貼型, M 216片, 超薄透氣大吸量</v>
          </cell>
          <cell r="H286">
            <v>1</v>
          </cell>
          <cell r="I286"/>
          <cell r="J286">
            <v>300</v>
          </cell>
          <cell r="K286"/>
          <cell r="L286"/>
          <cell r="M286"/>
          <cell r="N286"/>
          <cell r="O286"/>
          <cell r="P286">
            <v>1464</v>
          </cell>
          <cell r="Q286">
            <v>1406.69</v>
          </cell>
        </row>
        <row r="287">
          <cell r="D287">
            <v>14987176080391</v>
          </cell>
          <cell r="E287" t="str">
            <v>Baby</v>
          </cell>
          <cell r="F287" t="str">
            <v>Pampers 幫寶適</v>
          </cell>
          <cell r="G287" t="str">
            <v>Pampers 幫寶適 台灣公司貨 清新幫紙尿褲/尿布, 黏貼型, XL, 12-17kg, 152片</v>
          </cell>
          <cell r="H287">
            <v>1</v>
          </cell>
          <cell r="I287"/>
          <cell r="J287"/>
          <cell r="K287"/>
          <cell r="L287"/>
          <cell r="M287"/>
          <cell r="N287">
            <v>24</v>
          </cell>
          <cell r="O287" t="str">
            <v>停產</v>
          </cell>
          <cell r="P287">
            <v>1358</v>
          </cell>
          <cell r="Q287">
            <v>1303.0741499999999</v>
          </cell>
        </row>
        <row r="288">
          <cell r="D288">
            <v>14987176232851</v>
          </cell>
          <cell r="E288" t="str">
            <v>Baby</v>
          </cell>
          <cell r="F288" t="str">
            <v>Pampers 幫寶適</v>
          </cell>
          <cell r="G288" t="str">
            <v>Pampers 幫寶適 台灣公司貨 清新幫紙尿褲/尿布, 黏貼型, XL, 12-17kg, 152片</v>
          </cell>
          <cell r="H288">
            <v>1</v>
          </cell>
          <cell r="I288"/>
          <cell r="J288">
            <v>800</v>
          </cell>
          <cell r="K288"/>
          <cell r="L288"/>
          <cell r="M288"/>
          <cell r="N288"/>
          <cell r="O288" t="str">
            <v>新品</v>
          </cell>
          <cell r="P288">
            <v>1464</v>
          </cell>
          <cell r="Q288">
            <v>1406.69</v>
          </cell>
        </row>
        <row r="289">
          <cell r="D289">
            <v>14902430746028</v>
          </cell>
          <cell r="E289" t="str">
            <v>Baby</v>
          </cell>
          <cell r="F289" t="str">
            <v>Pampers 幫寶適</v>
          </cell>
          <cell r="G289" t="str">
            <v>Pampers 幫寶適 台灣公司貨 2023新升級 日本原裝 一級幫紙尿褲/尿布, 黏貼型, XL, 12~17kg, 198片</v>
          </cell>
          <cell r="H289">
            <v>1</v>
          </cell>
          <cell r="I289"/>
          <cell r="J289"/>
          <cell r="K289"/>
          <cell r="L289"/>
          <cell r="M289"/>
          <cell r="N289">
            <v>20</v>
          </cell>
          <cell r="O289" t="str">
            <v>停產</v>
          </cell>
          <cell r="P289">
            <v>2684.41</v>
          </cell>
          <cell r="Q289">
            <v>2599.7062454999996</v>
          </cell>
        </row>
        <row r="290">
          <cell r="D290">
            <v>14902430745984</v>
          </cell>
          <cell r="E290" t="str">
            <v>Baby</v>
          </cell>
          <cell r="F290" t="str">
            <v>Pampers 幫寶適</v>
          </cell>
          <cell r="G290" t="str">
            <v>Pampers 幫寶適 台灣公司貨 2023新升級 日本原裝 一級幫紙尿褲/尿布, 黏貼型, M, 6-11kg, 208片</v>
          </cell>
          <cell r="H290">
            <v>1</v>
          </cell>
          <cell r="I290"/>
          <cell r="J290"/>
          <cell r="K290"/>
          <cell r="L290"/>
          <cell r="M290"/>
          <cell r="N290">
            <v>30</v>
          </cell>
          <cell r="O290" t="str">
            <v>停產</v>
          </cell>
          <cell r="P290">
            <v>1789.61</v>
          </cell>
          <cell r="Q290">
            <v>1724.9945054999998</v>
          </cell>
        </row>
        <row r="291">
          <cell r="D291">
            <v>14987176180558</v>
          </cell>
          <cell r="E291" t="str">
            <v>Baby</v>
          </cell>
          <cell r="F291" t="str">
            <v>Pampers 幫寶適</v>
          </cell>
          <cell r="G291" t="str">
            <v>Pampers 幫寶適 台灣公司貨 2023新升級 日本原裝 一級幫拉拉褲/尿布, 褲型, XL, 12-22kg, 120片</v>
          </cell>
          <cell r="H291">
            <v>1</v>
          </cell>
          <cell r="I291"/>
          <cell r="J291"/>
          <cell r="K291"/>
          <cell r="L291"/>
          <cell r="M291"/>
          <cell r="N291">
            <v>30</v>
          </cell>
          <cell r="O291" t="str">
            <v>停產</v>
          </cell>
          <cell r="P291">
            <v>1545.4</v>
          </cell>
          <cell r="Q291">
            <v>1486.2670200000002</v>
          </cell>
        </row>
        <row r="292">
          <cell r="D292">
            <v>14902430894415</v>
          </cell>
          <cell r="E292" t="str">
            <v>Baby</v>
          </cell>
          <cell r="F292" t="str">
            <v>Pampers 幫寶適</v>
          </cell>
          <cell r="G292" t="str">
            <v>Pampers 幫寶適 台灣公司貨 超薄乾爽紙尿褲/尿布, 黏貼型 S 3-8kg, 252片</v>
          </cell>
          <cell r="H292">
            <v>1</v>
          </cell>
          <cell r="I292"/>
          <cell r="J292"/>
          <cell r="K292"/>
          <cell r="L292"/>
          <cell r="M292"/>
          <cell r="N292">
            <v>27</v>
          </cell>
          <cell r="O292" t="str">
            <v>停產</v>
          </cell>
          <cell r="P292">
            <v>1249.71</v>
          </cell>
          <cell r="Q292">
            <v>1197.2152605000001</v>
          </cell>
        </row>
        <row r="293">
          <cell r="D293">
            <v>14987176080384</v>
          </cell>
          <cell r="E293" t="str">
            <v>Baby</v>
          </cell>
          <cell r="F293" t="str">
            <v>Pampers 幫寶適</v>
          </cell>
          <cell r="G293" t="str">
            <v>Pampers 幫寶適 台灣公司貨 清新幫紙尿褲/尿布, 黏貼型, L, 9~14kg, 184片</v>
          </cell>
          <cell r="H293">
            <v>1</v>
          </cell>
          <cell r="I293"/>
          <cell r="J293"/>
          <cell r="K293"/>
          <cell r="L293"/>
          <cell r="M293"/>
          <cell r="N293">
            <v>16</v>
          </cell>
          <cell r="O293" t="str">
            <v>停產</v>
          </cell>
          <cell r="P293">
            <v>1369</v>
          </cell>
          <cell r="Q293">
            <v>1313.8272000000002</v>
          </cell>
        </row>
        <row r="294">
          <cell r="D294">
            <v>14987176232868</v>
          </cell>
          <cell r="E294" t="str">
            <v>Baby</v>
          </cell>
          <cell r="F294" t="str">
            <v>Pampers 幫寶適</v>
          </cell>
          <cell r="G294" t="str">
            <v>Pampers 幫寶適 台灣公司貨 清新幫紙尿褲/尿布, 黏貼型, L, 9~14kg, 184片</v>
          </cell>
          <cell r="H294">
            <v>1</v>
          </cell>
          <cell r="I294"/>
          <cell r="J294">
            <v>600</v>
          </cell>
          <cell r="K294"/>
          <cell r="L294"/>
          <cell r="M294"/>
          <cell r="N294"/>
          <cell r="O294" t="str">
            <v>新品</v>
          </cell>
          <cell r="P294">
            <v>1464</v>
          </cell>
          <cell r="Q294">
            <v>1406.69</v>
          </cell>
        </row>
        <row r="295">
          <cell r="D295">
            <v>64902430680341</v>
          </cell>
          <cell r="E295" t="str">
            <v>Baby</v>
          </cell>
          <cell r="F295" t="str">
            <v>Pampers 幫寶適</v>
          </cell>
          <cell r="G295" t="str">
            <v>Pampers 幫寶適 台灣公司貨 2023新升級 日本原裝 一級幫拉拉褲/尿布, 褲型, L, 9-14kg, 138片</v>
          </cell>
          <cell r="H295">
            <v>1</v>
          </cell>
          <cell r="I295"/>
          <cell r="J295"/>
          <cell r="K295"/>
          <cell r="L295"/>
          <cell r="M295"/>
          <cell r="N295">
            <v>30</v>
          </cell>
          <cell r="O295" t="str">
            <v>停產</v>
          </cell>
          <cell r="P295">
            <v>1477.4</v>
          </cell>
          <cell r="Q295">
            <v>1419.7936200000001</v>
          </cell>
        </row>
        <row r="296">
          <cell r="D296">
            <v>14902430894422</v>
          </cell>
          <cell r="E296" t="str">
            <v>Baby</v>
          </cell>
          <cell r="F296" t="str">
            <v>Pampers 幫寶適</v>
          </cell>
          <cell r="G296" t="str">
            <v>Pampers 幫寶適 台灣公司貨 超薄乾爽紙尿褲/尿布, 黏貼型, M, 6-11kg, 192片</v>
          </cell>
          <cell r="H296">
            <v>1</v>
          </cell>
          <cell r="I296"/>
          <cell r="J296"/>
          <cell r="K296"/>
          <cell r="L296"/>
          <cell r="M296"/>
          <cell r="N296">
            <v>24</v>
          </cell>
          <cell r="O296"/>
          <cell r="P296">
            <v>1110.54</v>
          </cell>
          <cell r="Q296">
            <v>1061.169627</v>
          </cell>
        </row>
        <row r="297">
          <cell r="D297">
            <v>34902430679177</v>
          </cell>
          <cell r="E297" t="str">
            <v>Baby</v>
          </cell>
          <cell r="F297" t="str">
            <v>Pampers 幫寶適</v>
          </cell>
          <cell r="G297" t="str">
            <v>Pampers 幫寶適 台灣公司貨 2023新升級 日本原裝 一級幫紙尿褲/尿布, 黏貼型, NB, 5kg, 252片</v>
          </cell>
          <cell r="H297">
            <v>1</v>
          </cell>
          <cell r="I297"/>
          <cell r="J297"/>
          <cell r="K297"/>
          <cell r="L297"/>
          <cell r="M297"/>
          <cell r="N297">
            <v>18</v>
          </cell>
          <cell r="O297" t="str">
            <v>停產</v>
          </cell>
          <cell r="P297">
            <v>1429.8</v>
          </cell>
          <cell r="Q297">
            <v>1373.26224</v>
          </cell>
        </row>
        <row r="298">
          <cell r="D298">
            <v>14987176174779</v>
          </cell>
          <cell r="E298" t="str">
            <v>Baby</v>
          </cell>
          <cell r="F298" t="str">
            <v>Pampers 幫寶適</v>
          </cell>
          <cell r="G298" t="str">
            <v>Pampers 幫寶適 台灣公司貨 2023新升級 巧虎安睡褲/拉拉褲/尿布, 褲型, XXXL , 17kg以上, 80片</v>
          </cell>
          <cell r="H298">
            <v>1</v>
          </cell>
          <cell r="I298"/>
          <cell r="J298">
            <v>0</v>
          </cell>
          <cell r="K298"/>
          <cell r="L298"/>
          <cell r="M298"/>
          <cell r="N298">
            <v>45</v>
          </cell>
          <cell r="O298"/>
          <cell r="P298">
            <v>1539.6</v>
          </cell>
          <cell r="Q298">
            <v>1480.5972299999999</v>
          </cell>
        </row>
        <row r="299">
          <cell r="D299">
            <v>14987176217445</v>
          </cell>
          <cell r="E299" t="str">
            <v>Baby</v>
          </cell>
          <cell r="F299" t="str">
            <v>Pampers 幫寶適</v>
          </cell>
          <cell r="G299" t="str">
            <v>Pampers 幫寶適 台灣公司貨 2023新升級 日本原裝 一級幫紙尿褲/尿布初生禮盒組(NB 32片x2包+S 60片x1包+嬰兒濕紙巾56x2包)</v>
          </cell>
          <cell r="H299">
            <v>1</v>
          </cell>
          <cell r="I299"/>
          <cell r="J299"/>
          <cell r="K299"/>
          <cell r="L299"/>
          <cell r="M299"/>
          <cell r="N299">
            <v>36</v>
          </cell>
          <cell r="O299" t="str">
            <v>停產</v>
          </cell>
          <cell r="P299">
            <v>979</v>
          </cell>
          <cell r="Q299">
            <v>875.16141300000004</v>
          </cell>
        </row>
        <row r="300">
          <cell r="D300">
            <v>14987176217223</v>
          </cell>
          <cell r="E300" t="str">
            <v>Baby</v>
          </cell>
          <cell r="F300" t="str">
            <v>Pampers 幫寶適</v>
          </cell>
          <cell r="G300" t="str">
            <v>Pampers 幫寶適 台灣公司貨 2023新升級 日本原裝 一級幫紙尿褲/尿布玩具盒裝(S 60片x2包+M 52片x1包+嬰兒濕紙巾56片x1包)</v>
          </cell>
          <cell r="H300">
            <v>1</v>
          </cell>
          <cell r="I300"/>
          <cell r="J300"/>
          <cell r="K300"/>
          <cell r="L300"/>
          <cell r="M300"/>
          <cell r="N300">
            <v>33</v>
          </cell>
          <cell r="O300" t="str">
            <v>停產</v>
          </cell>
          <cell r="P300">
            <v>1336.87</v>
          </cell>
          <cell r="Q300">
            <v>1204.0092329999998</v>
          </cell>
        </row>
        <row r="301">
          <cell r="D301">
            <v>14987176180565</v>
          </cell>
          <cell r="E301" t="str">
            <v>Baby</v>
          </cell>
          <cell r="F301" t="str">
            <v>Pampers 幫寶適</v>
          </cell>
          <cell r="G301" t="str">
            <v>Pampers 幫寶適 一級幫 嬰兒濕紙巾 (56片X2)x6</v>
          </cell>
          <cell r="H301">
            <v>1</v>
          </cell>
          <cell r="I301"/>
          <cell r="J301">
            <v>0</v>
          </cell>
          <cell r="K301"/>
          <cell r="L301"/>
          <cell r="M301"/>
          <cell r="N301">
            <v>72</v>
          </cell>
          <cell r="O301"/>
          <cell r="P301">
            <v>628.32000000000005</v>
          </cell>
          <cell r="Q301">
            <v>589.77546600000005</v>
          </cell>
        </row>
        <row r="302">
          <cell r="D302">
            <v>4987176275844</v>
          </cell>
          <cell r="E302" t="str">
            <v>Hair</v>
          </cell>
          <cell r="F302" t="str">
            <v>PANTENE 潘婷</v>
          </cell>
          <cell r="G302" t="str">
            <v>PANTENE 潘婷 爆水精華系列 PRO-V 洗護旅行組, 水潤修護型 ,12mlx2個+洗髮露50g</v>
          </cell>
          <cell r="H302">
            <v>12</v>
          </cell>
          <cell r="I302"/>
          <cell r="J302"/>
          <cell r="K302"/>
          <cell r="L302"/>
          <cell r="M302"/>
          <cell r="N302"/>
          <cell r="O302" t="str">
            <v>停產</v>
          </cell>
          <cell r="P302">
            <v>1648.08</v>
          </cell>
          <cell r="Q302">
            <v>1599.35</v>
          </cell>
        </row>
        <row r="303">
          <cell r="D303">
            <v>4987176275851</v>
          </cell>
          <cell r="E303" t="str">
            <v>Hair</v>
          </cell>
          <cell r="F303" t="str">
            <v>PANTENE 潘婷</v>
          </cell>
          <cell r="G303" t="str">
            <v>PANTENE 潘婷 爆水精華系列 爆水膠囊髮膜 Pro-V高濃保濕髮膜, 密集修護型, 12ml, 3個</v>
          </cell>
          <cell r="H303">
            <v>12</v>
          </cell>
          <cell r="I303"/>
          <cell r="J303"/>
          <cell r="K303"/>
          <cell r="L303"/>
          <cell r="M303"/>
          <cell r="N303"/>
          <cell r="O303"/>
          <cell r="P303">
            <v>1157.4000000000001</v>
          </cell>
          <cell r="Q303">
            <v>1119.69</v>
          </cell>
        </row>
        <row r="304">
          <cell r="D304">
            <v>4902430716505</v>
          </cell>
          <cell r="E304" t="str">
            <v>Hair</v>
          </cell>
          <cell r="F304" t="str">
            <v>PANTENE 潘婷</v>
          </cell>
          <cell r="G304" t="str">
            <v>PANTENE 潘婷 3分鐘奇蹟護髮精華, 多效損傷修護, 180ml, 1條</v>
          </cell>
          <cell r="H304">
            <v>12</v>
          </cell>
          <cell r="I304"/>
          <cell r="J304"/>
          <cell r="K304"/>
          <cell r="L304"/>
          <cell r="M304"/>
          <cell r="N304"/>
          <cell r="O304"/>
          <cell r="P304">
            <v>1767.43</v>
          </cell>
          <cell r="Q304">
            <v>1716.0205965</v>
          </cell>
        </row>
        <row r="305">
          <cell r="D305">
            <v>4987176154026</v>
          </cell>
          <cell r="E305" t="str">
            <v>Hair</v>
          </cell>
          <cell r="F305" t="str">
            <v>PANTENE 潘婷</v>
          </cell>
          <cell r="G305" t="str">
            <v>PANTENE 潘婷 爆水精華系列 爆水膠囊髮膜 Pro-V高濃保濕髮膜, 密集修護, 12ml, 8個</v>
          </cell>
          <cell r="H305">
            <v>12</v>
          </cell>
          <cell r="I305"/>
          <cell r="J305"/>
          <cell r="K305"/>
          <cell r="L305"/>
          <cell r="M305"/>
          <cell r="N305"/>
          <cell r="O305"/>
          <cell r="P305">
            <v>2820</v>
          </cell>
          <cell r="Q305">
            <v>2744.9603999999999</v>
          </cell>
        </row>
        <row r="306">
          <cell r="D306">
            <v>4987176154019</v>
          </cell>
          <cell r="E306" t="str">
            <v>Hair</v>
          </cell>
          <cell r="F306" t="str">
            <v>PANTENE 潘婷</v>
          </cell>
          <cell r="G306" t="str">
            <v>PANTENE 潘婷 爆水精華系列 爆水膠囊髮膜 Pro-V高濃保濕髮膜, 水潤修護, 12ml, 8個</v>
          </cell>
          <cell r="H306">
            <v>12</v>
          </cell>
          <cell r="I306"/>
          <cell r="J306"/>
          <cell r="K306"/>
          <cell r="L306"/>
          <cell r="M306"/>
          <cell r="N306"/>
          <cell r="O306"/>
          <cell r="P306">
            <v>2820</v>
          </cell>
          <cell r="Q306">
            <v>2744.9603999999999</v>
          </cell>
        </row>
        <row r="307">
          <cell r="D307">
            <v>4902430732949</v>
          </cell>
          <cell r="E307" t="str">
            <v>Hair</v>
          </cell>
          <cell r="F307" t="str">
            <v>PANTENE 潘婷</v>
          </cell>
          <cell r="G307" t="str">
            <v>PANTENE 潘婷 3 MINUTE MIRACLE燙染護髮精華, 180ml, 1條</v>
          </cell>
          <cell r="H307">
            <v>12</v>
          </cell>
          <cell r="I307"/>
          <cell r="J307"/>
          <cell r="K307"/>
          <cell r="L307"/>
          <cell r="M307"/>
          <cell r="N307"/>
          <cell r="O307"/>
          <cell r="P307">
            <v>1767.43</v>
          </cell>
          <cell r="Q307">
            <v>1716.0205965</v>
          </cell>
        </row>
        <row r="308">
          <cell r="D308">
            <v>4987176154040</v>
          </cell>
          <cell r="E308" t="str">
            <v>Hair</v>
          </cell>
          <cell r="F308" t="str">
            <v>PANTENE 潘婷</v>
          </cell>
          <cell r="G308" t="str">
            <v>PANTENE 潘婷 爆水精華系列 爆水膠囊髮膜 Pro-V高濃保濕髮膜, 強韌防斷, 12ml, 8個</v>
          </cell>
          <cell r="H308">
            <v>12</v>
          </cell>
          <cell r="I308"/>
          <cell r="J308"/>
          <cell r="K308"/>
          <cell r="L308"/>
          <cell r="M308"/>
          <cell r="N308"/>
          <cell r="O308"/>
          <cell r="P308">
            <v>2820</v>
          </cell>
          <cell r="Q308">
            <v>2744.9603999999999</v>
          </cell>
        </row>
        <row r="309">
          <cell r="D309">
            <v>4987176343680</v>
          </cell>
          <cell r="E309" t="str">
            <v>Hair</v>
          </cell>
          <cell r="F309" t="str">
            <v>PANTENE 潘婷</v>
          </cell>
          <cell r="G309" t="str">
            <v>PANTENE 潘婷 原廠公司貨 洗髮露, 乳液修護, 650g , 1瓶</v>
          </cell>
          <cell r="H309">
            <v>6</v>
          </cell>
          <cell r="I309"/>
          <cell r="J309"/>
          <cell r="K309"/>
          <cell r="L309"/>
          <cell r="M309"/>
          <cell r="N309"/>
          <cell r="O309"/>
          <cell r="P309">
            <v>1061.3399999999999</v>
          </cell>
          <cell r="Q309">
            <v>1025.78</v>
          </cell>
        </row>
        <row r="310">
          <cell r="D310">
            <v>4987176343727</v>
          </cell>
          <cell r="E310" t="str">
            <v>Hair</v>
          </cell>
          <cell r="F310" t="str">
            <v>PANTENE 潘婷</v>
          </cell>
          <cell r="G310" t="str">
            <v>PANTENE 潘婷 原廠公司貨 護潤髮精華素, 乳液修護, 650g, 1瓶</v>
          </cell>
          <cell r="H310">
            <v>6</v>
          </cell>
          <cell r="I310"/>
          <cell r="J310"/>
          <cell r="K310"/>
          <cell r="L310"/>
          <cell r="M310"/>
          <cell r="N310"/>
          <cell r="O310"/>
          <cell r="P310">
            <v>1061.3399999999999</v>
          </cell>
          <cell r="Q310">
            <v>1025.78</v>
          </cell>
        </row>
        <row r="311">
          <cell r="D311">
            <v>4987176343741</v>
          </cell>
          <cell r="E311" t="str">
            <v>Hair</v>
          </cell>
          <cell r="F311" t="str">
            <v>PANTENE 潘婷</v>
          </cell>
          <cell r="G311" t="str">
            <v>PANTENE 潘婷 原廠公司貨 洗髮露, 絲質順滑, 650g, 1瓶</v>
          </cell>
          <cell r="H311">
            <v>6</v>
          </cell>
          <cell r="I311"/>
          <cell r="J311"/>
          <cell r="K311"/>
          <cell r="L311"/>
          <cell r="M311"/>
          <cell r="N311"/>
          <cell r="O311"/>
          <cell r="P311">
            <v>1061.3399999999999</v>
          </cell>
          <cell r="Q311">
            <v>1025.78</v>
          </cell>
        </row>
        <row r="312">
          <cell r="D312">
            <v>4987176343697</v>
          </cell>
          <cell r="E312" t="str">
            <v>Hair</v>
          </cell>
          <cell r="F312" t="str">
            <v>PANTENE 潘婷</v>
          </cell>
          <cell r="G312" t="str">
            <v>PANTENE 潘婷 原廠公司貨 潤髮精華素, 絲質順滑, 650g, 1瓶</v>
          </cell>
          <cell r="H312">
            <v>6</v>
          </cell>
          <cell r="I312"/>
          <cell r="J312"/>
          <cell r="K312"/>
          <cell r="L312"/>
          <cell r="M312"/>
          <cell r="N312"/>
          <cell r="O312"/>
          <cell r="P312">
            <v>1061.3399999999999</v>
          </cell>
          <cell r="Q312">
            <v>1025.78</v>
          </cell>
        </row>
        <row r="313">
          <cell r="D313">
            <v>4987176343710</v>
          </cell>
          <cell r="E313" t="str">
            <v>Hair</v>
          </cell>
          <cell r="F313" t="str">
            <v>PANTENE 潘婷</v>
          </cell>
          <cell r="G313" t="str">
            <v>PANTENE 潘婷 原廠公司貨 洗髮露, 強韌防斷, 650g, 1瓶</v>
          </cell>
          <cell r="H313">
            <v>6</v>
          </cell>
          <cell r="I313"/>
          <cell r="J313"/>
          <cell r="K313"/>
          <cell r="L313"/>
          <cell r="M313"/>
          <cell r="N313"/>
          <cell r="O313"/>
          <cell r="P313">
            <v>1061.3399999999999</v>
          </cell>
          <cell r="Q313">
            <v>1025.78</v>
          </cell>
        </row>
        <row r="314">
          <cell r="D314">
            <v>4987176343703</v>
          </cell>
          <cell r="E314" t="str">
            <v>Hair</v>
          </cell>
          <cell r="F314" t="str">
            <v>PANTENE 潘婷</v>
          </cell>
          <cell r="G314" t="str">
            <v>PANTENE 潘婷 原廠公司貨 潤髮精華素, 強韌防斷, 650g, 1瓶</v>
          </cell>
          <cell r="H314">
            <v>6</v>
          </cell>
          <cell r="I314"/>
          <cell r="J314"/>
          <cell r="K314"/>
          <cell r="L314"/>
          <cell r="M314"/>
          <cell r="N314"/>
          <cell r="O314"/>
          <cell r="P314">
            <v>1061.3399999999999</v>
          </cell>
          <cell r="Q314">
            <v>1025.78</v>
          </cell>
        </row>
        <row r="315">
          <cell r="D315">
            <v>4987176343734</v>
          </cell>
          <cell r="E315" t="str">
            <v>Hair</v>
          </cell>
          <cell r="F315" t="str">
            <v>PANTENE 潘婷</v>
          </cell>
          <cell r="G315" t="str">
            <v>PANTENE 潘婷 原廠公司貨 洗髮露, 染燙修護, 650g, 1瓶</v>
          </cell>
          <cell r="H315">
            <v>6</v>
          </cell>
          <cell r="I315"/>
          <cell r="J315"/>
          <cell r="K315"/>
          <cell r="L315"/>
          <cell r="M315"/>
          <cell r="N315"/>
          <cell r="O315"/>
          <cell r="P315">
            <v>1061.3399999999999</v>
          </cell>
          <cell r="Q315">
            <v>1025.78</v>
          </cell>
        </row>
        <row r="316">
          <cell r="D316">
            <v>4987176343635</v>
          </cell>
          <cell r="E316" t="str">
            <v>Hair</v>
          </cell>
          <cell r="F316" t="str">
            <v>PANTENE 潘婷</v>
          </cell>
          <cell r="G316" t="str">
            <v>PANTENE 潘婷 原廠公司貨 潤髮精華素, 染燙修護, 650g, 1瓶</v>
          </cell>
          <cell r="H316">
            <v>6</v>
          </cell>
          <cell r="I316"/>
          <cell r="J316"/>
          <cell r="K316"/>
          <cell r="L316"/>
          <cell r="M316"/>
          <cell r="N316"/>
          <cell r="O316"/>
          <cell r="P316">
            <v>1061.3399999999999</v>
          </cell>
          <cell r="Q316">
            <v>1025.78</v>
          </cell>
        </row>
        <row r="317">
          <cell r="D317">
            <v>4987176343673</v>
          </cell>
          <cell r="E317" t="str">
            <v>Hair</v>
          </cell>
          <cell r="F317" t="str">
            <v>PANTENE 潘婷</v>
          </cell>
          <cell r="G317" t="str">
            <v>PANTENE 潘婷 原廠公司貨 洗髮露 ,盈潤光澤 ,650g, 1瓶</v>
          </cell>
          <cell r="H317">
            <v>6</v>
          </cell>
          <cell r="I317"/>
          <cell r="J317"/>
          <cell r="K317"/>
          <cell r="L317"/>
          <cell r="M317"/>
          <cell r="N317"/>
          <cell r="O317"/>
          <cell r="P317">
            <v>1061.3399999999999</v>
          </cell>
          <cell r="Q317">
            <v>1025.78</v>
          </cell>
        </row>
        <row r="318">
          <cell r="D318">
            <v>4987176343918</v>
          </cell>
          <cell r="E318" t="str">
            <v>Hair</v>
          </cell>
          <cell r="F318" t="str">
            <v>PANTENE 潘婷</v>
          </cell>
          <cell r="G318" t="str">
            <v>PANTENE 潘婷 原廠公司貨 潤髮精華素, 盈潤光澤, 650g, 1瓶</v>
          </cell>
          <cell r="H318">
            <v>6</v>
          </cell>
          <cell r="I318"/>
          <cell r="J318"/>
          <cell r="K318"/>
          <cell r="L318"/>
          <cell r="M318"/>
          <cell r="N318"/>
          <cell r="O318"/>
          <cell r="P318">
            <v>1061.3399999999999</v>
          </cell>
          <cell r="Q318">
            <v>1025.78</v>
          </cell>
        </row>
        <row r="319">
          <cell r="D319">
            <v>4987176343659</v>
          </cell>
          <cell r="E319" t="str">
            <v>Hair</v>
          </cell>
          <cell r="F319" t="str">
            <v>PANTENE 潘婷</v>
          </cell>
          <cell r="G319" t="str">
            <v>PANTENE 潘婷 原廠公司貨 去屑洗髮露, 乳液修護, 650g, 1瓶</v>
          </cell>
          <cell r="H319">
            <v>6</v>
          </cell>
          <cell r="I319"/>
          <cell r="J319"/>
          <cell r="K319"/>
          <cell r="L319"/>
          <cell r="M319"/>
          <cell r="N319"/>
          <cell r="O319"/>
          <cell r="P319">
            <v>1061.3399999999999</v>
          </cell>
          <cell r="Q319">
            <v>1025.78</v>
          </cell>
        </row>
        <row r="320">
          <cell r="D320">
            <v>4987176343925</v>
          </cell>
          <cell r="E320" t="str">
            <v>Hair</v>
          </cell>
          <cell r="F320" t="str">
            <v>PANTENE 潘婷</v>
          </cell>
          <cell r="G320" t="str">
            <v>PANTENE 潘婷 原廠公司貨 洗髮露, 垂順直髮, 650g, 1瓶</v>
          </cell>
          <cell r="H320">
            <v>6</v>
          </cell>
          <cell r="I320"/>
          <cell r="J320"/>
          <cell r="K320"/>
          <cell r="L320"/>
          <cell r="M320"/>
          <cell r="N320"/>
          <cell r="O320"/>
          <cell r="P320">
            <v>1061.3399999999999</v>
          </cell>
          <cell r="Q320">
            <v>1025.78</v>
          </cell>
        </row>
        <row r="321">
          <cell r="D321">
            <v>4987176343628</v>
          </cell>
          <cell r="E321" t="str">
            <v>Hair</v>
          </cell>
          <cell r="F321" t="str">
            <v>PANTENE 潘婷</v>
          </cell>
          <cell r="G321" t="str">
            <v>PANTENE 潘婷 原廠公司貨 潤髮精華素, 乳液修護, 400g, 1瓶</v>
          </cell>
          <cell r="H321">
            <v>12</v>
          </cell>
          <cell r="I321"/>
          <cell r="J321"/>
          <cell r="K321"/>
          <cell r="L321"/>
          <cell r="M321"/>
          <cell r="N321"/>
          <cell r="O321"/>
          <cell r="P321">
            <v>1208.24</v>
          </cell>
          <cell r="Q321">
            <v>1169.3800000000001</v>
          </cell>
        </row>
        <row r="322">
          <cell r="D322">
            <v>4987176354044</v>
          </cell>
          <cell r="E322" t="str">
            <v>Hair</v>
          </cell>
          <cell r="F322" t="str">
            <v>PANTENE 潘婷</v>
          </cell>
          <cell r="G322" t="str">
            <v>PANTENE 潘婷 原廠公司貨 乳液修護洗髮乳650g + 3 MINUTE MIRACLE多效護髮精華 70ml, 1組</v>
          </cell>
          <cell r="H322">
            <v>6</v>
          </cell>
          <cell r="I322"/>
          <cell r="J322"/>
          <cell r="K322"/>
          <cell r="L322"/>
          <cell r="M322"/>
          <cell r="N322"/>
          <cell r="O322"/>
          <cell r="P322">
            <v>1168.02</v>
          </cell>
          <cell r="Q322">
            <v>1130.07</v>
          </cell>
        </row>
        <row r="323">
          <cell r="D323">
            <v>4902430558082</v>
          </cell>
          <cell r="E323" t="str">
            <v>Hair</v>
          </cell>
          <cell r="F323" t="str">
            <v>PANTENE 潘婷</v>
          </cell>
          <cell r="G323" t="str">
            <v>PANTENE 潘婷 絲質順滑洗髮乳, 700g, 1瓶</v>
          </cell>
          <cell r="H323">
            <v>6</v>
          </cell>
          <cell r="I323"/>
          <cell r="J323"/>
          <cell r="K323"/>
          <cell r="L323"/>
          <cell r="M323"/>
          <cell r="N323"/>
          <cell r="O323"/>
          <cell r="P323">
            <v>1083</v>
          </cell>
          <cell r="Q323">
            <v>1046.95605</v>
          </cell>
        </row>
        <row r="324">
          <cell r="D324">
            <v>4902430558143</v>
          </cell>
          <cell r="E324" t="str">
            <v>Hair</v>
          </cell>
          <cell r="F324" t="str">
            <v>PANTENE 潘婷</v>
          </cell>
          <cell r="G324" t="str">
            <v>PANTENE 潘婷 乳液修護潤髮精華素, 700g, 1瓶</v>
          </cell>
          <cell r="H324">
            <v>6</v>
          </cell>
          <cell r="I324"/>
          <cell r="J324"/>
          <cell r="K324"/>
          <cell r="L324"/>
          <cell r="M324"/>
          <cell r="N324"/>
          <cell r="O324"/>
          <cell r="P324">
            <v>1083</v>
          </cell>
          <cell r="Q324">
            <v>1046.95605</v>
          </cell>
        </row>
        <row r="325">
          <cell r="D325">
            <v>4902430694995</v>
          </cell>
          <cell r="E325" t="str">
            <v>Hair</v>
          </cell>
          <cell r="F325" t="str">
            <v>PANTENE 潘婷</v>
          </cell>
          <cell r="G325" t="str">
            <v>PANTENE 潘婷 3分鐘奇蹟多效護髮精華, 70ml, 1條</v>
          </cell>
          <cell r="H325">
            <v>12</v>
          </cell>
          <cell r="I325"/>
          <cell r="J325"/>
          <cell r="K325"/>
          <cell r="L325"/>
          <cell r="M325"/>
          <cell r="N325"/>
          <cell r="O325"/>
          <cell r="P325">
            <v>622.86</v>
          </cell>
          <cell r="Q325">
            <v>597.14619300000004</v>
          </cell>
        </row>
        <row r="326">
          <cell r="D326">
            <v>4902430558051</v>
          </cell>
          <cell r="E326" t="str">
            <v>Hair</v>
          </cell>
          <cell r="F326" t="str">
            <v>PANTENE 潘婷</v>
          </cell>
          <cell r="G326" t="str">
            <v>PANTENE 潘婷 乳液修護洗髮乳, 700g, 1瓶</v>
          </cell>
          <cell r="H326">
            <v>6</v>
          </cell>
          <cell r="I326"/>
          <cell r="J326"/>
          <cell r="K326"/>
          <cell r="L326"/>
          <cell r="M326"/>
          <cell r="N326"/>
          <cell r="O326"/>
          <cell r="P326">
            <v>1083</v>
          </cell>
          <cell r="Q326">
            <v>1046.95605</v>
          </cell>
        </row>
        <row r="327">
          <cell r="D327">
            <v>4902430558150</v>
          </cell>
          <cell r="E327" t="str">
            <v>Hair</v>
          </cell>
          <cell r="F327" t="str">
            <v>PANTENE 潘婷</v>
          </cell>
          <cell r="G327" t="str">
            <v>PANTENE 潘婷 潤髮精華素, 絲質順滑, 700g, 1瓶</v>
          </cell>
          <cell r="H327">
            <v>6</v>
          </cell>
          <cell r="I327"/>
          <cell r="J327"/>
          <cell r="K327"/>
          <cell r="L327"/>
          <cell r="M327"/>
          <cell r="N327"/>
          <cell r="O327"/>
          <cell r="P327">
            <v>1083</v>
          </cell>
          <cell r="Q327">
            <v>1046.95605</v>
          </cell>
        </row>
        <row r="328">
          <cell r="D328">
            <v>4902430900591</v>
          </cell>
          <cell r="E328" t="str">
            <v>Hair</v>
          </cell>
          <cell r="F328" t="str">
            <v>PANTENE 潘婷</v>
          </cell>
          <cell r="G328" t="str">
            <v>PANTENE 潘婷 miracles奇蹟系列 柔亮護色洗髮露, 1瓶, 500ml</v>
          </cell>
          <cell r="H328">
            <v>9</v>
          </cell>
          <cell r="I328"/>
          <cell r="J328"/>
          <cell r="K328"/>
          <cell r="L328"/>
          <cell r="M328"/>
          <cell r="N328"/>
          <cell r="O328"/>
          <cell r="P328">
            <v>2397</v>
          </cell>
          <cell r="Q328">
            <v>2331.4567499999998</v>
          </cell>
        </row>
        <row r="329">
          <cell r="D329">
            <v>4902430558112</v>
          </cell>
          <cell r="E329" t="str">
            <v>Hair</v>
          </cell>
          <cell r="F329" t="str">
            <v>PANTENE 潘婷</v>
          </cell>
          <cell r="G329" t="str">
            <v>PANTENE 潘婷 染燙修護洗髮乳, 700g, 1瓶</v>
          </cell>
          <cell r="H329">
            <v>6</v>
          </cell>
          <cell r="I329"/>
          <cell r="J329"/>
          <cell r="K329"/>
          <cell r="L329"/>
          <cell r="M329"/>
          <cell r="N329"/>
          <cell r="O329"/>
          <cell r="P329">
            <v>1083</v>
          </cell>
          <cell r="Q329">
            <v>1046.95605</v>
          </cell>
        </row>
        <row r="330">
          <cell r="D330">
            <v>4902430900614</v>
          </cell>
          <cell r="E330" t="str">
            <v>Hair</v>
          </cell>
          <cell r="F330" t="str">
            <v>PANTENE 潘婷</v>
          </cell>
          <cell r="G330" t="str">
            <v>PANTENE 潘婷 miracles奇蹟系列 柔亮護色護髮精華素, 500g, 1瓶</v>
          </cell>
          <cell r="H330">
            <v>9</v>
          </cell>
          <cell r="I330"/>
          <cell r="J330"/>
          <cell r="K330"/>
          <cell r="L330"/>
          <cell r="M330"/>
          <cell r="N330"/>
          <cell r="O330"/>
          <cell r="P330">
            <v>2397</v>
          </cell>
          <cell r="Q330">
            <v>2331.4567499999998</v>
          </cell>
        </row>
        <row r="331">
          <cell r="D331">
            <v>4902430732932</v>
          </cell>
          <cell r="E331" t="str">
            <v>Hair</v>
          </cell>
          <cell r="F331" t="str">
            <v>PANTENE 潘婷</v>
          </cell>
          <cell r="G331" t="str">
            <v>潘婷3 MINUTE MIRACLE水潤護髮精華180ML</v>
          </cell>
          <cell r="H331">
            <v>12</v>
          </cell>
          <cell r="I331"/>
          <cell r="J331"/>
          <cell r="K331"/>
          <cell r="L331"/>
          <cell r="M331"/>
          <cell r="N331"/>
          <cell r="O331"/>
          <cell r="P331">
            <v>1767.43</v>
          </cell>
          <cell r="Q331">
            <v>1716.02</v>
          </cell>
        </row>
        <row r="332">
          <cell r="D332">
            <v>4902430558174</v>
          </cell>
          <cell r="E332" t="str">
            <v>Hair</v>
          </cell>
          <cell r="F332" t="str">
            <v>PANTENE 潘婷</v>
          </cell>
          <cell r="G332" t="str">
            <v>PANTENE 潘婷 強韌頭髮減少斷裂潤髮精華素, 700g, 1瓶</v>
          </cell>
          <cell r="H332">
            <v>6</v>
          </cell>
          <cell r="I332"/>
          <cell r="J332"/>
          <cell r="K332"/>
          <cell r="L332"/>
          <cell r="M332"/>
          <cell r="N332"/>
          <cell r="O332"/>
          <cell r="P332">
            <v>1083</v>
          </cell>
          <cell r="Q332">
            <v>1046.95605</v>
          </cell>
        </row>
        <row r="333">
          <cell r="D333">
            <v>4987176153982</v>
          </cell>
          <cell r="E333" t="str">
            <v>Hair</v>
          </cell>
          <cell r="F333" t="str">
            <v>PANTENE 潘婷</v>
          </cell>
          <cell r="G333" t="str">
            <v>PANTENE 潘婷 爆水精華系列 爆水小金瓶 PRO-V 水潤洗髮露, 密集修護, 530ml, 1瓶</v>
          </cell>
          <cell r="H333">
            <v>6</v>
          </cell>
          <cell r="I333"/>
          <cell r="J333"/>
          <cell r="K333"/>
          <cell r="L333"/>
          <cell r="M333"/>
          <cell r="N333"/>
          <cell r="O333"/>
          <cell r="P333">
            <v>1597.8</v>
          </cell>
          <cell r="Q333">
            <v>1550.1987900000001</v>
          </cell>
        </row>
        <row r="334">
          <cell r="D334">
            <v>4987176166678</v>
          </cell>
          <cell r="E334" t="str">
            <v>Hair</v>
          </cell>
          <cell r="F334" t="str">
            <v>PANTENE 潘婷</v>
          </cell>
          <cell r="G334" t="str">
            <v>PANTENE 潘婷 PRO-V高濃保濕髮膜 密集修護型, 2顆, 12ml</v>
          </cell>
          <cell r="H334">
            <v>12</v>
          </cell>
          <cell r="I334"/>
          <cell r="J334"/>
          <cell r="K334"/>
          <cell r="L334"/>
          <cell r="M334"/>
          <cell r="N334"/>
          <cell r="O334" t="str">
            <v>停產</v>
          </cell>
          <cell r="P334">
            <v>771.6</v>
          </cell>
          <cell r="Q334">
            <v>644.00994000000014</v>
          </cell>
        </row>
        <row r="335">
          <cell r="D335">
            <v>4902430825856</v>
          </cell>
          <cell r="E335" t="str">
            <v>Hair</v>
          </cell>
          <cell r="F335" t="str">
            <v>PANTENE 潘婷</v>
          </cell>
          <cell r="G335" t="str">
            <v>PANTENE 潘婷 miracles奇蹟系列 煥活根源護髮精華素, 500g, 1瓶</v>
          </cell>
          <cell r="H335">
            <v>9</v>
          </cell>
          <cell r="I335"/>
          <cell r="J335"/>
          <cell r="K335"/>
          <cell r="L335"/>
          <cell r="M335"/>
          <cell r="N335"/>
          <cell r="O335"/>
          <cell r="P335">
            <v>2397</v>
          </cell>
          <cell r="Q335">
            <v>2331.4567499999998</v>
          </cell>
        </row>
        <row r="336">
          <cell r="D336">
            <v>4987176166647</v>
          </cell>
          <cell r="E336" t="str">
            <v>Hair</v>
          </cell>
          <cell r="F336" t="str">
            <v>PANTENE 潘婷</v>
          </cell>
          <cell r="G336" t="str">
            <v>PANTENE 潘婷 PRO-V高濃保濕髮膜 強韌防斷型, 2顆, 12ml</v>
          </cell>
          <cell r="H336">
            <v>12</v>
          </cell>
          <cell r="I336"/>
          <cell r="J336"/>
          <cell r="K336"/>
          <cell r="L336"/>
          <cell r="M336"/>
          <cell r="N336"/>
          <cell r="O336" t="str">
            <v>停產</v>
          </cell>
          <cell r="P336">
            <v>771.6</v>
          </cell>
          <cell r="Q336">
            <v>644.00994000000014</v>
          </cell>
        </row>
        <row r="337">
          <cell r="D337">
            <v>4902430558105</v>
          </cell>
          <cell r="E337" t="str">
            <v>Hair</v>
          </cell>
          <cell r="F337" t="str">
            <v>PANTENE 潘婷</v>
          </cell>
          <cell r="G337" t="str">
            <v>PANTENE 潘婷 強韌頭髮減少斷裂洗髮乳, 700g, 1瓶</v>
          </cell>
          <cell r="H337">
            <v>6</v>
          </cell>
          <cell r="I337"/>
          <cell r="J337"/>
          <cell r="K337"/>
          <cell r="L337"/>
          <cell r="M337"/>
          <cell r="N337"/>
          <cell r="O337"/>
          <cell r="P337">
            <v>1083</v>
          </cell>
          <cell r="Q337">
            <v>1046.95605</v>
          </cell>
        </row>
        <row r="338">
          <cell r="D338">
            <v>4902430558075</v>
          </cell>
          <cell r="E338" t="str">
            <v>Hair</v>
          </cell>
          <cell r="F338" t="str">
            <v>PANTENE 潘婷</v>
          </cell>
          <cell r="G338" t="str">
            <v>PANTENE 潘婷 乳液修護去屑洗髮乳, 700ml, 1瓶</v>
          </cell>
          <cell r="H338">
            <v>6</v>
          </cell>
          <cell r="I338"/>
          <cell r="J338"/>
          <cell r="K338"/>
          <cell r="L338"/>
          <cell r="M338"/>
          <cell r="N338"/>
          <cell r="O338"/>
          <cell r="P338">
            <v>1083</v>
          </cell>
          <cell r="Q338">
            <v>1046.95605</v>
          </cell>
        </row>
        <row r="339">
          <cell r="D339">
            <v>4902430558181</v>
          </cell>
          <cell r="E339" t="str">
            <v>Hair</v>
          </cell>
          <cell r="F339" t="str">
            <v>PANTENE 潘婷</v>
          </cell>
          <cell r="G339" t="str">
            <v>PANTENE 潘婷 染燙修護 潤髮精華素, 1瓶, 700ml</v>
          </cell>
          <cell r="H339">
            <v>6</v>
          </cell>
          <cell r="I339"/>
          <cell r="J339"/>
          <cell r="K339"/>
          <cell r="L339"/>
          <cell r="M339"/>
          <cell r="N339"/>
          <cell r="O339"/>
          <cell r="P339">
            <v>1083</v>
          </cell>
          <cell r="Q339">
            <v>1046.95605</v>
          </cell>
        </row>
        <row r="340">
          <cell r="D340">
            <v>4902430825801</v>
          </cell>
          <cell r="E340" t="str">
            <v>Hair</v>
          </cell>
          <cell r="F340" t="str">
            <v>PANTENE 潘婷</v>
          </cell>
          <cell r="G340" t="str">
            <v>PANTENE 潘婷 miracles奇蹟系列 煥活根源洗髮露, 1瓶, 500ml</v>
          </cell>
          <cell r="H340">
            <v>9</v>
          </cell>
          <cell r="I340"/>
          <cell r="J340"/>
          <cell r="K340"/>
          <cell r="L340"/>
          <cell r="M340"/>
          <cell r="N340"/>
          <cell r="O340"/>
          <cell r="P340">
            <v>2397</v>
          </cell>
          <cell r="Q340">
            <v>2331.4567499999998</v>
          </cell>
        </row>
        <row r="341">
          <cell r="D341">
            <v>4987176153975</v>
          </cell>
          <cell r="E341" t="str">
            <v>Hair</v>
          </cell>
          <cell r="F341" t="str">
            <v>PANTENE 潘婷</v>
          </cell>
          <cell r="G341" t="str">
            <v>PANTENE 潘婷 爆水精華系列 爆水小金瓶 PRO-V 水潤洗髮露, 水潤修護, 530ml, 1瓶</v>
          </cell>
          <cell r="H341">
            <v>6</v>
          </cell>
          <cell r="I341"/>
          <cell r="J341"/>
          <cell r="K341"/>
          <cell r="L341"/>
          <cell r="M341"/>
          <cell r="N341"/>
          <cell r="O341"/>
          <cell r="P341">
            <v>1597.8</v>
          </cell>
          <cell r="Q341">
            <v>1550.1987900000001</v>
          </cell>
        </row>
        <row r="342">
          <cell r="D342">
            <v>4902430768566</v>
          </cell>
          <cell r="E342" t="str">
            <v>Hair</v>
          </cell>
          <cell r="F342" t="str">
            <v>PANTENE 潘婷</v>
          </cell>
          <cell r="G342" t="str">
            <v>PANTENE 潘婷 水潤滋養洗髮乳, 700g, 1瓶</v>
          </cell>
          <cell r="H342">
            <v>6</v>
          </cell>
          <cell r="I342"/>
          <cell r="J342"/>
          <cell r="K342"/>
          <cell r="L342"/>
          <cell r="M342"/>
          <cell r="N342"/>
          <cell r="O342"/>
          <cell r="P342">
            <v>1083</v>
          </cell>
          <cell r="Q342">
            <v>1046.95605</v>
          </cell>
        </row>
        <row r="343">
          <cell r="D343">
            <v>4987176106353</v>
          </cell>
          <cell r="E343" t="str">
            <v>Hair</v>
          </cell>
          <cell r="F343" t="str">
            <v>PANTENE 潘婷</v>
          </cell>
          <cell r="G343" t="str">
            <v>潘婷黑亮修護潤髮精華素700G</v>
          </cell>
          <cell r="H343">
            <v>6</v>
          </cell>
          <cell r="I343"/>
          <cell r="J343"/>
          <cell r="K343"/>
          <cell r="L343"/>
          <cell r="M343"/>
          <cell r="N343"/>
          <cell r="O343"/>
          <cell r="P343">
            <v>1083</v>
          </cell>
          <cell r="Q343">
            <v>1046.95605</v>
          </cell>
        </row>
        <row r="344">
          <cell r="D344">
            <v>4902430720038</v>
          </cell>
          <cell r="E344" t="str">
            <v>Hair</v>
          </cell>
          <cell r="F344" t="str">
            <v>PANTENE 潘婷</v>
          </cell>
          <cell r="G344" t="str">
            <v>PANTENE 潘婷 3 MINUTE MIRACLE乳液護髮精華, 180ml, 1條</v>
          </cell>
          <cell r="H344">
            <v>12</v>
          </cell>
          <cell r="I344"/>
          <cell r="J344"/>
          <cell r="K344"/>
          <cell r="L344"/>
          <cell r="M344"/>
          <cell r="N344"/>
          <cell r="O344"/>
          <cell r="P344">
            <v>1767.43</v>
          </cell>
          <cell r="Q344">
            <v>1716.0205965</v>
          </cell>
        </row>
        <row r="345">
          <cell r="D345">
            <v>4902430768573</v>
          </cell>
          <cell r="E345" t="str">
            <v>Hair</v>
          </cell>
          <cell r="F345" t="str">
            <v>PANTENE 潘婷</v>
          </cell>
          <cell r="G345" t="str">
            <v>PANTENE 潘婷 潤髮精華素水潤滋養 瓶裝 700g</v>
          </cell>
          <cell r="H345">
            <v>6</v>
          </cell>
          <cell r="I345"/>
          <cell r="J345"/>
          <cell r="K345"/>
          <cell r="L345"/>
          <cell r="M345"/>
          <cell r="N345"/>
          <cell r="O345"/>
          <cell r="P345">
            <v>1083</v>
          </cell>
          <cell r="Q345">
            <v>1046.95605</v>
          </cell>
        </row>
        <row r="346">
          <cell r="D346">
            <v>4987176153999</v>
          </cell>
          <cell r="E346" t="str">
            <v>Hair</v>
          </cell>
          <cell r="F346" t="str">
            <v>PANTENE 潘婷</v>
          </cell>
          <cell r="G346" t="str">
            <v>PANTENE 潘婷 爆水精華系列 爆水小金瓶 PRO-V 水潤洗髮露, 強韌防斷, 530ml, 1瓶</v>
          </cell>
          <cell r="H346">
            <v>6</v>
          </cell>
          <cell r="I346"/>
          <cell r="J346"/>
          <cell r="K346"/>
          <cell r="L346"/>
          <cell r="M346"/>
          <cell r="N346"/>
          <cell r="O346"/>
          <cell r="P346">
            <v>1597.8</v>
          </cell>
          <cell r="Q346">
            <v>1550.1987900000001</v>
          </cell>
        </row>
        <row r="347">
          <cell r="D347">
            <v>4902430558129</v>
          </cell>
          <cell r="E347" t="str">
            <v>Hair</v>
          </cell>
          <cell r="F347" t="str">
            <v>PANTENE 潘婷</v>
          </cell>
          <cell r="G347" t="str">
            <v>PANTENE 潘婷 垂順直髮洗髮乳, 700g, 1瓶</v>
          </cell>
          <cell r="H347">
            <v>6</v>
          </cell>
          <cell r="I347"/>
          <cell r="J347"/>
          <cell r="K347"/>
          <cell r="L347"/>
          <cell r="M347"/>
          <cell r="N347"/>
          <cell r="O347"/>
          <cell r="P347">
            <v>1083</v>
          </cell>
          <cell r="Q347">
            <v>1046.95605</v>
          </cell>
        </row>
        <row r="348">
          <cell r="D348">
            <v>4987176106346</v>
          </cell>
          <cell r="E348" t="str">
            <v>Hair</v>
          </cell>
          <cell r="F348" t="str">
            <v>PANTENE 潘婷</v>
          </cell>
          <cell r="G348" t="str">
            <v>潘婷黑亮修護洗髮乳700G</v>
          </cell>
          <cell r="H348">
            <v>6</v>
          </cell>
          <cell r="I348"/>
          <cell r="J348"/>
          <cell r="K348"/>
          <cell r="L348"/>
          <cell r="M348"/>
          <cell r="N348"/>
          <cell r="O348"/>
          <cell r="P348">
            <v>1083</v>
          </cell>
          <cell r="Q348">
            <v>1046.95605</v>
          </cell>
        </row>
        <row r="349">
          <cell r="D349">
            <v>4987176281593</v>
          </cell>
          <cell r="E349" t="str">
            <v>Hair</v>
          </cell>
          <cell r="F349" t="str">
            <v>PANTENE 潘婷</v>
          </cell>
          <cell r="G349" t="str">
            <v>PANTENE 潘婷 Abundance豐盈洗髮露, 290g</v>
          </cell>
          <cell r="H349">
            <v>12</v>
          </cell>
          <cell r="I349"/>
          <cell r="J349"/>
          <cell r="K349"/>
          <cell r="L349"/>
          <cell r="M349"/>
          <cell r="N349"/>
          <cell r="O349"/>
          <cell r="P349">
            <v>3420</v>
          </cell>
          <cell r="Q349">
            <v>3331.49</v>
          </cell>
        </row>
        <row r="350">
          <cell r="D350">
            <v>4987176281616</v>
          </cell>
          <cell r="E350" t="str">
            <v>Hair</v>
          </cell>
          <cell r="F350" t="str">
            <v>PANTENE 潘婷</v>
          </cell>
          <cell r="G350" t="str">
            <v>PANTENE 潘婷 Abundance防斷護髮精華素, 200ml</v>
          </cell>
          <cell r="H350">
            <v>12</v>
          </cell>
          <cell r="I350"/>
          <cell r="J350"/>
          <cell r="K350"/>
          <cell r="L350"/>
          <cell r="M350"/>
          <cell r="N350"/>
          <cell r="O350"/>
          <cell r="P350">
            <v>3420</v>
          </cell>
          <cell r="Q350">
            <v>3331.49</v>
          </cell>
        </row>
        <row r="351">
          <cell r="D351">
            <v>4987176209757</v>
          </cell>
          <cell r="E351" t="str">
            <v>Hair</v>
          </cell>
          <cell r="F351" t="str">
            <v>PANTENE 潘婷</v>
          </cell>
          <cell r="G351" t="str">
            <v>PANTENE 潘婷 台灣公司貨 護髮膠囊精華油, 經典柑橘香, 5顆, 0.7ml</v>
          </cell>
          <cell r="H351">
            <v>24</v>
          </cell>
          <cell r="I351"/>
          <cell r="J351"/>
          <cell r="K351"/>
          <cell r="L351"/>
          <cell r="M351"/>
          <cell r="N351"/>
          <cell r="O351"/>
          <cell r="P351">
            <v>1293.5999999999999</v>
          </cell>
          <cell r="Q351">
            <v>1252.83</v>
          </cell>
        </row>
        <row r="352">
          <cell r="D352">
            <v>4987176209764</v>
          </cell>
          <cell r="E352" t="str">
            <v>Hair</v>
          </cell>
          <cell r="F352" t="str">
            <v>PANTENE 潘婷</v>
          </cell>
          <cell r="G352" t="str">
            <v>PANTENE 潘婷 台灣公司貨 護髮膠囊精華油, 經典柑橘香, 25顆, 17.5ml</v>
          </cell>
          <cell r="H352">
            <v>12</v>
          </cell>
          <cell r="I352"/>
          <cell r="J352"/>
          <cell r="K352"/>
          <cell r="L352"/>
          <cell r="M352"/>
          <cell r="N352"/>
          <cell r="O352"/>
          <cell r="P352">
            <v>2631.6</v>
          </cell>
          <cell r="Q352">
            <v>2560.79</v>
          </cell>
        </row>
        <row r="353">
          <cell r="D353">
            <v>4987176297495</v>
          </cell>
          <cell r="E353" t="str">
            <v>Hair</v>
          </cell>
          <cell r="F353" t="str">
            <v>PERT 飛柔</v>
          </cell>
          <cell r="G353" t="str">
            <v>PERT 飛柔 洗髮露,  控油去屑, 600g, 1瓶</v>
          </cell>
          <cell r="H353">
            <v>6</v>
          </cell>
          <cell r="I353"/>
          <cell r="J353"/>
          <cell r="K353"/>
          <cell r="L353"/>
          <cell r="M353"/>
          <cell r="N353"/>
          <cell r="O353"/>
          <cell r="P353">
            <v>710.91</v>
          </cell>
          <cell r="Q353">
            <v>683.22</v>
          </cell>
        </row>
        <row r="354">
          <cell r="D354">
            <v>4987176297648</v>
          </cell>
          <cell r="E354" t="str">
            <v>Hair</v>
          </cell>
          <cell r="F354" t="str">
            <v>PERT 飛柔</v>
          </cell>
          <cell r="G354" t="str">
            <v>PERT 飛柔 洗髮露,  控油去屑, 400g, 1瓶</v>
          </cell>
          <cell r="H354">
            <v>12</v>
          </cell>
          <cell r="I354"/>
          <cell r="J354"/>
          <cell r="K354"/>
          <cell r="L354"/>
          <cell r="M354"/>
          <cell r="N354"/>
          <cell r="O354"/>
          <cell r="P354">
            <v>1049.8</v>
          </cell>
          <cell r="Q354">
            <v>1014.5</v>
          </cell>
        </row>
        <row r="355">
          <cell r="D355">
            <v>4987176297464</v>
          </cell>
          <cell r="E355" t="str">
            <v>Hair</v>
          </cell>
          <cell r="F355" t="str">
            <v>PERT 飛柔</v>
          </cell>
          <cell r="G355" t="str">
            <v>PERT 飛柔 洗髮露,  蓬鬆去屑, 600g, 1瓶</v>
          </cell>
          <cell r="H355">
            <v>6</v>
          </cell>
          <cell r="I355"/>
          <cell r="J355"/>
          <cell r="K355"/>
          <cell r="L355"/>
          <cell r="M355"/>
          <cell r="N355"/>
          <cell r="O355"/>
          <cell r="P355">
            <v>710.91</v>
          </cell>
          <cell r="Q355">
            <v>683.22</v>
          </cell>
        </row>
        <row r="356">
          <cell r="D356">
            <v>4987176297600</v>
          </cell>
          <cell r="E356" t="str">
            <v>Hair</v>
          </cell>
          <cell r="F356" t="str">
            <v>PERT 飛柔</v>
          </cell>
          <cell r="G356" t="str">
            <v>PERT 飛柔 洗髮露,  蓬鬆去屑, 400g, 1瓶</v>
          </cell>
          <cell r="H356">
            <v>12</v>
          </cell>
          <cell r="I356"/>
          <cell r="J356"/>
          <cell r="K356"/>
          <cell r="L356"/>
          <cell r="M356"/>
          <cell r="N356"/>
          <cell r="O356"/>
          <cell r="P356">
            <v>1049.8</v>
          </cell>
          <cell r="Q356">
            <v>1014.5</v>
          </cell>
        </row>
        <row r="357">
          <cell r="D357">
            <v>4987176333995</v>
          </cell>
          <cell r="E357" t="str">
            <v>Hair</v>
          </cell>
          <cell r="F357" t="str">
            <v>PERT 飛柔</v>
          </cell>
          <cell r="G357" t="str">
            <v>PERT 飛柔 洗髮露組, 控油去屑, 600g+400g, 1組</v>
          </cell>
          <cell r="H357">
            <v>6</v>
          </cell>
          <cell r="I357"/>
          <cell r="J357"/>
          <cell r="K357"/>
          <cell r="L357"/>
          <cell r="M357"/>
          <cell r="N357"/>
          <cell r="O357"/>
          <cell r="P357">
            <v>1119.5999999999999</v>
          </cell>
          <cell r="Q357">
            <v>1082.73</v>
          </cell>
        </row>
        <row r="358">
          <cell r="D358">
            <v>4987176334008</v>
          </cell>
          <cell r="E358" t="str">
            <v>Hair</v>
          </cell>
          <cell r="F358" t="str">
            <v>PERT 飛柔</v>
          </cell>
          <cell r="G358" t="str">
            <v>PERT 飛柔 洗髮露組, 蓬鬆去屑, 600g+400g, 1組</v>
          </cell>
          <cell r="H358">
            <v>6</v>
          </cell>
          <cell r="I358"/>
          <cell r="J358"/>
          <cell r="K358"/>
          <cell r="L358"/>
          <cell r="M358"/>
          <cell r="N358"/>
          <cell r="O358"/>
          <cell r="P358">
            <v>1119.5999999999999</v>
          </cell>
          <cell r="Q358">
            <v>1082.73</v>
          </cell>
        </row>
        <row r="359">
          <cell r="D359">
            <v>4987176241818</v>
          </cell>
          <cell r="E359" t="str">
            <v>Hair</v>
          </cell>
          <cell r="F359" t="str">
            <v>PERT 飛柔</v>
          </cell>
          <cell r="G359" t="str">
            <v>PERT 飛柔 洗髮露組, 滋潤去屑, 750g+400g, 1組</v>
          </cell>
          <cell r="H359">
            <v>6</v>
          </cell>
          <cell r="I359"/>
          <cell r="J359"/>
          <cell r="K359"/>
          <cell r="L359"/>
          <cell r="M359"/>
          <cell r="N359"/>
          <cell r="O359"/>
          <cell r="P359"/>
          <cell r="Q359"/>
        </row>
        <row r="360">
          <cell r="D360">
            <v>4987176241825</v>
          </cell>
          <cell r="E360" t="str">
            <v>Hair</v>
          </cell>
          <cell r="F360" t="str">
            <v>PERT 飛柔</v>
          </cell>
          <cell r="G360" t="str">
            <v>PERT 飛柔 洗髮露組, 潤澤滋養, 750+400g, 1組</v>
          </cell>
          <cell r="H360">
            <v>6</v>
          </cell>
          <cell r="I360"/>
          <cell r="J360"/>
          <cell r="K360"/>
          <cell r="L360"/>
          <cell r="M360"/>
          <cell r="N360"/>
          <cell r="O360"/>
          <cell r="P360"/>
          <cell r="Q360"/>
        </row>
        <row r="361">
          <cell r="D361">
            <v>4987176149916</v>
          </cell>
          <cell r="E361" t="str">
            <v>Hair</v>
          </cell>
          <cell r="F361" t="str">
            <v>PERT 飛柔</v>
          </cell>
          <cell r="G361" t="str">
            <v>PERT 飛柔 洗髮露, 控油止癢, 750g, 1瓶</v>
          </cell>
          <cell r="H361">
            <v>6</v>
          </cell>
          <cell r="I361"/>
          <cell r="J361"/>
          <cell r="K361"/>
          <cell r="L361"/>
          <cell r="M361"/>
          <cell r="N361"/>
          <cell r="O361"/>
          <cell r="P361">
            <v>782.4</v>
          </cell>
          <cell r="Q361">
            <v>753.10451999999998</v>
          </cell>
        </row>
        <row r="362">
          <cell r="D362">
            <v>4987176149930</v>
          </cell>
          <cell r="E362" t="str">
            <v>Hair</v>
          </cell>
          <cell r="F362" t="str">
            <v>PERT 飛柔</v>
          </cell>
          <cell r="G362" t="str">
            <v>PERT 飛柔 洗髮露, 清爽去屑, 750g, 1瓶</v>
          </cell>
          <cell r="H362">
            <v>6</v>
          </cell>
          <cell r="I362"/>
          <cell r="J362"/>
          <cell r="K362"/>
          <cell r="L362"/>
          <cell r="M362"/>
          <cell r="N362"/>
          <cell r="O362" t="str">
            <v>停產</v>
          </cell>
          <cell r="P362">
            <v>782.4</v>
          </cell>
          <cell r="Q362">
            <v>753.10451999999998</v>
          </cell>
        </row>
        <row r="363">
          <cell r="D363">
            <v>4987176040589</v>
          </cell>
          <cell r="E363" t="str">
            <v>Hair</v>
          </cell>
          <cell r="F363" t="str">
            <v>PERT 飛柔</v>
          </cell>
          <cell r="G363" t="str">
            <v>Pert 飛柔 免沖洗瞬效護髮精華滋養修護 按壓瓶 380g, 1瓶</v>
          </cell>
          <cell r="H363">
            <v>6</v>
          </cell>
          <cell r="I363"/>
          <cell r="J363"/>
          <cell r="K363"/>
          <cell r="L363"/>
          <cell r="M363"/>
          <cell r="N363"/>
          <cell r="O363"/>
          <cell r="P363">
            <v>1161</v>
          </cell>
          <cell r="Q363">
            <v>1123.2049500000001</v>
          </cell>
        </row>
        <row r="364">
          <cell r="D364">
            <v>4987176151322</v>
          </cell>
          <cell r="E364" t="str">
            <v>Hair</v>
          </cell>
          <cell r="F364" t="str">
            <v>PERT 飛柔</v>
          </cell>
          <cell r="G364" t="str">
            <v>PERT 飛柔 免沖洗瞬效護髮精華, 清爽修護, 380g, 1瓶</v>
          </cell>
          <cell r="H364">
            <v>6</v>
          </cell>
          <cell r="I364"/>
          <cell r="J364"/>
          <cell r="K364"/>
          <cell r="L364"/>
          <cell r="M364"/>
          <cell r="N364"/>
          <cell r="O364"/>
          <cell r="P364">
            <v>1161</v>
          </cell>
          <cell r="Q364">
            <v>1123.2049500000001</v>
          </cell>
        </row>
        <row r="365">
          <cell r="D365">
            <v>4987176150035</v>
          </cell>
          <cell r="E365" t="str">
            <v>Hair</v>
          </cell>
          <cell r="F365" t="str">
            <v>PERT 飛柔</v>
          </cell>
          <cell r="G365" t="str">
            <v>PERT 飛柔 潤髮乳, 精萃潤養, 750g, 1瓶</v>
          </cell>
          <cell r="H365">
            <v>6</v>
          </cell>
          <cell r="I365"/>
          <cell r="J365"/>
          <cell r="K365"/>
          <cell r="L365"/>
          <cell r="M365"/>
          <cell r="N365"/>
          <cell r="O365"/>
          <cell r="P365">
            <v>782.4</v>
          </cell>
          <cell r="Q365">
            <v>753.10451999999998</v>
          </cell>
        </row>
        <row r="366">
          <cell r="D366">
            <v>4987176150011</v>
          </cell>
          <cell r="E366" t="str">
            <v>Hair</v>
          </cell>
          <cell r="F366" t="str">
            <v>PERT 飛柔</v>
          </cell>
          <cell r="G366" t="str">
            <v>PERT 飛柔 洗髮露, 水感亮澤, 750g, 1瓶</v>
          </cell>
          <cell r="H366">
            <v>6</v>
          </cell>
          <cell r="I366"/>
          <cell r="J366"/>
          <cell r="K366"/>
          <cell r="L366"/>
          <cell r="M366"/>
          <cell r="N366"/>
          <cell r="O366" t="str">
            <v>停產</v>
          </cell>
          <cell r="P366">
            <v>782.4</v>
          </cell>
          <cell r="Q366">
            <v>753.10451999999998</v>
          </cell>
        </row>
        <row r="367">
          <cell r="D367">
            <v>4987176103185</v>
          </cell>
          <cell r="E367" t="str">
            <v>Hair</v>
          </cell>
          <cell r="F367" t="str">
            <v>PERT 飛柔</v>
          </cell>
          <cell r="G367" t="str">
            <v>PERT 飛柔 免沖洗瞬效護髮精華, 滋養修護, 50g, 1條</v>
          </cell>
          <cell r="H367">
            <v>12</v>
          </cell>
          <cell r="I367"/>
          <cell r="J367"/>
          <cell r="K367"/>
          <cell r="L367"/>
          <cell r="M367"/>
          <cell r="N367"/>
          <cell r="O367" t="str">
            <v>停產</v>
          </cell>
          <cell r="P367">
            <v>447.6</v>
          </cell>
          <cell r="Q367">
            <v>425.82078000000001</v>
          </cell>
        </row>
        <row r="368">
          <cell r="D368">
            <v>4987176149978</v>
          </cell>
          <cell r="E368" t="str">
            <v>Hair</v>
          </cell>
          <cell r="F368" t="str">
            <v>PERT 飛柔</v>
          </cell>
          <cell r="G368" t="str">
            <v>PERT 飛柔 洗髮露, 精萃潤養, 750g, 1瓶</v>
          </cell>
          <cell r="H368">
            <v>6</v>
          </cell>
          <cell r="I368"/>
          <cell r="J368"/>
          <cell r="K368"/>
          <cell r="L368"/>
          <cell r="M368"/>
          <cell r="N368"/>
          <cell r="O368"/>
          <cell r="P368">
            <v>782.4</v>
          </cell>
          <cell r="Q368">
            <v>753.10451999999998</v>
          </cell>
        </row>
        <row r="369">
          <cell r="D369">
            <v>4987176150004</v>
          </cell>
          <cell r="E369" t="str">
            <v>Hair</v>
          </cell>
          <cell r="F369" t="str">
            <v>PERT 飛柔</v>
          </cell>
          <cell r="G369" t="str">
            <v>PERT 飛柔 洗髮露, 人參萃取修護, 750g, 1瓶</v>
          </cell>
          <cell r="H369">
            <v>6</v>
          </cell>
          <cell r="I369"/>
          <cell r="J369"/>
          <cell r="K369"/>
          <cell r="L369"/>
          <cell r="M369"/>
          <cell r="N369"/>
          <cell r="O369"/>
          <cell r="P369">
            <v>782.4</v>
          </cell>
          <cell r="Q369">
            <v>753.10451999999998</v>
          </cell>
        </row>
        <row r="370">
          <cell r="D370">
            <v>4902430798631</v>
          </cell>
          <cell r="E370" t="str">
            <v>Hair</v>
          </cell>
          <cell r="F370" t="str">
            <v>PERT 飛柔</v>
          </cell>
          <cell r="G370" t="str">
            <v>PeRT 飛柔 柔順茉莉香氛洗髮露, 530g, 1瓶</v>
          </cell>
          <cell r="H370">
            <v>12</v>
          </cell>
          <cell r="I370"/>
          <cell r="J370"/>
          <cell r="K370"/>
          <cell r="L370"/>
          <cell r="M370"/>
          <cell r="N370"/>
          <cell r="O370"/>
          <cell r="P370">
            <v>1892.29</v>
          </cell>
          <cell r="Q370">
            <v>1838.0774895</v>
          </cell>
        </row>
        <row r="371">
          <cell r="D371">
            <v>4987176150042</v>
          </cell>
          <cell r="E371" t="str">
            <v>Hair</v>
          </cell>
          <cell r="F371" t="str">
            <v>PERT 飛柔</v>
          </cell>
          <cell r="G371" t="str">
            <v>PERT 飛柔 修護潤髮乳, 人參萃取, 750g, 1瓶</v>
          </cell>
          <cell r="H371">
            <v>6</v>
          </cell>
          <cell r="I371"/>
          <cell r="J371"/>
          <cell r="K371"/>
          <cell r="L371"/>
          <cell r="M371"/>
          <cell r="N371"/>
          <cell r="O371"/>
          <cell r="P371">
            <v>782.4</v>
          </cell>
          <cell r="Q371">
            <v>753.10451999999998</v>
          </cell>
        </row>
        <row r="372">
          <cell r="D372">
            <v>4987176149954</v>
          </cell>
          <cell r="E372" t="str">
            <v>Hair</v>
          </cell>
          <cell r="F372" t="str">
            <v>PERT 飛柔</v>
          </cell>
          <cell r="G372" t="str">
            <v>PERT 飛柔 洗髮露, 滋潤去屑, 750g, 1瓶</v>
          </cell>
          <cell r="H372">
            <v>6</v>
          </cell>
          <cell r="I372"/>
          <cell r="J372"/>
          <cell r="K372"/>
          <cell r="L372"/>
          <cell r="M372"/>
          <cell r="N372"/>
          <cell r="O372"/>
          <cell r="P372">
            <v>782.4</v>
          </cell>
          <cell r="Q372">
            <v>753.10451999999998</v>
          </cell>
        </row>
        <row r="373">
          <cell r="D373">
            <v>4987176150028</v>
          </cell>
          <cell r="E373" t="str">
            <v>Hair</v>
          </cell>
          <cell r="F373" t="str">
            <v>PERT 飛柔</v>
          </cell>
          <cell r="G373" t="str">
            <v>PERT 飛柔 潤髮乳, 滋潤去屑, 750g, 1瓶</v>
          </cell>
          <cell r="H373">
            <v>6</v>
          </cell>
          <cell r="I373"/>
          <cell r="J373"/>
          <cell r="K373"/>
          <cell r="L373"/>
          <cell r="M373"/>
          <cell r="N373"/>
          <cell r="O373"/>
          <cell r="P373">
            <v>782.4</v>
          </cell>
          <cell r="Q373">
            <v>753.10451999999998</v>
          </cell>
        </row>
        <row r="374">
          <cell r="D374">
            <v>4902430727747</v>
          </cell>
          <cell r="E374" t="str">
            <v>Hair</v>
          </cell>
          <cell r="F374" t="str">
            <v>PERT 飛柔</v>
          </cell>
          <cell r="G374" t="str">
            <v>PERT 飛柔 淨油柔順鼠尾草香氛洗髮露, 530g, 1瓶</v>
          </cell>
          <cell r="H374">
            <v>12</v>
          </cell>
          <cell r="I374"/>
          <cell r="J374"/>
          <cell r="K374"/>
          <cell r="L374"/>
          <cell r="M374"/>
          <cell r="N374"/>
          <cell r="O374"/>
          <cell r="P374">
            <v>1892.29</v>
          </cell>
          <cell r="Q374">
            <v>1838.0774895</v>
          </cell>
        </row>
        <row r="375">
          <cell r="D375">
            <v>4987176149923</v>
          </cell>
          <cell r="E375" t="str">
            <v>Hair</v>
          </cell>
          <cell r="F375" t="str">
            <v>PERT 飛柔</v>
          </cell>
          <cell r="G375" t="str">
            <v>PERT 飛柔 控油止癢洗髮露, 400g, 1瓶</v>
          </cell>
          <cell r="H375">
            <v>12</v>
          </cell>
          <cell r="I375"/>
          <cell r="J375"/>
          <cell r="K375"/>
          <cell r="L375"/>
          <cell r="M375"/>
          <cell r="N375"/>
          <cell r="O375"/>
          <cell r="P375">
            <v>964.8</v>
          </cell>
          <cell r="Q375">
            <v>931.40963999999997</v>
          </cell>
        </row>
        <row r="376">
          <cell r="D376">
            <v>4987176149961</v>
          </cell>
          <cell r="E376" t="str">
            <v>Hair</v>
          </cell>
          <cell r="F376" t="str">
            <v>PERT 飛柔</v>
          </cell>
          <cell r="G376" t="str">
            <v>PERT 飛柔 滋潤去屑洗髮露, 400g, 1瓶</v>
          </cell>
          <cell r="H376">
            <v>12</v>
          </cell>
          <cell r="I376"/>
          <cell r="J376"/>
          <cell r="K376"/>
          <cell r="L376"/>
          <cell r="M376"/>
          <cell r="N376"/>
          <cell r="O376"/>
          <cell r="P376">
            <v>964.8</v>
          </cell>
          <cell r="Q376">
            <v>931.40963999999997</v>
          </cell>
        </row>
        <row r="377">
          <cell r="D377">
            <v>4987176392343</v>
          </cell>
          <cell r="E377" t="str">
            <v>Fabric</v>
          </cell>
          <cell r="F377" t="str">
            <v>Bold</v>
          </cell>
          <cell r="G377" t="str">
            <v>BOLD原廠公司貨 四合一洗衣膠囊 清淨花香, 14顆 ,1盒</v>
          </cell>
          <cell r="H377">
            <v>6</v>
          </cell>
          <cell r="I377"/>
          <cell r="J377"/>
          <cell r="K377"/>
          <cell r="L377"/>
          <cell r="M377"/>
          <cell r="N377"/>
          <cell r="O377"/>
          <cell r="P377">
            <v>838.8</v>
          </cell>
          <cell r="Q377">
            <v>808.24</v>
          </cell>
        </row>
        <row r="378">
          <cell r="D378">
            <v>4987176392350</v>
          </cell>
          <cell r="E378" t="str">
            <v>Fabric</v>
          </cell>
          <cell r="F378" t="str">
            <v>Bold</v>
          </cell>
          <cell r="G378" t="str">
            <v>BOLD原廠公司貨 四合一洗衣膠囊 淡雅花香, 14顆 ,1盒</v>
          </cell>
          <cell r="H378">
            <v>6</v>
          </cell>
          <cell r="I378"/>
          <cell r="J378"/>
          <cell r="K378"/>
          <cell r="L378"/>
          <cell r="M378"/>
          <cell r="N378"/>
          <cell r="O378"/>
          <cell r="P378">
            <v>838.8</v>
          </cell>
          <cell r="Q378">
            <v>808.24</v>
          </cell>
        </row>
        <row r="379">
          <cell r="D379">
            <v>4987176175809</v>
          </cell>
          <cell r="E379" t="str">
            <v>Fabric</v>
          </cell>
          <cell r="F379" t="str">
            <v>Bold</v>
          </cell>
          <cell r="G379" t="str">
            <v>BOLD 四合一洗衣膠囊 清淨花香, 53顆, 1袋</v>
          </cell>
          <cell r="H379">
            <v>4</v>
          </cell>
          <cell r="I379"/>
          <cell r="J379"/>
          <cell r="K379"/>
          <cell r="L379"/>
          <cell r="M379"/>
          <cell r="N379"/>
          <cell r="O379" t="str">
            <v>停產</v>
          </cell>
          <cell r="P379">
            <v>1496.8</v>
          </cell>
          <cell r="Q379">
            <v>1451.46624</v>
          </cell>
        </row>
        <row r="380">
          <cell r="D380">
            <v>4987176175793</v>
          </cell>
          <cell r="E380" t="str">
            <v>Fabric</v>
          </cell>
          <cell r="F380" t="str">
            <v>Bold</v>
          </cell>
          <cell r="G380" t="str">
            <v>BOLD 四合一洗衣膠囊 淡雅花香, 53顆, 1袋</v>
          </cell>
          <cell r="H380">
            <v>4</v>
          </cell>
          <cell r="I380"/>
          <cell r="J380"/>
          <cell r="K380"/>
          <cell r="L380"/>
          <cell r="M380"/>
          <cell r="N380"/>
          <cell r="O380" t="str">
            <v>停產</v>
          </cell>
          <cell r="P380">
            <v>1496.8</v>
          </cell>
          <cell r="Q380">
            <v>1451.46624</v>
          </cell>
        </row>
        <row r="381">
          <cell r="D381">
            <v>4987176339928</v>
          </cell>
          <cell r="E381" t="str">
            <v>Fabric</v>
          </cell>
          <cell r="F381" t="str">
            <v>Bold</v>
          </cell>
          <cell r="G381" t="str">
            <v>BOLD 原廠公司貨 四合一洗衣膠囊 清淨花香, 57顆, 1袋</v>
          </cell>
          <cell r="H381">
            <v>5</v>
          </cell>
          <cell r="I381"/>
          <cell r="J381">
            <v>0</v>
          </cell>
          <cell r="K381"/>
          <cell r="L381"/>
          <cell r="M381"/>
          <cell r="N381"/>
          <cell r="O381"/>
          <cell r="P381">
            <v>1955</v>
          </cell>
          <cell r="Q381">
            <v>1899.38</v>
          </cell>
        </row>
        <row r="382">
          <cell r="D382">
            <v>4987176293237</v>
          </cell>
          <cell r="E382" t="str">
            <v>Fabric</v>
          </cell>
          <cell r="F382" t="str">
            <v>Bold</v>
          </cell>
          <cell r="G382" t="str">
            <v>BOLD 四合一洗衣膠囊, 清淨花香, 64顆, 1袋</v>
          </cell>
          <cell r="H382">
            <v>5</v>
          </cell>
          <cell r="I382"/>
          <cell r="J382">
            <v>0</v>
          </cell>
          <cell r="K382"/>
          <cell r="L382"/>
          <cell r="M382"/>
          <cell r="N382"/>
          <cell r="O382"/>
          <cell r="P382">
            <v>2183</v>
          </cell>
          <cell r="Q382">
            <v>2122.2611000000002</v>
          </cell>
        </row>
        <row r="383">
          <cell r="D383">
            <v>4987176293244</v>
          </cell>
          <cell r="E383" t="str">
            <v>Fabric</v>
          </cell>
          <cell r="F383" t="str">
            <v>Bold</v>
          </cell>
          <cell r="G383" t="str">
            <v>BOLD 四合一洗衣膠囊, 淡雅花香, 64顆, 1袋</v>
          </cell>
          <cell r="H383">
            <v>5</v>
          </cell>
          <cell r="I383"/>
          <cell r="J383">
            <v>0</v>
          </cell>
          <cell r="K383"/>
          <cell r="L383"/>
          <cell r="M383"/>
          <cell r="N383"/>
          <cell r="O383"/>
          <cell r="P383">
            <v>2183</v>
          </cell>
          <cell r="Q383">
            <v>2122.2611000000002</v>
          </cell>
        </row>
        <row r="384">
          <cell r="D384">
            <v>4987176140258</v>
          </cell>
          <cell r="E384" t="str">
            <v>Fabric</v>
          </cell>
          <cell r="F384" t="str">
            <v>Bold</v>
          </cell>
          <cell r="G384" t="str">
            <v>BOLD 四合一洗衣膠囊 清淨花香, 11顆, 1盒</v>
          </cell>
          <cell r="H384">
            <v>6</v>
          </cell>
          <cell r="I384"/>
          <cell r="J384"/>
          <cell r="K384"/>
          <cell r="L384"/>
          <cell r="M384"/>
          <cell r="N384"/>
          <cell r="O384"/>
          <cell r="P384">
            <v>655.8</v>
          </cell>
          <cell r="Q384">
            <v>629.35</v>
          </cell>
        </row>
        <row r="385">
          <cell r="D385">
            <v>4987176140180</v>
          </cell>
          <cell r="E385" t="str">
            <v>Fabric</v>
          </cell>
          <cell r="F385" t="str">
            <v>Bold</v>
          </cell>
          <cell r="G385" t="str">
            <v>BOLD 四合一洗衣膠囊 淡雅花香, 11顆, 1盒</v>
          </cell>
          <cell r="H385">
            <v>6</v>
          </cell>
          <cell r="I385"/>
          <cell r="J385"/>
          <cell r="K385"/>
          <cell r="L385"/>
          <cell r="M385"/>
          <cell r="N385"/>
          <cell r="O385"/>
          <cell r="P385">
            <v>655.8</v>
          </cell>
          <cell r="Q385">
            <v>629.35</v>
          </cell>
        </row>
        <row r="386">
          <cell r="D386">
            <v>6903148194010</v>
          </cell>
          <cell r="E386" t="str">
            <v>Hair</v>
          </cell>
          <cell r="F386" t="str">
            <v>VS 沙宣</v>
          </cell>
          <cell r="G386" t="str">
            <v>VS 沙宣 清盈柔順高效護髮精華, 150ml, 1條</v>
          </cell>
          <cell r="H386">
            <v>12</v>
          </cell>
          <cell r="I386"/>
          <cell r="J386"/>
          <cell r="K386"/>
          <cell r="L386"/>
          <cell r="M386"/>
          <cell r="N386"/>
          <cell r="O386" t="str">
            <v>停產</v>
          </cell>
          <cell r="P386">
            <v>750.91</v>
          </cell>
          <cell r="Q386">
            <v>722.32147050000003</v>
          </cell>
        </row>
        <row r="387">
          <cell r="D387">
            <v>4902430507707</v>
          </cell>
          <cell r="E387" t="str">
            <v>Hair</v>
          </cell>
          <cell r="F387" t="str">
            <v>VS 沙宣</v>
          </cell>
          <cell r="G387" t="str">
            <v>VS 沙宣 護色亮澤洗髮乳, 500g, 1瓶</v>
          </cell>
          <cell r="H387">
            <v>12</v>
          </cell>
          <cell r="I387"/>
          <cell r="J387"/>
          <cell r="K387"/>
          <cell r="L387"/>
          <cell r="M387"/>
          <cell r="N387"/>
          <cell r="O387" t="str">
            <v>停產</v>
          </cell>
          <cell r="P387">
            <v>2138.06</v>
          </cell>
          <cell r="Q387">
            <v>2078.3299529999999</v>
          </cell>
        </row>
        <row r="388">
          <cell r="D388">
            <v>4902430378284</v>
          </cell>
          <cell r="E388" t="str">
            <v>Hair</v>
          </cell>
          <cell r="F388" t="str">
            <v>VS 沙宣</v>
          </cell>
          <cell r="G388" t="str">
            <v>VS 沙宣 洗髮乳, 護色亮澤, 750g, 1瓶</v>
          </cell>
          <cell r="H388">
            <v>6</v>
          </cell>
          <cell r="I388"/>
          <cell r="J388"/>
          <cell r="K388"/>
          <cell r="L388"/>
          <cell r="M388"/>
          <cell r="N388"/>
          <cell r="O388" t="str">
            <v>停產</v>
          </cell>
          <cell r="P388">
            <v>1451.34</v>
          </cell>
          <cell r="Q388">
            <v>1407.03</v>
          </cell>
        </row>
        <row r="389">
          <cell r="D389">
            <v>4902430378246</v>
          </cell>
          <cell r="E389" t="str">
            <v>Hair</v>
          </cell>
          <cell r="F389" t="str">
            <v>VS 沙宣</v>
          </cell>
          <cell r="G389" t="str">
            <v>VS 沙宣 洗髮乳, 深層滋潤, 750g, 1瓶</v>
          </cell>
          <cell r="H389">
            <v>6</v>
          </cell>
          <cell r="I389"/>
          <cell r="J389"/>
          <cell r="K389"/>
          <cell r="L389"/>
          <cell r="M389"/>
          <cell r="N389"/>
          <cell r="O389" t="str">
            <v>停產</v>
          </cell>
          <cell r="P389">
            <v>1451.34</v>
          </cell>
          <cell r="Q389">
            <v>1407.03</v>
          </cell>
        </row>
        <row r="390">
          <cell r="D390">
            <v>4902430511087</v>
          </cell>
          <cell r="E390" t="str">
            <v>Hair</v>
          </cell>
          <cell r="F390" t="str">
            <v>VS 沙宣</v>
          </cell>
          <cell r="G390" t="str">
            <v>VS 沙宣 潤髮乳, 深層滋潤, 500g, 1瓶</v>
          </cell>
          <cell r="H390">
            <v>12</v>
          </cell>
          <cell r="I390"/>
          <cell r="J390"/>
          <cell r="K390"/>
          <cell r="L390"/>
          <cell r="M390"/>
          <cell r="N390"/>
          <cell r="O390" t="str">
            <v>停產</v>
          </cell>
          <cell r="P390">
            <v>2138.06</v>
          </cell>
          <cell r="Q390">
            <v>2078.3299529999999</v>
          </cell>
        </row>
        <row r="391">
          <cell r="D391">
            <v>4902430378185</v>
          </cell>
          <cell r="E391" t="str">
            <v>Hair</v>
          </cell>
          <cell r="F391" t="str">
            <v>VS 沙宣</v>
          </cell>
          <cell r="G391" t="str">
            <v>VS 沙宣 潤髮乳, 深層滋潤, 750g, 1瓶</v>
          </cell>
          <cell r="H391">
            <v>6</v>
          </cell>
          <cell r="I391"/>
          <cell r="J391"/>
          <cell r="K391"/>
          <cell r="L391"/>
          <cell r="M391"/>
          <cell r="N391"/>
          <cell r="O391" t="str">
            <v>停產</v>
          </cell>
          <cell r="P391">
            <v>1451.34</v>
          </cell>
          <cell r="Q391">
            <v>1407.03</v>
          </cell>
        </row>
        <row r="392">
          <cell r="D392">
            <v>4902430512398</v>
          </cell>
          <cell r="E392" t="str">
            <v>Hair</v>
          </cell>
          <cell r="F392" t="str">
            <v>VS 沙宣</v>
          </cell>
          <cell r="G392" t="str">
            <v>VS 沙宣 潤髮乳, 護色亮澤, 500g, 1瓶</v>
          </cell>
          <cell r="H392">
            <v>12</v>
          </cell>
          <cell r="I392"/>
          <cell r="J392"/>
          <cell r="K392"/>
          <cell r="L392"/>
          <cell r="M392"/>
          <cell r="N392"/>
          <cell r="O392" t="str">
            <v>停產</v>
          </cell>
          <cell r="P392">
            <v>2138.06</v>
          </cell>
          <cell r="Q392">
            <v>2078.3299529999999</v>
          </cell>
        </row>
        <row r="393">
          <cell r="D393">
            <v>4902430378215</v>
          </cell>
          <cell r="E393" t="str">
            <v>Hair</v>
          </cell>
          <cell r="F393" t="str">
            <v>VS 沙宣</v>
          </cell>
          <cell r="G393" t="str">
            <v>VS 沙宣 潤髮乳, 護色亮澤, 750g, 1瓶</v>
          </cell>
          <cell r="H393">
            <v>6</v>
          </cell>
          <cell r="I393"/>
          <cell r="J393"/>
          <cell r="K393"/>
          <cell r="L393"/>
          <cell r="M393"/>
          <cell r="N393"/>
          <cell r="O393" t="str">
            <v>停產</v>
          </cell>
          <cell r="P393">
            <v>1451.34</v>
          </cell>
          <cell r="Q393">
            <v>1407.03</v>
          </cell>
        </row>
        <row r="394">
          <cell r="D394">
            <v>4902430511070</v>
          </cell>
          <cell r="E394" t="str">
            <v>Hair</v>
          </cell>
          <cell r="F394" t="str">
            <v>VS 沙宣</v>
          </cell>
          <cell r="G394" t="str">
            <v>VS 沙宣 洗髮乳 清盈柔順, 500g, 1瓶</v>
          </cell>
          <cell r="H394">
            <v>12</v>
          </cell>
          <cell r="I394"/>
          <cell r="J394"/>
          <cell r="K394"/>
          <cell r="L394"/>
          <cell r="M394"/>
          <cell r="N394"/>
          <cell r="O394" t="str">
            <v>停產</v>
          </cell>
          <cell r="P394">
            <v>2138.06</v>
          </cell>
          <cell r="Q394">
            <v>2078.3299529999999</v>
          </cell>
        </row>
        <row r="395">
          <cell r="D395">
            <v>4902430378253</v>
          </cell>
          <cell r="E395" t="str">
            <v>Hair</v>
          </cell>
          <cell r="F395" t="str">
            <v>VS 沙宣</v>
          </cell>
          <cell r="G395" t="str">
            <v>VS 沙宣 洗髮乳, 清盈柔順, 750g, 1瓶</v>
          </cell>
          <cell r="H395">
            <v>6</v>
          </cell>
          <cell r="I395"/>
          <cell r="J395"/>
          <cell r="K395"/>
          <cell r="L395"/>
          <cell r="M395"/>
          <cell r="N395"/>
          <cell r="O395" t="str">
            <v>停產</v>
          </cell>
          <cell r="P395">
            <v>1451.34</v>
          </cell>
          <cell r="Q395">
            <v>1407.03</v>
          </cell>
        </row>
        <row r="396">
          <cell r="D396">
            <v>4902430507660</v>
          </cell>
          <cell r="E396" t="str">
            <v>Hair</v>
          </cell>
          <cell r="F396" t="str">
            <v>VS 沙宣</v>
          </cell>
          <cell r="G396" t="str">
            <v>VS 沙宣 深層滋潤洗髮乳, 500g, 1瓶</v>
          </cell>
          <cell r="H396">
            <v>12</v>
          </cell>
          <cell r="I396"/>
          <cell r="J396"/>
          <cell r="K396"/>
          <cell r="L396"/>
          <cell r="M396"/>
          <cell r="N396"/>
          <cell r="O396" t="str">
            <v>停產</v>
          </cell>
          <cell r="P396">
            <v>2138.06</v>
          </cell>
          <cell r="Q396">
            <v>2078.3299529999999</v>
          </cell>
        </row>
        <row r="397">
          <cell r="D397">
            <v>4902430378239</v>
          </cell>
          <cell r="E397" t="str">
            <v>Hair</v>
          </cell>
          <cell r="F397" t="str">
            <v>VS 沙宣</v>
          </cell>
          <cell r="G397" t="str">
            <v>VS 沙宣 潤髮乳, 清盈柔順, 750g, 1瓶</v>
          </cell>
          <cell r="H397">
            <v>6</v>
          </cell>
          <cell r="I397"/>
          <cell r="J397"/>
          <cell r="K397"/>
          <cell r="L397"/>
          <cell r="M397"/>
          <cell r="N397"/>
          <cell r="O397" t="str">
            <v>停產</v>
          </cell>
          <cell r="P397">
            <v>1451.34</v>
          </cell>
          <cell r="Q397">
            <v>1407.03</v>
          </cell>
        </row>
        <row r="398">
          <cell r="D398">
            <v>4902430378277</v>
          </cell>
          <cell r="E398" t="str">
            <v>Hair</v>
          </cell>
          <cell r="F398" t="str">
            <v>VS 沙宣</v>
          </cell>
          <cell r="G398" t="str">
            <v>VS 沙宣 洗髮乳, 保濕去屑, 750g, 1瓶</v>
          </cell>
          <cell r="H398">
            <v>6</v>
          </cell>
          <cell r="I398"/>
          <cell r="J398"/>
          <cell r="K398"/>
          <cell r="L398"/>
          <cell r="M398"/>
          <cell r="N398"/>
          <cell r="O398" t="str">
            <v>停產</v>
          </cell>
          <cell r="P398">
            <v>1451.34</v>
          </cell>
          <cell r="Q398">
            <v>1407.03</v>
          </cell>
        </row>
        <row r="399">
          <cell r="D399">
            <v>4902430378291</v>
          </cell>
          <cell r="E399" t="str">
            <v>Hair</v>
          </cell>
          <cell r="F399" t="str">
            <v>VS 沙宣</v>
          </cell>
          <cell r="G399" t="str">
            <v>VS 沙宣 洗髮乳, 直順柔滑, 750g, 1瓶</v>
          </cell>
          <cell r="H399">
            <v>6</v>
          </cell>
          <cell r="I399"/>
          <cell r="J399"/>
          <cell r="K399"/>
          <cell r="L399"/>
          <cell r="M399"/>
          <cell r="N399"/>
          <cell r="O399" t="str">
            <v>停產</v>
          </cell>
          <cell r="P399">
            <v>1451.34</v>
          </cell>
          <cell r="Q399">
            <v>1407.03</v>
          </cell>
        </row>
        <row r="400">
          <cell r="D400">
            <v>4902430378208</v>
          </cell>
          <cell r="E400" t="str">
            <v>Hair</v>
          </cell>
          <cell r="F400" t="str">
            <v>VS 沙宣</v>
          </cell>
          <cell r="G400" t="str">
            <v>VS 沙宣 潤髮乳, 直順柔滑, 750g, 1瓶</v>
          </cell>
          <cell r="H400">
            <v>6</v>
          </cell>
          <cell r="I400"/>
          <cell r="J400"/>
          <cell r="K400"/>
          <cell r="L400"/>
          <cell r="M400"/>
          <cell r="N400"/>
          <cell r="O400" t="str">
            <v>停產</v>
          </cell>
          <cell r="P400">
            <v>1451.34</v>
          </cell>
          <cell r="Q400">
            <v>1407.03</v>
          </cell>
        </row>
        <row r="401">
          <cell r="D401">
            <v>4902430127424</v>
          </cell>
          <cell r="E401" t="str">
            <v>Hair</v>
          </cell>
          <cell r="F401" t="str">
            <v>VS 沙宣</v>
          </cell>
          <cell r="G401" t="str">
            <v>VS 沙宣 持久彈性定型噴霧, 150ml, 1罐</v>
          </cell>
          <cell r="H401">
            <v>12</v>
          </cell>
          <cell r="I401"/>
          <cell r="J401"/>
          <cell r="K401"/>
          <cell r="L401"/>
          <cell r="M401"/>
          <cell r="N401"/>
          <cell r="O401" t="str">
            <v>停產</v>
          </cell>
          <cell r="P401">
            <v>1933.14</v>
          </cell>
          <cell r="Q401">
            <v>1878.0104070000002</v>
          </cell>
        </row>
        <row r="402">
          <cell r="D402">
            <v>6903148345023</v>
          </cell>
          <cell r="E402" t="str">
            <v>Fem</v>
          </cell>
          <cell r="F402" t="str">
            <v>whisper 好自在</v>
          </cell>
          <cell r="G402" t="str">
            <v>whisper 好自在 經典款 液體衛生棉,  29.5cm, 9片, 1盒</v>
          </cell>
          <cell r="H402">
            <v>12</v>
          </cell>
          <cell r="I402"/>
          <cell r="J402">
            <v>0</v>
          </cell>
          <cell r="K402"/>
          <cell r="L402"/>
          <cell r="M402"/>
          <cell r="N402"/>
          <cell r="O402"/>
          <cell r="P402">
            <v>1208.8800000000001</v>
          </cell>
          <cell r="Q402">
            <v>1157.3</v>
          </cell>
        </row>
        <row r="403">
          <cell r="D403">
            <v>6903148224106</v>
          </cell>
          <cell r="E403" t="str">
            <v>Fem</v>
          </cell>
          <cell r="F403" t="str">
            <v>whisper 好自在</v>
          </cell>
          <cell r="G403" t="str">
            <v>whisper 好自在 經典款 液體衛生棉, 日用型,  24cm, 18片, 1盒</v>
          </cell>
          <cell r="H403">
            <v>12</v>
          </cell>
          <cell r="I403"/>
          <cell r="J403">
            <v>0</v>
          </cell>
          <cell r="K403"/>
          <cell r="L403"/>
          <cell r="M403"/>
          <cell r="N403"/>
          <cell r="O403"/>
          <cell r="P403">
            <v>2039.83</v>
          </cell>
          <cell r="Q403">
            <v>1969.6</v>
          </cell>
        </row>
        <row r="404">
          <cell r="D404">
            <v>6903148224090</v>
          </cell>
          <cell r="E404" t="str">
            <v>Fem</v>
          </cell>
          <cell r="F404" t="str">
            <v>whisper 好自在</v>
          </cell>
          <cell r="G404" t="str">
            <v>whisper 好自在 經典款 液體衛生棉, 量多日用型, 27cm, 16片, 1盒</v>
          </cell>
          <cell r="H404">
            <v>12</v>
          </cell>
          <cell r="I404"/>
          <cell r="J404">
            <v>0</v>
          </cell>
          <cell r="K404"/>
          <cell r="L404"/>
          <cell r="M404"/>
          <cell r="N404"/>
          <cell r="O404"/>
          <cell r="P404">
            <v>1853.54</v>
          </cell>
          <cell r="Q404">
            <v>1787.49</v>
          </cell>
        </row>
        <row r="405">
          <cell r="D405">
            <v>4987176179234</v>
          </cell>
          <cell r="E405" t="str">
            <v>Fem</v>
          </cell>
          <cell r="F405" t="str">
            <v>whisper 好自在</v>
          </cell>
          <cell r="G405" t="str">
            <v>whisper 好自在 INFINITY 液體衛生棉, 量多日用型, 27cm, 10片, 1包</v>
          </cell>
          <cell r="H405">
            <v>12</v>
          </cell>
          <cell r="I405"/>
          <cell r="J405"/>
          <cell r="K405"/>
          <cell r="L405"/>
          <cell r="M405"/>
          <cell r="N405"/>
          <cell r="O405"/>
          <cell r="P405">
            <v>1208.8800000000001</v>
          </cell>
          <cell r="Q405">
            <v>1157.3018940000002</v>
          </cell>
        </row>
        <row r="406">
          <cell r="D406">
            <v>4987176179258</v>
          </cell>
          <cell r="E406" t="str">
            <v>Fem</v>
          </cell>
          <cell r="F406" t="str">
            <v>whisper 好自在</v>
          </cell>
          <cell r="G406" t="str">
            <v>whisper 好自在 INFINITY 液體衛生棉 超長夜用 34cm, 1包, 10片, 夜用型</v>
          </cell>
          <cell r="H406">
            <v>12</v>
          </cell>
          <cell r="I406"/>
          <cell r="J406">
            <v>0</v>
          </cell>
          <cell r="K406"/>
          <cell r="L406"/>
          <cell r="M406"/>
          <cell r="N406"/>
          <cell r="O406"/>
          <cell r="P406">
            <v>1208.8800000000001</v>
          </cell>
          <cell r="Q406">
            <v>1157.3018940000002</v>
          </cell>
        </row>
        <row r="407">
          <cell r="D407">
            <v>4987176166739</v>
          </cell>
          <cell r="E407" t="str">
            <v>Fem</v>
          </cell>
          <cell r="F407" t="str">
            <v>whisper 好自在</v>
          </cell>
          <cell r="G407" t="str">
            <v>whisper 好自在 熊抱安睡褲, M, 8片, 1包</v>
          </cell>
          <cell r="H407">
            <v>6</v>
          </cell>
          <cell r="I407"/>
          <cell r="J407">
            <v>100</v>
          </cell>
          <cell r="K407"/>
          <cell r="L407"/>
          <cell r="M407"/>
          <cell r="N407"/>
          <cell r="O407"/>
          <cell r="P407">
            <v>1226.47</v>
          </cell>
          <cell r="Q407">
            <v>1174.5</v>
          </cell>
        </row>
        <row r="408">
          <cell r="D408">
            <v>4987176084378</v>
          </cell>
          <cell r="E408" t="str">
            <v>Fem</v>
          </cell>
          <cell r="F408" t="str">
            <v>whisper 好自在</v>
          </cell>
          <cell r="G408" t="str">
            <v>whisper 好自在 熊抱安睡褲, L,  8片, 1包</v>
          </cell>
          <cell r="H408">
            <v>6</v>
          </cell>
          <cell r="I408"/>
          <cell r="J408">
            <v>200</v>
          </cell>
          <cell r="K408"/>
          <cell r="L408"/>
          <cell r="M408"/>
          <cell r="N408"/>
          <cell r="O408"/>
          <cell r="P408">
            <v>1226.47</v>
          </cell>
          <cell r="Q408">
            <v>1174.5</v>
          </cell>
        </row>
        <row r="409">
          <cell r="D409">
            <v>4987176214720</v>
          </cell>
          <cell r="E409" t="str">
            <v>Fem</v>
          </cell>
          <cell r="F409" t="str">
            <v>whisper 好自在</v>
          </cell>
          <cell r="G409" t="str">
            <v>whisper 好自在 熊抱安睡褲, XL, 8片, 1包</v>
          </cell>
          <cell r="H409">
            <v>6</v>
          </cell>
          <cell r="I409"/>
          <cell r="J409">
            <v>200</v>
          </cell>
          <cell r="K409"/>
          <cell r="L409"/>
          <cell r="M409"/>
          <cell r="N409"/>
          <cell r="O409"/>
          <cell r="P409">
            <v>1226.47</v>
          </cell>
          <cell r="Q409">
            <v>1174.5</v>
          </cell>
        </row>
        <row r="410">
          <cell r="D410">
            <v>4902430836999</v>
          </cell>
          <cell r="E410" t="str">
            <v>Fem</v>
          </cell>
          <cell r="F410" t="str">
            <v>whisper 好自在</v>
          </cell>
          <cell r="G410" t="str">
            <v>whisper 好自在 熊抱安睡褲, L, 4片, 1包</v>
          </cell>
          <cell r="H410">
            <v>12</v>
          </cell>
          <cell r="I410"/>
          <cell r="J410"/>
          <cell r="K410"/>
          <cell r="L410"/>
          <cell r="M410"/>
          <cell r="N410"/>
          <cell r="O410"/>
          <cell r="P410">
            <v>1270.8</v>
          </cell>
          <cell r="Q410">
            <v>1217.83179</v>
          </cell>
        </row>
        <row r="411">
          <cell r="D411">
            <v>4902430836982</v>
          </cell>
          <cell r="E411" t="str">
            <v>Fem</v>
          </cell>
          <cell r="F411" t="str">
            <v>whisper 好自在</v>
          </cell>
          <cell r="G411" t="str">
            <v>whisper 好自在 熊抱安睡褲, M, 4片, 1包</v>
          </cell>
          <cell r="H411">
            <v>12</v>
          </cell>
          <cell r="I411"/>
          <cell r="J411"/>
          <cell r="K411"/>
          <cell r="L411"/>
          <cell r="M411"/>
          <cell r="N411"/>
          <cell r="O411"/>
          <cell r="P411">
            <v>1270.8</v>
          </cell>
          <cell r="Q411">
            <v>1217.83179</v>
          </cell>
        </row>
        <row r="412">
          <cell r="D412">
            <v>4987176160003</v>
          </cell>
          <cell r="E412" t="str">
            <v>Fem</v>
          </cell>
          <cell r="F412" t="str">
            <v>whisper 好自在</v>
          </cell>
          <cell r="G412" t="str">
            <v>whisper 好自在 熊抱安睡褲, XL, 4片, 1包</v>
          </cell>
          <cell r="H412">
            <v>12</v>
          </cell>
          <cell r="I412"/>
          <cell r="J412"/>
          <cell r="K412"/>
          <cell r="L412"/>
          <cell r="M412"/>
          <cell r="N412"/>
          <cell r="O412"/>
          <cell r="P412">
            <v>1270.8</v>
          </cell>
          <cell r="Q412">
            <v>1217.83</v>
          </cell>
        </row>
        <row r="413">
          <cell r="D413">
            <v>4987176177827</v>
          </cell>
          <cell r="E413" t="str">
            <v>Fem</v>
          </cell>
          <cell r="F413" t="str">
            <v>whisper 好自在</v>
          </cell>
          <cell r="G413" t="str">
            <v>P&amp;G 寶僑 whisper 好自在 隔濕隔菌液體衛生棉 日用超薄 24cm, 8片, 1盒</v>
          </cell>
          <cell r="H413">
            <v>12</v>
          </cell>
          <cell r="I413"/>
          <cell r="J413"/>
          <cell r="K413"/>
          <cell r="L413"/>
          <cell r="M413"/>
          <cell r="N413"/>
          <cell r="O413" t="str">
            <v>停產</v>
          </cell>
          <cell r="P413">
            <v>1208.8800000000001</v>
          </cell>
          <cell r="Q413">
            <v>1157.3018940000002</v>
          </cell>
        </row>
        <row r="414">
          <cell r="D414">
            <v>4987176179241</v>
          </cell>
          <cell r="E414" t="str">
            <v>Fem</v>
          </cell>
          <cell r="F414" t="str">
            <v>whisper 好自在</v>
          </cell>
          <cell r="G414" t="str">
            <v>whisper 好自在 液體衛生棉經典款 24cm, 1包, 10片, 一般</v>
          </cell>
          <cell r="H414">
            <v>12</v>
          </cell>
          <cell r="I414"/>
          <cell r="J414"/>
          <cell r="K414"/>
          <cell r="L414"/>
          <cell r="M414"/>
          <cell r="N414"/>
          <cell r="O414"/>
          <cell r="P414">
            <v>1208.8800000000001</v>
          </cell>
          <cell r="Q414">
            <v>1157.3018940000002</v>
          </cell>
        </row>
        <row r="415">
          <cell r="D415">
            <v>6903148244241</v>
          </cell>
          <cell r="E415" t="str">
            <v>Fem</v>
          </cell>
          <cell r="F415" t="str">
            <v>whisper 好自在</v>
          </cell>
          <cell r="G415" t="str">
            <v>whisper 好自在 液體衛生棉/巾 Radiant 幻彩系列, 量多日夜用型 31.7cm, 9片, 1盒</v>
          </cell>
          <cell r="H415">
            <v>12</v>
          </cell>
          <cell r="I415"/>
          <cell r="J415"/>
          <cell r="K415"/>
          <cell r="L415"/>
          <cell r="M415"/>
          <cell r="N415"/>
          <cell r="O415" t="str">
            <v>停產</v>
          </cell>
          <cell r="P415">
            <v>1208.8800000000001</v>
          </cell>
          <cell r="Q415">
            <v>1157.3018940000002</v>
          </cell>
        </row>
        <row r="416">
          <cell r="D416">
            <v>4987176177865</v>
          </cell>
          <cell r="E416" t="str">
            <v>Fem</v>
          </cell>
          <cell r="F416" t="str">
            <v>whisper 好自在</v>
          </cell>
          <cell r="G416" t="str">
            <v>whisper 好自在 液體衛生棉 Radiant 清新淨味, 量多日夜用型 31.7cm, 9片, 1盒</v>
          </cell>
          <cell r="H416">
            <v>12</v>
          </cell>
          <cell r="I416"/>
          <cell r="J416">
            <v>126.41666666666667</v>
          </cell>
          <cell r="K416"/>
          <cell r="L416"/>
          <cell r="M416"/>
          <cell r="N416"/>
          <cell r="O416"/>
          <cell r="P416">
            <v>1208.8800000000001</v>
          </cell>
          <cell r="Q416">
            <v>1157.3004000000001</v>
          </cell>
        </row>
        <row r="417">
          <cell r="D417">
            <v>4987176075581</v>
          </cell>
          <cell r="E417" t="str">
            <v>Fem</v>
          </cell>
          <cell r="F417" t="str">
            <v>whisper 好自在</v>
          </cell>
          <cell r="G417" t="str">
            <v>whisper 好自在 超吸氣墊 量少型極薄衛生棉, 18cm, 12片, 1包</v>
          </cell>
          <cell r="H417">
            <v>24</v>
          </cell>
          <cell r="I417"/>
          <cell r="J417"/>
          <cell r="K417"/>
          <cell r="L417"/>
          <cell r="M417"/>
          <cell r="N417"/>
          <cell r="O417" t="str">
            <v>停產</v>
          </cell>
          <cell r="P417">
            <v>1156.56</v>
          </cell>
          <cell r="Q417">
            <v>1106.1564779999999</v>
          </cell>
        </row>
        <row r="418">
          <cell r="D418">
            <v>4987176177858</v>
          </cell>
          <cell r="E418" t="str">
            <v>Fem</v>
          </cell>
          <cell r="F418" t="str">
            <v>whisper 好自在</v>
          </cell>
          <cell r="G418" t="str">
            <v>whisper 好自在 Radiant 清新淨味 量多日用型,27cm, 9片, 1盒</v>
          </cell>
          <cell r="H418">
            <v>12</v>
          </cell>
          <cell r="I418"/>
          <cell r="J418">
            <v>292.75</v>
          </cell>
          <cell r="K418"/>
          <cell r="L418"/>
          <cell r="M418"/>
          <cell r="N418"/>
          <cell r="O418"/>
          <cell r="P418">
            <v>1208.8800000000001</v>
          </cell>
          <cell r="Q418">
            <v>1157.3018940000002</v>
          </cell>
        </row>
        <row r="419">
          <cell r="D419">
            <v>4987176122865</v>
          </cell>
          <cell r="E419" t="str">
            <v>Fem</v>
          </cell>
          <cell r="F419" t="str">
            <v>whisper 好自在</v>
          </cell>
          <cell r="G419" t="str">
            <v>好自在 熊抱安睡42.5cm量多夜用7片</v>
          </cell>
          <cell r="H419">
            <v>12</v>
          </cell>
          <cell r="I419"/>
          <cell r="J419">
            <v>26.25</v>
          </cell>
          <cell r="K419"/>
          <cell r="L419"/>
          <cell r="M419"/>
          <cell r="N419"/>
          <cell r="O419"/>
          <cell r="P419">
            <v>827.88</v>
          </cell>
          <cell r="Q419">
            <v>784.85534399999995</v>
          </cell>
        </row>
        <row r="420">
          <cell r="D420">
            <v>4987176226679</v>
          </cell>
          <cell r="E420" t="str">
            <v>Fem</v>
          </cell>
          <cell r="F420" t="str">
            <v>whisper 好自在</v>
          </cell>
          <cell r="G420" t="str">
            <v>[箱裝]whisper 好自在 INFINITY 液體衛生棉, 液體衛生27cm*100片+清新淨味27cm*18片, 1組</v>
          </cell>
          <cell r="H420">
            <v>1</v>
          </cell>
          <cell r="I420"/>
          <cell r="J420"/>
          <cell r="K420"/>
          <cell r="L420"/>
          <cell r="M420"/>
          <cell r="N420"/>
          <cell r="O420" t="str">
            <v>不放貨</v>
          </cell>
          <cell r="P420">
            <v>1107</v>
          </cell>
          <cell r="Q420">
            <v>1057.7091</v>
          </cell>
        </row>
        <row r="421">
          <cell r="D421">
            <v>4902430723794</v>
          </cell>
          <cell r="E421" t="str">
            <v>Fem</v>
          </cell>
          <cell r="F421" t="str">
            <v>whisper 好自在</v>
          </cell>
          <cell r="G421" t="str">
            <v>whisper 好自在 甜睡棉柔, 極長夜用, 40cm, 10片, 1包</v>
          </cell>
          <cell r="H421">
            <v>12</v>
          </cell>
          <cell r="I421"/>
          <cell r="J421"/>
          <cell r="K421"/>
          <cell r="L421"/>
          <cell r="M421"/>
          <cell r="N421"/>
          <cell r="O421"/>
          <cell r="P421">
            <v>871.4</v>
          </cell>
          <cell r="Q421">
            <v>827.39832000000001</v>
          </cell>
        </row>
        <row r="422">
          <cell r="D422">
            <v>4987176189356</v>
          </cell>
          <cell r="E422" t="str">
            <v>Fem</v>
          </cell>
          <cell r="F422" t="str">
            <v>whisper 好自在</v>
          </cell>
          <cell r="G422" t="str">
            <v>whisper 好自在 熊抱安睡褲 夜用衛生棉 XL號 全方位貼身防漏, 內褲型, 4片, 10包</v>
          </cell>
          <cell r="H422">
            <v>1</v>
          </cell>
          <cell r="I422"/>
          <cell r="J422"/>
          <cell r="K422"/>
          <cell r="L422"/>
          <cell r="M422"/>
          <cell r="N422"/>
          <cell r="O422" t="str">
            <v>不放貨</v>
          </cell>
          <cell r="P422">
            <v>1015.44</v>
          </cell>
          <cell r="Q422">
            <v>868.10350200000005</v>
          </cell>
        </row>
        <row r="423">
          <cell r="D423">
            <v>4987176076076</v>
          </cell>
          <cell r="E423" t="str">
            <v>Fem</v>
          </cell>
          <cell r="F423" t="str">
            <v>whisper 好自在</v>
          </cell>
          <cell r="G423" t="str">
            <v>whisper 好自在 抗黏膩氣墊棉 秒吸抗黏衛生棉, 日用型, 24cm, 12片, 2包</v>
          </cell>
          <cell r="H423">
            <v>12</v>
          </cell>
          <cell r="I423"/>
          <cell r="J423"/>
          <cell r="K423"/>
          <cell r="L423"/>
          <cell r="M423"/>
          <cell r="N423"/>
          <cell r="O423" t="str">
            <v>停產</v>
          </cell>
          <cell r="P423">
            <v>1461.48</v>
          </cell>
          <cell r="Q423">
            <v>1404.2310240000002</v>
          </cell>
        </row>
        <row r="424">
          <cell r="D424">
            <v>4902430900812</v>
          </cell>
          <cell r="E424" t="str">
            <v>Fem</v>
          </cell>
          <cell r="F424" t="str">
            <v>whisper 好自在</v>
          </cell>
          <cell r="G424" t="str">
            <v>whisper 好自在 Pure Skin超吸透氣棉, 日夜用, 28cm, 16片*2包,1組</v>
          </cell>
          <cell r="H424">
            <v>12</v>
          </cell>
          <cell r="I424"/>
          <cell r="J424"/>
          <cell r="K424"/>
          <cell r="L424"/>
          <cell r="M424"/>
          <cell r="N424"/>
          <cell r="O424" t="str">
            <v>停產</v>
          </cell>
          <cell r="P424">
            <v>1603.56</v>
          </cell>
          <cell r="Q424">
            <v>1543.1213280000002</v>
          </cell>
        </row>
        <row r="425">
          <cell r="D425">
            <v>4987176076083</v>
          </cell>
          <cell r="E425" t="str">
            <v>Fem</v>
          </cell>
          <cell r="F425" t="str">
            <v>whisper 好自在</v>
          </cell>
          <cell r="G425" t="str">
            <v>whisper 好自在 抗黏膩氣墊棉 秒吸抗黏衛生棉, 日用型, 28cm, 10片, 2包</v>
          </cell>
          <cell r="H425">
            <v>12</v>
          </cell>
          <cell r="I425"/>
          <cell r="J425"/>
          <cell r="K425"/>
          <cell r="L425"/>
          <cell r="M425"/>
          <cell r="N425"/>
          <cell r="O425" t="str">
            <v>停產</v>
          </cell>
          <cell r="P425">
            <v>1461.48</v>
          </cell>
          <cell r="Q425">
            <v>1404.2310240000002</v>
          </cell>
        </row>
        <row r="426">
          <cell r="D426">
            <v>8001841269696</v>
          </cell>
          <cell r="E426" t="str">
            <v>Fem</v>
          </cell>
          <cell r="F426" t="str">
            <v>whisper 好自在</v>
          </cell>
          <cell r="G426" t="str">
            <v>whisper 好自在 純棉液體衛生棉, 量多日用型, 27cm, 7片, 1包</v>
          </cell>
          <cell r="H426">
            <v>12</v>
          </cell>
          <cell r="I426"/>
          <cell r="J426"/>
          <cell r="K426"/>
          <cell r="L426"/>
          <cell r="M426"/>
          <cell r="N426"/>
          <cell r="O426" t="str">
            <v>停產</v>
          </cell>
          <cell r="P426">
            <v>1208.8800000000001</v>
          </cell>
          <cell r="Q426">
            <v>1157.3018940000002</v>
          </cell>
        </row>
        <row r="427">
          <cell r="D427">
            <v>4987176177834</v>
          </cell>
          <cell r="E427" t="str">
            <v>Fem</v>
          </cell>
          <cell r="F427" t="str">
            <v>whisper 好自在</v>
          </cell>
          <cell r="G427" t="str">
            <v>whisper 好自在 液體衛生棉隔濕隔菌 27cm, 1包, 7片, 一般</v>
          </cell>
          <cell r="H427">
            <v>12</v>
          </cell>
          <cell r="I427"/>
          <cell r="J427"/>
          <cell r="K427"/>
          <cell r="L427"/>
          <cell r="M427"/>
          <cell r="N427"/>
          <cell r="O427" t="str">
            <v>停產</v>
          </cell>
          <cell r="P427">
            <v>1208.8800000000001</v>
          </cell>
          <cell r="Q427">
            <v>1157.3004000000001</v>
          </cell>
        </row>
        <row r="428">
          <cell r="D428">
            <v>4987176122841</v>
          </cell>
          <cell r="E428" t="str">
            <v>Fem</v>
          </cell>
          <cell r="F428" t="str">
            <v>whisper 好自在</v>
          </cell>
          <cell r="G428" t="str">
            <v>好自在 熊抱安睡31.7cm量多日夜用12片</v>
          </cell>
          <cell r="H428">
            <v>12</v>
          </cell>
          <cell r="I428"/>
          <cell r="J428"/>
          <cell r="K428"/>
          <cell r="L428"/>
          <cell r="M428"/>
          <cell r="N428"/>
          <cell r="O428"/>
          <cell r="P428">
            <v>827.88</v>
          </cell>
          <cell r="Q428">
            <v>784.85534399999995</v>
          </cell>
        </row>
        <row r="429">
          <cell r="D429">
            <v>4987176122933</v>
          </cell>
          <cell r="E429" t="str">
            <v>Fem</v>
          </cell>
          <cell r="F429" t="str">
            <v>whisper 好自在</v>
          </cell>
          <cell r="G429" t="str">
            <v>whisper 好自在 熊抱安睡425mm量多夜用衛生棉, 7片,2包,1組</v>
          </cell>
          <cell r="H429">
            <v>12</v>
          </cell>
          <cell r="I429"/>
          <cell r="J429">
            <v>46.916666666666664</v>
          </cell>
          <cell r="K429"/>
          <cell r="L429"/>
          <cell r="M429"/>
          <cell r="N429"/>
          <cell r="O429"/>
          <cell r="P429">
            <v>1592.16</v>
          </cell>
          <cell r="Q429">
            <v>1531.9772580000001</v>
          </cell>
        </row>
        <row r="430">
          <cell r="D430">
            <v>4902430723770</v>
          </cell>
          <cell r="E430" t="str">
            <v>Fem</v>
          </cell>
          <cell r="F430" t="str">
            <v>whisper 好自在</v>
          </cell>
          <cell r="G430" t="str">
            <v>whisper 好自在 甜睡瞬潔極長夜用 40cm, 10片,1包</v>
          </cell>
          <cell r="H430">
            <v>12</v>
          </cell>
          <cell r="I430"/>
          <cell r="J430"/>
          <cell r="K430"/>
          <cell r="L430"/>
          <cell r="M430"/>
          <cell r="N430"/>
          <cell r="O430"/>
          <cell r="P430">
            <v>871.4</v>
          </cell>
          <cell r="Q430">
            <v>827.39832000000001</v>
          </cell>
        </row>
        <row r="431">
          <cell r="D431">
            <v>4987176171597</v>
          </cell>
          <cell r="E431" t="str">
            <v>Fem</v>
          </cell>
          <cell r="F431" t="str">
            <v>whisper 好自在</v>
          </cell>
          <cell r="G431" t="str">
            <v>whisper 好自在 液體衛生棉6入組 27cm*50片+幻彩液體衛生棉 27cm*9片, 1組, 一般</v>
          </cell>
          <cell r="H431">
            <v>1</v>
          </cell>
          <cell r="I431"/>
          <cell r="J431"/>
          <cell r="K431"/>
          <cell r="L431"/>
          <cell r="M431"/>
          <cell r="N431"/>
          <cell r="O431" t="str">
            <v>不放貨</v>
          </cell>
          <cell r="P431">
            <v>572.6</v>
          </cell>
          <cell r="Q431">
            <v>535.3063800000001</v>
          </cell>
        </row>
        <row r="432">
          <cell r="D432">
            <v>4902430871259</v>
          </cell>
          <cell r="E432" t="str">
            <v>Fem</v>
          </cell>
          <cell r="F432" t="str">
            <v>whisper 好自在</v>
          </cell>
          <cell r="G432" t="str">
            <v>whisper 好自在 熊抱系列超柔安睡褲 4片,1包</v>
          </cell>
          <cell r="H432">
            <v>12</v>
          </cell>
          <cell r="I432"/>
          <cell r="J432"/>
          <cell r="K432"/>
          <cell r="L432"/>
          <cell r="M432"/>
          <cell r="N432"/>
          <cell r="O432" t="str">
            <v>停產</v>
          </cell>
          <cell r="P432">
            <v>1763.4</v>
          </cell>
          <cell r="Q432">
            <v>1699.37292</v>
          </cell>
        </row>
        <row r="433">
          <cell r="D433">
            <v>6903148302712</v>
          </cell>
          <cell r="E433" t="str">
            <v>Fem</v>
          </cell>
          <cell r="F433" t="str">
            <v>whisper 好自在</v>
          </cell>
          <cell r="G433" t="str">
            <v>whisper 好自在 無痕安心褲 2片, 1包</v>
          </cell>
          <cell r="H433">
            <v>24</v>
          </cell>
          <cell r="I433"/>
          <cell r="J433">
            <v>30.708333333333332</v>
          </cell>
          <cell r="K433"/>
          <cell r="L433"/>
          <cell r="M433"/>
          <cell r="N433"/>
          <cell r="O433" t="str">
            <v>停產</v>
          </cell>
          <cell r="P433">
            <v>1556.4</v>
          </cell>
          <cell r="Q433">
            <v>1497.02</v>
          </cell>
        </row>
        <row r="434">
          <cell r="D434">
            <v>6903148182383</v>
          </cell>
          <cell r="E434" t="str">
            <v>Fem</v>
          </cell>
          <cell r="F434" t="str">
            <v>whisper 好自在</v>
          </cell>
          <cell r="G434" t="str">
            <v>whisper 好自在 隱型透氣護墊, 自然無香, 40片, 1包</v>
          </cell>
          <cell r="H434">
            <v>24</v>
          </cell>
          <cell r="I434"/>
          <cell r="J434">
            <v>14.75</v>
          </cell>
          <cell r="K434"/>
          <cell r="L434"/>
          <cell r="M434"/>
          <cell r="N434"/>
          <cell r="O434"/>
          <cell r="P434">
            <v>1194</v>
          </cell>
          <cell r="Q434">
            <v>1142.75595</v>
          </cell>
        </row>
        <row r="435">
          <cell r="D435">
            <v>4987176122858</v>
          </cell>
          <cell r="E435" t="str">
            <v>Fem</v>
          </cell>
          <cell r="F435" t="str">
            <v>whisper 好自在</v>
          </cell>
          <cell r="G435" t="str">
            <v>whisper 好自在 熊抱安睡36cm量多夜用10片, 1包</v>
          </cell>
          <cell r="H435">
            <v>12</v>
          </cell>
          <cell r="I435"/>
          <cell r="J435">
            <v>20.25</v>
          </cell>
          <cell r="K435"/>
          <cell r="L435"/>
          <cell r="M435"/>
          <cell r="N435"/>
          <cell r="O435"/>
          <cell r="P435">
            <v>827.88</v>
          </cell>
          <cell r="Q435">
            <v>784.85534399999995</v>
          </cell>
        </row>
        <row r="436">
          <cell r="D436">
            <v>4987176226686</v>
          </cell>
          <cell r="E436" t="str">
            <v>Fem</v>
          </cell>
          <cell r="F436" t="str">
            <v>whisper 好自在</v>
          </cell>
          <cell r="G436" t="str">
            <v>whisper 好自在 INFINITY 液體衛生棉12盒組, 液體衛生棉34cm*10片*10盒+幻彩液體衛生棉31.7cm*9片*2盒, 1組</v>
          </cell>
          <cell r="H436">
            <v>1</v>
          </cell>
          <cell r="I436"/>
          <cell r="J436"/>
          <cell r="K436"/>
          <cell r="L436"/>
          <cell r="M436"/>
          <cell r="N436"/>
          <cell r="O436" t="str">
            <v>不放貨</v>
          </cell>
          <cell r="P436">
            <v>1107</v>
          </cell>
          <cell r="Q436">
            <v>1057.7091</v>
          </cell>
        </row>
        <row r="437">
          <cell r="D437">
            <v>6903148240359</v>
          </cell>
          <cell r="E437" t="str">
            <v>Fem</v>
          </cell>
          <cell r="F437" t="str">
            <v>whisper 好自在</v>
          </cell>
          <cell r="G437" t="str">
            <v>whisper 好自在 RADIANT 幻彩系列, 恬淡清香, 日用型, 24cm, 9片, 1包</v>
          </cell>
          <cell r="H437">
            <v>12</v>
          </cell>
          <cell r="I437"/>
          <cell r="J437"/>
          <cell r="K437"/>
          <cell r="L437"/>
          <cell r="M437"/>
          <cell r="N437"/>
          <cell r="O437" t="str">
            <v>停產</v>
          </cell>
          <cell r="P437">
            <v>1208.8800000000001</v>
          </cell>
          <cell r="Q437">
            <v>1157.3018940000002</v>
          </cell>
        </row>
        <row r="438">
          <cell r="D438">
            <v>4987176177841</v>
          </cell>
          <cell r="E438" t="str">
            <v>Fem</v>
          </cell>
          <cell r="F438" t="str">
            <v>whisper 好自在</v>
          </cell>
          <cell r="G438" t="str">
            <v xml:space="preserve">whisper 好自在 液體衛生棉清新淨味 24cm, 1包, 9片, 一般   </v>
          </cell>
          <cell r="H438">
            <v>12</v>
          </cell>
          <cell r="I438"/>
          <cell r="J438">
            <v>205.75</v>
          </cell>
          <cell r="K438"/>
          <cell r="L438"/>
          <cell r="M438"/>
          <cell r="N438"/>
          <cell r="O438"/>
          <cell r="P438">
            <v>1208.8800000000001</v>
          </cell>
          <cell r="Q438">
            <v>1157.3004000000001</v>
          </cell>
        </row>
        <row r="439">
          <cell r="D439">
            <v>4902430665698</v>
          </cell>
          <cell r="E439" t="str">
            <v>Fem</v>
          </cell>
          <cell r="F439" t="str">
            <v>whisper 好自在</v>
          </cell>
          <cell r="G439" t="str">
            <v>whisper 好自在 瞬潔乾爽蝶翼 標準型夜用28cm, 墊類型, 40片, 1組</v>
          </cell>
          <cell r="H439">
            <v>8</v>
          </cell>
          <cell r="I439"/>
          <cell r="J439"/>
          <cell r="K439"/>
          <cell r="L439"/>
          <cell r="M439"/>
          <cell r="N439"/>
          <cell r="O439" t="str">
            <v>停產</v>
          </cell>
          <cell r="P439">
            <v>1172.28</v>
          </cell>
          <cell r="Q439">
            <v>1121.5235640000001</v>
          </cell>
        </row>
        <row r="440">
          <cell r="D440">
            <v>4987176122919</v>
          </cell>
          <cell r="E440" t="str">
            <v>Fem</v>
          </cell>
          <cell r="F440" t="str">
            <v>whisper 好自在</v>
          </cell>
          <cell r="G440" t="str">
            <v>好自在 熊抱安睡36cm量多夜用(10片X2)</v>
          </cell>
          <cell r="H440">
            <v>12</v>
          </cell>
          <cell r="I440"/>
          <cell r="J440">
            <v>9.1666666666666661</v>
          </cell>
          <cell r="K440"/>
          <cell r="L440"/>
          <cell r="M440"/>
          <cell r="N440"/>
          <cell r="O440"/>
          <cell r="P440">
            <v>1592.16</v>
          </cell>
          <cell r="Q440">
            <v>1531.9772580000001</v>
          </cell>
        </row>
        <row r="441">
          <cell r="D441">
            <v>4902430471329</v>
          </cell>
          <cell r="E441" t="str">
            <v>Fem</v>
          </cell>
          <cell r="F441" t="str">
            <v>whisper 好自在</v>
          </cell>
          <cell r="G441" t="str">
            <v>whisper 好自在 甜睡棉柔加長夜用 36cm,12片, 1包</v>
          </cell>
          <cell r="H441">
            <v>12</v>
          </cell>
          <cell r="I441"/>
          <cell r="J441"/>
          <cell r="K441"/>
          <cell r="L441"/>
          <cell r="M441"/>
          <cell r="N441"/>
          <cell r="O441" t="str">
            <v>停產</v>
          </cell>
          <cell r="P441">
            <v>871.76</v>
          </cell>
          <cell r="Q441">
            <v>827.75023799999997</v>
          </cell>
        </row>
        <row r="442">
          <cell r="D442">
            <v>4902430471299</v>
          </cell>
          <cell r="E442" t="str">
            <v>Fem</v>
          </cell>
          <cell r="F442" t="str">
            <v>whisper 好自在</v>
          </cell>
          <cell r="G442" t="str">
            <v>whisper 好自在 甜睡瞬潔, 加長夜用, 36cm, 12片, 1包</v>
          </cell>
          <cell r="H442">
            <v>12</v>
          </cell>
          <cell r="I442"/>
          <cell r="J442"/>
          <cell r="K442"/>
          <cell r="L442"/>
          <cell r="M442"/>
          <cell r="N442"/>
          <cell r="O442" t="str">
            <v>停產</v>
          </cell>
          <cell r="P442">
            <v>871.76</v>
          </cell>
          <cell r="Q442">
            <v>827.75023799999997</v>
          </cell>
        </row>
        <row r="443">
          <cell r="D443">
            <v>4987176122902</v>
          </cell>
          <cell r="E443" t="str">
            <v>Fem</v>
          </cell>
          <cell r="F443" t="str">
            <v>whisper 好自在</v>
          </cell>
          <cell r="G443" t="str">
            <v>whisper 好自在 熊抱氣墊安睡棉 衛生棉, 量多日夜用, 31.7cm, 12片, 2包</v>
          </cell>
          <cell r="H443">
            <v>12</v>
          </cell>
          <cell r="I443"/>
          <cell r="J443"/>
          <cell r="K443"/>
          <cell r="L443"/>
          <cell r="M443"/>
          <cell r="N443"/>
          <cell r="O443" t="str">
            <v>停產</v>
          </cell>
          <cell r="P443">
            <v>1592.16</v>
          </cell>
          <cell r="Q443">
            <v>1531.9772580000001</v>
          </cell>
        </row>
        <row r="444">
          <cell r="D444">
            <v>6903148182406</v>
          </cell>
          <cell r="E444" t="str">
            <v>Fem</v>
          </cell>
          <cell r="F444" t="str">
            <v>whisper 好自在</v>
          </cell>
          <cell r="G444" t="str">
            <v>好自在隱型清新護墊 淡香 40片,1包</v>
          </cell>
          <cell r="H444">
            <v>24</v>
          </cell>
          <cell r="I444"/>
          <cell r="J444">
            <v>13</v>
          </cell>
          <cell r="K444"/>
          <cell r="L444"/>
          <cell r="M444"/>
          <cell r="N444"/>
          <cell r="O444"/>
          <cell r="P444">
            <v>1194</v>
          </cell>
          <cell r="Q444">
            <v>1142.75595</v>
          </cell>
        </row>
        <row r="445">
          <cell r="D445">
            <v>4987176171627</v>
          </cell>
          <cell r="E445" t="str">
            <v>Fem</v>
          </cell>
          <cell r="F445" t="str">
            <v>whisper 好自在</v>
          </cell>
          <cell r="G445" t="str">
            <v>whisper 好自在 液體衛生棉6入組 34cm*50片+幻彩液體衛生棉 31.7cm*9片, 1組</v>
          </cell>
          <cell r="H445">
            <v>1</v>
          </cell>
          <cell r="I445"/>
          <cell r="J445"/>
          <cell r="K445"/>
          <cell r="L445"/>
          <cell r="M445"/>
          <cell r="N445"/>
          <cell r="O445" t="str">
            <v>不放貨</v>
          </cell>
          <cell r="P445">
            <v>572.6</v>
          </cell>
          <cell r="Q445">
            <v>535.3063800000001</v>
          </cell>
        </row>
        <row r="446">
          <cell r="D446">
            <v>4987176033260</v>
          </cell>
          <cell r="E446" t="str">
            <v>Fem</v>
          </cell>
          <cell r="F446" t="str">
            <v>whisper 好自在</v>
          </cell>
          <cell r="G446" t="str">
            <v>whisper 好自在 熊抱安睡褲 L號, 內褲型 , 4片,10包,1組</v>
          </cell>
          <cell r="H446">
            <v>1</v>
          </cell>
          <cell r="I446"/>
          <cell r="J446"/>
          <cell r="K446"/>
          <cell r="L446"/>
          <cell r="M446"/>
          <cell r="N446"/>
          <cell r="O446" t="str">
            <v>不放貨</v>
          </cell>
          <cell r="P446">
            <v>1015.44</v>
          </cell>
          <cell r="Q446">
            <v>868.10350200000005</v>
          </cell>
        </row>
        <row r="447">
          <cell r="D447">
            <v>4987176104939</v>
          </cell>
          <cell r="E447" t="str">
            <v>Fem</v>
          </cell>
          <cell r="F447" t="str">
            <v>whisper 好自在</v>
          </cell>
          <cell r="G447" t="str">
            <v>whisper 好自在 熊抱系列超柔安睡褲, 16入, 1包</v>
          </cell>
          <cell r="H447">
            <v>1</v>
          </cell>
          <cell r="I447"/>
          <cell r="J447"/>
          <cell r="K447"/>
          <cell r="L447"/>
          <cell r="M447"/>
          <cell r="N447"/>
          <cell r="O447" t="str">
            <v>停產</v>
          </cell>
          <cell r="P447">
            <v>525.26</v>
          </cell>
          <cell r="Q447">
            <v>489.02916300000004</v>
          </cell>
        </row>
        <row r="448">
          <cell r="D448">
            <v>6903148182680</v>
          </cell>
          <cell r="E448" t="str">
            <v>Fem</v>
          </cell>
          <cell r="F448" t="str">
            <v>whisper 好自在</v>
          </cell>
          <cell r="G448" t="str">
            <v>whisper 好自在 隱型乾爽護墊, 自然無香, 40片, 1包</v>
          </cell>
          <cell r="H448">
            <v>24</v>
          </cell>
          <cell r="I448"/>
          <cell r="J448">
            <v>10.541666666666666</v>
          </cell>
          <cell r="K448"/>
          <cell r="L448"/>
          <cell r="M448"/>
          <cell r="N448"/>
          <cell r="O448"/>
          <cell r="P448">
            <v>1194</v>
          </cell>
          <cell r="Q448">
            <v>1142.75595</v>
          </cell>
        </row>
        <row r="449">
          <cell r="D449">
            <v>4902430900782</v>
          </cell>
          <cell r="E449" t="str">
            <v>Fem</v>
          </cell>
          <cell r="F449" t="str">
            <v>whisper 好自在</v>
          </cell>
          <cell r="G449" t="str">
            <v>whisper 好自在 Pure Skin超吸透氣棉 日用 24cm(16片x2)</v>
          </cell>
          <cell r="H449">
            <v>12</v>
          </cell>
          <cell r="I449"/>
          <cell r="J449"/>
          <cell r="K449"/>
          <cell r="L449"/>
          <cell r="M449"/>
          <cell r="N449"/>
          <cell r="O449" t="str">
            <v>停產</v>
          </cell>
          <cell r="P449">
            <v>1591.44</v>
          </cell>
          <cell r="Q449">
            <v>1531.2734220000002</v>
          </cell>
        </row>
        <row r="450">
          <cell r="D450">
            <v>4987176171603</v>
          </cell>
          <cell r="E450" t="str">
            <v>Fem</v>
          </cell>
          <cell r="F450" t="str">
            <v>whisper 好自在</v>
          </cell>
          <cell r="G450" t="str">
            <v>whisper 好自在 液體衛生棉6入組 24cm*50片+幻彩液體衛生棉 24cm*9片, 1組</v>
          </cell>
          <cell r="H450">
            <v>1</v>
          </cell>
          <cell r="I450"/>
          <cell r="J450"/>
          <cell r="K450"/>
          <cell r="L450"/>
          <cell r="M450"/>
          <cell r="N450"/>
          <cell r="O450" t="str">
            <v>不放貨</v>
          </cell>
          <cell r="P450">
            <v>572.6</v>
          </cell>
          <cell r="Q450">
            <v>535.3063800000001</v>
          </cell>
        </row>
        <row r="451">
          <cell r="D451">
            <v>4987176226662</v>
          </cell>
          <cell r="E451" t="str">
            <v>Fem</v>
          </cell>
          <cell r="F451" t="str">
            <v>whisper 好自在</v>
          </cell>
          <cell r="G451" t="str">
            <v>whisper 好自在 INFINITY 液體衛生棉12入組 液體衛生棉24cm*10盒+幻彩液體衛生棉 24cm*2盒, 1組, 一般</v>
          </cell>
          <cell r="H451">
            <v>1</v>
          </cell>
          <cell r="I451"/>
          <cell r="J451"/>
          <cell r="K451"/>
          <cell r="L451"/>
          <cell r="M451"/>
          <cell r="N451"/>
          <cell r="O451" t="str">
            <v>不放貨</v>
          </cell>
          <cell r="P451">
            <v>1107</v>
          </cell>
          <cell r="Q451">
            <v>1057.7091</v>
          </cell>
        </row>
        <row r="452">
          <cell r="D452">
            <v>14902430909754</v>
          </cell>
          <cell r="E452" t="str">
            <v>Fem</v>
          </cell>
          <cell r="F452" t="str">
            <v>whisper 好自在</v>
          </cell>
          <cell r="G452" t="str">
            <v>whisper 好自在 熊抱安睡褲, 內褲型, S-M, 4片, 10包</v>
          </cell>
          <cell r="H452">
            <v>1</v>
          </cell>
          <cell r="I452"/>
          <cell r="J452"/>
          <cell r="K452"/>
          <cell r="L452"/>
          <cell r="M452"/>
          <cell r="N452"/>
          <cell r="O452" t="str">
            <v>不放貨</v>
          </cell>
          <cell r="P452">
            <v>1015.44</v>
          </cell>
          <cell r="Q452">
            <v>868.10350200000005</v>
          </cell>
        </row>
        <row r="453">
          <cell r="D453">
            <v>6903148308752</v>
          </cell>
          <cell r="E453" t="str">
            <v>Fem</v>
          </cell>
          <cell r="F453" t="str">
            <v>whisper 好自在</v>
          </cell>
          <cell r="G453" t="str">
            <v>whisper 好自在 Air Dry雲枕瞬吸衛生棉, 日用輕量型, 18cm ,12片, 1包</v>
          </cell>
          <cell r="H453">
            <v>24</v>
          </cell>
          <cell r="I453"/>
          <cell r="J453">
            <v>30.458333333333332</v>
          </cell>
          <cell r="K453"/>
          <cell r="L453"/>
          <cell r="M453"/>
          <cell r="N453"/>
          <cell r="O453"/>
          <cell r="P453">
            <v>1156.25</v>
          </cell>
          <cell r="Q453">
            <v>1105.8499999999999</v>
          </cell>
        </row>
        <row r="454">
          <cell r="D454">
            <v>6903148138182</v>
          </cell>
          <cell r="E454" t="str">
            <v>Fem</v>
          </cell>
          <cell r="F454" t="str">
            <v>whisper 好自在</v>
          </cell>
          <cell r="G454" t="str">
            <v>whisper 好自在 Air Dry雲枕瞬吸衛生棉, 日用, 24cm, 10片, 1包</v>
          </cell>
          <cell r="H454">
            <v>24</v>
          </cell>
          <cell r="I454"/>
          <cell r="J454">
            <v>23.708333333333332</v>
          </cell>
          <cell r="K454"/>
          <cell r="L454"/>
          <cell r="M454"/>
          <cell r="N454"/>
          <cell r="O454"/>
          <cell r="P454">
            <v>1366.48</v>
          </cell>
          <cell r="Q454">
            <v>1311.36</v>
          </cell>
        </row>
        <row r="455">
          <cell r="D455">
            <v>6903148304761</v>
          </cell>
          <cell r="E455" t="str">
            <v>Fem</v>
          </cell>
          <cell r="F455" t="str">
            <v>whisper 好自在</v>
          </cell>
          <cell r="G455" t="str">
            <v>whisper 好自在 Air Dry雲枕瞬吸衛生棉, 日用, 24cm, 20片, 1包</v>
          </cell>
          <cell r="H455">
            <v>12</v>
          </cell>
          <cell r="I455"/>
          <cell r="J455">
            <v>62.916666666666664</v>
          </cell>
          <cell r="K455"/>
          <cell r="L455"/>
          <cell r="M455"/>
          <cell r="N455"/>
          <cell r="O455"/>
          <cell r="P455">
            <v>1208.81</v>
          </cell>
          <cell r="Q455">
            <v>1157.23</v>
          </cell>
        </row>
        <row r="456">
          <cell r="D456">
            <v>6903148356999</v>
          </cell>
          <cell r="E456" t="str">
            <v>Fem</v>
          </cell>
          <cell r="F456" t="str">
            <v>whisper 好自在</v>
          </cell>
          <cell r="G456" t="str">
            <v>whisper 好自在 Air Dry雲枕瞬吸衛生棉, 日用量大, 28cm, 10片, 1包</v>
          </cell>
          <cell r="H456">
            <v>24</v>
          </cell>
          <cell r="I456"/>
          <cell r="J456">
            <v>25.708333333333332</v>
          </cell>
          <cell r="K456"/>
          <cell r="L456"/>
          <cell r="M456"/>
          <cell r="N456"/>
          <cell r="O456"/>
          <cell r="P456">
            <v>1366.48</v>
          </cell>
          <cell r="Q456">
            <v>1311.36</v>
          </cell>
        </row>
        <row r="457">
          <cell r="D457">
            <v>6903148354582</v>
          </cell>
          <cell r="E457" t="str">
            <v>Fem</v>
          </cell>
          <cell r="F457" t="str">
            <v>whisper 好自在</v>
          </cell>
          <cell r="G457" t="str">
            <v>whisper 好自在 Air Dry雲枕瞬吸衛生棉, 日用量大, 28cm, 20片, 1包</v>
          </cell>
          <cell r="H457">
            <v>12</v>
          </cell>
          <cell r="I457"/>
          <cell r="J457">
            <v>95.666666666666671</v>
          </cell>
          <cell r="K457"/>
          <cell r="L457"/>
          <cell r="M457"/>
          <cell r="N457"/>
          <cell r="O457"/>
          <cell r="P457">
            <v>1208.81</v>
          </cell>
          <cell r="Q457">
            <v>1157.23</v>
          </cell>
        </row>
        <row r="458">
          <cell r="D458">
            <v>6903148356982</v>
          </cell>
          <cell r="E458" t="str">
            <v>Fem</v>
          </cell>
          <cell r="F458" t="str">
            <v>whisper 好自在</v>
          </cell>
          <cell r="G458" t="str">
            <v>whisper 好自在 Air Dry雲枕瞬吸衛生棉, 日用量大加長, 32cm, 8片, 1包</v>
          </cell>
          <cell r="H458">
            <v>24</v>
          </cell>
          <cell r="I458"/>
          <cell r="J458">
            <v>0</v>
          </cell>
          <cell r="K458"/>
          <cell r="L458"/>
          <cell r="M458"/>
          <cell r="N458"/>
          <cell r="O458"/>
          <cell r="P458">
            <v>1366.48</v>
          </cell>
          <cell r="Q458">
            <v>1311.36</v>
          </cell>
        </row>
        <row r="459">
          <cell r="D459">
            <v>4987176301017</v>
          </cell>
          <cell r="E459" t="str">
            <v>Fem</v>
          </cell>
          <cell r="F459" t="str">
            <v>whisper 好自在</v>
          </cell>
          <cell r="G459" t="str">
            <v>whisper 好自在 Air Dry雲枕瞬吸衛生棉, 日用量大加長, 32cm, 16片, 1包</v>
          </cell>
          <cell r="H459">
            <v>12</v>
          </cell>
          <cell r="I459"/>
          <cell r="J459">
            <v>13.583333333333334</v>
          </cell>
          <cell r="K459"/>
          <cell r="L459"/>
          <cell r="M459"/>
          <cell r="N459"/>
          <cell r="O459"/>
          <cell r="P459">
            <v>1208.81</v>
          </cell>
          <cell r="Q459">
            <v>1157.23</v>
          </cell>
        </row>
        <row r="460">
          <cell r="D460">
            <v>6903148300770</v>
          </cell>
          <cell r="E460" t="str">
            <v>Fem</v>
          </cell>
          <cell r="F460" t="str">
            <v>whisper 好自在</v>
          </cell>
          <cell r="G460" t="str">
            <v>whisper 好自在 Air Dry Fresh純棉衛生棉, 日用輕量型, 18cm, 12片, 1包</v>
          </cell>
          <cell r="H460">
            <v>24</v>
          </cell>
          <cell r="I460"/>
          <cell r="J460">
            <v>8.875</v>
          </cell>
          <cell r="K460"/>
          <cell r="L460"/>
          <cell r="M460"/>
          <cell r="N460"/>
          <cell r="O460"/>
          <cell r="P460">
            <v>1156.25</v>
          </cell>
          <cell r="Q460">
            <v>1105.8499999999999</v>
          </cell>
        </row>
        <row r="461">
          <cell r="D461">
            <v>6903148357019</v>
          </cell>
          <cell r="E461" t="str">
            <v>Fem</v>
          </cell>
          <cell r="F461" t="str">
            <v>whisper 好自在</v>
          </cell>
          <cell r="G461" t="str">
            <v>whisper 好自在 Air Dry Fresh 草本健康衛生棉, 日用普通, 24cm, 10片, 1包</v>
          </cell>
          <cell r="H461">
            <v>24</v>
          </cell>
          <cell r="I461"/>
          <cell r="J461">
            <v>12.25</v>
          </cell>
          <cell r="K461"/>
          <cell r="L461"/>
          <cell r="M461"/>
          <cell r="N461"/>
          <cell r="O461"/>
          <cell r="P461">
            <v>1366.48</v>
          </cell>
          <cell r="Q461">
            <v>1311.36</v>
          </cell>
        </row>
        <row r="462">
          <cell r="D462">
            <v>6903148357040</v>
          </cell>
          <cell r="E462" t="str">
            <v>Fem</v>
          </cell>
          <cell r="F462" t="str">
            <v>whisper 好自在</v>
          </cell>
          <cell r="G462" t="str">
            <v>whisper 好自在 Air Dry Fresh 草本健康衛生棉, 日用普通, 24cm, 20片, 1包</v>
          </cell>
          <cell r="H462">
            <v>12</v>
          </cell>
          <cell r="I462"/>
          <cell r="J462">
            <v>22.583333333333332</v>
          </cell>
          <cell r="K462"/>
          <cell r="L462"/>
          <cell r="M462"/>
          <cell r="N462"/>
          <cell r="O462"/>
          <cell r="P462">
            <v>1208.81</v>
          </cell>
          <cell r="Q462">
            <v>1157.23</v>
          </cell>
        </row>
        <row r="463">
          <cell r="D463">
            <v>6903148357033</v>
          </cell>
          <cell r="E463" t="str">
            <v>Fem</v>
          </cell>
          <cell r="F463" t="str">
            <v>whisper 好自在</v>
          </cell>
          <cell r="G463" t="str">
            <v>whisper 好自在 Air Dry Fresh 草本健康衛生棉, 日用量大, 28cm, 10片, 1包</v>
          </cell>
          <cell r="H463">
            <v>24</v>
          </cell>
          <cell r="I463"/>
          <cell r="J463">
            <v>15.166666666666666</v>
          </cell>
          <cell r="K463"/>
          <cell r="L463"/>
          <cell r="M463"/>
          <cell r="N463"/>
          <cell r="O463"/>
          <cell r="P463">
            <v>1366.48</v>
          </cell>
          <cell r="Q463">
            <v>1311.36</v>
          </cell>
        </row>
        <row r="464">
          <cell r="D464">
            <v>6903148357002</v>
          </cell>
          <cell r="E464" t="str">
            <v>Fem</v>
          </cell>
          <cell r="F464" t="str">
            <v>whisper 好自在</v>
          </cell>
          <cell r="G464" t="str">
            <v>whisper 好自在 Air Dry Fresh 草本健康衛生棉, 日用量大, 28cm, 20片, 1包</v>
          </cell>
          <cell r="H464">
            <v>12</v>
          </cell>
          <cell r="I464"/>
          <cell r="J464">
            <v>29.25</v>
          </cell>
          <cell r="K464"/>
          <cell r="L464"/>
          <cell r="M464"/>
          <cell r="N464"/>
          <cell r="O464"/>
          <cell r="P464">
            <v>1208.81</v>
          </cell>
          <cell r="Q464">
            <v>1157.23</v>
          </cell>
        </row>
        <row r="465">
          <cell r="D465">
            <v>6903148357026</v>
          </cell>
          <cell r="E465" t="str">
            <v>Fem</v>
          </cell>
          <cell r="F465" t="str">
            <v>whisper 好自在</v>
          </cell>
          <cell r="G465" t="str">
            <v>whisper 好自在 AirDryFresh 草本健康衛生棉, 量大加長, 32cm, 8片, 1包</v>
          </cell>
          <cell r="H465">
            <v>24</v>
          </cell>
          <cell r="I465"/>
          <cell r="J465">
            <v>5.625</v>
          </cell>
          <cell r="K465"/>
          <cell r="L465"/>
          <cell r="M465"/>
          <cell r="N465"/>
          <cell r="O465"/>
          <cell r="P465">
            <v>1366.48</v>
          </cell>
          <cell r="Q465">
            <v>1311.36</v>
          </cell>
        </row>
        <row r="466">
          <cell r="D466">
            <v>4987176301024</v>
          </cell>
          <cell r="E466" t="str">
            <v>Fem</v>
          </cell>
          <cell r="F466" t="str">
            <v>whisper 好自在</v>
          </cell>
          <cell r="G466" t="str">
            <v>whisper 好自在 AirDryFresh 草本健康衛生棉, 量大加長, 32cm, 16片, 1包</v>
          </cell>
          <cell r="H466">
            <v>12</v>
          </cell>
          <cell r="I466"/>
          <cell r="J466">
            <v>12.333333333333334</v>
          </cell>
          <cell r="K466"/>
          <cell r="L466"/>
          <cell r="M466"/>
          <cell r="N466"/>
          <cell r="O466"/>
          <cell r="P466">
            <v>1208.81</v>
          </cell>
          <cell r="Q466">
            <v>1157.23</v>
          </cell>
        </row>
        <row r="467">
          <cell r="D467">
            <v>4987176100641</v>
          </cell>
          <cell r="E467" t="str">
            <v>Fem</v>
          </cell>
          <cell r="F467" t="str">
            <v>whisper 好自在</v>
          </cell>
          <cell r="G467" t="str">
            <v>[箱裝] whisper 好自在 超柔氣墊衛生棉, 24cm, 24片, 5包</v>
          </cell>
          <cell r="H467">
            <v>1</v>
          </cell>
          <cell r="I467"/>
          <cell r="J467"/>
          <cell r="K467"/>
          <cell r="L467"/>
          <cell r="M467"/>
          <cell r="N467"/>
          <cell r="O467" t="str">
            <v>停產</v>
          </cell>
          <cell r="P467">
            <v>568.65</v>
          </cell>
          <cell r="Q467">
            <v>531.45000000000005</v>
          </cell>
        </row>
        <row r="468">
          <cell r="D468">
            <v>4987176100658</v>
          </cell>
          <cell r="E468" t="str">
            <v>Fem</v>
          </cell>
          <cell r="F468" t="str">
            <v>whisper 好自在</v>
          </cell>
          <cell r="G468" t="str">
            <v>[箱裝] whisper 好自在 超柔氣墊衛生棉, 28cm, 20片, 5包</v>
          </cell>
          <cell r="H468">
            <v>1</v>
          </cell>
          <cell r="I468"/>
          <cell r="J468"/>
          <cell r="K468"/>
          <cell r="L468"/>
          <cell r="M468"/>
          <cell r="N468"/>
          <cell r="O468" t="str">
            <v>停產</v>
          </cell>
          <cell r="P468">
            <v>568.65</v>
          </cell>
          <cell r="Q468">
            <v>531.45000000000005</v>
          </cell>
        </row>
        <row r="469">
          <cell r="D469">
            <v>14902430836989</v>
          </cell>
          <cell r="E469" t="str">
            <v>Fem</v>
          </cell>
          <cell r="F469" t="str">
            <v>whisper 好自在</v>
          </cell>
          <cell r="G469" t="str">
            <v>[箱裝] whisper 好自在 熊抱安睡褲, M, 4片, 12包</v>
          </cell>
          <cell r="H469">
            <v>1</v>
          </cell>
          <cell r="I469"/>
          <cell r="J469"/>
          <cell r="K469"/>
          <cell r="L469"/>
          <cell r="M469"/>
          <cell r="N469"/>
          <cell r="O469"/>
          <cell r="P469">
            <v>1270.8</v>
          </cell>
          <cell r="Q469">
            <v>1217.83179</v>
          </cell>
        </row>
        <row r="470">
          <cell r="D470">
            <v>14902430836996</v>
          </cell>
          <cell r="E470" t="str">
            <v>Fem</v>
          </cell>
          <cell r="F470" t="str">
            <v>whisper 好自在</v>
          </cell>
          <cell r="G470" t="str">
            <v>[箱裝] whisper 好自在 熊抱安睡褲, L, 4片, 12包</v>
          </cell>
          <cell r="H470">
            <v>1</v>
          </cell>
          <cell r="I470"/>
          <cell r="J470"/>
          <cell r="K470"/>
          <cell r="L470"/>
          <cell r="M470"/>
          <cell r="N470"/>
          <cell r="O470"/>
          <cell r="P470">
            <v>1270.8</v>
          </cell>
          <cell r="Q470">
            <v>1217.83179</v>
          </cell>
        </row>
        <row r="471">
          <cell r="D471">
            <v>14987176160000</v>
          </cell>
          <cell r="E471" t="str">
            <v>Fem</v>
          </cell>
          <cell r="F471" t="str">
            <v>whisper 好自在</v>
          </cell>
          <cell r="G471" t="str">
            <v>[箱裝] whisper 好自在 熊抱安睡褲, XL, 4片, 12包</v>
          </cell>
          <cell r="H471">
            <v>1</v>
          </cell>
          <cell r="I471"/>
          <cell r="J471"/>
          <cell r="K471"/>
          <cell r="L471"/>
          <cell r="M471"/>
          <cell r="N471"/>
          <cell r="O471"/>
          <cell r="P471">
            <v>1270.8</v>
          </cell>
          <cell r="Q471">
            <v>1217.83179</v>
          </cell>
        </row>
        <row r="472">
          <cell r="D472">
            <v>14987176179248</v>
          </cell>
          <cell r="E472" t="str">
            <v>Fem</v>
          </cell>
          <cell r="F472" t="str">
            <v>whisper 好自在</v>
          </cell>
          <cell r="G472" t="str">
            <v>[箱購] whisper 好自在 液體衛生棉 經典款 24cm, 10片 , 12盒</v>
          </cell>
          <cell r="H472">
            <v>1</v>
          </cell>
          <cell r="I472"/>
          <cell r="J472">
            <v>0</v>
          </cell>
          <cell r="K472"/>
          <cell r="L472"/>
          <cell r="M472"/>
          <cell r="N472"/>
          <cell r="O472"/>
          <cell r="P472">
            <v>1208.8800000000001</v>
          </cell>
          <cell r="Q472">
            <v>1157.3018940000002</v>
          </cell>
        </row>
        <row r="473">
          <cell r="D473">
            <v>14987176179231</v>
          </cell>
          <cell r="E473" t="str">
            <v>Fem</v>
          </cell>
          <cell r="F473" t="str">
            <v>whisper 好自在</v>
          </cell>
          <cell r="G473" t="str">
            <v>[箱購] whisper 好自在 液體衛生棉 經典款, 量多日用型, 27cm, 10片 , 12盒</v>
          </cell>
          <cell r="H473">
            <v>1</v>
          </cell>
          <cell r="I473"/>
          <cell r="J473"/>
          <cell r="K473"/>
          <cell r="L473"/>
          <cell r="M473"/>
          <cell r="N473"/>
          <cell r="O473"/>
          <cell r="P473">
            <v>1208.8800000000001</v>
          </cell>
          <cell r="Q473">
            <v>1157.3018940000002</v>
          </cell>
        </row>
        <row r="474">
          <cell r="D474">
            <v>14987176179255</v>
          </cell>
          <cell r="E474" t="str">
            <v>Fem</v>
          </cell>
          <cell r="F474" t="str">
            <v>whisper 好自在</v>
          </cell>
          <cell r="G474" t="str">
            <v>[箱購] whisper 好自在 液體衛生棉 超長夜用型, 34cm, 10片 , 12盒</v>
          </cell>
          <cell r="H474">
            <v>1</v>
          </cell>
          <cell r="I474"/>
          <cell r="J474"/>
          <cell r="K474"/>
          <cell r="L474"/>
          <cell r="M474"/>
          <cell r="N474"/>
          <cell r="O474"/>
          <cell r="P474">
            <v>1208.8800000000001</v>
          </cell>
          <cell r="Q474">
            <v>1157.3018940000002</v>
          </cell>
        </row>
        <row r="475">
          <cell r="D475">
            <v>14987176177848</v>
          </cell>
          <cell r="E475" t="str">
            <v>Fem</v>
          </cell>
          <cell r="F475" t="str">
            <v>whisper 好自在</v>
          </cell>
          <cell r="G475" t="str">
            <v>[箱購] whisper 好自在 液體衛生棉 Radiant 清新淨味 量多日用型,24cm, 9片, 12盒</v>
          </cell>
          <cell r="H475">
            <v>1</v>
          </cell>
          <cell r="I475"/>
          <cell r="J475"/>
          <cell r="K475"/>
          <cell r="L475"/>
          <cell r="M475"/>
          <cell r="N475"/>
          <cell r="O475"/>
          <cell r="P475">
            <v>1208.8800000000001</v>
          </cell>
          <cell r="Q475">
            <v>1157.3018940000002</v>
          </cell>
        </row>
        <row r="476">
          <cell r="D476">
            <v>14987176177855</v>
          </cell>
          <cell r="E476" t="str">
            <v>Fem</v>
          </cell>
          <cell r="F476" t="str">
            <v>whisper 好自在</v>
          </cell>
          <cell r="G476" t="str">
            <v>[箱購] whisper 好自在 液體衛生棉 Radiant 清新淨味 量多日用型,27cm, 9片, 12盒</v>
          </cell>
          <cell r="H476">
            <v>1</v>
          </cell>
          <cell r="I476"/>
          <cell r="J476"/>
          <cell r="K476"/>
          <cell r="L476"/>
          <cell r="M476"/>
          <cell r="N476"/>
          <cell r="O476"/>
          <cell r="P476">
            <v>1208.8800000000001</v>
          </cell>
          <cell r="Q476">
            <v>1157.3018940000002</v>
          </cell>
        </row>
        <row r="477">
          <cell r="D477">
            <v>14987176177862</v>
          </cell>
          <cell r="E477" t="str">
            <v>Fem</v>
          </cell>
          <cell r="F477" t="str">
            <v>whisper 好自在</v>
          </cell>
          <cell r="G477" t="str">
            <v>[箱購] whisper 好自在 液體衛生棉 Radiant 清新淨味, 量多日夜用型 31.7cm, 9片, 12盒</v>
          </cell>
          <cell r="H477">
            <v>1</v>
          </cell>
          <cell r="I477"/>
          <cell r="J477"/>
          <cell r="K477"/>
          <cell r="L477"/>
          <cell r="M477"/>
          <cell r="N477"/>
          <cell r="O477"/>
          <cell r="P477">
            <v>1208.8800000000001</v>
          </cell>
          <cell r="Q477">
            <v>1157.3018940000002</v>
          </cell>
        </row>
        <row r="478">
          <cell r="D478">
            <v>14987176177824</v>
          </cell>
          <cell r="E478" t="str">
            <v>Fem</v>
          </cell>
          <cell r="F478" t="str">
            <v>whisper 好自在</v>
          </cell>
          <cell r="G478" t="str">
            <v>[箱購] whisper 好自在 液體衛生棉 隔濕隔菌 量多日用型 24cm, 8片, 12盒</v>
          </cell>
          <cell r="H478">
            <v>1</v>
          </cell>
          <cell r="I478"/>
          <cell r="J478"/>
          <cell r="K478"/>
          <cell r="L478"/>
          <cell r="M478"/>
          <cell r="N478"/>
          <cell r="O478"/>
          <cell r="P478">
            <v>1208.8800000000001</v>
          </cell>
          <cell r="Q478">
            <v>1157.3018940000002</v>
          </cell>
        </row>
        <row r="479">
          <cell r="D479">
            <v>14987176177831</v>
          </cell>
          <cell r="E479" t="str">
            <v>Fem</v>
          </cell>
          <cell r="F479" t="str">
            <v>whisper 好自在</v>
          </cell>
          <cell r="G479" t="str">
            <v>[箱購] whisper 好自在 液體衛生棉 隔濕隔菌 量多日用型 27cm, 7片, 12盒</v>
          </cell>
          <cell r="H479">
            <v>1</v>
          </cell>
          <cell r="I479"/>
          <cell r="J479"/>
          <cell r="K479"/>
          <cell r="L479"/>
          <cell r="M479"/>
          <cell r="N479"/>
          <cell r="O479"/>
          <cell r="P479">
            <v>1208.8800000000001</v>
          </cell>
          <cell r="Q479">
            <v>1157.3018940000002</v>
          </cell>
        </row>
        <row r="480">
          <cell r="D480">
            <v>4902430826815</v>
          </cell>
          <cell r="E480" t="str">
            <v>OCM</v>
          </cell>
          <cell r="F480" t="str">
            <v>Oral-B 歐樂B</v>
          </cell>
          <cell r="G480" t="str">
            <v>Oral-B 歐樂B 抗敏護齦牙膏 專業修護, 森林薄荷, 90g, 1條</v>
          </cell>
          <cell r="H480">
            <v>12</v>
          </cell>
          <cell r="I480"/>
          <cell r="J480"/>
          <cell r="K480"/>
          <cell r="L480"/>
          <cell r="M480"/>
          <cell r="N480"/>
          <cell r="O480"/>
          <cell r="P480">
            <v>1209.5999999999999</v>
          </cell>
          <cell r="Q480">
            <v>1170.71</v>
          </cell>
        </row>
        <row r="481">
          <cell r="D481">
            <v>4902430826846</v>
          </cell>
          <cell r="E481" t="str">
            <v>OCM</v>
          </cell>
          <cell r="F481" t="str">
            <v>Oral-B 歐樂B</v>
          </cell>
          <cell r="G481" t="str">
            <v>Oral-B 歐樂B 抗敏護齦牙膏 急速抗敏, 海洋薄荷, 90g, 1條</v>
          </cell>
          <cell r="H481">
            <v>12</v>
          </cell>
          <cell r="I481"/>
          <cell r="J481"/>
          <cell r="K481"/>
          <cell r="L481"/>
          <cell r="M481"/>
          <cell r="N481"/>
          <cell r="O481"/>
          <cell r="P481">
            <v>1209.5999999999999</v>
          </cell>
          <cell r="Q481">
            <v>1170.71</v>
          </cell>
        </row>
        <row r="482">
          <cell r="D482">
            <v>3014260814854</v>
          </cell>
          <cell r="E482" t="str">
            <v>OCM</v>
          </cell>
          <cell r="F482" t="str">
            <v>Oral-B 歐樂B</v>
          </cell>
          <cell r="G482" t="str">
            <v>Oral-B 歐樂B 薄荷微蠟牙線50公尺, 1組, 2個</v>
          </cell>
          <cell r="H482">
            <v>24</v>
          </cell>
          <cell r="I482"/>
          <cell r="J482"/>
          <cell r="K482"/>
          <cell r="L482"/>
          <cell r="M482"/>
          <cell r="N482"/>
          <cell r="O482"/>
          <cell r="P482">
            <v>1580</v>
          </cell>
          <cell r="Q482">
            <v>1532.7984000000001</v>
          </cell>
        </row>
        <row r="483">
          <cell r="D483">
            <v>4987176191540</v>
          </cell>
          <cell r="E483" t="str">
            <v>OCM</v>
          </cell>
          <cell r="F483" t="str">
            <v>Crest</v>
          </cell>
          <cell r="G483" t="str">
            <v>Crest 極致鑽白牙膏 鑽亮炫白, 110g, 1條, 0ml</v>
          </cell>
          <cell r="H483">
            <v>12</v>
          </cell>
          <cell r="I483"/>
          <cell r="J483"/>
          <cell r="K483"/>
          <cell r="L483"/>
          <cell r="M483"/>
          <cell r="N483"/>
          <cell r="O483"/>
          <cell r="P483">
            <v>1216.8</v>
          </cell>
          <cell r="Q483">
            <v>1177.75224</v>
          </cell>
        </row>
        <row r="484">
          <cell r="D484">
            <v>24987176191544</v>
          </cell>
          <cell r="E484" t="str">
            <v>OCM</v>
          </cell>
          <cell r="F484" t="str">
            <v>Crest</v>
          </cell>
          <cell r="G484" t="str">
            <v>Crest 極致鑽白牙膏 鑽亮炫白, 110g, 6條</v>
          </cell>
          <cell r="H484">
            <v>2</v>
          </cell>
          <cell r="I484"/>
          <cell r="J484"/>
          <cell r="K484"/>
          <cell r="L484"/>
          <cell r="M484"/>
          <cell r="N484"/>
          <cell r="O484"/>
          <cell r="P484">
            <v>1216.8</v>
          </cell>
          <cell r="Q484">
            <v>1177.75224</v>
          </cell>
        </row>
        <row r="485">
          <cell r="D485">
            <v>4902430789639</v>
          </cell>
          <cell r="E485" t="str">
            <v>OCM</v>
          </cell>
          <cell r="F485" t="str">
            <v>Oral-B 歐樂B</v>
          </cell>
          <cell r="G485" t="str">
            <v>Oral-B 舒適深潔牙線, 清新薄荷, 40m, 1個</v>
          </cell>
          <cell r="H485">
            <v>24</v>
          </cell>
          <cell r="I485"/>
          <cell r="J485"/>
          <cell r="K485"/>
          <cell r="L485"/>
          <cell r="M485"/>
          <cell r="N485"/>
          <cell r="O485"/>
          <cell r="P485">
            <v>1857.6</v>
          </cell>
          <cell r="Q485">
            <v>1804.1662800000001</v>
          </cell>
        </row>
        <row r="486">
          <cell r="D486">
            <v>4987176139436</v>
          </cell>
          <cell r="E486" t="str">
            <v>OCM</v>
          </cell>
          <cell r="F486" t="str">
            <v>Crest</v>
          </cell>
          <cell r="G486" t="str">
            <v>Crest 香氛鎖白牙膏 清柚.白茶, 1條</v>
          </cell>
          <cell r="H486">
            <v>12</v>
          </cell>
          <cell r="I486"/>
          <cell r="J486"/>
          <cell r="K486"/>
          <cell r="L486"/>
          <cell r="M486"/>
          <cell r="N486"/>
          <cell r="O486"/>
          <cell r="P486">
            <v>1245.5999999999999</v>
          </cell>
          <cell r="Q486">
            <v>1205.9056800000001</v>
          </cell>
        </row>
        <row r="487">
          <cell r="D487">
            <v>3014260814847</v>
          </cell>
          <cell r="E487" t="str">
            <v>OCM</v>
          </cell>
          <cell r="F487" t="str">
            <v>Oral-B 歐樂B</v>
          </cell>
          <cell r="G487" t="str">
            <v>Oral-B 歐樂B 無蠟牙線50公尺, 1組, 2個</v>
          </cell>
          <cell r="H487">
            <v>24</v>
          </cell>
          <cell r="I487"/>
          <cell r="J487"/>
          <cell r="K487"/>
          <cell r="L487"/>
          <cell r="M487"/>
          <cell r="N487"/>
          <cell r="O487"/>
          <cell r="P487">
            <v>1583.6</v>
          </cell>
          <cell r="Q487">
            <v>1536.3175799999999</v>
          </cell>
        </row>
        <row r="488">
          <cell r="D488">
            <v>24987176191551</v>
          </cell>
          <cell r="E488" t="str">
            <v>OCM</v>
          </cell>
          <cell r="F488" t="str">
            <v>Crest</v>
          </cell>
          <cell r="G488" t="str">
            <v>Crest 極致鑽白牙膏 鑽感薄荷, 110g, 6條</v>
          </cell>
          <cell r="H488">
            <v>2</v>
          </cell>
          <cell r="I488"/>
          <cell r="J488"/>
          <cell r="K488"/>
          <cell r="L488"/>
          <cell r="M488"/>
          <cell r="N488"/>
          <cell r="O488"/>
          <cell r="P488">
            <v>1216.8</v>
          </cell>
          <cell r="Q488">
            <v>1177.75224</v>
          </cell>
        </row>
        <row r="489">
          <cell r="D489">
            <v>24987176191568</v>
          </cell>
          <cell r="E489" t="str">
            <v>OCM</v>
          </cell>
          <cell r="F489" t="str">
            <v>Crest</v>
          </cell>
          <cell r="G489" t="str">
            <v>Crest 極致鑽白牙膏 亮白防蛀, 110g, 6條</v>
          </cell>
          <cell r="H489">
            <v>2</v>
          </cell>
          <cell r="I489"/>
          <cell r="J489"/>
          <cell r="K489"/>
          <cell r="L489"/>
          <cell r="M489"/>
          <cell r="N489"/>
          <cell r="O489"/>
          <cell r="P489">
            <v>1216.8</v>
          </cell>
          <cell r="Q489">
            <v>1177.75224</v>
          </cell>
        </row>
        <row r="490">
          <cell r="D490">
            <v>34987176139420</v>
          </cell>
          <cell r="E490" t="str">
            <v>OCM</v>
          </cell>
          <cell r="F490" t="str">
            <v>Crest</v>
          </cell>
          <cell r="G490" t="str">
            <v>Crest 香氛鎖白牙膏 岡山夢白桃, 120g, 6條</v>
          </cell>
          <cell r="H490">
            <v>2</v>
          </cell>
          <cell r="I490"/>
          <cell r="J490"/>
          <cell r="K490"/>
          <cell r="L490"/>
          <cell r="M490"/>
          <cell r="N490"/>
          <cell r="O490"/>
          <cell r="P490">
            <v>1245.5999999999999</v>
          </cell>
          <cell r="Q490">
            <v>1205.9100000000001</v>
          </cell>
        </row>
        <row r="491">
          <cell r="D491">
            <v>4987176139429</v>
          </cell>
          <cell r="E491" t="str">
            <v>OCM</v>
          </cell>
          <cell r="F491" t="str">
            <v>Crest</v>
          </cell>
          <cell r="G491" t="str">
            <v>Crest 香氛鎖白牙膏 岡山夢.白桃, 1條</v>
          </cell>
          <cell r="H491">
            <v>12</v>
          </cell>
          <cell r="I491"/>
          <cell r="J491"/>
          <cell r="K491"/>
          <cell r="L491"/>
          <cell r="M491"/>
          <cell r="N491"/>
          <cell r="O491"/>
          <cell r="P491">
            <v>1245.5999999999999</v>
          </cell>
          <cell r="Q491">
            <v>1205.9056800000001</v>
          </cell>
        </row>
        <row r="492">
          <cell r="D492">
            <v>4902430789646</v>
          </cell>
          <cell r="E492" t="str">
            <v>OCM</v>
          </cell>
          <cell r="F492" t="str">
            <v>Oral-B 歐樂B</v>
          </cell>
          <cell r="G492" t="str">
            <v>Oral-B 深層潔淨牙線, 清涼潔淨, 40m, 1個</v>
          </cell>
          <cell r="H492">
            <v>24</v>
          </cell>
          <cell r="I492"/>
          <cell r="J492"/>
          <cell r="K492"/>
          <cell r="L492"/>
          <cell r="M492"/>
          <cell r="N492"/>
          <cell r="O492"/>
          <cell r="P492">
            <v>1857.6</v>
          </cell>
          <cell r="Q492">
            <v>1804.1662800000001</v>
          </cell>
        </row>
        <row r="493">
          <cell r="D493">
            <v>4987176139924</v>
          </cell>
          <cell r="E493" t="str">
            <v>OCM</v>
          </cell>
          <cell r="F493" t="str">
            <v>Oral-B 歐樂B</v>
          </cell>
          <cell r="G493" t="str">
            <v>Oral-B 歐樂B 6效合1漱口水 固齒護齦, 500ml, 1瓶</v>
          </cell>
          <cell r="H493">
            <v>6</v>
          </cell>
          <cell r="I493"/>
          <cell r="J493"/>
          <cell r="K493"/>
          <cell r="L493"/>
          <cell r="M493"/>
          <cell r="N493"/>
          <cell r="O493" t="str">
            <v>停產</v>
          </cell>
          <cell r="P493">
            <v>753</v>
          </cell>
          <cell r="Q493">
            <v>724.36455000000001</v>
          </cell>
        </row>
        <row r="494">
          <cell r="D494">
            <v>4987176191557</v>
          </cell>
          <cell r="E494" t="str">
            <v>OCM</v>
          </cell>
          <cell r="F494" t="str">
            <v>Crest</v>
          </cell>
          <cell r="G494" t="str">
            <v>Crest 極致鑽白牙膏 鑽感薄荷, 110g, 1條</v>
          </cell>
          <cell r="H494">
            <v>12</v>
          </cell>
          <cell r="I494"/>
          <cell r="J494"/>
          <cell r="K494"/>
          <cell r="L494"/>
          <cell r="M494"/>
          <cell r="N494"/>
          <cell r="O494"/>
          <cell r="P494">
            <v>1216.8</v>
          </cell>
          <cell r="Q494">
            <v>1177.75224</v>
          </cell>
        </row>
        <row r="495">
          <cell r="D495">
            <v>4987176191564</v>
          </cell>
          <cell r="E495" t="str">
            <v>OCM</v>
          </cell>
          <cell r="F495" t="str">
            <v>Crest</v>
          </cell>
          <cell r="G495" t="str">
            <v>Crest 極致鑽白牙膏 亮白防蛀, 110g, 1條</v>
          </cell>
          <cell r="H495">
            <v>12</v>
          </cell>
          <cell r="I495"/>
          <cell r="J495"/>
          <cell r="K495"/>
          <cell r="L495"/>
          <cell r="M495"/>
          <cell r="N495"/>
          <cell r="O495"/>
          <cell r="P495">
            <v>1216.8</v>
          </cell>
          <cell r="Q495">
            <v>1177.75224</v>
          </cell>
        </row>
        <row r="496">
          <cell r="D496">
            <v>889714000434</v>
          </cell>
          <cell r="E496" t="str">
            <v>OCM</v>
          </cell>
          <cell r="F496" t="str">
            <v>Crest</v>
          </cell>
          <cell r="G496" t="str">
            <v>Crest 3D White 美白牙貼高效組 溫和型, 14次, 28片, 1盒</v>
          </cell>
          <cell r="H496">
            <v>8</v>
          </cell>
          <cell r="I496"/>
          <cell r="J496"/>
          <cell r="K496"/>
          <cell r="L496"/>
          <cell r="M496"/>
          <cell r="N496"/>
          <cell r="O496"/>
          <cell r="P496">
            <v>4795.2</v>
          </cell>
          <cell r="Q496">
            <v>4675.8171600000005</v>
          </cell>
        </row>
        <row r="497">
          <cell r="D497">
            <v>34987176139437</v>
          </cell>
          <cell r="E497" t="str">
            <v>OCM</v>
          </cell>
          <cell r="F497" t="str">
            <v>Crest</v>
          </cell>
          <cell r="G497" t="str">
            <v>Crest 香氛鎖白牙膏 清柚白茶, 120g, 6條</v>
          </cell>
          <cell r="H497">
            <v>2</v>
          </cell>
          <cell r="I497"/>
          <cell r="J497"/>
          <cell r="K497"/>
          <cell r="L497"/>
          <cell r="M497"/>
          <cell r="N497"/>
          <cell r="O497"/>
          <cell r="P497">
            <v>1245.5999999999999</v>
          </cell>
          <cell r="Q497">
            <v>1205.9056800000001</v>
          </cell>
        </row>
        <row r="498">
          <cell r="D498">
            <v>4987176252210</v>
          </cell>
          <cell r="E498" t="str">
            <v>OCM</v>
          </cell>
          <cell r="F498" t="str">
            <v>Crest</v>
          </cell>
          <cell r="G498" t="str">
            <v>Crest 香氛鎖白牙膏 海洋薄荷, 120g, 1條</v>
          </cell>
          <cell r="H498">
            <v>12</v>
          </cell>
          <cell r="I498"/>
          <cell r="J498"/>
          <cell r="K498"/>
          <cell r="L498"/>
          <cell r="M498"/>
          <cell r="N498"/>
          <cell r="O498"/>
          <cell r="P498">
            <v>1245.5999999999999</v>
          </cell>
          <cell r="Q498">
            <v>1205.9100000000001</v>
          </cell>
        </row>
        <row r="499">
          <cell r="D499" t="str">
            <v xml:space="preserve">	4987176252227</v>
          </cell>
          <cell r="E499" t="str">
            <v>OCM</v>
          </cell>
          <cell r="F499" t="str">
            <v>Crest</v>
          </cell>
          <cell r="G499" t="str">
            <v>Crest 香氛鎖白牙膏 清新雪櫻, 120g, 1條</v>
          </cell>
          <cell r="H499">
            <v>12</v>
          </cell>
          <cell r="I499"/>
          <cell r="J499"/>
          <cell r="K499"/>
          <cell r="L499"/>
          <cell r="M499"/>
          <cell r="N499"/>
          <cell r="O499"/>
          <cell r="P499">
            <v>1245.5999999999999</v>
          </cell>
          <cell r="Q499">
            <v>1205.9100000000001</v>
          </cell>
        </row>
        <row r="500">
          <cell r="D500">
            <v>4902430187763</v>
          </cell>
          <cell r="E500" t="str">
            <v>OCM</v>
          </cell>
          <cell r="F500" t="str">
            <v>Oral-B 歐樂B</v>
          </cell>
          <cell r="G500" t="str">
            <v>Oral-B 歐樂B 無蠟牙線50公尺, 12個, 1組</v>
          </cell>
          <cell r="H500">
            <v>4</v>
          </cell>
          <cell r="I500"/>
          <cell r="J500"/>
          <cell r="K500"/>
          <cell r="L500"/>
          <cell r="M500"/>
          <cell r="N500"/>
          <cell r="O500" t="str">
            <v>小白盒沒有效期 進不了庫彭倉庫</v>
          </cell>
          <cell r="P500">
            <v>1583.6</v>
          </cell>
          <cell r="Q500">
            <v>1536.3175799999999</v>
          </cell>
        </row>
        <row r="501">
          <cell r="D501">
            <v>4902430187787</v>
          </cell>
          <cell r="E501" t="str">
            <v>OCM</v>
          </cell>
          <cell r="F501" t="str">
            <v>Oral-B 歐樂B</v>
          </cell>
          <cell r="G501" t="str">
            <v>Oral-B 歐樂B 薄荷微蠟牙線50公尺, 12個, 1組</v>
          </cell>
          <cell r="H501">
            <v>4</v>
          </cell>
          <cell r="I501"/>
          <cell r="J501"/>
          <cell r="K501"/>
          <cell r="L501"/>
          <cell r="M501"/>
          <cell r="N501"/>
          <cell r="O501" t="str">
            <v>小白盒沒有效期 進不了庫彭倉庫</v>
          </cell>
          <cell r="P501">
            <v>1580</v>
          </cell>
          <cell r="Q501">
            <v>1532.7984000000001</v>
          </cell>
        </row>
        <row r="502">
          <cell r="D502">
            <v>4987176291929</v>
          </cell>
          <cell r="E502" t="str">
            <v>Home</v>
          </cell>
          <cell r="F502" t="str">
            <v>Febreze 風倍清</v>
          </cell>
          <cell r="G502" t="str">
            <v>Febreze 風倍清 室內用抗菌消臭防臭劑, 清爽皂香, 7mL, 1入</v>
          </cell>
          <cell r="H502">
            <v>24</v>
          </cell>
          <cell r="I502"/>
          <cell r="J502"/>
          <cell r="K502"/>
          <cell r="L502"/>
          <cell r="M502"/>
          <cell r="N502"/>
          <cell r="O502"/>
          <cell r="P502">
            <v>3285.6</v>
          </cell>
          <cell r="Q502">
            <v>3200.11</v>
          </cell>
        </row>
        <row r="503">
          <cell r="D503">
            <v>4987176291936</v>
          </cell>
          <cell r="E503" t="str">
            <v>Home</v>
          </cell>
          <cell r="F503" t="str">
            <v>Febreze 風倍清</v>
          </cell>
          <cell r="G503" t="str">
            <v>Febreze 風倍清 室內用抗菌消臭防臭劑, 清新白茶, 7mL, 1入</v>
          </cell>
          <cell r="H503">
            <v>24</v>
          </cell>
          <cell r="I503"/>
          <cell r="J503"/>
          <cell r="K503"/>
          <cell r="L503"/>
          <cell r="M503"/>
          <cell r="N503"/>
          <cell r="O503"/>
          <cell r="P503">
            <v>3285.6</v>
          </cell>
          <cell r="Q503">
            <v>3200.11</v>
          </cell>
        </row>
        <row r="504">
          <cell r="D504">
            <v>4987176291943</v>
          </cell>
          <cell r="E504" t="str">
            <v>Home</v>
          </cell>
          <cell r="F504" t="str">
            <v>Febreze 風倍清</v>
          </cell>
          <cell r="G504" t="str">
            <v>Febreze 風倍清 室內用抗菌消臭防臭劑, 清爽皂香, 7mL, 3入</v>
          </cell>
          <cell r="H504">
            <v>12</v>
          </cell>
          <cell r="I504"/>
          <cell r="J504"/>
          <cell r="K504"/>
          <cell r="L504"/>
          <cell r="M504"/>
          <cell r="N504"/>
          <cell r="O504"/>
          <cell r="P504">
            <v>4281.84</v>
          </cell>
          <cell r="Q504">
            <v>4173.9799999999996</v>
          </cell>
        </row>
        <row r="505">
          <cell r="D505">
            <v>4987176291905</v>
          </cell>
          <cell r="E505" t="str">
            <v>Home</v>
          </cell>
          <cell r="F505" t="str">
            <v>Febreze 風倍清</v>
          </cell>
          <cell r="G505" t="str">
            <v>Febreze 風倍清 室內用抗菌消臭防臭劑, 清新白茶, 7mL, 3入</v>
          </cell>
          <cell r="H505">
            <v>12</v>
          </cell>
          <cell r="I505"/>
          <cell r="J505"/>
          <cell r="K505"/>
          <cell r="L505"/>
          <cell r="M505"/>
          <cell r="N505"/>
          <cell r="O505"/>
          <cell r="P505">
            <v>4281.84</v>
          </cell>
          <cell r="Q505">
            <v>4173.9799999999996</v>
          </cell>
        </row>
        <row r="506">
          <cell r="D506">
            <v>4987176156594</v>
          </cell>
          <cell r="E506" t="str">
            <v>Home</v>
          </cell>
          <cell r="F506" t="str">
            <v>Febreze 風倍清</v>
          </cell>
          <cell r="G506" t="str">
            <v>Febreze 風倍清 浴廁用防霉防臭劑, 清新柑橘, 7ml, 2入</v>
          </cell>
          <cell r="H506">
            <v>12</v>
          </cell>
          <cell r="I506"/>
          <cell r="J506"/>
          <cell r="K506"/>
          <cell r="L506"/>
          <cell r="M506"/>
          <cell r="N506"/>
          <cell r="O506"/>
          <cell r="P506">
            <v>3126.84</v>
          </cell>
          <cell r="Q506">
            <v>3044.911842</v>
          </cell>
        </row>
        <row r="507">
          <cell r="D507">
            <v>4987176156587</v>
          </cell>
          <cell r="E507" t="str">
            <v>Home</v>
          </cell>
          <cell r="F507" t="str">
            <v>Febreze 風倍清</v>
          </cell>
          <cell r="G507" t="str">
            <v>Febreze 風倍清 浴廁用防霉防臭劑, 柔和花香, 7ml, 2入</v>
          </cell>
          <cell r="H507">
            <v>12</v>
          </cell>
          <cell r="I507"/>
          <cell r="J507"/>
          <cell r="K507"/>
          <cell r="L507"/>
          <cell r="M507"/>
          <cell r="N507"/>
          <cell r="O507"/>
          <cell r="P507">
            <v>3126.84</v>
          </cell>
          <cell r="Q507">
            <v>3044.911842</v>
          </cell>
        </row>
        <row r="508">
          <cell r="D508">
            <v>4902430363921</v>
          </cell>
          <cell r="E508" t="str">
            <v>Home</v>
          </cell>
          <cell r="F508" t="str">
            <v>Febreze 風倍清</v>
          </cell>
          <cell r="G508" t="str">
            <v>Febreze 風倍清 99.9%織物除菌消臭噴霧, 370ml, 1瓶</v>
          </cell>
          <cell r="H508">
            <v>12</v>
          </cell>
          <cell r="I508"/>
          <cell r="J508"/>
          <cell r="K508"/>
          <cell r="L508"/>
          <cell r="M508"/>
          <cell r="N508"/>
          <cell r="O508"/>
          <cell r="P508">
            <v>1486.8</v>
          </cell>
          <cell r="Q508">
            <v>1441.69074</v>
          </cell>
        </row>
        <row r="509">
          <cell r="D509">
            <v>4902430363938</v>
          </cell>
          <cell r="E509" t="str">
            <v>Home</v>
          </cell>
          <cell r="F509" t="str">
            <v>Febreze 風倍清</v>
          </cell>
          <cell r="G509" t="str">
            <v>Febreze 風倍清 織物除菌消臭噴霧 綠茶清香 370ml,1瓶</v>
          </cell>
          <cell r="H509">
            <v>12</v>
          </cell>
          <cell r="I509"/>
          <cell r="J509"/>
          <cell r="K509"/>
          <cell r="L509"/>
          <cell r="M509"/>
          <cell r="N509"/>
          <cell r="O509"/>
          <cell r="P509">
            <v>1486.8</v>
          </cell>
          <cell r="Q509">
            <v>1441.69074</v>
          </cell>
        </row>
        <row r="510">
          <cell r="D510">
            <v>4987176030399</v>
          </cell>
          <cell r="E510" t="str">
            <v>Home</v>
          </cell>
          <cell r="F510" t="str">
            <v>Febreze 風倍清</v>
          </cell>
          <cell r="G510" t="str">
            <v>Febreze 風倍清 浴廁用抗菌消臭防臭劑 山谷微香, 6ml, 2入,1組</v>
          </cell>
          <cell r="H510">
            <v>12</v>
          </cell>
          <cell r="I510"/>
          <cell r="J510"/>
          <cell r="K510"/>
          <cell r="L510"/>
          <cell r="M510"/>
          <cell r="N510"/>
          <cell r="O510"/>
          <cell r="P510">
            <v>2734.8</v>
          </cell>
          <cell r="Q510">
            <v>2661.6731400000003</v>
          </cell>
        </row>
        <row r="511">
          <cell r="D511">
            <v>4902430113205</v>
          </cell>
          <cell r="E511" t="str">
            <v>Home</v>
          </cell>
          <cell r="F511" t="str">
            <v>Febreze 風倍清</v>
          </cell>
          <cell r="G511" t="str">
            <v>Febreze 風倍清 織物除菌消臭噴霧補充包, 高效除菌, 320ml, 1包</v>
          </cell>
          <cell r="H511">
            <v>24</v>
          </cell>
          <cell r="I511"/>
          <cell r="J511"/>
          <cell r="K511"/>
          <cell r="L511"/>
          <cell r="M511"/>
          <cell r="N511"/>
          <cell r="O511"/>
          <cell r="P511">
            <v>2270.4</v>
          </cell>
          <cell r="Q511">
            <v>2207.6989200000003</v>
          </cell>
        </row>
        <row r="512">
          <cell r="D512">
            <v>4987176030351</v>
          </cell>
          <cell r="E512" t="str">
            <v>Home</v>
          </cell>
          <cell r="F512" t="str">
            <v>Febreze 風倍清</v>
          </cell>
          <cell r="G512" t="str">
            <v>Febreze 風倍清 浴廁用抗菌消臭防臭劑, 清爽皂香, 6ml, 2入,1組</v>
          </cell>
          <cell r="H512">
            <v>12</v>
          </cell>
          <cell r="I512"/>
          <cell r="J512"/>
          <cell r="K512"/>
          <cell r="L512"/>
          <cell r="M512"/>
          <cell r="N512"/>
          <cell r="O512"/>
          <cell r="P512">
            <v>2734.8</v>
          </cell>
          <cell r="Q512">
            <v>2661.6731400000003</v>
          </cell>
        </row>
        <row r="513">
          <cell r="D513">
            <v>4987176156563</v>
          </cell>
          <cell r="E513" t="str">
            <v>Home</v>
          </cell>
          <cell r="F513" t="str">
            <v>Febreze 風倍清</v>
          </cell>
          <cell r="G513" t="str">
            <v>Febreze 風倍清 浴廁用防霉防臭劑, 柔和花香, 7ml, 1入</v>
          </cell>
          <cell r="H513">
            <v>24</v>
          </cell>
          <cell r="I513"/>
          <cell r="J513"/>
          <cell r="K513"/>
          <cell r="L513"/>
          <cell r="M513"/>
          <cell r="N513"/>
          <cell r="O513"/>
          <cell r="P513">
            <v>3285.6</v>
          </cell>
          <cell r="Q513">
            <v>3200.1076800000001</v>
          </cell>
        </row>
        <row r="514">
          <cell r="D514">
            <v>4902430520294</v>
          </cell>
          <cell r="E514" t="str">
            <v>Home</v>
          </cell>
          <cell r="F514" t="str">
            <v>Febreze 風倍清</v>
          </cell>
          <cell r="G514" t="str">
            <v>Febreze 風倍清 織物除菌消臭噴霧 無香型,370ml, 1瓶</v>
          </cell>
          <cell r="H514">
            <v>12</v>
          </cell>
          <cell r="I514"/>
          <cell r="J514"/>
          <cell r="K514"/>
          <cell r="L514"/>
          <cell r="M514"/>
          <cell r="N514"/>
          <cell r="O514"/>
          <cell r="P514">
            <v>1486.8</v>
          </cell>
          <cell r="Q514">
            <v>1441.69074</v>
          </cell>
        </row>
        <row r="515">
          <cell r="D515">
            <v>4902430955102</v>
          </cell>
          <cell r="E515" t="str">
            <v>Home</v>
          </cell>
          <cell r="F515" t="str">
            <v>Febreze 風倍清</v>
          </cell>
          <cell r="G515" t="str">
            <v>Febreze 風倍清 織物除菌消臭噴霧 補充包 ,綠茶清香, 320ml, 1包</v>
          </cell>
          <cell r="H515">
            <v>24</v>
          </cell>
          <cell r="I515"/>
          <cell r="J515"/>
          <cell r="K515"/>
          <cell r="L515"/>
          <cell r="M515"/>
          <cell r="N515"/>
          <cell r="O515"/>
          <cell r="P515">
            <v>2270.4</v>
          </cell>
          <cell r="Q515">
            <v>2207.6989200000003</v>
          </cell>
        </row>
        <row r="516">
          <cell r="D516">
            <v>4987176030382</v>
          </cell>
          <cell r="E516" t="str">
            <v>Home</v>
          </cell>
          <cell r="F516" t="str">
            <v>Febreze 風倍清</v>
          </cell>
          <cell r="G516" t="str">
            <v>Febreze 風倍清 浴廁用抗菌消臭防臭劑山谷微香, 6ml, 1入</v>
          </cell>
          <cell r="H516">
            <v>24</v>
          </cell>
          <cell r="I516"/>
          <cell r="J516"/>
          <cell r="K516"/>
          <cell r="L516"/>
          <cell r="M516"/>
          <cell r="N516"/>
          <cell r="O516"/>
          <cell r="P516">
            <v>2896.8</v>
          </cell>
          <cell r="Q516">
            <v>2820.0362400000004</v>
          </cell>
        </row>
        <row r="517">
          <cell r="D517">
            <v>4987176030344</v>
          </cell>
          <cell r="E517" t="str">
            <v>Home</v>
          </cell>
          <cell r="F517" t="str">
            <v>Febreze 風倍清</v>
          </cell>
          <cell r="G517" t="str">
            <v>Febreze 風倍清 浴廁用抗菌消臭防臭劑 清爽皂香, 6ml, 1入</v>
          </cell>
          <cell r="H517">
            <v>24</v>
          </cell>
          <cell r="I517"/>
          <cell r="J517"/>
          <cell r="K517"/>
          <cell r="L517"/>
          <cell r="M517"/>
          <cell r="N517"/>
          <cell r="O517"/>
          <cell r="P517">
            <v>2896.8</v>
          </cell>
          <cell r="Q517">
            <v>2820.0362400000004</v>
          </cell>
        </row>
        <row r="518">
          <cell r="D518">
            <v>4902430877701</v>
          </cell>
          <cell r="E518" t="str">
            <v>Home</v>
          </cell>
          <cell r="F518" t="str">
            <v>Febreze 風倍清</v>
          </cell>
          <cell r="G518" t="str">
            <v>Febreze 風倍清 天然織物噴霧, lavender &amp; eucalyptus 南法薰衣草, 370ml, 1瓶</v>
          </cell>
          <cell r="H518">
            <v>12</v>
          </cell>
          <cell r="I518"/>
          <cell r="J518"/>
          <cell r="K518"/>
          <cell r="L518"/>
          <cell r="M518"/>
          <cell r="N518"/>
          <cell r="O518"/>
          <cell r="P518">
            <v>1884.3</v>
          </cell>
          <cell r="Q518">
            <v>1830.2668649999998</v>
          </cell>
        </row>
        <row r="519">
          <cell r="D519">
            <v>4987176156570</v>
          </cell>
          <cell r="E519" t="str">
            <v>Home</v>
          </cell>
          <cell r="F519" t="str">
            <v>Febreze 風倍清</v>
          </cell>
          <cell r="G519" t="str">
            <v>Febreze 風倍清 浴廁用防霉防臭劑, 清新柑橘, 7ml, 1入</v>
          </cell>
          <cell r="H519">
            <v>24</v>
          </cell>
          <cell r="I519"/>
          <cell r="J519"/>
          <cell r="K519"/>
          <cell r="L519"/>
          <cell r="M519"/>
          <cell r="N519"/>
          <cell r="O519"/>
          <cell r="P519">
            <v>3285.6</v>
          </cell>
          <cell r="Q519">
            <v>3200.1076800000001</v>
          </cell>
        </row>
        <row r="520">
          <cell r="D520">
            <v>4987176030375</v>
          </cell>
          <cell r="E520" t="str">
            <v>Home</v>
          </cell>
          <cell r="F520" t="str">
            <v>Febreze 風倍清</v>
          </cell>
          <cell r="G520" t="str">
            <v>Febreze 風倍清 浴廁用抗菌消臭防臭劑 薄荷綠香 6ml, 2入, 1組</v>
          </cell>
          <cell r="H520">
            <v>12</v>
          </cell>
          <cell r="I520"/>
          <cell r="J520"/>
          <cell r="K520"/>
          <cell r="L520"/>
          <cell r="M520"/>
          <cell r="N520"/>
          <cell r="O520"/>
          <cell r="P520">
            <v>2734.8</v>
          </cell>
          <cell r="Q520">
            <v>2661.6731400000003</v>
          </cell>
        </row>
        <row r="521">
          <cell r="D521">
            <v>4902430910255</v>
          </cell>
          <cell r="E521" t="str">
            <v>Home</v>
          </cell>
          <cell r="F521" t="str">
            <v>Febreze 風倍清</v>
          </cell>
          <cell r="G521" t="str">
            <v>Febreze 風倍清 織物除菌消臭噴霧, 無香型含酒精, 370ml</v>
          </cell>
          <cell r="H521">
            <v>12</v>
          </cell>
          <cell r="I521"/>
          <cell r="J521"/>
          <cell r="K521"/>
          <cell r="L521"/>
          <cell r="M521"/>
          <cell r="N521"/>
          <cell r="O521"/>
          <cell r="P521">
            <v>1486.8</v>
          </cell>
          <cell r="Q521">
            <v>1441.69074</v>
          </cell>
        </row>
        <row r="522">
          <cell r="D522">
            <v>4987176030368</v>
          </cell>
          <cell r="E522" t="str">
            <v>Home</v>
          </cell>
          <cell r="F522" t="str">
            <v>Febreze 風倍清</v>
          </cell>
          <cell r="G522" t="str">
            <v>Febreze 風倍清 浴廁用抗菌消臭防臭劑 薄荷綠香,6ml 1入</v>
          </cell>
          <cell r="H522">
            <v>24</v>
          </cell>
          <cell r="I522"/>
          <cell r="J522"/>
          <cell r="K522"/>
          <cell r="L522"/>
          <cell r="M522"/>
          <cell r="N522"/>
          <cell r="O522"/>
          <cell r="P522">
            <v>2896.8</v>
          </cell>
          <cell r="Q522">
            <v>2820.0362400000004</v>
          </cell>
        </row>
        <row r="523">
          <cell r="D523">
            <v>4902430341479</v>
          </cell>
          <cell r="E523" t="str">
            <v>Home</v>
          </cell>
          <cell r="F523" t="str">
            <v>Febreze 風倍清</v>
          </cell>
          <cell r="G523" t="str">
            <v>Febreze 風倍清 Naturis衣物消臭噴霧, 玫瑰&amp;天竺葵, 370ml, 1瓶</v>
          </cell>
          <cell r="H523">
            <v>12</v>
          </cell>
          <cell r="I523"/>
          <cell r="J523"/>
          <cell r="K523"/>
          <cell r="L523"/>
          <cell r="M523"/>
          <cell r="N523"/>
          <cell r="O523"/>
          <cell r="P523">
            <v>1884.3</v>
          </cell>
          <cell r="Q523">
            <v>1830.2668649999998</v>
          </cell>
        </row>
        <row r="524">
          <cell r="D524">
            <v>4902430858229</v>
          </cell>
          <cell r="E524" t="str">
            <v>Home</v>
          </cell>
          <cell r="F524" t="str">
            <v>Febreze 風倍清</v>
          </cell>
          <cell r="G524" t="str">
            <v>Febreze 風倍清 Naturis衣物消臭噴霧, 檸檬草&amp;生薑, 370ml, 1瓶</v>
          </cell>
          <cell r="H524">
            <v>12</v>
          </cell>
          <cell r="I524"/>
          <cell r="J524"/>
          <cell r="K524"/>
          <cell r="L524"/>
          <cell r="M524"/>
          <cell r="N524"/>
          <cell r="O524" t="str">
            <v>停產</v>
          </cell>
          <cell r="P524">
            <v>1884.3</v>
          </cell>
          <cell r="Q524">
            <v>1830.2668649999998</v>
          </cell>
        </row>
        <row r="525">
          <cell r="D525">
            <v>4902430520300</v>
          </cell>
          <cell r="E525" t="str">
            <v>Home</v>
          </cell>
          <cell r="F525" t="str">
            <v>Febreze 風倍清</v>
          </cell>
          <cell r="G525" t="str">
            <v>Febreze 風倍清 W 織物除菌消臭噴霧補充包, 溫和無香, 320ml, 1包</v>
          </cell>
          <cell r="H525">
            <v>24</v>
          </cell>
          <cell r="I525"/>
          <cell r="J525"/>
          <cell r="K525"/>
          <cell r="L525"/>
          <cell r="M525"/>
          <cell r="N525"/>
          <cell r="O525" t="str">
            <v>停產</v>
          </cell>
          <cell r="P525">
            <v>2270.4</v>
          </cell>
          <cell r="Q525">
            <v>2207.6989200000003</v>
          </cell>
        </row>
        <row r="526">
          <cell r="D526">
            <v>4902430910279</v>
          </cell>
          <cell r="E526" t="str">
            <v>Home</v>
          </cell>
          <cell r="F526" t="str">
            <v>Febreze 風倍清</v>
          </cell>
          <cell r="G526" t="str">
            <v>Febreze 風倍清 織物除菌消臭噴霧 補充包  無香含酒精, 320ml, 1包</v>
          </cell>
          <cell r="H526">
            <v>24</v>
          </cell>
          <cell r="I526"/>
          <cell r="J526"/>
          <cell r="K526"/>
          <cell r="L526"/>
          <cell r="M526"/>
          <cell r="N526"/>
          <cell r="O526"/>
          <cell r="P526">
            <v>2270.4</v>
          </cell>
          <cell r="Q526">
            <v>2207.6989200000003</v>
          </cell>
        </row>
        <row r="527">
          <cell r="D527">
            <v>4987176405289</v>
          </cell>
          <cell r="E527" t="str">
            <v>Fabric</v>
          </cell>
          <cell r="F527" t="str">
            <v>ARIEL</v>
          </cell>
          <cell r="G527" t="str">
            <v>Ariel 洗衣膠囊 80顆</v>
          </cell>
          <cell r="H527">
            <v>4</v>
          </cell>
          <cell r="I527"/>
          <cell r="J527">
            <v>0</v>
          </cell>
          <cell r="K527"/>
          <cell r="L527"/>
          <cell r="M527"/>
          <cell r="N527"/>
          <cell r="O527"/>
        </row>
        <row r="528">
          <cell r="D528">
            <v>4987176372284</v>
          </cell>
          <cell r="E528" t="str">
            <v>Fem</v>
          </cell>
          <cell r="F528" t="str">
            <v>whisper 好自在</v>
          </cell>
          <cell r="G528" t="str">
            <v>[箱裝]whisper 好自在 液體衛生棉24cm 90片+清新淨味液體衛生棉24cm 18片, 1組</v>
          </cell>
          <cell r="H528">
            <v>1</v>
          </cell>
          <cell r="I528"/>
          <cell r="J528">
            <v>237.5</v>
          </cell>
          <cell r="K528"/>
          <cell r="L528"/>
          <cell r="M528"/>
          <cell r="N528"/>
          <cell r="O528"/>
          <cell r="P528">
            <v>1107</v>
          </cell>
          <cell r="Q528">
            <v>1057.71</v>
          </cell>
        </row>
        <row r="529">
          <cell r="D529">
            <v>4987176372154</v>
          </cell>
          <cell r="E529" t="str">
            <v>Fem</v>
          </cell>
          <cell r="F529" t="str">
            <v>whisper 好自在</v>
          </cell>
          <cell r="G529" t="str">
            <v>[箱裝]whisper 好自在 液體衛生棉27cm 80片+清新淨味液體衛生棉27cm 27片, 1組</v>
          </cell>
          <cell r="H529">
            <v>1</v>
          </cell>
          <cell r="I529"/>
          <cell r="J529">
            <v>682</v>
          </cell>
          <cell r="K529"/>
          <cell r="L529"/>
          <cell r="M529"/>
          <cell r="N529"/>
          <cell r="O529"/>
          <cell r="P529">
            <v>1107</v>
          </cell>
          <cell r="Q529">
            <v>1057.71</v>
          </cell>
        </row>
        <row r="530">
          <cell r="D530">
            <v>4987176372079</v>
          </cell>
          <cell r="E530" t="str">
            <v>Fem</v>
          </cell>
          <cell r="F530" t="str">
            <v>whisper 好自在</v>
          </cell>
          <cell r="G530" t="str">
            <v>[箱裝]whisper 好自在 液體衛生棉29.5cm 81片+清新淨味液體衛生棉31.7cm 27片, 1組</v>
          </cell>
          <cell r="H530">
            <v>1</v>
          </cell>
          <cell r="I530"/>
          <cell r="J530">
            <v>105</v>
          </cell>
          <cell r="K530"/>
          <cell r="L530"/>
          <cell r="M530"/>
          <cell r="N530"/>
          <cell r="O530"/>
          <cell r="P530">
            <v>1107</v>
          </cell>
          <cell r="Q530">
            <v>1057.71</v>
          </cell>
        </row>
        <row r="531">
          <cell r="D531">
            <v>4987176372086</v>
          </cell>
          <cell r="E531" t="str">
            <v>Fem</v>
          </cell>
          <cell r="F531" t="str">
            <v>whisper 好自在</v>
          </cell>
          <cell r="G531" t="str">
            <v>[箱裝]whisper 好自在 液體衛生棉34cm 90片+清新淨味液體衛生棉31.7cm 18片, 1組</v>
          </cell>
          <cell r="H531">
            <v>1</v>
          </cell>
          <cell r="I531"/>
          <cell r="J531">
            <v>308</v>
          </cell>
          <cell r="K531"/>
          <cell r="L531"/>
          <cell r="M531"/>
          <cell r="N531"/>
          <cell r="O531"/>
          <cell r="P531">
            <v>1107</v>
          </cell>
          <cell r="Q531">
            <v>1057.71</v>
          </cell>
        </row>
        <row r="532">
          <cell r="D532">
            <v>4987176372123</v>
          </cell>
          <cell r="E532" t="str">
            <v>Fem</v>
          </cell>
          <cell r="F532" t="str">
            <v>whisper 好自在</v>
          </cell>
          <cell r="G532" t="str">
            <v>[箱裝]whisper 好自在 液體衛生棉24cm 126片+清新淨味液體衛生棉24cm36片, 1組</v>
          </cell>
          <cell r="H532">
            <v>1</v>
          </cell>
          <cell r="I532"/>
          <cell r="J532">
            <v>150</v>
          </cell>
          <cell r="K532"/>
          <cell r="L532"/>
          <cell r="M532"/>
          <cell r="N532"/>
          <cell r="O532"/>
          <cell r="P532" t="e">
            <v>#N/A</v>
          </cell>
          <cell r="Q532" t="e">
            <v>#N/A</v>
          </cell>
        </row>
        <row r="533">
          <cell r="D533">
            <v>4987176372147</v>
          </cell>
          <cell r="E533" t="str">
            <v>Fem</v>
          </cell>
          <cell r="F533" t="str">
            <v>whisper 好自在</v>
          </cell>
          <cell r="G533" t="str">
            <v>[箱裝]whisper 好自在 液體衛生棉27cm 128片+清新淨味液體衛生棉27cm 36片, 1組</v>
          </cell>
          <cell r="H533">
            <v>1</v>
          </cell>
          <cell r="I533"/>
          <cell r="J533">
            <v>324</v>
          </cell>
          <cell r="K533"/>
          <cell r="L533"/>
          <cell r="M533"/>
          <cell r="N533"/>
          <cell r="O533"/>
          <cell r="P533" t="e">
            <v>#N/A</v>
          </cell>
          <cell r="Q533" t="e">
            <v>#N/A</v>
          </cell>
        </row>
        <row r="534">
          <cell r="D534">
            <v>4987176372055</v>
          </cell>
          <cell r="E534" t="str">
            <v>Fem</v>
          </cell>
          <cell r="F534" t="str">
            <v>whisper 好自在</v>
          </cell>
          <cell r="G534" t="str">
            <v>[箱裝]whisper 好自在 液體衛生棉29.5cm 126片+清新淨味液體衛生棉31.7cm 36片, 1組</v>
          </cell>
          <cell r="H534">
            <v>1</v>
          </cell>
          <cell r="I534"/>
          <cell r="J534">
            <v>47.5</v>
          </cell>
          <cell r="K534"/>
          <cell r="L534"/>
          <cell r="M534"/>
          <cell r="N534"/>
          <cell r="O534"/>
          <cell r="P534" t="e">
            <v>#N/A</v>
          </cell>
          <cell r="Q534" t="e">
            <v>#N/A</v>
          </cell>
        </row>
        <row r="535">
          <cell r="D535">
            <v>4987176372048</v>
          </cell>
          <cell r="E535" t="str">
            <v>Fem</v>
          </cell>
          <cell r="F535" t="str">
            <v>whisper 好自在</v>
          </cell>
          <cell r="G535" t="str">
            <v>[箱裝]whisper 好自在 液體衛生棉34cm 120片+清新淨味液體衛生棉31.7cm 36片, 1組</v>
          </cell>
          <cell r="H535">
            <v>1</v>
          </cell>
          <cell r="I535"/>
          <cell r="J535">
            <v>184</v>
          </cell>
          <cell r="K535"/>
          <cell r="L535"/>
          <cell r="M535"/>
          <cell r="N535"/>
          <cell r="O535"/>
          <cell r="P535" t="e">
            <v>#N/A</v>
          </cell>
          <cell r="Q535" t="e">
            <v>#N/A</v>
          </cell>
        </row>
        <row r="536">
          <cell r="D536">
            <v>4987176369345</v>
          </cell>
          <cell r="E536" t="str">
            <v>Fem</v>
          </cell>
          <cell r="F536" t="str">
            <v>whisper 好自在</v>
          </cell>
          <cell r="G536" t="str">
            <v>[箱裝]whisper 好自在 AirDry 雲枕瞬吸日用普通組, 24cm 180片+18cm 36片, 1組</v>
          </cell>
          <cell r="H536">
            <v>1</v>
          </cell>
          <cell r="I536"/>
          <cell r="J536">
            <v>263</v>
          </cell>
          <cell r="K536"/>
          <cell r="L536"/>
          <cell r="M536"/>
          <cell r="N536"/>
          <cell r="O536"/>
          <cell r="P536">
            <v>1015.44</v>
          </cell>
          <cell r="Q536">
            <v>968.2</v>
          </cell>
        </row>
        <row r="537">
          <cell r="D537">
            <v>4987176369352</v>
          </cell>
          <cell r="E537" t="str">
            <v>Fem</v>
          </cell>
          <cell r="F537" t="str">
            <v>whisper 好自在</v>
          </cell>
          <cell r="G537" t="str">
            <v>[箱裝]whisper 好自在 AirDry 雲枕瞬吸日用量大組, 28cm 180片+18cm 36片, 1組</v>
          </cell>
          <cell r="H537">
            <v>1</v>
          </cell>
          <cell r="I537"/>
          <cell r="J537">
            <v>258.33333333333331</v>
          </cell>
          <cell r="K537"/>
          <cell r="L537"/>
          <cell r="M537"/>
          <cell r="N537"/>
          <cell r="O537"/>
          <cell r="P537">
            <v>1015.44</v>
          </cell>
          <cell r="Q537">
            <v>968.2</v>
          </cell>
        </row>
        <row r="538">
          <cell r="D538">
            <v>4987176372208</v>
          </cell>
          <cell r="E538" t="str">
            <v>Fem</v>
          </cell>
          <cell r="F538" t="str">
            <v>whisper 好自在</v>
          </cell>
          <cell r="G538" t="str">
            <v>[箱裝]whisper 好自在 AirDry 雲枕瞬吸日用普通組, 24cm 100+18cm 24片, 1組</v>
          </cell>
          <cell r="H538">
            <v>1</v>
          </cell>
          <cell r="I538"/>
          <cell r="J538">
            <v>76</v>
          </cell>
          <cell r="K538"/>
          <cell r="L538"/>
          <cell r="M538"/>
          <cell r="N538"/>
          <cell r="O538"/>
          <cell r="P538">
            <v>507.72</v>
          </cell>
          <cell r="Q538">
            <v>471.88</v>
          </cell>
        </row>
        <row r="539">
          <cell r="D539">
            <v>4987176372116</v>
          </cell>
          <cell r="E539" t="str">
            <v>Fem</v>
          </cell>
          <cell r="F539" t="str">
            <v>whisper 好自在</v>
          </cell>
          <cell r="G539" t="str">
            <v>[箱裝]whisper 好自在 AirDry 雲枕瞬吸日用量大組, 28cm 100片+18cm 24片, 1組</v>
          </cell>
          <cell r="H539">
            <v>1</v>
          </cell>
          <cell r="I539"/>
          <cell r="J539">
            <v>85</v>
          </cell>
          <cell r="K539"/>
          <cell r="L539"/>
          <cell r="M539"/>
          <cell r="N539"/>
          <cell r="O539"/>
          <cell r="P539">
            <v>507.72</v>
          </cell>
          <cell r="Q539">
            <v>471.88</v>
          </cell>
        </row>
        <row r="540">
          <cell r="D540">
            <v>4987176372185</v>
          </cell>
          <cell r="E540" t="str">
            <v>Fem</v>
          </cell>
          <cell r="F540" t="str">
            <v>whisper 好自在</v>
          </cell>
          <cell r="G540" t="str">
            <v>[箱裝]whisper 好自在 AirDry Fresh 草本健康日用普通組, 24cm 100片+18cm 24片, 1組</v>
          </cell>
          <cell r="H540">
            <v>1</v>
          </cell>
          <cell r="I540"/>
          <cell r="J540">
            <v>59</v>
          </cell>
          <cell r="K540"/>
          <cell r="L540"/>
          <cell r="M540"/>
          <cell r="N540"/>
          <cell r="O540"/>
          <cell r="P540">
            <v>507.72</v>
          </cell>
          <cell r="Q540">
            <v>471.88</v>
          </cell>
        </row>
        <row r="541">
          <cell r="D541">
            <v>4987176372093</v>
          </cell>
          <cell r="E541" t="str">
            <v>Fem</v>
          </cell>
          <cell r="F541" t="str">
            <v>whisper 好自在</v>
          </cell>
          <cell r="G541" t="str">
            <v>[箱裝]whisper 好自在 AirDry Fresh 草本健康日用量大組, 28cm 100片+18cm 24片, 1組</v>
          </cell>
          <cell r="H541">
            <v>1</v>
          </cell>
          <cell r="I541"/>
          <cell r="J541">
            <v>56</v>
          </cell>
          <cell r="K541"/>
          <cell r="L541"/>
          <cell r="M541"/>
          <cell r="N541"/>
          <cell r="O541"/>
          <cell r="P541">
            <v>507.72</v>
          </cell>
          <cell r="Q541">
            <v>471.88</v>
          </cell>
        </row>
        <row r="542">
          <cell r="D542">
            <v>4987176369369</v>
          </cell>
          <cell r="E542" t="str">
            <v>Fem</v>
          </cell>
          <cell r="F542" t="str">
            <v>whisper 好自在</v>
          </cell>
          <cell r="G542" t="str">
            <v>[箱裝]whisper 好自在 AirDry Fresh 草本健康日用普通組, 24cm 180片+18cm 36片, 1組</v>
          </cell>
          <cell r="H542">
            <v>1</v>
          </cell>
          <cell r="I542"/>
          <cell r="J542">
            <v>165</v>
          </cell>
          <cell r="K542"/>
          <cell r="L542"/>
          <cell r="M542"/>
          <cell r="N542"/>
          <cell r="O542"/>
          <cell r="P542">
            <v>1015.44</v>
          </cell>
          <cell r="Q542">
            <v>968.2</v>
          </cell>
        </row>
        <row r="543">
          <cell r="D543">
            <v>4987176369376</v>
          </cell>
          <cell r="E543" t="str">
            <v>Fem</v>
          </cell>
          <cell r="F543" t="str">
            <v>whisper 好自在</v>
          </cell>
          <cell r="G543" t="str">
            <v>[箱裝]whisper 好自在 AirDry Fresh 草本健康日用量大組, 28cm 180片+18cm 36片, 1組</v>
          </cell>
          <cell r="H543">
            <v>1</v>
          </cell>
          <cell r="I543"/>
          <cell r="J543">
            <v>165</v>
          </cell>
          <cell r="K543"/>
          <cell r="L543"/>
          <cell r="M543"/>
          <cell r="N543"/>
          <cell r="O543"/>
          <cell r="P543">
            <v>1015.44</v>
          </cell>
          <cell r="Q543">
            <v>968.2</v>
          </cell>
        </row>
        <row r="544">
          <cell r="D544">
            <v>4987176369383</v>
          </cell>
          <cell r="E544" t="str">
            <v>Fem</v>
          </cell>
          <cell r="F544" t="str">
            <v>whisper 好自在</v>
          </cell>
          <cell r="G544" t="str">
            <v>[箱裝]whisper 好自在 AirDry Fresh 草本健康日用輕量組, 18cm 264片, 1組</v>
          </cell>
          <cell r="H544">
            <v>1</v>
          </cell>
          <cell r="I544"/>
          <cell r="J544">
            <v>207</v>
          </cell>
          <cell r="K544"/>
          <cell r="L544"/>
          <cell r="M544"/>
          <cell r="N544"/>
          <cell r="O544"/>
          <cell r="P544">
            <v>1015.44</v>
          </cell>
          <cell r="Q544">
            <v>968.2</v>
          </cell>
        </row>
        <row r="545">
          <cell r="D545">
            <v>4987176372239</v>
          </cell>
          <cell r="E545" t="str">
            <v>Fem</v>
          </cell>
          <cell r="F545" t="str">
            <v>whisper 好自在</v>
          </cell>
          <cell r="G545" t="str">
            <v>[箱裝]whisper 好自在 AirDry Fresh 草本健康日用輕量組, 18cm, 144片, 1組</v>
          </cell>
          <cell r="H545">
            <v>1</v>
          </cell>
          <cell r="I545"/>
          <cell r="J545">
            <v>84</v>
          </cell>
          <cell r="K545"/>
          <cell r="L545"/>
          <cell r="M545"/>
          <cell r="N545"/>
          <cell r="O545"/>
          <cell r="P545">
            <v>507.72</v>
          </cell>
          <cell r="Q545">
            <v>471.88</v>
          </cell>
        </row>
        <row r="546">
          <cell r="D546">
            <v>6903148355954</v>
          </cell>
          <cell r="E546" t="str">
            <v>Fem</v>
          </cell>
          <cell r="F546" t="str">
            <v>whisper 好自在</v>
          </cell>
          <cell r="G546" t="str">
            <v>whisper 好自在 無痕早安褲, 內褲型, M-L, 3片, 1包</v>
          </cell>
          <cell r="H546">
            <v>16</v>
          </cell>
          <cell r="I546"/>
          <cell r="J546">
            <v>0</v>
          </cell>
          <cell r="K546"/>
          <cell r="L546"/>
          <cell r="M546"/>
          <cell r="N546"/>
          <cell r="O546"/>
          <cell r="P546">
            <v>1431.63</v>
          </cell>
          <cell r="Q546">
            <v>1375.05</v>
          </cell>
        </row>
        <row r="547">
          <cell r="D547">
            <v>6903148352700</v>
          </cell>
          <cell r="E547" t="str">
            <v>Fem</v>
          </cell>
          <cell r="F547" t="str">
            <v>whisper 好自在</v>
          </cell>
          <cell r="G547" t="str">
            <v>whisper 好自在 無痕奢柔褲, 內褲型, M-L, 3片, 1包</v>
          </cell>
          <cell r="H547">
            <v>16</v>
          </cell>
          <cell r="I547"/>
          <cell r="J547">
            <v>0</v>
          </cell>
          <cell r="K547"/>
          <cell r="L547"/>
          <cell r="M547"/>
          <cell r="N547"/>
          <cell r="O547"/>
          <cell r="P547">
            <v>1431.63</v>
          </cell>
          <cell r="Q547">
            <v>1375.05</v>
          </cell>
        </row>
        <row r="548">
          <cell r="D548">
            <v>6903148355947</v>
          </cell>
          <cell r="E548" t="str">
            <v>Fem</v>
          </cell>
          <cell r="F548" t="str">
            <v>whisper 好自在</v>
          </cell>
          <cell r="G548" t="str">
            <v>whisper 好自在 無痕奢柔褲, 內褲型, XL, 3片, 1包</v>
          </cell>
          <cell r="H548">
            <v>16</v>
          </cell>
          <cell r="I548"/>
          <cell r="J548">
            <v>0</v>
          </cell>
          <cell r="K548"/>
          <cell r="L548"/>
          <cell r="M548"/>
          <cell r="N548"/>
          <cell r="O548"/>
          <cell r="P548">
            <v>1431.63</v>
          </cell>
          <cell r="Q548">
            <v>1375.05</v>
          </cell>
        </row>
        <row r="549">
          <cell r="D549">
            <v>4987176372314</v>
          </cell>
          <cell r="E549" t="str">
            <v>Fem</v>
          </cell>
          <cell r="F549" t="str">
            <v>whisper 好自在</v>
          </cell>
          <cell r="G549" t="str">
            <v>[箱裝]whisper 好自在 無痕早安褲, 內褲型, M-L, 3片, 11包, 1組</v>
          </cell>
          <cell r="H549">
            <v>1</v>
          </cell>
          <cell r="I549"/>
          <cell r="J549">
            <v>0</v>
          </cell>
          <cell r="K549"/>
          <cell r="L549"/>
          <cell r="M549"/>
          <cell r="N549"/>
          <cell r="O549"/>
          <cell r="P549">
            <v>1015.44</v>
          </cell>
          <cell r="Q549">
            <v>968.2</v>
          </cell>
        </row>
        <row r="550">
          <cell r="D550">
            <v>4987176372161</v>
          </cell>
          <cell r="E550" t="str">
            <v>Fem</v>
          </cell>
          <cell r="F550" t="str">
            <v>whisper 好自在</v>
          </cell>
          <cell r="G550" t="str">
            <v>[箱裝]whisper 好自在 無痕奢柔褲, 內褲型,  M-L, 3片, 11包, 1組</v>
          </cell>
          <cell r="H550">
            <v>1</v>
          </cell>
          <cell r="I550"/>
          <cell r="J550">
            <v>0</v>
          </cell>
          <cell r="K550"/>
          <cell r="L550"/>
          <cell r="M550"/>
          <cell r="N550"/>
          <cell r="O550"/>
          <cell r="P550">
            <v>0</v>
          </cell>
          <cell r="Q550">
            <v>0</v>
          </cell>
        </row>
        <row r="551">
          <cell r="D551">
            <v>4987176372291</v>
          </cell>
          <cell r="E551" t="str">
            <v>Fem</v>
          </cell>
          <cell r="F551" t="str">
            <v>whisper 好自在</v>
          </cell>
          <cell r="G551" t="str">
            <v>[箱裝]whisper 好自在 無痕奢柔褲, 內褲型,  XL, 3片, 11包, 1組</v>
          </cell>
          <cell r="H551">
            <v>1</v>
          </cell>
          <cell r="I551"/>
          <cell r="J551">
            <v>0</v>
          </cell>
          <cell r="K551"/>
          <cell r="L551"/>
          <cell r="M551"/>
          <cell r="N551"/>
          <cell r="O551"/>
          <cell r="P551">
            <v>0</v>
          </cell>
          <cell r="Q551">
            <v>0</v>
          </cell>
        </row>
        <row r="552">
          <cell r="D552">
            <v>4987176325655</v>
          </cell>
          <cell r="E552" t="str">
            <v>Fem</v>
          </cell>
          <cell r="F552" t="str">
            <v>whisper 好自在</v>
          </cell>
          <cell r="G552" t="str">
            <v>WHP AIR DRY PRO (S3 10S+Mini 12S)x24</v>
          </cell>
          <cell r="H552">
            <v>24</v>
          </cell>
          <cell r="I552"/>
          <cell r="J552">
            <v>499</v>
          </cell>
          <cell r="K552"/>
          <cell r="L552"/>
          <cell r="M552"/>
          <cell r="N552"/>
          <cell r="O552"/>
          <cell r="P552">
            <v>1883.39</v>
          </cell>
          <cell r="Q552">
            <v>1816.67</v>
          </cell>
        </row>
        <row r="553">
          <cell r="D553">
            <v>4987176325662</v>
          </cell>
          <cell r="E553" t="str">
            <v>Fem</v>
          </cell>
          <cell r="F553" t="str">
            <v>whisper 好自在</v>
          </cell>
          <cell r="G553" t="str">
            <v>WHP AIR DRY (S3 10S+Mini 12S)x24</v>
          </cell>
          <cell r="H553">
            <v>24</v>
          </cell>
          <cell r="I553"/>
          <cell r="J553">
            <v>475</v>
          </cell>
          <cell r="K553"/>
          <cell r="L553"/>
          <cell r="M553"/>
          <cell r="N553"/>
          <cell r="O553"/>
          <cell r="P553">
            <v>1883.39</v>
          </cell>
          <cell r="Q553">
            <v>1816.67</v>
          </cell>
        </row>
        <row r="554">
          <cell r="D554">
            <v>4987176219985</v>
          </cell>
          <cell r="E554" t="str">
            <v>Fem</v>
          </cell>
          <cell r="F554" t="str">
            <v>whisper 好自在</v>
          </cell>
          <cell r="G554" t="str">
            <v>WHP KOALA 7 BASE PANTS XL 2SX24 H-TW</v>
          </cell>
          <cell r="H554">
            <v>24</v>
          </cell>
          <cell r="I554"/>
          <cell r="J554">
            <v>208</v>
          </cell>
          <cell r="K554"/>
          <cell r="L554"/>
          <cell r="M554"/>
          <cell r="N554"/>
          <cell r="O554"/>
          <cell r="P554" t="e">
            <v>#N/A</v>
          </cell>
          <cell r="Q554" t="e">
            <v>#N/A</v>
          </cell>
        </row>
        <row r="555">
          <cell r="J555">
            <v>15095.791666666668</v>
          </cell>
        </row>
      </sheetData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gie.Weng(翁靜瑜)" refreshedDate="46218.48699409722" createdVersion="6" refreshedVersion="6" minRefreshableVersion="3" recordCount="195" xr:uid="{DE33AEE2-FC35-4D5F-8C01-FD94C74B615E}">
  <cacheSource type="worksheet">
    <worksheetSource ref="F1:BE1048576" sheet="Sheet1"/>
  </cacheSource>
  <cacheFields count="28">
    <cacheField name="永豐料號" numFmtId="0">
      <sharedItems containsString="0" containsBlank="1" containsNumber="1" containsInteger="1" minValue="30772121009" maxValue="9300618556502" count="175">
        <n v="4987176340894"/>
        <n v="4987176340863"/>
        <n v="4987176340900"/>
        <n v="4987176340870"/>
        <n v="4987176340924"/>
        <n v="4987176340856"/>
        <n v="4987176340917"/>
        <n v="4987176340887"/>
        <n v="4987176340931"/>
        <n v="4987176337146"/>
        <n v="4987176337153"/>
        <n v="4987176340948"/>
        <n v="4987176337160"/>
        <n v="4987176405289"/>
        <n v="4987176392343"/>
        <n v="4987176392350"/>
        <n v="4987176339928"/>
        <n v="4987176274922"/>
        <n v="4987176274908"/>
        <n v="4987176274915"/>
        <n v="4987176274892"/>
        <n v="4987176314772"/>
        <n v="4987176314277"/>
        <n v="4987176314338"/>
        <n v="4987176314413"/>
        <n v="4987176314406"/>
        <n v="4987176314222"/>
        <n v="4987176314253"/>
        <n v="4987176314796"/>
        <n v="4987176314291"/>
        <n v="4987176314789"/>
        <n v="4987176314802"/>
        <n v="4987176314765"/>
        <n v="4987176314284"/>
        <n v="4987176314369"/>
        <n v="4987176373922"/>
        <n v="4987176373939"/>
        <n v="4987176373885"/>
        <n v="4987176373861"/>
        <n v="4987176373908"/>
        <n v="4987176373878"/>
        <n v="4987176373854"/>
        <n v="4987176373915"/>
        <n v="4987176373892"/>
        <n v="4987176232861"/>
        <n v="4987176232854"/>
        <n v="4987176232878"/>
        <n v="4987176232885"/>
        <n v="4987176232847"/>
        <n v="4987176232892"/>
        <n v="4987176386762"/>
        <n v="4987176386724"/>
        <n v="4987176386694"/>
        <n v="4987176386793"/>
        <m/>
        <n v="6903148358221"/>
        <n v="6903148358153"/>
        <n v="4987176337078"/>
        <n v="4987176337092"/>
        <n v="4987176337085"/>
        <n v="6903148358023"/>
        <n v="6903148358085"/>
        <n v="6903148358306"/>
        <n v="6903148358078"/>
        <n v="6903148358276"/>
        <n v="6903148358290"/>
        <n v="4987176393326"/>
        <n v="30772121009"/>
        <n v="6903148182383"/>
        <n v="6903148182680"/>
        <n v="6903148182406"/>
        <n v="4987176122919"/>
        <n v="4987176122933"/>
        <n v="4987176122865"/>
        <n v="4987176122858"/>
        <n v="6903148302712"/>
        <n v="4987176179258"/>
        <n v="4987176177858"/>
        <n v="4987176177865"/>
        <n v="4987176177841"/>
        <n v="4987176219985"/>
        <n v="6903148356999"/>
        <n v="6903148138182"/>
        <n v="6903148308752"/>
        <n v="6903148356982"/>
        <n v="6903148357033"/>
        <n v="6903148357026"/>
        <n v="6903148357019"/>
        <n v="6903148300770"/>
        <n v="4987176301017"/>
        <n v="6903148304761"/>
        <n v="6903148357002"/>
        <n v="4987176301024"/>
        <n v="6903148354582"/>
        <n v="6903148357040"/>
        <n v="6903148345023"/>
        <n v="4987176084378"/>
        <n v="4987176166739"/>
        <n v="4987176214720"/>
        <n v="6903148224090"/>
        <n v="6903148224106"/>
        <n v="6903148352700"/>
        <n v="6903148355947"/>
        <n v="6903148355954"/>
        <n v="6903148355923"/>
        <n v="4987176372178"/>
        <n v="4987176372314"/>
        <n v="4987176372222"/>
        <n v="4987176372161"/>
        <n v="4987176372192"/>
        <n v="4987176372291"/>
        <n v="4987176372130"/>
        <n v="4987176372307"/>
        <n v="4987176372062"/>
        <n v="4987176372321"/>
        <n v="4987176372239"/>
        <n v="4987176369383"/>
        <n v="4987176372116"/>
        <n v="4987176372208"/>
        <n v="4987176372253"/>
        <n v="4987176372277"/>
        <n v="4987176372123"/>
        <n v="4987176372246"/>
        <n v="4987176369345"/>
        <n v="4987176372154"/>
        <n v="4987176372109"/>
        <n v="4987176372079"/>
        <n v="4987176372260"/>
        <n v="4987176372086"/>
        <n v="4987176372215"/>
        <n v="4987176372055"/>
        <n v="4987176372284"/>
        <n v="4987176372048"/>
        <n v="4987176372147"/>
        <n v="4987176369352"/>
        <n v="4987176372185"/>
        <n v="4987176369376"/>
        <n v="4987176325662"/>
        <n v="4987176325655"/>
        <n v="4987176369369"/>
        <n v="4987176372093"/>
        <n v="4987176134578"/>
        <n v="4902430340526"/>
        <n v="4902430341820"/>
        <n v="4987176247681"/>
        <n v="4987176132185"/>
        <n v="4987176132178"/>
        <n v="4987176272768"/>
        <n v="4987176272799"/>
        <n v="4987176293374"/>
        <n v="4987176274168"/>
        <n v="4987176134608"/>
        <n v="4987176039507"/>
        <n v="4987176324023"/>
        <n v="4987176176172"/>
        <n v="4987176169914"/>
        <n v="4987176169921"/>
        <n v="4987176169952"/>
        <n v="4987176169969"/>
        <n v="4902430341844"/>
        <n v="4987176247674"/>
        <n v="4987176250353"/>
        <n v="4987176146700"/>
        <n v="4987176190734"/>
        <n v="4987176271624"/>
        <n v="4987176271617"/>
        <n v="4902430396073"/>
        <n v="4902430396066"/>
        <n v="4902430396059"/>
        <n v="4902430509695"/>
        <n v="4902430056496"/>
        <n v="9300618556502"/>
        <n v="4987176161734"/>
        <n v="4987176106438"/>
        <n v="4987176357526"/>
      </sharedItems>
    </cacheField>
    <cacheField name="SKU Name" numFmtId="0">
      <sharedItems containsBlank="1"/>
    </cacheField>
    <cacheField name="COGS (pcs/ w. TAX)" numFmtId="0">
      <sharedItems containsString="0" containsBlank="1" containsNumber="1" containsInteger="1" minValue="40" maxValue="1330"/>
    </cacheField>
    <cacheField name="Note" numFmtId="0">
      <sharedItems containsBlank="1"/>
    </cacheField>
    <cacheField name="箱入數" numFmtId="0">
      <sharedItems containsString="0" containsBlank="1" containsNumber="1" containsInteger="1" minValue="1" maxValue="24"/>
    </cacheField>
    <cacheField name="GIV" numFmtId="0">
      <sharedItems containsString="0" containsBlank="1" containsNumber="1" minValue="507.72" maxValue="10223.219999999999"/>
    </cacheField>
    <cacheField name="NIV" numFmtId="0">
      <sharedItems containsString="0" containsBlank="1" containsNumber="1" minValue="471.88" maxValue="10470"/>
    </cacheField>
    <cacheField name="Supply_CS (Jul)" numFmtId="0">
      <sharedItems containsString="0" containsBlank="1" containsNumber="1" minValue="0" maxValue="1200"/>
    </cacheField>
    <cacheField name="Supply_CS (Aug)" numFmtId="0">
      <sharedItems containsString="0" containsBlank="1" containsNumber="1" minValue="0" maxValue="1534"/>
    </cacheField>
    <cacheField name="Supply_CS (Sep)" numFmtId="0">
      <sharedItems containsString="0" containsBlank="1" containsNumber="1" minValue="0" maxValue="8570"/>
    </cacheField>
    <cacheField name="Supply_PCS (Jul)" numFmtId="1">
      <sharedItems containsString="0" containsBlank="1" containsNumber="1" containsInteger="1" minValue="0" maxValue="11256"/>
    </cacheField>
    <cacheField name="Supply_PCS (Aug)" numFmtId="1">
      <sharedItems containsString="0" containsBlank="1" containsNumber="1" containsInteger="1" minValue="0" maxValue="4800"/>
    </cacheField>
    <cacheField name="Supply_PCS (Sep)" numFmtId="1">
      <sharedItems containsString="0" containsBlank="1" containsNumber="1" containsInteger="1" minValue="0" maxValue="8570"/>
    </cacheField>
    <cacheField name="Supply_CS (Oct)" numFmtId="0">
      <sharedItems containsNonDate="0" containsString="0" containsBlank="1"/>
    </cacheField>
    <cacheField name="Supply_CS (Nov)" numFmtId="0">
      <sharedItems containsString="0" containsBlank="1" containsNumber="1" containsInteger="1" minValue="600" maxValue="600"/>
    </cacheField>
    <cacheField name="Supply_CS (Dec)" numFmtId="0">
      <sharedItems containsString="0" containsBlank="1" containsNumber="1" containsInteger="1" minValue="1200" maxValue="2000"/>
    </cacheField>
    <cacheField name="7/9交貨_1" numFmtId="0">
      <sharedItems containsString="0" containsBlank="1" containsNumber="1" containsInteger="1" minValue="0" maxValue="882"/>
    </cacheField>
    <cacheField name="7/13交貨_1" numFmtId="0">
      <sharedItems containsString="0" containsBlank="1" containsNumber="1" containsInteger="1" minValue="0" maxValue="1954"/>
    </cacheField>
    <cacheField name="7月交貨_未確認" numFmtId="0">
      <sharedItems containsString="0" containsBlank="1" containsNumber="1" containsInteger="1" minValue="0" maxValue="451"/>
    </cacheField>
    <cacheField name="7月交貨" numFmtId="0">
      <sharedItems containsNonDate="0" containsString="0" containsBlank="1"/>
    </cacheField>
    <cacheField name="7月交貨2" numFmtId="0">
      <sharedItems containsNonDate="0" containsString="0" containsBlank="1"/>
    </cacheField>
    <cacheField name="7月交貨3" numFmtId="0">
      <sharedItems containsNonDate="0" containsString="0" containsBlank="1"/>
    </cacheField>
    <cacheField name="7月交貨4" numFmtId="0">
      <sharedItems containsNonDate="0" containsString="0" containsBlank="1"/>
    </cacheField>
    <cacheField name="7月交貨5" numFmtId="0">
      <sharedItems containsNonDate="0" containsString="0" containsBlank="1"/>
    </cacheField>
    <cacheField name="7月交貨6" numFmtId="0">
      <sharedItems containsNonDate="0" containsString="0" containsBlank="1"/>
    </cacheField>
    <cacheField name="7月交貨7" numFmtId="0">
      <sharedItems containsNonDate="0" containsString="0" containsBlank="1"/>
    </cacheField>
    <cacheField name="7月TTL下單總箱數" numFmtId="0">
      <sharedItems containsString="0" containsBlank="1" containsNumber="1" containsInteger="1" minValue="0" maxValue="3287"/>
    </cacheField>
    <cacheField name="PG剩餘可供貨量(CS)" numFmtId="0">
      <sharedItems containsString="0" containsBlank="1" containsNumber="1" minValue="-158" maxValue="10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5">
  <r>
    <x v="0"/>
    <s v="ARIEL 原廠公司貨 抗菌洗衣精, 抗菌去漬型, 1.9kg , 1瓶"/>
    <n v="202"/>
    <s v="新品"/>
    <n v="6"/>
    <n v="1329.6"/>
    <n v="1288.02"/>
    <n v="354"/>
    <m/>
    <m/>
    <n v="2124"/>
    <m/>
    <m/>
    <m/>
    <m/>
    <m/>
    <m/>
    <m/>
    <n v="150"/>
    <m/>
    <m/>
    <m/>
    <m/>
    <m/>
    <m/>
    <m/>
    <n v="150"/>
    <n v="204"/>
  </r>
  <r>
    <x v="1"/>
    <s v="ARIEL 原廠公司貨 抗菌洗衣精, 室內晾衣型, 1.9kg , 1瓶"/>
    <n v="202"/>
    <s v="新品"/>
    <n v="6"/>
    <n v="1329.6"/>
    <n v="1288.02"/>
    <n v="88"/>
    <m/>
    <m/>
    <n v="528"/>
    <m/>
    <m/>
    <m/>
    <m/>
    <m/>
    <m/>
    <m/>
    <m/>
    <m/>
    <m/>
    <m/>
    <m/>
    <m/>
    <m/>
    <m/>
    <n v="0"/>
    <n v="88"/>
  </r>
  <r>
    <x v="2"/>
    <s v="[箱裝]ARIEL 抗菌洗衣精補充包, 抗菌去漬型, 1690g, 6包"/>
    <n v="1158"/>
    <m/>
    <n v="1"/>
    <n v="1283.4000000000001"/>
    <n v="1242.8599999999999"/>
    <m/>
    <m/>
    <m/>
    <n v="0"/>
    <n v="0"/>
    <n v="0"/>
    <m/>
    <m/>
    <m/>
    <m/>
    <m/>
    <n v="36"/>
    <m/>
    <m/>
    <m/>
    <m/>
    <m/>
    <m/>
    <m/>
    <n v="36"/>
    <n v="-36"/>
  </r>
  <r>
    <x v="3"/>
    <s v="[箱裝]ARIEL 抗菌洗衣精補充包, 高效除螨, 1690g, 6包"/>
    <n v="1158"/>
    <m/>
    <n v="1"/>
    <n v="1283.4000000000001"/>
    <n v="1242.8599999999999"/>
    <m/>
    <m/>
    <m/>
    <n v="0"/>
    <n v="0"/>
    <n v="0"/>
    <m/>
    <m/>
    <m/>
    <m/>
    <n v="120"/>
    <m/>
    <m/>
    <m/>
    <m/>
    <m/>
    <m/>
    <m/>
    <m/>
    <n v="120"/>
    <n v="-120"/>
  </r>
  <r>
    <x v="4"/>
    <s v="[箱裝]ARIEL 抗菌洗衣精補充包, 自然微香型, 1690g, 6包"/>
    <n v="1158"/>
    <m/>
    <n v="1"/>
    <n v="1283.4000000000001"/>
    <n v="1242.8599999999999"/>
    <m/>
    <m/>
    <m/>
    <n v="0"/>
    <n v="0"/>
    <n v="0"/>
    <m/>
    <m/>
    <m/>
    <m/>
    <m/>
    <n v="0"/>
    <m/>
    <m/>
    <m/>
    <m/>
    <m/>
    <m/>
    <m/>
    <n v="0"/>
    <n v="0"/>
  </r>
  <r>
    <x v="5"/>
    <s v="ARIEL 抗菌洗衣精補充 室內晾衣型, 1690g, 1個"/>
    <n v="193"/>
    <m/>
    <n v="6"/>
    <n v="1283.4000000000001"/>
    <n v="1242.8599999999999"/>
    <n v="158"/>
    <m/>
    <m/>
    <n v="948"/>
    <n v="0"/>
    <n v="0"/>
    <m/>
    <m/>
    <m/>
    <m/>
    <m/>
    <m/>
    <m/>
    <m/>
    <m/>
    <m/>
    <m/>
    <m/>
    <m/>
    <n v="0"/>
    <n v="158"/>
  </r>
  <r>
    <x v="2"/>
    <s v="ARIEL 抗菌洗衣精補充 抗菌去漬型, 1690g, 1個"/>
    <n v="193"/>
    <m/>
    <n v="6"/>
    <n v="1283.4000000000001"/>
    <n v="1242.8599999999999"/>
    <n v="536"/>
    <m/>
    <m/>
    <n v="3216"/>
    <n v="0"/>
    <n v="0"/>
    <m/>
    <m/>
    <m/>
    <m/>
    <n v="536"/>
    <m/>
    <m/>
    <m/>
    <m/>
    <m/>
    <m/>
    <m/>
    <m/>
    <n v="536"/>
    <n v="0"/>
  </r>
  <r>
    <x v="6"/>
    <s v="ARIEL 抗菌洗衣精 抗菌去漬型, 800g, 1個"/>
    <n v="122"/>
    <m/>
    <n v="12"/>
    <n v="1620"/>
    <n v="1571.9"/>
    <m/>
    <m/>
    <m/>
    <n v="0"/>
    <n v="0"/>
    <n v="0"/>
    <m/>
    <m/>
    <m/>
    <m/>
    <m/>
    <m/>
    <m/>
    <m/>
    <m/>
    <m/>
    <m/>
    <m/>
    <m/>
    <n v="0"/>
    <n v="0"/>
  </r>
  <r>
    <x v="4"/>
    <s v="ARIEL 抗菌洗衣精補充 自然微香型, 1690g, 1個"/>
    <n v="193"/>
    <m/>
    <n v="6"/>
    <n v="1283.4000000000001"/>
    <n v="1242.8599999999999"/>
    <m/>
    <m/>
    <m/>
    <n v="0"/>
    <n v="0"/>
    <n v="0"/>
    <m/>
    <m/>
    <m/>
    <m/>
    <m/>
    <n v="0"/>
    <m/>
    <m/>
    <m/>
    <m/>
    <m/>
    <m/>
    <m/>
    <n v="0"/>
    <n v="0"/>
  </r>
  <r>
    <x v="7"/>
    <s v="ARIEL 抗菌洗衣精 自然微香型, 800g, 1個"/>
    <n v="122"/>
    <m/>
    <n v="12"/>
    <n v="1620"/>
    <n v="1571.9"/>
    <m/>
    <m/>
    <m/>
    <n v="0"/>
    <n v="0"/>
    <n v="0"/>
    <m/>
    <m/>
    <m/>
    <m/>
    <m/>
    <m/>
    <m/>
    <m/>
    <m/>
    <m/>
    <m/>
    <m/>
    <m/>
    <n v="0"/>
    <n v="0"/>
  </r>
  <r>
    <x v="8"/>
    <s v="ARIEL 抗菌洗衣精 室內晾衣型, 800g, 1瓶"/>
    <n v="122"/>
    <m/>
    <n v="12"/>
    <n v="1620"/>
    <n v="1571.9"/>
    <m/>
    <m/>
    <m/>
    <n v="0"/>
    <n v="0"/>
    <n v="0"/>
    <m/>
    <m/>
    <m/>
    <m/>
    <m/>
    <m/>
    <m/>
    <m/>
    <m/>
    <m/>
    <m/>
    <m/>
    <m/>
    <n v="0"/>
    <n v="0"/>
  </r>
  <r>
    <x v="3"/>
    <s v="ARIEL 抗菌洗衣精補充 高效除蟎, 1690g, 1個"/>
    <n v="193"/>
    <m/>
    <n v="6"/>
    <n v="1283.4000000000001"/>
    <n v="1242.8599999999999"/>
    <n v="516"/>
    <m/>
    <m/>
    <n v="3096"/>
    <n v="0"/>
    <n v="0"/>
    <m/>
    <m/>
    <m/>
    <m/>
    <m/>
    <m/>
    <m/>
    <m/>
    <m/>
    <m/>
    <m/>
    <m/>
    <m/>
    <n v="0"/>
    <n v="516"/>
  </r>
  <r>
    <x v="9"/>
    <s v="ARIEL 4D抗菌洗衣膠囊補充包 自然微香型, 30個裝, 1套"/>
    <n v="208"/>
    <m/>
    <n v="10"/>
    <n v="2256.9"/>
    <n v="2194.5"/>
    <n v="146.6"/>
    <n v="146.6"/>
    <n v="146.6"/>
    <n v="1470"/>
    <n v="1470"/>
    <n v="1470"/>
    <m/>
    <m/>
    <m/>
    <m/>
    <n v="12"/>
    <m/>
    <m/>
    <m/>
    <m/>
    <m/>
    <m/>
    <m/>
    <m/>
    <n v="12"/>
    <n v="134.6"/>
  </r>
  <r>
    <x v="10"/>
    <s v="ARIEL 4D抗菌洗衣膠囊補充包 抗菌去漬型, 30個裝, 1套"/>
    <n v="208"/>
    <m/>
    <n v="10"/>
    <n v="2256.9"/>
    <n v="2194.5"/>
    <n v="366.5"/>
    <n v="366.5"/>
    <n v="366.5"/>
    <n v="3670"/>
    <n v="3670"/>
    <n v="3670"/>
    <m/>
    <m/>
    <m/>
    <m/>
    <m/>
    <m/>
    <m/>
    <m/>
    <m/>
    <m/>
    <m/>
    <m/>
    <m/>
    <n v="0"/>
    <n v="366.5"/>
  </r>
  <r>
    <x v="11"/>
    <s v="ARIEL 抗菌洗衣精 高效除蟎, 800g, 1個"/>
    <n v="122"/>
    <m/>
    <n v="12"/>
    <n v="1620"/>
    <n v="1571.9"/>
    <m/>
    <m/>
    <m/>
    <n v="0"/>
    <n v="0"/>
    <n v="0"/>
    <m/>
    <m/>
    <m/>
    <m/>
    <m/>
    <m/>
    <m/>
    <m/>
    <m/>
    <m/>
    <m/>
    <m/>
    <m/>
    <n v="0"/>
    <n v="0"/>
  </r>
  <r>
    <x v="12"/>
    <s v="ARIEL 4D抗菌洗衣膠囊補充包 室內晾衣型, 30個裝, 1套"/>
    <n v="208"/>
    <m/>
    <n v="10"/>
    <n v="2256.9"/>
    <n v="2194.5"/>
    <n v="219.9"/>
    <n v="219.9"/>
    <n v="219.9"/>
    <n v="2200"/>
    <n v="2200"/>
    <n v="2200"/>
    <m/>
    <m/>
    <m/>
    <n v="180"/>
    <m/>
    <m/>
    <m/>
    <m/>
    <m/>
    <m/>
    <m/>
    <m/>
    <m/>
    <n v="180"/>
    <n v="39.900000000000006"/>
  </r>
  <r>
    <x v="5"/>
    <s v="[箱裝]ARIEL 抗菌洗衣精補充包, 室內晾衣型, 1690g, 6包"/>
    <n v="1158"/>
    <m/>
    <n v="1"/>
    <n v="1283.4000000000001"/>
    <n v="1242.8599999999999"/>
    <m/>
    <m/>
    <m/>
    <n v="0"/>
    <n v="0"/>
    <n v="0"/>
    <m/>
    <m/>
    <m/>
    <m/>
    <n v="158"/>
    <m/>
    <m/>
    <m/>
    <m/>
    <m/>
    <m/>
    <m/>
    <m/>
    <n v="158"/>
    <n v="-158"/>
  </r>
  <r>
    <x v="13"/>
    <s v="ARIEL 4D抗菌洗衣膠囊補充包 抗菌去漬型, 80顆, 1袋"/>
    <n v="447"/>
    <m/>
    <n v="4"/>
    <n v="1952"/>
    <n v="1896.45"/>
    <n v="1200"/>
    <n v="1200"/>
    <n v="1200"/>
    <n v="4800"/>
    <n v="4800"/>
    <n v="4800"/>
    <m/>
    <m/>
    <m/>
    <m/>
    <n v="180"/>
    <m/>
    <m/>
    <m/>
    <m/>
    <m/>
    <m/>
    <m/>
    <m/>
    <n v="180"/>
    <n v="1020"/>
  </r>
  <r>
    <x v="14"/>
    <s v="BOLD原廠公司貨 四合一洗衣膠囊 清淨花香, 14顆 ,1盒"/>
    <m/>
    <s v="新品"/>
    <n v="6"/>
    <n v="838.8"/>
    <n v="808.24"/>
    <m/>
    <m/>
    <m/>
    <m/>
    <m/>
    <m/>
    <m/>
    <m/>
    <m/>
    <m/>
    <m/>
    <m/>
    <m/>
    <m/>
    <m/>
    <m/>
    <m/>
    <m/>
    <m/>
    <m/>
    <n v="0"/>
  </r>
  <r>
    <x v="15"/>
    <s v="BOLD原廠公司貨 四合一洗衣膠囊 淡雅花香, 14顆 ,1盒"/>
    <m/>
    <s v="新品"/>
    <n v="6"/>
    <n v="838.8"/>
    <n v="808.24"/>
    <m/>
    <m/>
    <m/>
    <m/>
    <m/>
    <m/>
    <m/>
    <m/>
    <m/>
    <m/>
    <m/>
    <m/>
    <m/>
    <m/>
    <m/>
    <m/>
    <m/>
    <m/>
    <m/>
    <m/>
    <n v="0"/>
  </r>
  <r>
    <x v="16"/>
    <s v="Bold 原廠公司貨 四合一洗衣膠囊 清淨花香, 57個裝, 1套"/>
    <n v="368"/>
    <m/>
    <n v="5"/>
    <n v="1955"/>
    <n v="1899.38"/>
    <m/>
    <m/>
    <m/>
    <n v="0"/>
    <n v="0"/>
    <n v="0"/>
    <m/>
    <m/>
    <m/>
    <m/>
    <m/>
    <m/>
    <m/>
    <m/>
    <m/>
    <m/>
    <m/>
    <m/>
    <m/>
    <n v="0"/>
    <n v="0"/>
  </r>
  <r>
    <x v="17"/>
    <s v="Lenor 蘭諾 台灣公司貨 衣物芳香豆補充包 春暖晨露, 455ml, 1包"/>
    <n v="138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18"/>
    <s v="Lenor 蘭諾 台灣公司貨 衣物芳香豆 春暖晨露, 470ml, 1瓶"/>
    <n v="166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19"/>
    <s v="Lenor 蘭諾 台灣公司貨 衣物芳香豆補充包 淨白純棉, 455ml, 1包"/>
    <n v="138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20"/>
    <s v="Lenor 蘭諾 台灣公司貨 衣物芳香豆 淨白純棉, 470ml, 1瓶"/>
    <n v="166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1"/>
    <s v="Lenor 蘭諾 衣物芳香豆 雪松梔子花 補充包, 440ml, 1包"/>
    <n v="136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22"/>
    <s v="Lenor 蘭諾 衣物芳香豆 甜柔麝香, 45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3"/>
    <s v="Lenor 蘭諾 衣物芳香豆 甜花石榴香, 45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4"/>
    <s v="Lenor 蘭諾 衣物芳香豆 青檸紫羅蘭, 45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5"/>
    <s v="Lenor 蘭諾 衣物芳香豆 清晨草木, 45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6"/>
    <s v="Lenor 蘭諾 衣物芳香豆 雪松梔子花, 45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7"/>
    <s v="Lenor 蘭諾 衣物抗菌芳香豆 潮濕天氣抗臭, 44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28"/>
    <s v="Lenor 蘭諾 衣物芳香豆 清晨草木 補充包, 440ml, 1包"/>
    <n v="136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29"/>
    <s v="Lenor 蘭諾 衣物抗菌芳香豆 潮濕天氣抗臭 補充包, 430ml, 1包"/>
    <n v="140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30"/>
    <s v="Lenor 蘭諾 衣物芳香豆 甜柔麝香 補充包, 440ml, 1包"/>
    <n v="136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31"/>
    <s v="Lenor 蘭諾 衣物芳香豆 甜花石榴香 補充包, 440ml, 1包"/>
    <n v="136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32"/>
    <s v="Lenor 蘭諾 衣物芳香豆 青檸紫羅蘭 補充包, 440ml, 1包"/>
    <n v="136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33"/>
    <s v="Lenor 蘭諾 衣物抗菌芳香豆 運動衣物抗臭, 440ml, 1瓶"/>
    <n v="174"/>
    <m/>
    <n v="6"/>
    <n v="1081.3"/>
    <n v="1045.29"/>
    <m/>
    <m/>
    <m/>
    <n v="0"/>
    <n v="0"/>
    <n v="0"/>
    <m/>
    <m/>
    <m/>
    <m/>
    <m/>
    <m/>
    <m/>
    <m/>
    <m/>
    <m/>
    <m/>
    <m/>
    <m/>
    <n v="0"/>
    <n v="0"/>
  </r>
  <r>
    <x v="34"/>
    <s v="Lenor 蘭諾 衣物抗菌芳香豆 運動衣物抗臭 補充包, 430ml, 1包"/>
    <n v="140"/>
    <s v="停產"/>
    <n v="10"/>
    <n v="1440.3"/>
    <n v="1396.23"/>
    <m/>
    <m/>
    <m/>
    <n v="0"/>
    <n v="0"/>
    <n v="0"/>
    <m/>
    <m/>
    <m/>
    <m/>
    <m/>
    <m/>
    <m/>
    <m/>
    <m/>
    <m/>
    <m/>
    <m/>
    <m/>
    <n v="0"/>
    <n v="0"/>
  </r>
  <r>
    <x v="35"/>
    <s v="Lenor 蘭諾 衣物芳香豆 甜花石榴香 補充包, 900ml, 1個"/>
    <n v="272"/>
    <m/>
    <n v="8"/>
    <n v="2310.4"/>
    <n v="2246.8000000000002"/>
    <n v="108.20045558086561"/>
    <n v="108.20045558086561"/>
    <n v="108.20045558086561"/>
    <n v="864"/>
    <n v="864"/>
    <n v="864"/>
    <m/>
    <m/>
    <m/>
    <m/>
    <m/>
    <n v="20"/>
    <m/>
    <m/>
    <m/>
    <m/>
    <m/>
    <m/>
    <m/>
    <n v="20"/>
    <n v="88.200455580865608"/>
  </r>
  <r>
    <x v="36"/>
    <s v="Lenor 蘭諾 衣物芳香豆 雪松梔子花 補充包, 900ml, 1個"/>
    <n v="272"/>
    <m/>
    <n v="8"/>
    <n v="2310.4"/>
    <n v="2246.8000000000002"/>
    <n v="142.36902050113895"/>
    <n v="142.36902050113895"/>
    <n v="142.36902050113895"/>
    <n v="1136"/>
    <n v="1136"/>
    <n v="1136"/>
    <m/>
    <m/>
    <m/>
    <m/>
    <n v="112"/>
    <m/>
    <m/>
    <m/>
    <m/>
    <m/>
    <m/>
    <m/>
    <m/>
    <n v="112"/>
    <n v="30.369020501138948"/>
  </r>
  <r>
    <x v="37"/>
    <s v="Lenor 蘭諾 衣物芳香豆 運動衣物抗臭 補充包, 880ml, 1個"/>
    <n v="272"/>
    <m/>
    <n v="8"/>
    <n v="2310.4"/>
    <n v="2246.8000000000002"/>
    <n v="101.28055878928987"/>
    <n v="101.28055878928987"/>
    <n v="101.28055878928987"/>
    <n v="808"/>
    <n v="808"/>
    <n v="808"/>
    <m/>
    <m/>
    <m/>
    <m/>
    <n v="67"/>
    <m/>
    <m/>
    <m/>
    <m/>
    <m/>
    <m/>
    <m/>
    <m/>
    <n v="67"/>
    <n v="34.28055878928987"/>
  </r>
  <r>
    <x v="38"/>
    <s v="Lenor 蘭諾 衣物芳香豆 清晨草木 補充包, 900ml, 1個"/>
    <n v="272"/>
    <m/>
    <n v="8"/>
    <n v="2310.4"/>
    <n v="2246.8000000000002"/>
    <n v="91.116173120728931"/>
    <n v="91.116173120728931"/>
    <n v="91.116173120728931"/>
    <n v="728"/>
    <n v="728"/>
    <n v="728"/>
    <m/>
    <m/>
    <m/>
    <m/>
    <m/>
    <m/>
    <m/>
    <m/>
    <m/>
    <m/>
    <m/>
    <m/>
    <m/>
    <n v="0"/>
    <n v="91.116173120728931"/>
  </r>
  <r>
    <x v="39"/>
    <s v="Lenor 蘭諾 衣物芳香豆 淨白純棉 補充包, 940ml, 1個"/>
    <n v="272"/>
    <m/>
    <n v="8"/>
    <n v="2310.4"/>
    <n v="2246.8000000000002"/>
    <n v="49.727371864776437"/>
    <n v="49.727371864776437"/>
    <n v="49.727371864776437"/>
    <n v="400"/>
    <n v="400"/>
    <n v="400"/>
    <m/>
    <m/>
    <m/>
    <m/>
    <n v="30"/>
    <m/>
    <m/>
    <m/>
    <m/>
    <m/>
    <m/>
    <m/>
    <m/>
    <n v="30"/>
    <n v="19.727371864776437"/>
  </r>
  <r>
    <x v="40"/>
    <s v="Lenor 蘭諾 衣物芳香豆 青檸紫羅蘭 補充包, 900ml, 1個"/>
    <n v="272"/>
    <m/>
    <n v="8"/>
    <n v="2310.4"/>
    <n v="2246.8000000000002"/>
    <n v="102.50569476082003"/>
    <n v="102.50569476082003"/>
    <n v="102.50569476082003"/>
    <n v="824"/>
    <n v="824"/>
    <n v="824"/>
    <m/>
    <m/>
    <m/>
    <m/>
    <m/>
    <n v="8"/>
    <m/>
    <m/>
    <m/>
    <m/>
    <m/>
    <m/>
    <m/>
    <n v="8"/>
    <n v="94.505694760820035"/>
  </r>
  <r>
    <x v="41"/>
    <s v="Lenor 蘭諾 衣物芳香豆 春暖晨露 補充包, 940ml, 1個"/>
    <n v="272"/>
    <m/>
    <n v="8"/>
    <n v="2310.4"/>
    <n v="2246.8000000000002"/>
    <n v="37.513631406761178"/>
    <n v="37.513631406761178"/>
    <n v="37.513631406761178"/>
    <n v="304"/>
    <n v="304"/>
    <n v="304"/>
    <m/>
    <m/>
    <m/>
    <m/>
    <n v="37"/>
    <m/>
    <m/>
    <m/>
    <m/>
    <m/>
    <m/>
    <m/>
    <m/>
    <n v="37"/>
    <n v="0.5136314067611778"/>
  </r>
  <r>
    <x v="42"/>
    <s v="Lenor 蘭諾 衣物芳香豆 潮濕天氣抗臭 補充包, 880ml, 1個"/>
    <n v="272"/>
    <m/>
    <n v="8"/>
    <n v="2310.4"/>
    <n v="2246.8000000000002"/>
    <n v="73.34109429569267"/>
    <n v="73.34109429569267"/>
    <n v="73.34109429569267"/>
    <n v="584"/>
    <n v="584"/>
    <n v="584"/>
    <m/>
    <m/>
    <m/>
    <m/>
    <m/>
    <m/>
    <m/>
    <m/>
    <m/>
    <m/>
    <m/>
    <m/>
    <m/>
    <n v="0"/>
    <n v="73.34109429569267"/>
  </r>
  <r>
    <x v="43"/>
    <s v="Lenor 蘭諾 衣物芳香豆 甜柔麝香 補充包, 900ml, 1個"/>
    <n v="272"/>
    <m/>
    <n v="8"/>
    <n v="2310.4"/>
    <n v="2246.8000000000002"/>
    <n v="119.58997722095671"/>
    <n v="119.58997722095671"/>
    <n v="119.58997722095671"/>
    <n v="960"/>
    <n v="960"/>
    <n v="960"/>
    <m/>
    <m/>
    <m/>
    <m/>
    <m/>
    <m/>
    <m/>
    <m/>
    <m/>
    <m/>
    <m/>
    <m/>
    <m/>
    <n v="0"/>
    <n v="119.58997722095671"/>
  </r>
  <r>
    <x v="44"/>
    <s v="[箱裝]Pampers 幫寶適 原廠公司貨 CP值之選清新幫紙尿褲/尿布, 黏貼型, L, 9-14kg, 184片"/>
    <n v="1231"/>
    <m/>
    <n v="1"/>
    <n v="1464"/>
    <n v="1406.69"/>
    <n v="0"/>
    <n v="0"/>
    <n v="692"/>
    <n v="0"/>
    <n v="0"/>
    <n v="692"/>
    <m/>
    <m/>
    <m/>
    <m/>
    <m/>
    <m/>
    <m/>
    <m/>
    <m/>
    <m/>
    <m/>
    <m/>
    <m/>
    <n v="0"/>
    <n v="0"/>
  </r>
  <r>
    <x v="45"/>
    <s v="[箱裝]Pampers 幫寶適 原廠公司貨 CP值之選清新幫紙尿褲/尿布, 黏貼型, XL, 12~17kg, 152片, 1箱"/>
    <n v="1231"/>
    <m/>
    <n v="1"/>
    <n v="1464"/>
    <n v="1406.69"/>
    <n v="0"/>
    <n v="59"/>
    <n v="1334"/>
    <n v="0"/>
    <n v="59"/>
    <n v="1334"/>
    <m/>
    <m/>
    <m/>
    <m/>
    <m/>
    <m/>
    <m/>
    <m/>
    <m/>
    <m/>
    <m/>
    <m/>
    <m/>
    <n v="0"/>
    <n v="0"/>
  </r>
  <r>
    <x v="46"/>
    <s v="[箱裝]Pampers 幫寶適 原廠公司貨 CP值之選清新幫拉拉褲/尿布, XXL, 15kg以上, 104片"/>
    <n v="1175"/>
    <m/>
    <n v="1"/>
    <n v="1386"/>
    <n v="1330.45"/>
    <n v="0"/>
    <n v="963"/>
    <n v="6139"/>
    <n v="0"/>
    <n v="963"/>
    <n v="6139"/>
    <m/>
    <m/>
    <m/>
    <m/>
    <m/>
    <m/>
    <m/>
    <m/>
    <m/>
    <m/>
    <m/>
    <m/>
    <m/>
    <n v="0"/>
    <n v="0"/>
  </r>
  <r>
    <x v="47"/>
    <s v="[箱裝]Pampers 幫寶適 原廠公司貨 CP值之選清新幫拉拉褲/尿布, L, 9-14kg, 168片"/>
    <n v="1175"/>
    <m/>
    <n v="1"/>
    <n v="1386"/>
    <n v="1330.45"/>
    <n v="0"/>
    <n v="0"/>
    <n v="1791"/>
    <n v="0"/>
    <n v="0"/>
    <n v="1791"/>
    <m/>
    <m/>
    <m/>
    <m/>
    <m/>
    <m/>
    <m/>
    <m/>
    <m/>
    <m/>
    <m/>
    <m/>
    <m/>
    <n v="0"/>
    <n v="0"/>
  </r>
  <r>
    <x v="48"/>
    <s v="[箱裝]Pampers 幫寶適 原廠公司貨 CP值之選清新幫拉拉褲/尿布, XXXL, 17kg以上, 88片"/>
    <n v="1175"/>
    <m/>
    <n v="1"/>
    <n v="1386"/>
    <n v="1330.45"/>
    <n v="0"/>
    <n v="0"/>
    <n v="2638"/>
    <n v="0"/>
    <n v="0"/>
    <n v="2638"/>
    <m/>
    <m/>
    <m/>
    <m/>
    <m/>
    <m/>
    <m/>
    <m/>
    <m/>
    <m/>
    <m/>
    <m/>
    <m/>
    <n v="0"/>
    <n v="0"/>
  </r>
  <r>
    <x v="49"/>
    <s v="[箱裝]Pampers 幫寶適 原廠公司貨 CP值之選清新幫拉拉褲/尿布, XL, 12-17kg, 152片"/>
    <n v="1175"/>
    <m/>
    <n v="1"/>
    <n v="1386"/>
    <n v="1330.45"/>
    <n v="0"/>
    <n v="1534"/>
    <n v="8570"/>
    <n v="0"/>
    <n v="1534"/>
    <n v="8570"/>
    <m/>
    <m/>
    <m/>
    <m/>
    <m/>
    <m/>
    <m/>
    <m/>
    <m/>
    <m/>
    <m/>
    <m/>
    <m/>
    <n v="0"/>
    <n v="0"/>
  </r>
  <r>
    <x v="50"/>
    <s v="[箱裝]Pampers 幫寶適 原廠公司貨 史上最強一級幫黏貼型護膚尿布/紙尿褲, S, 4~8kg, 198片_夏日遠離紅屁屁 (極上守護)"/>
    <n v="1232"/>
    <s v="新品"/>
    <n v="1"/>
    <n v="1168"/>
    <n v="1117.3397"/>
    <m/>
    <m/>
    <n v="1120"/>
    <n v="0"/>
    <m/>
    <m/>
    <m/>
    <m/>
    <m/>
    <m/>
    <m/>
    <m/>
    <m/>
    <m/>
    <m/>
    <m/>
    <m/>
    <m/>
    <m/>
    <n v="0"/>
    <n v="0"/>
  </r>
  <r>
    <x v="51"/>
    <s v="[箱裝]Pampers 幫寶適 原廠公司貨 史上最強一級幫散熱拉拉褲/尿布/褲型, M, 6~11kg, 150片_夏日遠離紅屁屁 (極上守護)"/>
    <n v="1232"/>
    <s v="新品"/>
    <n v="1"/>
    <n v="1168"/>
    <n v="1117.3397"/>
    <m/>
    <m/>
    <n v="2400"/>
    <m/>
    <m/>
    <m/>
    <m/>
    <m/>
    <n v="1200"/>
    <m/>
    <m/>
    <m/>
    <m/>
    <m/>
    <m/>
    <m/>
    <m/>
    <m/>
    <m/>
    <n v="0"/>
    <n v="0"/>
  </r>
  <r>
    <x v="52"/>
    <s v="[箱裝]Pampers 幫寶適 原廠公司貨 史上最強一級幫散熱拉拉褲/尿布/褲型, L+, 10~15kg, 102片_夏日遠離紅屁屁 (極上守護)"/>
    <n v="1232"/>
    <s v="新品"/>
    <n v="1"/>
    <n v="1168"/>
    <n v="1117.3397"/>
    <m/>
    <m/>
    <m/>
    <m/>
    <m/>
    <m/>
    <m/>
    <m/>
    <n v="2000"/>
    <m/>
    <m/>
    <m/>
    <m/>
    <m/>
    <m/>
    <m/>
    <m/>
    <m/>
    <m/>
    <n v="0"/>
    <n v="0"/>
  </r>
  <r>
    <x v="53"/>
    <s v="[箱裝]Pampers 幫寶適 原廠公司貨 史上最強一級幫散熱拉拉褲/尿布/褲型, XXXL, 17kg以上, 78片_夏日遠離紅屁屁 (極上守護)"/>
    <n v="1232"/>
    <s v="新品"/>
    <n v="1"/>
    <n v="1168"/>
    <n v="1117.3397"/>
    <m/>
    <m/>
    <m/>
    <m/>
    <m/>
    <m/>
    <m/>
    <n v="600"/>
    <m/>
    <m/>
    <m/>
    <m/>
    <m/>
    <m/>
    <m/>
    <m/>
    <m/>
    <m/>
    <m/>
    <n v="0"/>
    <n v="0"/>
  </r>
  <r>
    <x v="54"/>
    <s v="[箱裝]Pampers 幫寶適 原廠公司貨 史上最強一級幫黏貼型護膚尿布/紙尿褲, S, 4~8kg, 224片_夏日遠離紅屁屁 (極上守護)"/>
    <n v="1318"/>
    <m/>
    <n v="1"/>
    <n v="1460"/>
    <n v="1402.78"/>
    <m/>
    <m/>
    <m/>
    <n v="0"/>
    <n v="0"/>
    <n v="0"/>
    <m/>
    <m/>
    <m/>
    <m/>
    <m/>
    <m/>
    <m/>
    <m/>
    <m/>
    <m/>
    <m/>
    <m/>
    <m/>
    <n v="0"/>
    <n v="0"/>
  </r>
  <r>
    <x v="54"/>
    <s v="[箱裝]Pampers 幫寶適 原廠公司貨 史上最強一級幫黏貼型護膚尿布/紙尿褲, M, 6~11kg, 156片_夏日遠離紅屁屁 (極上守護)"/>
    <n v="1097"/>
    <m/>
    <n v="1"/>
    <n v="1239"/>
    <n v="1186.75"/>
    <m/>
    <m/>
    <m/>
    <n v="0"/>
    <n v="0"/>
    <n v="0"/>
    <m/>
    <m/>
    <m/>
    <m/>
    <m/>
    <m/>
    <m/>
    <m/>
    <m/>
    <m/>
    <m/>
    <m/>
    <m/>
    <n v="0"/>
    <n v="0"/>
  </r>
  <r>
    <x v="54"/>
    <s v="[箱裝]Pampers 幫寶適 原廠公司貨 史上最強一級幫黏貼型護膚尿布/紙尿褲, NB, 5kg以下, 256片_夏日遠離紅屁屁 (極上守護)"/>
    <n v="1318"/>
    <m/>
    <n v="1"/>
    <n v="1460"/>
    <n v="1402.78"/>
    <m/>
    <m/>
    <m/>
    <n v="0"/>
    <n v="0"/>
    <n v="0"/>
    <m/>
    <m/>
    <m/>
    <m/>
    <m/>
    <m/>
    <m/>
    <m/>
    <m/>
    <m/>
    <m/>
    <m/>
    <m/>
    <n v="0"/>
    <n v="0"/>
  </r>
  <r>
    <x v="54"/>
    <s v="Pampers 幫寶適 原廠公司貨 史上最強一級幫紙尿褲/尿布禮盒/彌月禮盒組(黏貼型尿布-S 56片+M 108片+拉拉褲M 4片), 168片, 1盒_(極上守護)"/>
    <n v="1111"/>
    <m/>
    <n v="1"/>
    <n v="1169.2"/>
    <n v="1118.51"/>
    <m/>
    <m/>
    <m/>
    <n v="0"/>
    <n v="0"/>
    <n v="0"/>
    <m/>
    <m/>
    <m/>
    <m/>
    <m/>
    <m/>
    <m/>
    <m/>
    <m/>
    <m/>
    <m/>
    <m/>
    <m/>
    <n v="0"/>
    <n v="0"/>
  </r>
  <r>
    <x v="54"/>
    <s v="[箱裝]Pampers 幫寶適 原廠公司貨 史上最強一級幫紙尿褲/尿布禮盒/彌月禮盒組(黏貼型尿布-NB 32片+S112片), 144片, 1盒_(極上守護)"/>
    <n v="806"/>
    <m/>
    <n v="1"/>
    <n v="856.4"/>
    <n v="812.74"/>
    <n v="641"/>
    <m/>
    <m/>
    <n v="641"/>
    <n v="0"/>
    <n v="0"/>
    <m/>
    <m/>
    <m/>
    <m/>
    <m/>
    <m/>
    <m/>
    <m/>
    <m/>
    <m/>
    <m/>
    <m/>
    <m/>
    <n v="0"/>
    <n v="641"/>
  </r>
  <r>
    <x v="55"/>
    <s v="[箱裝]Pampers 幫寶適 原廠公司貨 史上最強一級幫散熱拉拉褲/尿布/褲型, M, 6~11kg, 152片_(極上守護)"/>
    <n v="1056"/>
    <m/>
    <n v="1"/>
    <n v="1168"/>
    <n v="1117.3399999999999"/>
    <m/>
    <m/>
    <m/>
    <n v="0"/>
    <n v="0"/>
    <n v="0"/>
    <m/>
    <m/>
    <m/>
    <m/>
    <m/>
    <m/>
    <m/>
    <m/>
    <m/>
    <m/>
    <m/>
    <m/>
    <m/>
    <n v="0"/>
    <n v="0"/>
  </r>
  <r>
    <x v="56"/>
    <s v="[箱裝]Pampers 幫寶適 原廠公司貨 史上最強一級幫散熱拉拉褲/尿布/褲型, L+, 10~15kg, 102片_(極上守護)"/>
    <n v="1056"/>
    <m/>
    <n v="1"/>
    <n v="1168"/>
    <n v="1117.3399999999999"/>
    <m/>
    <m/>
    <m/>
    <n v="0"/>
    <n v="0"/>
    <n v="0"/>
    <m/>
    <m/>
    <m/>
    <m/>
    <m/>
    <m/>
    <m/>
    <m/>
    <m/>
    <m/>
    <m/>
    <m/>
    <m/>
    <n v="0"/>
    <n v="0"/>
  </r>
  <r>
    <x v="57"/>
    <s v="[箱裝]Pampers 幫寶適 原廠公司貨 清新幫褲型尿布, M, 6~11kg, 200片"/>
    <n v="1175"/>
    <m/>
    <n v="1"/>
    <n v="1386"/>
    <n v="1330.45"/>
    <n v="0"/>
    <n v="127"/>
    <n v="478"/>
    <n v="0"/>
    <n v="127"/>
    <n v="478"/>
    <m/>
    <m/>
    <m/>
    <m/>
    <n v="45"/>
    <m/>
    <m/>
    <m/>
    <m/>
    <m/>
    <m/>
    <m/>
    <m/>
    <n v="45"/>
    <n v="-45"/>
  </r>
  <r>
    <x v="58"/>
    <s v="[箱裝]Pampers 幫寶適 原廠公司貨 清新幫黏貼型尿布, S, 4~8kg, 264片"/>
    <n v="1231"/>
    <m/>
    <n v="1"/>
    <n v="1464"/>
    <n v="1406.69"/>
    <n v="0"/>
    <n v="160"/>
    <n v="798"/>
    <n v="0"/>
    <n v="160"/>
    <n v="798"/>
    <m/>
    <m/>
    <m/>
    <m/>
    <m/>
    <m/>
    <m/>
    <m/>
    <m/>
    <m/>
    <m/>
    <m/>
    <m/>
    <n v="0"/>
    <n v="0"/>
  </r>
  <r>
    <x v="59"/>
    <s v="[箱裝]Pampers 幫寶適 原廠公司貨 清新幫黏貼型尿布, M, 6~11kg, 216片"/>
    <n v="1231"/>
    <m/>
    <n v="1"/>
    <n v="1464"/>
    <n v="1406.69"/>
    <n v="0"/>
    <n v="114"/>
    <n v="1025"/>
    <n v="0"/>
    <n v="114"/>
    <n v="1025"/>
    <m/>
    <m/>
    <m/>
    <m/>
    <m/>
    <m/>
    <m/>
    <m/>
    <m/>
    <m/>
    <m/>
    <m/>
    <m/>
    <n v="0"/>
    <n v="0"/>
  </r>
  <r>
    <x v="58"/>
    <s v="Pampers 幫寶適 原廠公司貨 清新幫黏貼型紙尿褲/尿布, S, 4~8kg, 66片"/>
    <n v="339"/>
    <m/>
    <n v="4"/>
    <n v="1464"/>
    <n v="1406.69"/>
    <n v="0"/>
    <n v="24"/>
    <n v="53"/>
    <n v="0"/>
    <n v="96"/>
    <n v="212"/>
    <m/>
    <m/>
    <m/>
    <m/>
    <n v="30"/>
    <m/>
    <m/>
    <m/>
    <m/>
    <m/>
    <m/>
    <m/>
    <m/>
    <n v="30"/>
    <n v="-30"/>
  </r>
  <r>
    <x v="59"/>
    <s v="Pampers 幫寶適 原廠公司貨 清新幫黏貼型紙尿褲/尿布, M, 6~11kg, 54片"/>
    <n v="339"/>
    <m/>
    <n v="4"/>
    <n v="1464"/>
    <n v="1406.69"/>
    <n v="0"/>
    <n v="0"/>
    <n v="27"/>
    <n v="0"/>
    <n v="0"/>
    <n v="108"/>
    <m/>
    <m/>
    <m/>
    <m/>
    <m/>
    <m/>
    <m/>
    <m/>
    <m/>
    <m/>
    <m/>
    <m/>
    <m/>
    <n v="0"/>
    <n v="0"/>
  </r>
  <r>
    <x v="57"/>
    <s v="Pampers 幫寶適 原廠公司貨 清新幫拉拉褲/褲型尿布, M, 6~11kg, 50片"/>
    <n v="323"/>
    <m/>
    <n v="4"/>
    <n v="1386"/>
    <n v="1330.45"/>
    <n v="0"/>
    <n v="34"/>
    <n v="76"/>
    <n v="0"/>
    <n v="136"/>
    <n v="304"/>
    <m/>
    <m/>
    <m/>
    <m/>
    <m/>
    <m/>
    <m/>
    <m/>
    <m/>
    <m/>
    <m/>
    <m/>
    <m/>
    <n v="0"/>
    <n v="0"/>
  </r>
  <r>
    <x v="44"/>
    <s v="Pampers 幫寶適 原廠公司貨 清新幫黏貼型紙尿褲/尿布, L, 9~14kg, 46片"/>
    <n v="339"/>
    <m/>
    <n v="4"/>
    <n v="1464"/>
    <n v="1406.69"/>
    <n v="0"/>
    <n v="34"/>
    <n v="88"/>
    <n v="0"/>
    <n v="136"/>
    <n v="352"/>
    <m/>
    <m/>
    <m/>
    <m/>
    <m/>
    <m/>
    <m/>
    <m/>
    <m/>
    <m/>
    <m/>
    <m/>
    <m/>
    <n v="0"/>
    <n v="0"/>
  </r>
  <r>
    <x v="47"/>
    <s v="Pampers 幫寶適 原廠公司貨 清新幫拉拉褲/褲型尿布, L, 9~14kg, 42片"/>
    <n v="323"/>
    <m/>
    <n v="4"/>
    <n v="1386"/>
    <n v="1330.45"/>
    <n v="0"/>
    <n v="0"/>
    <n v="50"/>
    <n v="0"/>
    <n v="0"/>
    <n v="200"/>
    <m/>
    <m/>
    <m/>
    <m/>
    <m/>
    <m/>
    <m/>
    <m/>
    <m/>
    <m/>
    <m/>
    <m/>
    <m/>
    <n v="0"/>
    <n v="0"/>
  </r>
  <r>
    <x v="45"/>
    <s v="Pampers 幫寶適 原廠公司貨 清新幫黏貼型紙尿褲/尿布, XL, 12~17kg, 38片"/>
    <n v="339"/>
    <m/>
    <n v="4"/>
    <n v="1464"/>
    <n v="1406.69"/>
    <n v="0"/>
    <n v="42"/>
    <n v="106"/>
    <n v="0"/>
    <n v="168"/>
    <n v="424"/>
    <m/>
    <m/>
    <m/>
    <m/>
    <m/>
    <m/>
    <m/>
    <m/>
    <m/>
    <m/>
    <m/>
    <m/>
    <m/>
    <n v="0"/>
    <n v="0"/>
  </r>
  <r>
    <x v="49"/>
    <s v="Pampers 幫寶適 原廠公司貨 清新幫拉拉褲/褲型尿布, XL, 12~17kg, 38片"/>
    <n v="323"/>
    <m/>
    <n v="4"/>
    <n v="1386"/>
    <n v="1330.45"/>
    <n v="0"/>
    <n v="0"/>
    <n v="180"/>
    <n v="0"/>
    <n v="0"/>
    <n v="720"/>
    <m/>
    <m/>
    <m/>
    <m/>
    <m/>
    <m/>
    <m/>
    <m/>
    <m/>
    <m/>
    <m/>
    <m/>
    <m/>
    <n v="0"/>
    <n v="0"/>
  </r>
  <r>
    <x v="46"/>
    <s v="Pampers 幫寶適 原廠公司貨 清新幫拉拉褲/褲型尿布, XXL, 15kg, 26片"/>
    <n v="323"/>
    <m/>
    <n v="4"/>
    <n v="1386"/>
    <n v="1330.45"/>
    <n v="0"/>
    <n v="52"/>
    <n v="105"/>
    <n v="0"/>
    <n v="208"/>
    <n v="420"/>
    <m/>
    <m/>
    <m/>
    <m/>
    <m/>
    <m/>
    <m/>
    <m/>
    <m/>
    <m/>
    <m/>
    <m/>
    <m/>
    <n v="0"/>
    <n v="0"/>
  </r>
  <r>
    <x v="48"/>
    <s v="Pampers 幫寶適 原廠公司貨 清新幫拉拉褲/褲型尿布, XXXL, 17kg, 22片"/>
    <n v="323"/>
    <m/>
    <n v="4"/>
    <n v="1386"/>
    <n v="1330.45"/>
    <n v="0"/>
    <n v="18"/>
    <n v="63"/>
    <n v="0"/>
    <n v="72"/>
    <n v="252"/>
    <m/>
    <m/>
    <m/>
    <m/>
    <m/>
    <m/>
    <m/>
    <m/>
    <m/>
    <m/>
    <m/>
    <m/>
    <m/>
    <n v="0"/>
    <n v="0"/>
  </r>
  <r>
    <x v="60"/>
    <s v="[箱裝]Pampers 幫寶適 極上守護 一級幫 紙尿褲/尿布 12~17kg, 特大碼 (XL), 99片"/>
    <n v="1079"/>
    <s v="停產"/>
    <n v="1"/>
    <n v="1200"/>
    <n v="1117.3399999999999"/>
    <m/>
    <m/>
    <m/>
    <n v="0"/>
    <n v="0"/>
    <n v="0"/>
    <m/>
    <m/>
    <m/>
    <m/>
    <m/>
    <m/>
    <m/>
    <m/>
    <m/>
    <m/>
    <m/>
    <m/>
    <m/>
    <n v="0"/>
    <n v="0"/>
  </r>
  <r>
    <x v="61"/>
    <s v="[箱裝]Pampers 幫寶適 極上守護 一級幫 紙尿褲/尿布 6~11kg, 中碼 (M), 152片"/>
    <n v="1079"/>
    <s v="停產"/>
    <n v="1"/>
    <n v="1200"/>
    <n v="1117.3399999999999"/>
    <m/>
    <m/>
    <m/>
    <n v="0"/>
    <n v="0"/>
    <n v="0"/>
    <m/>
    <m/>
    <m/>
    <m/>
    <m/>
    <m/>
    <m/>
    <m/>
    <m/>
    <m/>
    <m/>
    <m/>
    <m/>
    <n v="0"/>
    <n v="0"/>
  </r>
  <r>
    <x v="62"/>
    <s v="[箱裝]Pampers 幫寶適 極上守護 一級幫 褲型拉拉褲 12~17kg, 特大碼 (XL), 90片"/>
    <n v="1056"/>
    <s v="停產"/>
    <n v="1"/>
    <n v="1168"/>
    <n v="1117.3399999999999"/>
    <m/>
    <m/>
    <m/>
    <n v="0"/>
    <n v="0"/>
    <n v="0"/>
    <m/>
    <m/>
    <m/>
    <m/>
    <m/>
    <m/>
    <m/>
    <m/>
    <m/>
    <m/>
    <m/>
    <m/>
    <m/>
    <n v="0"/>
    <n v="0"/>
  </r>
  <r>
    <x v="63"/>
    <s v="[箱裝]Pampers 幫寶適 極上守護 一級幫 紙尿褲/尿布 9~14kg, 大碼 (L), 124片"/>
    <n v="1079"/>
    <s v="停產"/>
    <n v="1"/>
    <n v="1200"/>
    <n v="1117.3399999999999"/>
    <m/>
    <m/>
    <m/>
    <n v="0"/>
    <n v="0"/>
    <n v="0"/>
    <m/>
    <m/>
    <m/>
    <m/>
    <m/>
    <m/>
    <m/>
    <m/>
    <m/>
    <m/>
    <m/>
    <m/>
    <m/>
    <n v="0"/>
    <n v="0"/>
  </r>
  <r>
    <x v="64"/>
    <s v="[箱裝]Pampers 幫寶適 極上守護 一級幫 褲型拉拉褲 9~14kg, 大碼 (L), 117片"/>
    <n v="1056"/>
    <s v="停產"/>
    <n v="1"/>
    <n v="1168"/>
    <n v="1117.3399999999999"/>
    <m/>
    <m/>
    <m/>
    <n v="0"/>
    <n v="0"/>
    <n v="0"/>
    <m/>
    <m/>
    <m/>
    <m/>
    <m/>
    <m/>
    <m/>
    <m/>
    <m/>
    <m/>
    <m/>
    <m/>
    <m/>
    <n v="0"/>
    <n v="0"/>
  </r>
  <r>
    <x v="65"/>
    <s v="[箱裝]Pampers 幫寶適 極上守護 一級幫 褲型拉拉褲 15kg以上, 超大碼 (2XL), 70片"/>
    <n v="1056"/>
    <s v="停產"/>
    <n v="1"/>
    <n v="1168"/>
    <n v="1117.3399999999999"/>
    <m/>
    <m/>
    <m/>
    <n v="0"/>
    <n v="0"/>
    <n v="0"/>
    <m/>
    <m/>
    <m/>
    <m/>
    <m/>
    <m/>
    <m/>
    <m/>
    <m/>
    <m/>
    <m/>
    <m/>
    <m/>
    <n v="0"/>
    <n v="0"/>
  </r>
  <r>
    <x v="66"/>
    <s v="Tide 汰漬 台灣公司貨 2倍超濃縮洗衣精, 3.69L, 1桶"/>
    <m/>
    <s v="新品"/>
    <n v="4"/>
    <n v="2376.48"/>
    <n v="2311.4"/>
    <n v="96"/>
    <n v="96"/>
    <n v="96"/>
    <m/>
    <m/>
    <m/>
    <m/>
    <m/>
    <m/>
    <m/>
    <m/>
    <m/>
    <m/>
    <m/>
    <m/>
    <m/>
    <m/>
    <m/>
    <m/>
    <n v="0"/>
    <n v="96"/>
  </r>
  <r>
    <x v="67"/>
    <s v="Tide 汰漬 台灣公司貨 2倍超濃縮洗衣精, 3.9L, 1桶"/>
    <n v="564"/>
    <s v="停產"/>
    <n v="4"/>
    <n v="2376.48"/>
    <n v="2311.4"/>
    <m/>
    <m/>
    <m/>
    <n v="0"/>
    <n v="0"/>
    <n v="0"/>
    <m/>
    <m/>
    <m/>
    <m/>
    <m/>
    <m/>
    <m/>
    <m/>
    <m/>
    <m/>
    <m/>
    <m/>
    <m/>
    <n v="0"/>
    <n v="0"/>
  </r>
  <r>
    <x v="68"/>
    <s v="whisper 好自在 台灣公司貨 隱型透氣護墊, 自然無香, 40片, 1包"/>
    <n v="40"/>
    <m/>
    <n v="24"/>
    <n v="1194"/>
    <n v="1142.75595"/>
    <n v="13.418981481481481"/>
    <n v="13.418981481481481"/>
    <n v="12.986111111111112"/>
    <n v="312"/>
    <n v="312"/>
    <n v="312"/>
    <m/>
    <m/>
    <m/>
    <m/>
    <n v="12"/>
    <m/>
    <m/>
    <m/>
    <m/>
    <m/>
    <m/>
    <m/>
    <m/>
    <n v="12"/>
    <n v="1.418981481481481"/>
  </r>
  <r>
    <x v="69"/>
    <s v="whisper 好自在 台灣公司貨 隱型乾爽護墊, 自然無香, 40片, 1包"/>
    <n v="40"/>
    <m/>
    <n v="24"/>
    <n v="1194"/>
    <n v="1142.75595"/>
    <n v="7.4055555555555559"/>
    <n v="7.4055555555555559"/>
    <n v="7.166666666666667"/>
    <n v="168"/>
    <n v="168"/>
    <n v="168"/>
    <m/>
    <m/>
    <m/>
    <m/>
    <m/>
    <m/>
    <m/>
    <m/>
    <m/>
    <m/>
    <m/>
    <m/>
    <m/>
    <n v="0"/>
    <n v="7.4055555555555559"/>
  </r>
  <r>
    <x v="70"/>
    <s v="好自在隱型清新護墊 淡香 40片,1包"/>
    <n v="40"/>
    <m/>
    <n v="24"/>
    <n v="1194"/>
    <n v="1142.75595"/>
    <n v="8.71875"/>
    <n v="8.71875"/>
    <n v="8.4375"/>
    <n v="216"/>
    <n v="216"/>
    <n v="192"/>
    <m/>
    <m/>
    <m/>
    <m/>
    <m/>
    <m/>
    <m/>
    <m/>
    <m/>
    <m/>
    <m/>
    <m/>
    <m/>
    <n v="0"/>
    <n v="8.71875"/>
  </r>
  <r>
    <x v="71"/>
    <s v="whisper 好自在 台灣公司貨 熊抱安睡36cm量多夜用(10片X2),1組"/>
    <n v="115"/>
    <m/>
    <n v="12"/>
    <n v="1592.16"/>
    <n v="1531.9772580000001"/>
    <n v="20.37962962962963"/>
    <n v="20.37962962962963"/>
    <n v="19.722222222222225"/>
    <n v="240"/>
    <n v="240"/>
    <n v="240"/>
    <m/>
    <m/>
    <m/>
    <m/>
    <m/>
    <m/>
    <m/>
    <m/>
    <m/>
    <m/>
    <m/>
    <m/>
    <m/>
    <n v="0"/>
    <n v="20.37962962962963"/>
  </r>
  <r>
    <x v="72"/>
    <s v="whisper 好自在 台灣公司貨 熊抱安睡425mm量多夜用衛生棉, 7片,2包,1組"/>
    <n v="120"/>
    <m/>
    <n v="12"/>
    <n v="1592.16"/>
    <n v="1531.9772580000001"/>
    <n v="43.658333333333331"/>
    <n v="43.658333333333331"/>
    <n v="42.249999999999993"/>
    <n v="528"/>
    <n v="528"/>
    <n v="504"/>
    <m/>
    <m/>
    <m/>
    <m/>
    <n v="50"/>
    <m/>
    <m/>
    <m/>
    <m/>
    <m/>
    <m/>
    <m/>
    <m/>
    <n v="50"/>
    <n v="-6.3416666666666686"/>
  </r>
  <r>
    <x v="73"/>
    <s v="whisper 好自在 熊抱安睡42.5cm 量多夜用,7片,1包"/>
    <n v="60"/>
    <m/>
    <n v="12"/>
    <n v="827.88"/>
    <n v="784.85534399999995"/>
    <n v="66.797619047619051"/>
    <n v="66.797619047619051"/>
    <n v="64.642857142857153"/>
    <n v="804"/>
    <n v="804"/>
    <n v="780"/>
    <m/>
    <m/>
    <m/>
    <n v="20"/>
    <m/>
    <m/>
    <m/>
    <m/>
    <m/>
    <m/>
    <m/>
    <m/>
    <m/>
    <n v="20"/>
    <n v="46.797619047619051"/>
  </r>
  <r>
    <x v="74"/>
    <s v="whisper 好自在 台灣公司貨 熊抱安睡36cm量多夜用10片, 1包"/>
    <n v="60"/>
    <m/>
    <n v="12"/>
    <n v="827.88"/>
    <n v="784.85534399999995"/>
    <n v="20.37962962962963"/>
    <n v="20.37962962962963"/>
    <n v="19.722222222222225"/>
    <n v="240"/>
    <n v="240"/>
    <n v="240"/>
    <m/>
    <m/>
    <m/>
    <n v="20"/>
    <m/>
    <m/>
    <m/>
    <m/>
    <m/>
    <m/>
    <m/>
    <m/>
    <m/>
    <n v="20"/>
    <n v="0.37962962962962976"/>
  </r>
  <r>
    <x v="75"/>
    <s v="whisper 好自在 台灣公司貨 無痕安心褲, 均碼, 2件, 1包"/>
    <m/>
    <s v="停產"/>
    <m/>
    <n v="1556.4"/>
    <n v="1497.02"/>
    <m/>
    <m/>
    <m/>
    <n v="0"/>
    <n v="0"/>
    <n v="0"/>
    <m/>
    <m/>
    <m/>
    <m/>
    <m/>
    <m/>
    <m/>
    <m/>
    <m/>
    <m/>
    <m/>
    <m/>
    <m/>
    <n v="0"/>
    <n v="0"/>
  </r>
  <r>
    <x v="76"/>
    <s v="whisper 好自在 台灣公司貨 INFINITY液體衛生棉 超長夜用 34cm, 10片, 夜用型, 1盒"/>
    <n v="82"/>
    <m/>
    <n v="12"/>
    <n v="1208.8800000000001"/>
    <n v="1157.3018940000002"/>
    <n v="357.01666666666665"/>
    <n v="357.01666666666665"/>
    <n v="345.5"/>
    <n v="4284"/>
    <n v="4284"/>
    <n v="4152"/>
    <m/>
    <m/>
    <m/>
    <n v="357"/>
    <m/>
    <m/>
    <m/>
    <m/>
    <m/>
    <m/>
    <m/>
    <m/>
    <m/>
    <n v="357"/>
    <n v="1.6666666666651508E-2"/>
  </r>
  <r>
    <x v="77"/>
    <s v="whisper 好自在 Radiant清新淨味 液體衛生棉/巾 棉柔表層 量多超薄 日用型, 27cm, 9片, 1盒"/>
    <n v="89"/>
    <m/>
    <n v="12"/>
    <n v="1208.8800000000001"/>
    <n v="1157.3018940000002"/>
    <n v="251.405303030303"/>
    <n v="251.405303030303"/>
    <n v="243.29545454545453"/>
    <n v="3012"/>
    <n v="3012"/>
    <n v="2916"/>
    <m/>
    <m/>
    <m/>
    <m/>
    <m/>
    <m/>
    <m/>
    <m/>
    <m/>
    <m/>
    <m/>
    <m/>
    <m/>
    <n v="0"/>
    <n v="251.405303030303"/>
  </r>
  <r>
    <x v="78"/>
    <s v="whisper 好自在 台灣公司貨 液體衛生棉清新淨味 31.7cm, 1包, 9片, 一般"/>
    <n v="89"/>
    <m/>
    <n v="12"/>
    <n v="1208.8800000000001"/>
    <n v="1157.3004000000001"/>
    <n v="142.47083333333333"/>
    <n v="142.47083333333333"/>
    <n v="137.875"/>
    <n v="1704"/>
    <n v="1704"/>
    <n v="1656"/>
    <m/>
    <m/>
    <m/>
    <m/>
    <m/>
    <m/>
    <m/>
    <m/>
    <m/>
    <m/>
    <m/>
    <m/>
    <m/>
    <n v="0"/>
    <n v="142.47083333333333"/>
  </r>
  <r>
    <x v="79"/>
    <s v="whisper 好自在 台灣公司貨 液體衛生棉清新淨味 24cm, 1包, 9片, 一般"/>
    <n v="89"/>
    <m/>
    <n v="12"/>
    <n v="1208.8800000000001"/>
    <n v="1157.3004000000001"/>
    <n v="182.94696969696966"/>
    <n v="182.94696969696966"/>
    <n v="177.04545454545453"/>
    <n v="2196"/>
    <n v="2196"/>
    <n v="2124"/>
    <m/>
    <m/>
    <m/>
    <m/>
    <n v="50"/>
    <m/>
    <m/>
    <m/>
    <m/>
    <m/>
    <m/>
    <m/>
    <m/>
    <n v="50"/>
    <n v="132.94696969696966"/>
  </r>
  <r>
    <x v="80"/>
    <s v="whisper 好自在 熊抱安睡褲XL, 24包, 2片, 內褲型"/>
    <n v="41"/>
    <s v="停產"/>
    <m/>
    <m/>
    <m/>
    <m/>
    <m/>
    <m/>
    <n v="0"/>
    <n v="0"/>
    <n v="0"/>
    <m/>
    <m/>
    <m/>
    <m/>
    <m/>
    <m/>
    <m/>
    <m/>
    <m/>
    <m/>
    <m/>
    <m/>
    <m/>
    <n v="0"/>
    <n v="0"/>
  </r>
  <r>
    <x v="81"/>
    <s v="whisper 好自在 台灣公司貨 Air Dry 雲枕瞬吸衛生棉 日用量大, 28cm, 10片, 1包"/>
    <n v="54"/>
    <m/>
    <n v="24"/>
    <n v="1366.48"/>
    <n v="1311.36"/>
    <n v="7.5512820512820511"/>
    <n v="7.5512820512820511"/>
    <n v="7.3076923076923075"/>
    <n v="192"/>
    <n v="192"/>
    <n v="168"/>
    <m/>
    <m/>
    <m/>
    <m/>
    <m/>
    <m/>
    <m/>
    <m/>
    <m/>
    <m/>
    <m/>
    <m/>
    <m/>
    <n v="0"/>
    <n v="7.5512820512820511"/>
  </r>
  <r>
    <x v="82"/>
    <s v="whisper 好自在 台灣公司貨 Air Dry 雲枕瞬吸衛生棉 日用, 24cm, 10片, 1包"/>
    <n v="54"/>
    <m/>
    <n v="24"/>
    <n v="1366.48"/>
    <n v="1311.36"/>
    <n v="0"/>
    <n v="0"/>
    <n v="0"/>
    <n v="0"/>
    <n v="0"/>
    <n v="0"/>
    <m/>
    <m/>
    <m/>
    <m/>
    <m/>
    <m/>
    <m/>
    <m/>
    <m/>
    <m/>
    <m/>
    <m/>
    <m/>
    <n v="0"/>
    <n v="0"/>
  </r>
  <r>
    <x v="83"/>
    <s v="whisper 好自在 台灣公司貨 Air Dry 雲枕瞬吸衛生棉 日用輕量型, 18cm , 12片, 1包"/>
    <n v="47"/>
    <m/>
    <n v="24"/>
    <n v="1156.25"/>
    <n v="1105.8499999999999"/>
    <n v="40.393939393939398"/>
    <n v="40.393939393939398"/>
    <n v="39.090909090909093"/>
    <n v="960"/>
    <n v="960"/>
    <n v="936"/>
    <m/>
    <m/>
    <m/>
    <m/>
    <m/>
    <m/>
    <m/>
    <m/>
    <m/>
    <m/>
    <m/>
    <m/>
    <m/>
    <n v="0"/>
    <n v="40.393939393939398"/>
  </r>
  <r>
    <x v="84"/>
    <s v="whisper 好自在 台灣公司貨 Air Dry 雲枕瞬吸衛生棉 日用量大加長, 32cm, 8片, 1包"/>
    <n v="54"/>
    <m/>
    <n v="24"/>
    <n v="1366.48"/>
    <n v="1311.36"/>
    <n v="0"/>
    <n v="0"/>
    <n v="0"/>
    <n v="0"/>
    <n v="0"/>
    <n v="0"/>
    <m/>
    <m/>
    <m/>
    <m/>
    <m/>
    <m/>
    <m/>
    <m/>
    <m/>
    <m/>
    <m/>
    <m/>
    <m/>
    <n v="0"/>
    <n v="0"/>
  </r>
  <r>
    <x v="85"/>
    <s v="whisper 好自在 台灣公司貨 Air Dry Fresh 草本健康衛生棉 日用量大, 28cm, 10片, 1包"/>
    <n v="54"/>
    <m/>
    <n v="24"/>
    <n v="1366.48"/>
    <n v="1311.36"/>
    <n v="124"/>
    <n v="123"/>
    <n v="0"/>
    <n v="2976"/>
    <n v="2952"/>
    <n v="0"/>
    <m/>
    <m/>
    <m/>
    <m/>
    <m/>
    <m/>
    <m/>
    <m/>
    <m/>
    <m/>
    <m/>
    <m/>
    <m/>
    <n v="0"/>
    <n v="124"/>
  </r>
  <r>
    <x v="86"/>
    <s v="whisper 好自在 台灣公司貨 Air Dry Fresh 草本健康衛生棉 量大加長, 32cm, 8片, 1包"/>
    <n v="54"/>
    <m/>
    <n v="24"/>
    <n v="1366.48"/>
    <n v="1311.36"/>
    <n v="50"/>
    <n v="49"/>
    <n v="0"/>
    <n v="1200"/>
    <n v="1176"/>
    <n v="0"/>
    <m/>
    <m/>
    <m/>
    <m/>
    <m/>
    <m/>
    <m/>
    <m/>
    <m/>
    <m/>
    <m/>
    <m/>
    <m/>
    <n v="0"/>
    <n v="50"/>
  </r>
  <r>
    <x v="87"/>
    <s v="whisper 好自在 台灣公司貨 Air Dry Fresh 草本健康衛生棉 日用普通, 24cm, 10片, 1包"/>
    <n v="54"/>
    <m/>
    <n v="24"/>
    <n v="1366.48"/>
    <n v="1311.36"/>
    <n v="0"/>
    <n v="0"/>
    <n v="0"/>
    <n v="0"/>
    <n v="0"/>
    <n v="0"/>
    <m/>
    <m/>
    <m/>
    <m/>
    <m/>
    <m/>
    <m/>
    <m/>
    <m/>
    <m/>
    <m/>
    <m/>
    <m/>
    <n v="0"/>
    <n v="0"/>
  </r>
  <r>
    <x v="88"/>
    <s v="whisper 好自在 台灣公司貨 Air Dry Fresh 純棉衛生棉 日用輕量型, 18cm, 12片, 1包"/>
    <n v="47"/>
    <m/>
    <n v="24"/>
    <n v="1156.25"/>
    <n v="1105.8499999999999"/>
    <n v="0"/>
    <n v="0"/>
    <n v="0"/>
    <n v="0"/>
    <n v="0"/>
    <n v="0"/>
    <m/>
    <m/>
    <m/>
    <m/>
    <m/>
    <m/>
    <m/>
    <m/>
    <m/>
    <m/>
    <m/>
    <m/>
    <m/>
    <n v="0"/>
    <n v="0"/>
  </r>
  <r>
    <x v="89"/>
    <s v="whisper 好自在 台灣公司貨 Air Dry 雲枕瞬吸衛生棉 日用量大加長, 32cm, 16片, 1袋"/>
    <n v="95"/>
    <m/>
    <n v="12"/>
    <n v="1208.81"/>
    <n v="1157.23"/>
    <n v="19.375"/>
    <n v="19.375"/>
    <n v="18.75"/>
    <n v="228"/>
    <n v="228"/>
    <n v="228"/>
    <m/>
    <m/>
    <m/>
    <n v="0"/>
    <m/>
    <m/>
    <m/>
    <m/>
    <m/>
    <m/>
    <m/>
    <m/>
    <m/>
    <n v="0"/>
    <n v="19.375"/>
  </r>
  <r>
    <x v="90"/>
    <s v="whisper 好自在 台灣公司貨 Air Dry 雲枕瞬吸衛生棉 日用, 24cm, 20片, 1袋"/>
    <n v="95"/>
    <m/>
    <n v="12"/>
    <n v="1208.81"/>
    <n v="1157.23"/>
    <n v="62"/>
    <n v="62"/>
    <n v="60"/>
    <n v="744"/>
    <n v="744"/>
    <n v="720"/>
    <m/>
    <m/>
    <m/>
    <m/>
    <m/>
    <m/>
    <m/>
    <m/>
    <m/>
    <m/>
    <m/>
    <m/>
    <m/>
    <n v="0"/>
    <n v="62"/>
  </r>
  <r>
    <x v="91"/>
    <s v="whisper 好自在 台灣公司貨 Air Dry Fresh 草本健康衛生棉 日用量大, 28cm, 20片, 1袋"/>
    <n v="95"/>
    <m/>
    <n v="12"/>
    <n v="1208.81"/>
    <n v="1157.23"/>
    <n v="0"/>
    <n v="0"/>
    <n v="0"/>
    <n v="0"/>
    <n v="0"/>
    <n v="0"/>
    <m/>
    <m/>
    <m/>
    <m/>
    <m/>
    <m/>
    <m/>
    <m/>
    <m/>
    <m/>
    <m/>
    <m/>
    <m/>
    <n v="0"/>
    <n v="0"/>
  </r>
  <r>
    <x v="92"/>
    <s v="whisper 好自在 台灣公司貨 Air Dry Fresh 草本健康衛生棉 量大加長, 32cm, 16片, 1袋"/>
    <n v="95"/>
    <m/>
    <n v="12"/>
    <n v="1208.81"/>
    <n v="1157.23"/>
    <n v="141.5"/>
    <n v="141"/>
    <n v="0"/>
    <n v="1698"/>
    <n v="1692"/>
    <n v="0"/>
    <m/>
    <m/>
    <m/>
    <m/>
    <m/>
    <m/>
    <m/>
    <m/>
    <m/>
    <m/>
    <m/>
    <m/>
    <m/>
    <n v="0"/>
    <n v="141.5"/>
  </r>
  <r>
    <x v="93"/>
    <s v="whisper 好自在 台灣公司貨 Air Dry 雲枕瞬吸衛生棉 日用量大, 28cm, 20片, 1袋"/>
    <n v="95"/>
    <m/>
    <n v="12"/>
    <n v="1208.81"/>
    <n v="1157.23"/>
    <n v="64.818181818181813"/>
    <n v="64.818181818181813"/>
    <n v="62.727272727272727"/>
    <n v="780"/>
    <n v="780"/>
    <n v="756"/>
    <m/>
    <m/>
    <m/>
    <m/>
    <m/>
    <m/>
    <m/>
    <m/>
    <m/>
    <m/>
    <m/>
    <m/>
    <m/>
    <n v="0"/>
    <n v="64.818181818181813"/>
  </r>
  <r>
    <x v="94"/>
    <s v="whisper 好自在 台灣公司貨 Air Dry Fresh 草本健康衛生棉 日用普通, 24cm, 20片, 1袋"/>
    <n v="95"/>
    <m/>
    <n v="12"/>
    <n v="1208.81"/>
    <n v="1157.23"/>
    <n v="18.226851851851851"/>
    <n v="18.226851851851851"/>
    <n v="17.638888888888889"/>
    <n v="216"/>
    <n v="216"/>
    <n v="216"/>
    <m/>
    <m/>
    <m/>
    <m/>
    <m/>
    <m/>
    <m/>
    <m/>
    <m/>
    <m/>
    <m/>
    <m/>
    <m/>
    <n v="0"/>
    <n v="18.226851851851851"/>
  </r>
  <r>
    <x v="95"/>
    <s v="whisper 好自在 經典款 液體衛生棉, 量大加長型 29.5cm, 夜用, 9片, 1個"/>
    <n v="74"/>
    <m/>
    <n v="12"/>
    <n v="1208.8800000000001"/>
    <n v="1157.3"/>
    <n v="30"/>
    <n v="30"/>
    <n v="30"/>
    <n v="360"/>
    <n v="360"/>
    <n v="360"/>
    <m/>
    <m/>
    <m/>
    <n v="5"/>
    <m/>
    <m/>
    <m/>
    <m/>
    <m/>
    <m/>
    <m/>
    <m/>
    <m/>
    <n v="5"/>
    <n v="25"/>
  </r>
  <r>
    <x v="96"/>
    <s v="whisper 好自在 熊抱安睡褲 L, 夜用, 8片, 1個"/>
    <n v="177"/>
    <m/>
    <n v="6"/>
    <n v="1226.47"/>
    <n v="1174.5"/>
    <n v="200"/>
    <n v="200"/>
    <n v="200"/>
    <n v="1200"/>
    <n v="1200"/>
    <n v="1200"/>
    <m/>
    <m/>
    <m/>
    <m/>
    <m/>
    <m/>
    <m/>
    <m/>
    <m/>
    <m/>
    <m/>
    <m/>
    <m/>
    <n v="0"/>
    <n v="200"/>
  </r>
  <r>
    <x v="97"/>
    <s v="whisper 好自在 熊抱安睡褲 M, 夜用, 8片, 1個"/>
    <n v="177"/>
    <m/>
    <n v="6"/>
    <n v="1226.47"/>
    <n v="1174.5"/>
    <n v="100"/>
    <n v="100"/>
    <n v="100"/>
    <n v="600"/>
    <n v="600"/>
    <n v="600"/>
    <m/>
    <m/>
    <m/>
    <n v="80"/>
    <m/>
    <m/>
    <m/>
    <m/>
    <m/>
    <m/>
    <m/>
    <m/>
    <m/>
    <n v="80"/>
    <n v="20"/>
  </r>
  <r>
    <x v="98"/>
    <s v="whisper 好自在 熊抱安睡褲 XL, 夜用, 8片, 1個"/>
    <n v="177"/>
    <m/>
    <n v="6"/>
    <n v="1226.47"/>
    <n v="1174.5"/>
    <n v="200"/>
    <n v="200"/>
    <n v="200"/>
    <n v="1200"/>
    <n v="1200"/>
    <n v="1200"/>
    <m/>
    <m/>
    <m/>
    <m/>
    <m/>
    <n v="200"/>
    <m/>
    <m/>
    <m/>
    <m/>
    <m/>
    <m/>
    <m/>
    <n v="200"/>
    <n v="0"/>
  </r>
  <r>
    <x v="99"/>
    <s v="whisper 好自在 經典款 液體衛生棉 量多日用型 27cm, 日用, 16片, 1個"/>
    <n v="131"/>
    <m/>
    <n v="12"/>
    <n v="1853.54"/>
    <n v="1787.49"/>
    <n v="250"/>
    <n v="250"/>
    <n v="250"/>
    <n v="3000"/>
    <n v="3000"/>
    <n v="3000"/>
    <m/>
    <m/>
    <m/>
    <m/>
    <n v="0"/>
    <m/>
    <m/>
    <m/>
    <m/>
    <m/>
    <m/>
    <m/>
    <m/>
    <n v="0"/>
    <n v="250"/>
  </r>
  <r>
    <x v="100"/>
    <s v="whisper 好自在 經典款 液體衛生棉 日用型 24cm 日用, 18片, 1個"/>
    <n v="147"/>
    <m/>
    <n v="12"/>
    <n v="2039.83"/>
    <n v="1969.6"/>
    <n v="0"/>
    <n v="0"/>
    <n v="0"/>
    <n v="0"/>
    <n v="0"/>
    <n v="0"/>
    <m/>
    <m/>
    <m/>
    <m/>
    <m/>
    <m/>
    <m/>
    <m/>
    <m/>
    <m/>
    <m/>
    <m/>
    <m/>
    <n v="0"/>
    <n v="0"/>
  </r>
  <r>
    <x v="101"/>
    <s v="whisper 好自在 無痕奢柔褲 內褲型, M~L, 3片, 1個"/>
    <n v="78"/>
    <m/>
    <n v="16"/>
    <n v="1431.63"/>
    <n v="1375.05"/>
    <n v="5.1666666666666661"/>
    <n v="5.1666666666666661"/>
    <n v="5"/>
    <n v="80"/>
    <n v="80"/>
    <n v="80"/>
    <m/>
    <m/>
    <m/>
    <n v="3"/>
    <m/>
    <n v="5"/>
    <m/>
    <m/>
    <m/>
    <m/>
    <m/>
    <m/>
    <m/>
    <n v="8"/>
    <n v="-2.8333333333333339"/>
  </r>
  <r>
    <x v="102"/>
    <s v="whisper 好自在 無痕奢柔褲 內褲型, XL, 3片, 1個"/>
    <n v="78"/>
    <m/>
    <n v="16"/>
    <n v="1431.63"/>
    <n v="1375.05"/>
    <n v="5.1666666666666661"/>
    <n v="5.1666666666666661"/>
    <n v="5"/>
    <n v="80"/>
    <n v="80"/>
    <n v="80"/>
    <m/>
    <m/>
    <m/>
    <n v="3"/>
    <m/>
    <n v="11"/>
    <m/>
    <m/>
    <m/>
    <m/>
    <m/>
    <m/>
    <m/>
    <n v="14"/>
    <n v="-8.8333333333333339"/>
  </r>
  <r>
    <x v="103"/>
    <s v="whisper 好自在 無痕早安褲 內褲型, M~L, 3片, 1個"/>
    <n v="78"/>
    <m/>
    <n v="16"/>
    <n v="1431.63"/>
    <n v="1375.05"/>
    <n v="3.875"/>
    <n v="3.875"/>
    <n v="3.75"/>
    <n v="64"/>
    <n v="64"/>
    <n v="64"/>
    <m/>
    <m/>
    <m/>
    <n v="2"/>
    <m/>
    <n v="20"/>
    <m/>
    <m/>
    <m/>
    <m/>
    <m/>
    <m/>
    <m/>
    <n v="22"/>
    <n v="-18.125"/>
  </r>
  <r>
    <x v="104"/>
    <s v="whisper 好自在 無痕早安褲, 內褲型, XL, 3片, 1包"/>
    <n v="78"/>
    <s v="新品"/>
    <n v="16"/>
    <n v="1431.63"/>
    <n v="1375.0512000000001"/>
    <n v="3.875"/>
    <n v="3.875"/>
    <n v="3.75"/>
    <n v="64"/>
    <n v="64"/>
    <n v="64"/>
    <m/>
    <m/>
    <m/>
    <m/>
    <m/>
    <m/>
    <m/>
    <m/>
    <m/>
    <m/>
    <m/>
    <m/>
    <m/>
    <n v="0"/>
    <n v="3.875"/>
  </r>
  <r>
    <x v="105"/>
    <s v="whisper 好自在 熊抱安睡褲 內褲型, L, 44片, 1套"/>
    <n v="895"/>
    <s v="停產"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06"/>
    <s v="whisper 好自在 無痕早安褲 內褲型, M~L, 3片, 11包"/>
    <n v="853"/>
    <s v="停產"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07"/>
    <s v="whisper 好自在 無痕早安褲 內褲型, M~L, 3片, 6包"/>
    <n v="465"/>
    <m/>
    <n v="1"/>
    <n v="507.72"/>
    <n v="471.88"/>
    <n v="62"/>
    <n v="62"/>
    <n v="60"/>
    <n v="62"/>
    <n v="62"/>
    <n v="60"/>
    <m/>
    <m/>
    <m/>
    <m/>
    <n v="6"/>
    <m/>
    <m/>
    <m/>
    <m/>
    <m/>
    <m/>
    <m/>
    <m/>
    <n v="6"/>
    <n v="56"/>
  </r>
  <r>
    <x v="108"/>
    <s v="whisper 好自在 無痕奢柔褲 內褲型, M~L, 3片, 11包"/>
    <n v="853"/>
    <s v="停產"/>
    <n v="1"/>
    <n v="1015.44"/>
    <m/>
    <n v="0"/>
    <n v="0"/>
    <n v="0"/>
    <n v="0"/>
    <n v="0"/>
    <n v="0"/>
    <m/>
    <m/>
    <m/>
    <m/>
    <m/>
    <m/>
    <m/>
    <m/>
    <m/>
    <m/>
    <m/>
    <m/>
    <m/>
    <n v="0"/>
    <n v="0"/>
  </r>
  <r>
    <x v="109"/>
    <s v="whisper 好自在 無痕奢柔褲 內褲型, M~L, 3片, 6包"/>
    <n v="465"/>
    <m/>
    <n v="1"/>
    <n v="507.72"/>
    <n v="471.88"/>
    <n v="82.666666666666657"/>
    <n v="82.666666666666657"/>
    <n v="80"/>
    <n v="83"/>
    <n v="83"/>
    <n v="80"/>
    <m/>
    <m/>
    <m/>
    <m/>
    <n v="6"/>
    <m/>
    <m/>
    <m/>
    <m/>
    <m/>
    <m/>
    <m/>
    <m/>
    <n v="6"/>
    <n v="76.666666666666657"/>
  </r>
  <r>
    <x v="110"/>
    <s v="whisper 好自在 無痕奢柔褲 內褲型, XL, 3片, 11包"/>
    <n v="853"/>
    <s v="停產"/>
    <n v="1"/>
    <n v="1015.44"/>
    <m/>
    <n v="0"/>
    <n v="0"/>
    <n v="0"/>
    <n v="0"/>
    <n v="0"/>
    <n v="0"/>
    <m/>
    <m/>
    <m/>
    <m/>
    <m/>
    <m/>
    <m/>
    <m/>
    <m/>
    <m/>
    <m/>
    <m/>
    <m/>
    <n v="0"/>
    <n v="0"/>
  </r>
  <r>
    <x v="111"/>
    <s v="whisper 好自在 無痕奢柔褲 內褲型, XL, 3片, 6包"/>
    <n v="465"/>
    <m/>
    <n v="1"/>
    <n v="507.72"/>
    <n v="471.88"/>
    <n v="82.666666666666657"/>
    <n v="82.666666666666657"/>
    <n v="80"/>
    <n v="83"/>
    <n v="83"/>
    <n v="80"/>
    <m/>
    <m/>
    <m/>
    <m/>
    <n v="6"/>
    <m/>
    <m/>
    <m/>
    <m/>
    <m/>
    <m/>
    <m/>
    <m/>
    <n v="6"/>
    <n v="76.666666666666657"/>
  </r>
  <r>
    <x v="112"/>
    <s v="whisper 好自在 熊抱安睡褲 L, 夜用, 8片, 3包"/>
    <n v="495"/>
    <m/>
    <n v="1"/>
    <n v="507.72"/>
    <n v="471.88"/>
    <n v="200"/>
    <n v="290"/>
    <n v="290"/>
    <n v="200"/>
    <n v="290"/>
    <n v="290"/>
    <m/>
    <m/>
    <m/>
    <m/>
    <n v="200"/>
    <n v="0"/>
    <m/>
    <m/>
    <m/>
    <m/>
    <m/>
    <m/>
    <m/>
    <n v="200"/>
    <n v="0"/>
  </r>
  <r>
    <x v="113"/>
    <s v="whisper 好自在 熊抱安睡褲 M, 夜用, 8片, 3包"/>
    <n v="495"/>
    <m/>
    <n v="1"/>
    <n v="507.72"/>
    <n v="471.88"/>
    <n v="200"/>
    <n v="450"/>
    <n v="450"/>
    <n v="200"/>
    <n v="450"/>
    <n v="450"/>
    <m/>
    <m/>
    <m/>
    <m/>
    <n v="60"/>
    <m/>
    <m/>
    <m/>
    <m/>
    <m/>
    <m/>
    <m/>
    <m/>
    <n v="60"/>
    <n v="140"/>
  </r>
  <r>
    <x v="114"/>
    <s v="whisper 好自在 熊抱安睡褲 XL, 夜用, 8片, 3包"/>
    <n v="495"/>
    <m/>
    <n v="1"/>
    <n v="507.72"/>
    <n v="471.88"/>
    <n v="200"/>
    <n v="600"/>
    <n v="1150"/>
    <n v="200"/>
    <n v="600"/>
    <n v="1150"/>
    <m/>
    <m/>
    <m/>
    <m/>
    <n v="200"/>
    <m/>
    <m/>
    <m/>
    <m/>
    <m/>
    <m/>
    <m/>
    <m/>
    <n v="200"/>
    <n v="0"/>
  </r>
  <r>
    <x v="115"/>
    <s v="[DS]whisper 好自在 台灣公司貨 Air Dry Fresh 純棉衛生棉 日用輕量型, 18cm, 12片, 12包"/>
    <n v="495"/>
    <m/>
    <n v="1"/>
    <n v="507.72"/>
    <n v="471.88"/>
    <n v="0"/>
    <n v="0"/>
    <n v="0"/>
    <n v="0"/>
    <n v="0"/>
    <n v="0"/>
    <m/>
    <m/>
    <m/>
    <m/>
    <m/>
    <n v="0"/>
    <m/>
    <m/>
    <m/>
    <m/>
    <m/>
    <m/>
    <m/>
    <n v="0"/>
    <n v="0"/>
  </r>
  <r>
    <x v="116"/>
    <s v="[DS]whisper 好自在 台灣公司貨 Air Dry Fresh 純棉衛生棉 日用輕量型, 18cm, 12片, 22包"/>
    <n v="883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17"/>
    <s v="whisper 好自在 AirDry 雲枕瞬吸量大組 20片 5包 + 12片 2包, 28cm + 18cm, 124片, 1套"/>
    <n v="49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18"/>
    <s v="whisper 好自在 AirDry 雲枕瞬吸普通組 20片 5包 + 12片 2包, 24cm + 18cm, 124片, 1套"/>
    <n v="49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19"/>
    <s v="whisper 好自在 熊抱安睡褲 內褲型, M, 44片, 1套"/>
    <n v="895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20"/>
    <s v="whisper 好自在 熊抱安睡褲 內褲型, XL, 44片, 1套"/>
    <n v="895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21"/>
    <s v="whisper 好自在 液體衛生棉 18片 7包 + 清新淨味液體衛生棉 9片 4包, 24cm, 162片, 1套"/>
    <n v="1330"/>
    <m/>
    <n v="1"/>
    <n v="1508"/>
    <n v="1449.71"/>
    <n v="0"/>
    <n v="0"/>
    <n v="0"/>
    <n v="0"/>
    <n v="0"/>
    <n v="0"/>
    <m/>
    <m/>
    <m/>
    <m/>
    <m/>
    <m/>
    <m/>
    <m/>
    <m/>
    <m/>
    <m/>
    <m/>
    <m/>
    <n v="0"/>
    <n v="0"/>
  </r>
  <r>
    <x v="122"/>
    <s v="whisper 好自在 液體衛生棉 16片 2包 + 清新淨味液體衛生棉 9片 2包, 27cm, 50片, 1套"/>
    <n v="43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23"/>
    <s v="whisper 好自在 AirDry 雲枕瞬吸普通組 20片 9包 + 12片 3包, 24cm + 18cm, 216片, 1套"/>
    <n v="883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24"/>
    <s v="whisper 好自在 液體衛生棉 16片 5包 + 清新淨味液體衛生棉 9片 3包, 27cm, 107片, 1套"/>
    <n v="883"/>
    <m/>
    <n v="1"/>
    <n v="1107"/>
    <n v="1057.71"/>
    <n v="100"/>
    <n v="100"/>
    <n v="100"/>
    <n v="100"/>
    <n v="100"/>
    <n v="100"/>
    <m/>
    <m/>
    <m/>
    <m/>
    <n v="36"/>
    <m/>
    <m/>
    <m/>
    <m/>
    <m/>
    <m/>
    <m/>
    <m/>
    <n v="36"/>
    <n v="64"/>
  </r>
  <r>
    <x v="125"/>
    <s v="whisper 好自在 液體衛生棉 18片 2包 + 清新淨味液體衛生棉 9片 2包, 24cm, 54片, 1套"/>
    <n v="43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26"/>
    <s v="whisper 好自在 液體衛生棉 9片 9包 + 清新淨味液體衛生棉 9片 3包, 29.5cm + 31.7cm, 108片, 1套"/>
    <n v="883"/>
    <m/>
    <n v="1"/>
    <n v="1107"/>
    <n v="1057.71"/>
    <n v="10.333333333333332"/>
    <n v="10.333333333333332"/>
    <n v="10"/>
    <n v="10"/>
    <n v="10"/>
    <n v="10"/>
    <m/>
    <m/>
    <m/>
    <n v="10"/>
    <m/>
    <n v="1"/>
    <m/>
    <m/>
    <m/>
    <m/>
    <m/>
    <m/>
    <m/>
    <n v="11"/>
    <n v="-0.66666666666666785"/>
  </r>
  <r>
    <x v="127"/>
    <s v="whisper 好自在 液體衛生棉 9片 4包 + 清新淨味液體衛生棉 9片 2包, 29.5cm + 31.7cm, 54片, 1套"/>
    <n v="43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28"/>
    <s v="whisper 好自在 液體衛生棉 10片 9包 + 清新淨味液體衛生棉 9片 2包, 34cm + 31.7cm, 108片, 1套"/>
    <n v="883"/>
    <m/>
    <n v="1"/>
    <n v="1107"/>
    <n v="1057.71"/>
    <n v="100"/>
    <n v="100"/>
    <n v="100"/>
    <n v="100"/>
    <n v="100"/>
    <n v="100"/>
    <m/>
    <m/>
    <m/>
    <n v="100"/>
    <m/>
    <m/>
    <m/>
    <m/>
    <m/>
    <m/>
    <m/>
    <m/>
    <m/>
    <n v="100"/>
    <n v="0"/>
  </r>
  <r>
    <x v="129"/>
    <s v="whisper 好自在 液體衛生棉 10片 3包 + 清新淨味液體衛生棉 9片 2包, 34cm + 31.7cm, 48片, 1套"/>
    <n v="43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30"/>
    <s v="whisper 好自在 液體衛生棉 9片 14包 + 清新淨味液體衛生棉 9片 4包, 29.5cm + 31.7cm, 162片, 1套"/>
    <n v="1330"/>
    <m/>
    <n v="1"/>
    <n v="1508"/>
    <n v="1449.71"/>
    <n v="0"/>
    <n v="0"/>
    <n v="0"/>
    <n v="0"/>
    <n v="0"/>
    <n v="0"/>
    <m/>
    <m/>
    <m/>
    <m/>
    <m/>
    <m/>
    <m/>
    <m/>
    <m/>
    <m/>
    <m/>
    <m/>
    <m/>
    <n v="0"/>
    <n v="0"/>
  </r>
  <r>
    <x v="131"/>
    <s v="whisper 好自在 液體衛生棉 18片 5包 + 清新淨味液體衛生棉 9片 2包, 24cm, 108片, 1套"/>
    <n v="883"/>
    <m/>
    <n v="1"/>
    <n v="1107"/>
    <n v="1057.71"/>
    <n v="80"/>
    <n v="80"/>
    <n v="80"/>
    <n v="80"/>
    <n v="80"/>
    <n v="80"/>
    <m/>
    <m/>
    <m/>
    <n v="80"/>
    <m/>
    <n v="0"/>
    <m/>
    <m/>
    <m/>
    <m/>
    <m/>
    <m/>
    <m/>
    <n v="80"/>
    <n v="0"/>
  </r>
  <r>
    <x v="132"/>
    <s v="whisper 好自在 液體衛生棉 10片 12包 + 清新淨味液體衛生棉 9片 4包, 34cm + 31.7cm, 156片, 1套"/>
    <n v="1330"/>
    <m/>
    <n v="1"/>
    <n v="1508"/>
    <n v="1449.71"/>
    <n v="0"/>
    <n v="0"/>
    <n v="0"/>
    <n v="0"/>
    <n v="0"/>
    <n v="0"/>
    <m/>
    <m/>
    <m/>
    <m/>
    <m/>
    <m/>
    <m/>
    <m/>
    <m/>
    <m/>
    <m/>
    <m/>
    <m/>
    <n v="0"/>
    <n v="0"/>
  </r>
  <r>
    <x v="133"/>
    <s v="whisper 好自在 液體衛生棉 16片 8包 + 清新淨味液體衛生棉 9片 4包, 27cm, 164片, 1套"/>
    <n v="1330"/>
    <m/>
    <n v="1"/>
    <n v="1508"/>
    <n v="1449.71"/>
    <n v="0"/>
    <n v="0"/>
    <n v="0"/>
    <n v="0"/>
    <n v="0"/>
    <n v="0"/>
    <m/>
    <m/>
    <m/>
    <m/>
    <m/>
    <m/>
    <m/>
    <m/>
    <m/>
    <m/>
    <m/>
    <m/>
    <m/>
    <n v="0"/>
    <n v="0"/>
  </r>
  <r>
    <x v="134"/>
    <s v="whisper 好自在 AirDry 雲枕瞬吸量大組 20片 9包 + 12片 3包, 28cm +18cm, 216片, 1套"/>
    <n v="883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35"/>
    <s v="whisper 好自在 AirDry Fresh 草本健康普通組 20片 5包 + 12片 2包, 24cm + 18cm, 124片, 1套"/>
    <n v="49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36"/>
    <s v="whisper 好自在 AirDry Fresh 草本健康量大組 20片 9包 + 12片 3包, 28cm + 18cm, 216片, 1套"/>
    <n v="883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37"/>
    <s v="whisper 好自在 AirDry 雲枕瞬吸量大組 10片+ 12片, 28cm + 18cm, 22片, 1套"/>
    <n v="79"/>
    <m/>
    <n v="24"/>
    <n v="1883.39"/>
    <n v="1816.67"/>
    <n v="445"/>
    <n v="0"/>
    <n v="0"/>
    <n v="10680"/>
    <n v="0"/>
    <n v="0"/>
    <m/>
    <m/>
    <m/>
    <n v="0"/>
    <m/>
    <m/>
    <m/>
    <m/>
    <m/>
    <m/>
    <m/>
    <m/>
    <m/>
    <n v="0"/>
    <n v="445"/>
  </r>
  <r>
    <x v="138"/>
    <s v="whisper 好自在 AirDry Fresh 草本健康量大組 10片 + 12片, 28cm + 18m, 22片, 1套"/>
    <n v="79"/>
    <m/>
    <n v="24"/>
    <n v="1883.39"/>
    <n v="1816.67"/>
    <n v="469"/>
    <n v="0"/>
    <n v="0"/>
    <n v="11256"/>
    <n v="0"/>
    <n v="0"/>
    <m/>
    <m/>
    <m/>
    <n v="0"/>
    <m/>
    <m/>
    <m/>
    <m/>
    <m/>
    <m/>
    <m/>
    <m/>
    <m/>
    <n v="0"/>
    <n v="469"/>
  </r>
  <r>
    <x v="139"/>
    <s v="whisper 好自在 AirDry Fresh 草本健康普通組 20片 9包 + 12片 3包, 24cm + 18cm, 216片, 1套"/>
    <n v="883"/>
    <m/>
    <n v="1"/>
    <n v="1015.44"/>
    <n v="968.2"/>
    <n v="0"/>
    <n v="0"/>
    <n v="0"/>
    <n v="0"/>
    <n v="0"/>
    <n v="0"/>
    <m/>
    <m/>
    <m/>
    <m/>
    <m/>
    <m/>
    <m/>
    <m/>
    <m/>
    <m/>
    <m/>
    <m/>
    <m/>
    <n v="0"/>
    <n v="0"/>
  </r>
  <r>
    <x v="140"/>
    <s v="whisper 好自在 AirDry Fresh 草本健康量大組 20片 5包 + 12片 2包, 28cm + 18cm, 124片, 1套"/>
    <n v="495"/>
    <m/>
    <n v="1"/>
    <n v="507.72"/>
    <n v="471.88"/>
    <n v="0"/>
    <n v="0"/>
    <n v="0"/>
    <n v="0"/>
    <n v="0"/>
    <n v="0"/>
    <m/>
    <m/>
    <m/>
    <m/>
    <m/>
    <m/>
    <m/>
    <m/>
    <m/>
    <m/>
    <m/>
    <m/>
    <m/>
    <n v="0"/>
    <n v="0"/>
  </r>
  <r>
    <x v="141"/>
    <s v="Gillette 吉列 Labs 極光系列 刮鬍刀組, 刀架 + 刀頭 2個 + 刀座, 1組"/>
    <n v="580"/>
    <m/>
    <n v="6"/>
    <n v="3652.8"/>
    <n v="3559.0640400000002"/>
    <n v="0"/>
    <n v="0"/>
    <n v="50"/>
    <n v="0"/>
    <n v="0"/>
    <n v="300"/>
    <m/>
    <m/>
    <m/>
    <m/>
    <m/>
    <m/>
    <m/>
    <m/>
    <m/>
    <m/>
    <m/>
    <m/>
    <m/>
    <n v="0"/>
    <n v="0"/>
  </r>
  <r>
    <x v="142"/>
    <s v="Gillette 吉列 Mach3 Turbo 鋒速突破系列刮鬍刀頭, 4個, 1盒"/>
    <n v="295"/>
    <m/>
    <n v="12"/>
    <n v="3693.6"/>
    <n v="3598.9480800000001"/>
    <n v="0"/>
    <n v="0"/>
    <n v="50"/>
    <n v="0"/>
    <n v="0"/>
    <n v="600"/>
    <m/>
    <m/>
    <m/>
    <m/>
    <m/>
    <m/>
    <m/>
    <m/>
    <m/>
    <m/>
    <m/>
    <m/>
    <m/>
    <n v="0"/>
    <n v="0"/>
  </r>
  <r>
    <x v="143"/>
    <s v="Gillette 吉列 台灣公司貨 Mach3 鋒速系列刮鬍刀頭, 8個, 1盒"/>
    <n v="435"/>
    <m/>
    <n v="12"/>
    <n v="5492.4"/>
    <n v="5357.3650199999993"/>
    <n v="0"/>
    <n v="0"/>
    <n v="50"/>
    <n v="0"/>
    <n v="0"/>
    <n v="600"/>
    <m/>
    <m/>
    <m/>
    <m/>
    <m/>
    <m/>
    <m/>
    <m/>
    <m/>
    <m/>
    <m/>
    <m/>
    <m/>
    <n v="0"/>
    <n v="0"/>
  </r>
  <r>
    <x v="144"/>
    <s v="Gillette 吉列 台灣公司貨 Mach3 Turbo 鋒速突破系列刮鬍刀組, 刀架+刀頭*2, 1盒"/>
    <n v="180"/>
    <m/>
    <n v="4"/>
    <n v="758.8"/>
    <n v="730.03433999999993"/>
    <n v="0"/>
    <n v="0"/>
    <n v="50"/>
    <n v="0"/>
    <n v="0"/>
    <n v="200"/>
    <m/>
    <m/>
    <m/>
    <m/>
    <m/>
    <m/>
    <m/>
    <m/>
    <m/>
    <m/>
    <m/>
    <m/>
    <m/>
    <n v="0"/>
    <n v="0"/>
  </r>
  <r>
    <x v="145"/>
    <s v="Gillette 吉列 台灣公司貨 Labs 極光系列 刮鬍刀頭, 8個, 1盒"/>
    <n v="920"/>
    <m/>
    <n v="10"/>
    <n v="9712"/>
    <n v="9482.2350000000006"/>
    <n v="0"/>
    <n v="0"/>
    <n v="50"/>
    <n v="0"/>
    <n v="0"/>
    <n v="500"/>
    <m/>
    <m/>
    <m/>
    <m/>
    <m/>
    <m/>
    <m/>
    <m/>
    <m/>
    <m/>
    <m/>
    <m/>
    <m/>
    <n v="0"/>
    <n v="0"/>
  </r>
  <r>
    <x v="146"/>
    <s v="Gillette 吉列 台灣公司貨 Labs 極光系列 刮鬍刀頭, 4個, 1盒"/>
    <n v="610"/>
    <m/>
    <n v="10"/>
    <n v="6420"/>
    <n v="6264.1404000000002"/>
    <n v="0"/>
    <n v="0"/>
    <n v="50"/>
    <n v="0"/>
    <n v="0"/>
    <n v="500"/>
    <m/>
    <m/>
    <m/>
    <m/>
    <m/>
    <m/>
    <m/>
    <m/>
    <m/>
    <m/>
    <m/>
    <m/>
    <m/>
    <n v="0"/>
    <n v="0"/>
  </r>
  <r>
    <x v="147"/>
    <s v="Gillette 吉列 原廠公司貨 Proglide無感系列刮鬍刀頭, 1組, 4個"/>
    <n v="470"/>
    <m/>
    <n v="20"/>
    <n v="9034"/>
    <n v="8819.4599999999991"/>
    <n v="0"/>
    <n v="0"/>
    <n v="50"/>
    <n v="0"/>
    <n v="0"/>
    <n v="1000"/>
    <m/>
    <m/>
    <m/>
    <m/>
    <m/>
    <m/>
    <m/>
    <m/>
    <m/>
    <m/>
    <m/>
    <m/>
    <m/>
    <n v="0"/>
    <n v="0"/>
  </r>
  <r>
    <x v="148"/>
    <s v="Gillette 吉列 原廠公司貨 ProShield鋒護系列 刮鬍刀頭, 4個, 1組"/>
    <n v="525"/>
    <m/>
    <n v="20"/>
    <n v="10223.219999999999"/>
    <n v="10470"/>
    <n v="0"/>
    <n v="0"/>
    <n v="50"/>
    <n v="0"/>
    <n v="0"/>
    <n v="1000"/>
    <m/>
    <m/>
    <m/>
    <m/>
    <m/>
    <m/>
    <m/>
    <m/>
    <m/>
    <m/>
    <m/>
    <m/>
    <m/>
    <n v="0"/>
    <n v="0"/>
  </r>
  <r>
    <x v="149"/>
    <s v="Gillette 吉列 服貼滑順輕便刮鬍刀, 10支, 1包"/>
    <n v="93"/>
    <m/>
    <n v="12"/>
    <n v="1032"/>
    <n v="997.1"/>
    <n v="53"/>
    <n v="32"/>
    <n v="117"/>
    <n v="636"/>
    <n v="384"/>
    <n v="1404"/>
    <m/>
    <m/>
    <m/>
    <m/>
    <m/>
    <m/>
    <m/>
    <m/>
    <m/>
    <m/>
    <m/>
    <m/>
    <m/>
    <n v="0"/>
    <n v="53"/>
  </r>
  <r>
    <x v="150"/>
    <s v="Gillette 吉列 SkinGuard 紳適系列刮鬍刀頭, 4個, 1組"/>
    <n v="419"/>
    <m/>
    <n v="20"/>
    <n v="8808"/>
    <n v="8598.5300000000007"/>
    <n v="4"/>
    <n v="4"/>
    <n v="50"/>
    <n v="80"/>
    <n v="80"/>
    <n v="1000"/>
    <m/>
    <m/>
    <m/>
    <n v="2"/>
    <m/>
    <m/>
    <m/>
    <m/>
    <m/>
    <m/>
    <m/>
    <m/>
    <m/>
    <n v="2"/>
    <n v="2"/>
  </r>
  <r>
    <x v="151"/>
    <s v="Gillette 吉列 Labs 極光系列 刮鬍刀組, 刀架 + 刀頭 5個 + 刀座 + 旅行盒, 1組"/>
    <n v="995"/>
    <m/>
    <n v="6"/>
    <n v="6275.4"/>
    <n v="6122.7866700000004"/>
    <n v="50"/>
    <n v="50"/>
    <n v="50"/>
    <n v="300"/>
    <n v="300"/>
    <n v="300"/>
    <m/>
    <m/>
    <m/>
    <n v="20"/>
    <m/>
    <m/>
    <m/>
    <m/>
    <m/>
    <m/>
    <m/>
    <m/>
    <m/>
    <n v="20"/>
    <n v="30"/>
  </r>
  <r>
    <x v="152"/>
    <s v="Gillette 吉列 維納斯 敏感肌適用除毛刀頭, 4個, 1盒"/>
    <n v="428"/>
    <s v="新品"/>
    <n v="4"/>
    <n v="1780"/>
    <n v="1728.31"/>
    <n v="75"/>
    <n v="75"/>
    <n v="100"/>
    <n v="300"/>
    <n v="300"/>
    <n v="400"/>
    <m/>
    <m/>
    <m/>
    <m/>
    <m/>
    <m/>
    <m/>
    <m/>
    <m/>
    <m/>
    <m/>
    <m/>
    <m/>
    <n v="0"/>
    <n v="75"/>
  </r>
  <r>
    <x v="153"/>
    <s v="Gillette 吉列 維納斯 敏感肌適用除毛刀, 1刀架+2刀頭, 1組"/>
    <n v="289"/>
    <s v="新品"/>
    <n v="4"/>
    <n v="1203.5999999999999"/>
    <n v="1164.8499999999999"/>
    <n v="75"/>
    <n v="75"/>
    <n v="100"/>
    <n v="300"/>
    <n v="300"/>
    <n v="400"/>
    <m/>
    <m/>
    <m/>
    <m/>
    <n v="1"/>
    <m/>
    <m/>
    <m/>
    <m/>
    <m/>
    <m/>
    <m/>
    <m/>
    <n v="1"/>
    <n v="74"/>
  </r>
  <r>
    <x v="154"/>
    <s v="Gillette 吉列 Fusion鋒隱系列刮鬍刀頭, 1組, 4個"/>
    <n v="323"/>
    <m/>
    <n v="20"/>
    <n v="7163.15"/>
    <n v="6990.6066825000007"/>
    <n v="10"/>
    <n v="6"/>
    <n v="23"/>
    <m/>
    <m/>
    <m/>
    <m/>
    <m/>
    <m/>
    <m/>
    <m/>
    <m/>
    <m/>
    <m/>
    <m/>
    <m/>
    <m/>
    <m/>
    <m/>
    <n v="0"/>
    <n v="10"/>
  </r>
  <r>
    <x v="155"/>
    <s v="Gillette 吉列 Fusion鋒隱系列刮鬍刀頭 (8刀頭)"/>
    <n v="557"/>
    <m/>
    <n v="10"/>
    <n v="5963.4"/>
    <n v="5817.7910699999993"/>
    <n v="55"/>
    <n v="34"/>
    <n v="122"/>
    <m/>
    <m/>
    <m/>
    <m/>
    <m/>
    <m/>
    <m/>
    <m/>
    <m/>
    <m/>
    <m/>
    <m/>
    <m/>
    <m/>
    <m/>
    <m/>
    <n v="0"/>
    <n v="55"/>
  </r>
  <r>
    <x v="156"/>
    <s v="Gillette 吉列 Fusion 鋒隱系列 刮鬍刀, 刀架*1+刀頭*2, 1組"/>
    <n v="185"/>
    <m/>
    <n v="6"/>
    <n v="1210.2"/>
    <n v="1171.3004100000001"/>
    <n v="54"/>
    <n v="33"/>
    <n v="119"/>
    <m/>
    <m/>
    <m/>
    <m/>
    <m/>
    <m/>
    <m/>
    <m/>
    <m/>
    <m/>
    <m/>
    <m/>
    <m/>
    <m/>
    <m/>
    <m/>
    <n v="0"/>
    <n v="54"/>
  </r>
  <r>
    <x v="157"/>
    <s v="Gillette 吉列 Proglide 無感系列 刮鬍刀, 刀架*1+刀頭*2, 1組"/>
    <n v="228"/>
    <m/>
    <n v="6"/>
    <n v="1527.6"/>
    <n v="1481.5747799999999"/>
    <n v="83"/>
    <n v="51"/>
    <n v="183"/>
    <m/>
    <m/>
    <m/>
    <m/>
    <m/>
    <m/>
    <m/>
    <m/>
    <m/>
    <m/>
    <m/>
    <m/>
    <m/>
    <m/>
    <m/>
    <m/>
    <n v="0"/>
    <n v="83"/>
  </r>
  <r>
    <x v="158"/>
    <s v="Gillette 吉列 Proshield鋒護系列刮鬍刀, 刀架*1+刀頭*2, 1組"/>
    <n v="268"/>
    <m/>
    <n v="6"/>
    <n v="1793.4"/>
    <n v="1741.4075700000003"/>
    <n v="0"/>
    <n v="0"/>
    <n v="0"/>
    <m/>
    <m/>
    <m/>
    <m/>
    <m/>
    <m/>
    <m/>
    <m/>
    <m/>
    <m/>
    <m/>
    <m/>
    <m/>
    <m/>
    <m/>
    <m/>
    <n v="0"/>
    <n v="0"/>
  </r>
  <r>
    <x v="159"/>
    <s v="Gillette 吉列 Mach3 鋒速系列刮鬍刀頭 4刀入"/>
    <n v="260"/>
    <m/>
    <n v="12"/>
    <n v="3271.2"/>
    <n v="3186.0309600000001"/>
    <n v="7"/>
    <n v="4"/>
    <n v="16"/>
    <m/>
    <m/>
    <m/>
    <m/>
    <m/>
    <m/>
    <m/>
    <m/>
    <m/>
    <m/>
    <m/>
    <m/>
    <m/>
    <m/>
    <m/>
    <m/>
    <n v="0"/>
    <n v="7"/>
  </r>
  <r>
    <x v="160"/>
    <s v="Gillette 吉列 Mach3 鋒速系列刮鬍刀 1刀架2刀頭"/>
    <n v="165"/>
    <m/>
    <n v="4"/>
    <n v="698"/>
    <n v="670.59930000000008"/>
    <n v="30"/>
    <n v="18"/>
    <n v="66"/>
    <m/>
    <m/>
    <m/>
    <m/>
    <m/>
    <m/>
    <m/>
    <m/>
    <m/>
    <m/>
    <m/>
    <m/>
    <m/>
    <m/>
    <m/>
    <m/>
    <n v="0"/>
    <n v="30"/>
  </r>
  <r>
    <x v="161"/>
    <s v="OLAY 歐蕾 台灣公司貨 水感透白面膜, 5片, 1盒"/>
    <n v="263"/>
    <m/>
    <n v="6"/>
    <n v="1691.58"/>
    <n v="1641.87"/>
    <n v="0"/>
    <n v="34"/>
    <n v="73"/>
    <n v="0"/>
    <n v="204"/>
    <n v="438"/>
    <m/>
    <m/>
    <m/>
    <m/>
    <m/>
    <m/>
    <m/>
    <m/>
    <m/>
    <m/>
    <m/>
    <m/>
    <m/>
    <n v="0"/>
    <n v="0"/>
  </r>
  <r>
    <x v="162"/>
    <s v="OLAY 歐蕾 台灣公司貨 多效防曬日霜優惠組, 1組"/>
    <n v="726"/>
    <m/>
    <n v="12"/>
    <n v="9568"/>
    <n v="9341.4678000000004"/>
    <n v="3"/>
    <n v="4"/>
    <n v="13"/>
    <n v="36"/>
    <n v="48"/>
    <n v="156"/>
    <m/>
    <m/>
    <m/>
    <m/>
    <m/>
    <m/>
    <m/>
    <m/>
    <m/>
    <m/>
    <m/>
    <m/>
    <m/>
    <n v="0"/>
    <n v="3"/>
  </r>
  <r>
    <x v="163"/>
    <s v="OLAY 歐蕾 台灣公司貨 抗皺保濕面膜, 5片, 1盒"/>
    <n v="264"/>
    <s v="停產"/>
    <n v="12"/>
    <n v="3383.16"/>
    <n v="3295.48"/>
    <m/>
    <m/>
    <m/>
    <n v="0"/>
    <n v="0"/>
    <n v="0"/>
    <m/>
    <m/>
    <m/>
    <m/>
    <m/>
    <m/>
    <m/>
    <m/>
    <m/>
    <m/>
    <m/>
    <m/>
    <m/>
    <n v="0"/>
    <n v="0"/>
  </r>
  <r>
    <x v="164"/>
    <s v="OLAY 歐蕾 台灣公司貨 滋潤保溼霜, 100g, 1罐"/>
    <n v="220"/>
    <m/>
    <n v="6"/>
    <n v="1458.4"/>
    <n v="1413.93"/>
    <n v="1"/>
    <n v="10"/>
    <n v="22"/>
    <n v="6"/>
    <n v="60"/>
    <n v="132"/>
    <m/>
    <m/>
    <m/>
    <m/>
    <m/>
    <m/>
    <m/>
    <m/>
    <m/>
    <m/>
    <m/>
    <m/>
    <m/>
    <n v="0"/>
    <n v="1"/>
  </r>
  <r>
    <x v="165"/>
    <s v="OLAY 歐蕾 台灣公司貨 滋潤保濕霜 無添加色素香料, 100g, 1罐"/>
    <n v="220"/>
    <m/>
    <n v="6"/>
    <n v="1458.4"/>
    <n v="1413.93"/>
    <n v="19"/>
    <n v="14"/>
    <n v="47"/>
    <n v="114"/>
    <n v="84"/>
    <n v="282"/>
    <m/>
    <m/>
    <m/>
    <m/>
    <m/>
    <m/>
    <m/>
    <m/>
    <m/>
    <m/>
    <m/>
    <m/>
    <m/>
    <n v="0"/>
    <n v="19"/>
  </r>
  <r>
    <x v="166"/>
    <s v="OLAY 歐蕾 多元修護日霜, 50g, 1罐"/>
    <n v="355"/>
    <m/>
    <n v="12"/>
    <n v="4783.99"/>
    <n v="4664.8588245000001"/>
    <n v="8"/>
    <n v="18"/>
    <n v="45"/>
    <n v="96"/>
    <n v="216"/>
    <n v="540"/>
    <m/>
    <m/>
    <m/>
    <m/>
    <m/>
    <m/>
    <m/>
    <m/>
    <m/>
    <m/>
    <m/>
    <m/>
    <m/>
    <n v="0"/>
    <n v="8"/>
  </r>
  <r>
    <x v="167"/>
    <s v="OLAY 歐蕾 多元修護晚霜(6066), 50g, 1罐"/>
    <n v="355"/>
    <m/>
    <n v="12"/>
    <n v="4783.99"/>
    <n v="4664.8588245000001"/>
    <n v="11"/>
    <n v="15"/>
    <n v="41"/>
    <n v="132"/>
    <n v="180"/>
    <n v="492"/>
    <m/>
    <m/>
    <m/>
    <m/>
    <m/>
    <m/>
    <m/>
    <m/>
    <m/>
    <m/>
    <m/>
    <m/>
    <m/>
    <n v="0"/>
    <n v="11"/>
  </r>
  <r>
    <x v="168"/>
    <s v="OLAY 歐蕾 多元修護霜無香料配方, 50g , 1入"/>
    <n v="365"/>
    <m/>
    <n v="6"/>
    <n v="2387.9899999999998"/>
    <n v="2322.6490245"/>
    <n v="17"/>
    <n v="23"/>
    <n v="64"/>
    <n v="102"/>
    <n v="138"/>
    <n v="384"/>
    <m/>
    <m/>
    <m/>
    <m/>
    <m/>
    <m/>
    <m/>
    <m/>
    <m/>
    <m/>
    <m/>
    <m/>
    <m/>
    <n v="0"/>
    <n v="17"/>
  </r>
  <r>
    <x v="169"/>
    <s v="OLAY 歐蕾 長效保濕凝露, 50g, 1罐"/>
    <n v="196"/>
    <m/>
    <n v="12"/>
    <n v="2570.6799999999998"/>
    <n v="2501.2376340000001"/>
    <n v="0"/>
    <n v="11"/>
    <n v="24"/>
    <n v="0"/>
    <n v="132"/>
    <n v="288"/>
    <m/>
    <m/>
    <m/>
    <m/>
    <m/>
    <m/>
    <m/>
    <m/>
    <m/>
    <m/>
    <m/>
    <m/>
    <m/>
    <n v="0"/>
    <n v="0"/>
  </r>
  <r>
    <x v="170"/>
    <s v="OLAY 歐蕾 活膚菁華霜, 50g, 1罐"/>
    <n v="264"/>
    <m/>
    <n v="6"/>
    <n v="1788"/>
    <n v="1736.1288000000002"/>
    <n v="24"/>
    <n v="33"/>
    <n v="90"/>
    <n v="144"/>
    <n v="198"/>
    <n v="540"/>
    <m/>
    <m/>
    <m/>
    <m/>
    <m/>
    <m/>
    <m/>
    <m/>
    <m/>
    <m/>
    <m/>
    <m/>
    <m/>
    <n v="0"/>
    <n v="24"/>
  </r>
  <r>
    <x v="171"/>
    <s v="OLAY 歐蕾 滋潤保濕乳液, 150ml, 1瓶"/>
    <n v="176"/>
    <m/>
    <n v="6"/>
    <n v="1192"/>
    <n v="1153.509"/>
    <n v="41"/>
    <n v="27"/>
    <n v="94"/>
    <n v="246"/>
    <n v="162"/>
    <n v="564"/>
    <m/>
    <m/>
    <m/>
    <m/>
    <m/>
    <m/>
    <m/>
    <m/>
    <m/>
    <m/>
    <m/>
    <m/>
    <m/>
    <n v="0"/>
    <n v="41"/>
  </r>
  <r>
    <x v="172"/>
    <s v="OLAY 歐蕾 滋潤緊緻優惠組 護膚霜50g+護膚霜14g*2+精華水18ml*2, 1組"/>
    <n v="565"/>
    <m/>
    <n v="6"/>
    <n v="3708"/>
    <n v="3613.0248000000001"/>
    <m/>
    <m/>
    <m/>
    <n v="0"/>
    <n v="0"/>
    <n v="0"/>
    <m/>
    <m/>
    <m/>
    <m/>
    <m/>
    <m/>
    <m/>
    <m/>
    <m/>
    <m/>
    <m/>
    <m/>
    <m/>
    <n v="0"/>
    <n v="0"/>
  </r>
  <r>
    <x v="173"/>
    <s v="OLAY 歐蕾水感透白光曜精華水, 150ml, 1瓶"/>
    <n v="502"/>
    <m/>
    <n v="12"/>
    <n v="6626.4"/>
    <n v="6465.906719999999"/>
    <n v="21"/>
    <n v="13"/>
    <n v="47"/>
    <n v="252"/>
    <n v="156"/>
    <n v="564"/>
    <m/>
    <m/>
    <m/>
    <m/>
    <m/>
    <m/>
    <m/>
    <m/>
    <m/>
    <m/>
    <m/>
    <m/>
    <m/>
    <n v="0"/>
    <n v="21"/>
  </r>
  <r>
    <x v="174"/>
    <s v="OLAY 歐蕾 台灣公司貨 胜肽專研密集奢護面膜, 5片, 1盒"/>
    <n v="280"/>
    <s v="新品"/>
    <n v="12"/>
    <n v="3520.8"/>
    <n v="3430.03"/>
    <n v="32"/>
    <n v="19"/>
    <n v="71"/>
    <n v="384"/>
    <n v="228"/>
    <n v="852"/>
    <m/>
    <m/>
    <m/>
    <m/>
    <m/>
    <m/>
    <m/>
    <m/>
    <m/>
    <m/>
    <m/>
    <m/>
    <m/>
    <n v="0"/>
    <n v="32"/>
  </r>
  <r>
    <x v="54"/>
    <m/>
    <m/>
    <m/>
    <m/>
    <m/>
    <m/>
    <m/>
    <m/>
    <m/>
    <m/>
    <m/>
    <m/>
    <m/>
    <m/>
    <m/>
    <n v="882"/>
    <n v="1954"/>
    <n v="451"/>
    <m/>
    <m/>
    <m/>
    <m/>
    <m/>
    <m/>
    <m/>
    <n v="3287"/>
    <m/>
  </r>
  <r>
    <x v="54"/>
    <m/>
    <m/>
    <m/>
    <m/>
    <m/>
    <m/>
    <m/>
    <m/>
    <m/>
    <m/>
    <m/>
    <m/>
    <m/>
    <m/>
    <m/>
    <m/>
    <m/>
    <m/>
    <m/>
    <m/>
    <m/>
    <m/>
    <m/>
    <m/>
    <m/>
    <m/>
    <m/>
  </r>
  <r>
    <x v="54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15A31-6EA7-42DA-ACBC-FDDF9990B174}" name="樞紐分析表1" cacheId="8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3:B179" firstHeaderRow="1" firstDataRow="1" firstDataCol="1"/>
  <pivotFields count="28">
    <pivotField axis="axisRow" showAll="0">
      <items count="176">
        <item x="67"/>
        <item x="170"/>
        <item x="142"/>
        <item x="143"/>
        <item x="159"/>
        <item x="168"/>
        <item x="167"/>
        <item x="166"/>
        <item x="169"/>
        <item x="152"/>
        <item x="96"/>
        <item x="173"/>
        <item x="74"/>
        <item x="73"/>
        <item x="71"/>
        <item x="72"/>
        <item x="146"/>
        <item x="145"/>
        <item x="141"/>
        <item x="151"/>
        <item x="162"/>
        <item x="172"/>
        <item x="97"/>
        <item x="155"/>
        <item x="156"/>
        <item x="157"/>
        <item x="158"/>
        <item x="154"/>
        <item x="79"/>
        <item x="77"/>
        <item x="78"/>
        <item x="76"/>
        <item x="163"/>
        <item x="98"/>
        <item x="80"/>
        <item x="48"/>
        <item x="45"/>
        <item x="44"/>
        <item x="46"/>
        <item x="47"/>
        <item x="49"/>
        <item x="160"/>
        <item x="144"/>
        <item x="161"/>
        <item x="165"/>
        <item x="164"/>
        <item x="147"/>
        <item x="148"/>
        <item x="150"/>
        <item x="20"/>
        <item x="18"/>
        <item x="19"/>
        <item x="17"/>
        <item x="149"/>
        <item x="89"/>
        <item x="92"/>
        <item x="26"/>
        <item x="27"/>
        <item x="22"/>
        <item x="33"/>
        <item x="29"/>
        <item x="23"/>
        <item x="34"/>
        <item x="25"/>
        <item x="24"/>
        <item x="32"/>
        <item x="21"/>
        <item x="30"/>
        <item x="28"/>
        <item x="31"/>
        <item x="153"/>
        <item x="138"/>
        <item x="137"/>
        <item x="57"/>
        <item x="59"/>
        <item x="58"/>
        <item x="9"/>
        <item x="10"/>
        <item x="12"/>
        <item x="16"/>
        <item x="5"/>
        <item x="1"/>
        <item x="3"/>
        <item x="7"/>
        <item x="0"/>
        <item x="2"/>
        <item x="6"/>
        <item x="4"/>
        <item x="8"/>
        <item x="11"/>
        <item x="174"/>
        <item x="123"/>
        <item x="134"/>
        <item x="139"/>
        <item x="136"/>
        <item x="116"/>
        <item x="132"/>
        <item x="130"/>
        <item x="113"/>
        <item x="126"/>
        <item x="128"/>
        <item x="140"/>
        <item x="125"/>
        <item x="117"/>
        <item x="121"/>
        <item x="111"/>
        <item x="133"/>
        <item x="124"/>
        <item x="108"/>
        <item x="105"/>
        <item x="135"/>
        <item x="109"/>
        <item x="118"/>
        <item x="129"/>
        <item x="107"/>
        <item x="115"/>
        <item x="122"/>
        <item x="119"/>
        <item x="127"/>
        <item x="120"/>
        <item x="131"/>
        <item x="110"/>
        <item x="112"/>
        <item x="106"/>
        <item x="114"/>
        <item x="41"/>
        <item x="38"/>
        <item x="40"/>
        <item x="37"/>
        <item x="43"/>
        <item x="39"/>
        <item x="42"/>
        <item x="35"/>
        <item x="36"/>
        <item x="52"/>
        <item x="51"/>
        <item x="50"/>
        <item x="53"/>
        <item x="14"/>
        <item x="15"/>
        <item x="66"/>
        <item x="13"/>
        <item x="82"/>
        <item x="68"/>
        <item x="70"/>
        <item x="69"/>
        <item x="99"/>
        <item x="100"/>
        <item x="88"/>
        <item x="75"/>
        <item x="90"/>
        <item x="83"/>
        <item x="95"/>
        <item x="101"/>
        <item x="93"/>
        <item x="104"/>
        <item x="102"/>
        <item x="103"/>
        <item x="84"/>
        <item x="81"/>
        <item x="91"/>
        <item x="87"/>
        <item x="86"/>
        <item x="85"/>
        <item x="94"/>
        <item x="60"/>
        <item x="63"/>
        <item x="61"/>
        <item x="56"/>
        <item x="55"/>
        <item x="64"/>
        <item x="65"/>
        <item x="62"/>
        <item x="171"/>
        <item x="5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 t="grand">
      <x/>
    </i>
  </rowItems>
  <colItems count="1">
    <i/>
  </colItems>
  <dataFields count="1">
    <dataField name="加總 - PG剩餘可供貨量(CS)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0D1C-82A5-44BB-B3EA-3F2884765160}">
  <dimension ref="A3:B179"/>
  <sheetViews>
    <sheetView workbookViewId="0">
      <selection activeCell="A3" sqref="A3"/>
    </sheetView>
  </sheetViews>
  <sheetFormatPr defaultRowHeight="14.5" x14ac:dyDescent="0.3"/>
  <cols>
    <col min="1" max="1" width="13.19921875" bestFit="1" customWidth="1"/>
    <col min="2" max="2" width="30.796875" bestFit="1" customWidth="1"/>
  </cols>
  <sheetData>
    <row r="3" spans="1:2" x14ac:dyDescent="0.3">
      <c r="A3" s="97" t="s">
        <v>268</v>
      </c>
      <c r="B3" t="s">
        <v>267</v>
      </c>
    </row>
    <row r="4" spans="1:2" x14ac:dyDescent="0.3">
      <c r="A4" s="98">
        <v>30772121009</v>
      </c>
      <c r="B4" s="96">
        <v>0</v>
      </c>
    </row>
    <row r="5" spans="1:2" x14ac:dyDescent="0.3">
      <c r="A5" s="98">
        <v>4902430056496</v>
      </c>
      <c r="B5" s="96">
        <v>24</v>
      </c>
    </row>
    <row r="6" spans="1:2" x14ac:dyDescent="0.3">
      <c r="A6" s="98">
        <v>4902430340526</v>
      </c>
      <c r="B6" s="96">
        <v>0</v>
      </c>
    </row>
    <row r="7" spans="1:2" x14ac:dyDescent="0.3">
      <c r="A7" s="98">
        <v>4902430341820</v>
      </c>
      <c r="B7" s="96">
        <v>0</v>
      </c>
    </row>
    <row r="8" spans="1:2" x14ac:dyDescent="0.3">
      <c r="A8" s="98">
        <v>4902430341844</v>
      </c>
      <c r="B8" s="96">
        <v>7</v>
      </c>
    </row>
    <row r="9" spans="1:2" x14ac:dyDescent="0.3">
      <c r="A9" s="98">
        <v>4902430396059</v>
      </c>
      <c r="B9" s="96">
        <v>17</v>
      </c>
    </row>
    <row r="10" spans="1:2" x14ac:dyDescent="0.3">
      <c r="A10" s="98">
        <v>4902430396066</v>
      </c>
      <c r="B10" s="96">
        <v>11</v>
      </c>
    </row>
    <row r="11" spans="1:2" x14ac:dyDescent="0.3">
      <c r="A11" s="98">
        <v>4902430396073</v>
      </c>
      <c r="B11" s="96">
        <v>8</v>
      </c>
    </row>
    <row r="12" spans="1:2" x14ac:dyDescent="0.3">
      <c r="A12" s="98">
        <v>4902430509695</v>
      </c>
      <c r="B12" s="96">
        <v>0</v>
      </c>
    </row>
    <row r="13" spans="1:2" x14ac:dyDescent="0.3">
      <c r="A13" s="98">
        <v>4987176039507</v>
      </c>
      <c r="B13" s="96">
        <v>75</v>
      </c>
    </row>
    <row r="14" spans="1:2" x14ac:dyDescent="0.3">
      <c r="A14" s="98">
        <v>4987176084378</v>
      </c>
      <c r="B14" s="96">
        <v>200</v>
      </c>
    </row>
    <row r="15" spans="1:2" x14ac:dyDescent="0.3">
      <c r="A15" s="98">
        <v>4987176106438</v>
      </c>
      <c r="B15" s="96">
        <v>21</v>
      </c>
    </row>
    <row r="16" spans="1:2" x14ac:dyDescent="0.3">
      <c r="A16" s="98">
        <v>4987176122858</v>
      </c>
      <c r="B16" s="96">
        <v>0.37962962962962976</v>
      </c>
    </row>
    <row r="17" spans="1:2" x14ac:dyDescent="0.3">
      <c r="A17" s="98">
        <v>4987176122865</v>
      </c>
      <c r="B17" s="96">
        <v>46.797619047619051</v>
      </c>
    </row>
    <row r="18" spans="1:2" x14ac:dyDescent="0.3">
      <c r="A18" s="98">
        <v>4987176122919</v>
      </c>
      <c r="B18" s="96">
        <v>20.37962962962963</v>
      </c>
    </row>
    <row r="19" spans="1:2" x14ac:dyDescent="0.3">
      <c r="A19" s="98">
        <v>4987176122933</v>
      </c>
      <c r="B19" s="96">
        <v>-6.3416666666666686</v>
      </c>
    </row>
    <row r="20" spans="1:2" x14ac:dyDescent="0.3">
      <c r="A20" s="98">
        <v>4987176132178</v>
      </c>
      <c r="B20" s="96">
        <v>0</v>
      </c>
    </row>
    <row r="21" spans="1:2" x14ac:dyDescent="0.3">
      <c r="A21" s="98">
        <v>4987176132185</v>
      </c>
      <c r="B21" s="96">
        <v>0</v>
      </c>
    </row>
    <row r="22" spans="1:2" x14ac:dyDescent="0.3">
      <c r="A22" s="98">
        <v>4987176134578</v>
      </c>
      <c r="B22" s="96">
        <v>0</v>
      </c>
    </row>
    <row r="23" spans="1:2" x14ac:dyDescent="0.3">
      <c r="A23" s="98">
        <v>4987176134608</v>
      </c>
      <c r="B23" s="96">
        <v>30</v>
      </c>
    </row>
    <row r="24" spans="1:2" x14ac:dyDescent="0.3">
      <c r="A24" s="98">
        <v>4987176146700</v>
      </c>
      <c r="B24" s="96">
        <v>3</v>
      </c>
    </row>
    <row r="25" spans="1:2" x14ac:dyDescent="0.3">
      <c r="A25" s="98">
        <v>4987176161734</v>
      </c>
      <c r="B25" s="96">
        <v>0</v>
      </c>
    </row>
    <row r="26" spans="1:2" x14ac:dyDescent="0.3">
      <c r="A26" s="98">
        <v>4987176166739</v>
      </c>
      <c r="B26" s="96">
        <v>20</v>
      </c>
    </row>
    <row r="27" spans="1:2" x14ac:dyDescent="0.3">
      <c r="A27" s="98">
        <v>4987176169914</v>
      </c>
      <c r="B27" s="96">
        <v>55</v>
      </c>
    </row>
    <row r="28" spans="1:2" x14ac:dyDescent="0.3">
      <c r="A28" s="98">
        <v>4987176169921</v>
      </c>
      <c r="B28" s="96">
        <v>54</v>
      </c>
    </row>
    <row r="29" spans="1:2" x14ac:dyDescent="0.3">
      <c r="A29" s="98">
        <v>4987176169952</v>
      </c>
      <c r="B29" s="96">
        <v>83</v>
      </c>
    </row>
    <row r="30" spans="1:2" x14ac:dyDescent="0.3">
      <c r="A30" s="98">
        <v>4987176169969</v>
      </c>
      <c r="B30" s="96">
        <v>0</v>
      </c>
    </row>
    <row r="31" spans="1:2" x14ac:dyDescent="0.3">
      <c r="A31" s="98">
        <v>4987176176172</v>
      </c>
      <c r="B31" s="96">
        <v>10</v>
      </c>
    </row>
    <row r="32" spans="1:2" x14ac:dyDescent="0.3">
      <c r="A32" s="98">
        <v>4987176177841</v>
      </c>
      <c r="B32" s="96">
        <v>132.94696969696966</v>
      </c>
    </row>
    <row r="33" spans="1:2" x14ac:dyDescent="0.3">
      <c r="A33" s="98">
        <v>4987176177858</v>
      </c>
      <c r="B33" s="96">
        <v>251.405303030303</v>
      </c>
    </row>
    <row r="34" spans="1:2" x14ac:dyDescent="0.3">
      <c r="A34" s="98">
        <v>4987176177865</v>
      </c>
      <c r="B34" s="96">
        <v>142.47083333333333</v>
      </c>
    </row>
    <row r="35" spans="1:2" x14ac:dyDescent="0.3">
      <c r="A35" s="98">
        <v>4987176179258</v>
      </c>
      <c r="B35" s="96">
        <v>1.6666666666651508E-2</v>
      </c>
    </row>
    <row r="36" spans="1:2" x14ac:dyDescent="0.3">
      <c r="A36" s="98">
        <v>4987176190734</v>
      </c>
      <c r="B36" s="96">
        <v>0</v>
      </c>
    </row>
    <row r="37" spans="1:2" x14ac:dyDescent="0.3">
      <c r="A37" s="98">
        <v>4987176214720</v>
      </c>
      <c r="B37" s="96">
        <v>0</v>
      </c>
    </row>
    <row r="38" spans="1:2" x14ac:dyDescent="0.3">
      <c r="A38" s="98">
        <v>4987176219985</v>
      </c>
      <c r="B38" s="96">
        <v>0</v>
      </c>
    </row>
    <row r="39" spans="1:2" x14ac:dyDescent="0.3">
      <c r="A39" s="98">
        <v>4987176232847</v>
      </c>
      <c r="B39" s="96">
        <v>0</v>
      </c>
    </row>
    <row r="40" spans="1:2" x14ac:dyDescent="0.3">
      <c r="A40" s="98">
        <v>4987176232854</v>
      </c>
      <c r="B40" s="96">
        <v>0</v>
      </c>
    </row>
    <row r="41" spans="1:2" x14ac:dyDescent="0.3">
      <c r="A41" s="98">
        <v>4987176232861</v>
      </c>
      <c r="B41" s="96">
        <v>0</v>
      </c>
    </row>
    <row r="42" spans="1:2" x14ac:dyDescent="0.3">
      <c r="A42" s="98">
        <v>4987176232878</v>
      </c>
      <c r="B42" s="96">
        <v>0</v>
      </c>
    </row>
    <row r="43" spans="1:2" x14ac:dyDescent="0.3">
      <c r="A43" s="98">
        <v>4987176232885</v>
      </c>
      <c r="B43" s="96">
        <v>0</v>
      </c>
    </row>
    <row r="44" spans="1:2" x14ac:dyDescent="0.3">
      <c r="A44" s="98">
        <v>4987176232892</v>
      </c>
      <c r="B44" s="96">
        <v>0</v>
      </c>
    </row>
    <row r="45" spans="1:2" x14ac:dyDescent="0.3">
      <c r="A45" s="98">
        <v>4987176247674</v>
      </c>
      <c r="B45" s="96">
        <v>30</v>
      </c>
    </row>
    <row r="46" spans="1:2" x14ac:dyDescent="0.3">
      <c r="A46" s="98">
        <v>4987176247681</v>
      </c>
      <c r="B46" s="96">
        <v>0</v>
      </c>
    </row>
    <row r="47" spans="1:2" x14ac:dyDescent="0.3">
      <c r="A47" s="98">
        <v>4987176250353</v>
      </c>
      <c r="B47" s="96">
        <v>0</v>
      </c>
    </row>
    <row r="48" spans="1:2" x14ac:dyDescent="0.3">
      <c r="A48" s="98">
        <v>4987176271617</v>
      </c>
      <c r="B48" s="96">
        <v>19</v>
      </c>
    </row>
    <row r="49" spans="1:2" x14ac:dyDescent="0.3">
      <c r="A49" s="98">
        <v>4987176271624</v>
      </c>
      <c r="B49" s="96">
        <v>1</v>
      </c>
    </row>
    <row r="50" spans="1:2" x14ac:dyDescent="0.3">
      <c r="A50" s="98">
        <v>4987176272768</v>
      </c>
      <c r="B50" s="96">
        <v>0</v>
      </c>
    </row>
    <row r="51" spans="1:2" x14ac:dyDescent="0.3">
      <c r="A51" s="98">
        <v>4987176272799</v>
      </c>
      <c r="B51" s="96">
        <v>0</v>
      </c>
    </row>
    <row r="52" spans="1:2" x14ac:dyDescent="0.3">
      <c r="A52" s="98">
        <v>4987176274168</v>
      </c>
      <c r="B52" s="96">
        <v>2</v>
      </c>
    </row>
    <row r="53" spans="1:2" x14ac:dyDescent="0.3">
      <c r="A53" s="98">
        <v>4987176274892</v>
      </c>
      <c r="B53" s="96">
        <v>0</v>
      </c>
    </row>
    <row r="54" spans="1:2" x14ac:dyDescent="0.3">
      <c r="A54" s="98">
        <v>4987176274908</v>
      </c>
      <c r="B54" s="96">
        <v>0</v>
      </c>
    </row>
    <row r="55" spans="1:2" x14ac:dyDescent="0.3">
      <c r="A55" s="98">
        <v>4987176274915</v>
      </c>
      <c r="B55" s="96">
        <v>0</v>
      </c>
    </row>
    <row r="56" spans="1:2" x14ac:dyDescent="0.3">
      <c r="A56" s="98">
        <v>4987176274922</v>
      </c>
      <c r="B56" s="96">
        <v>0</v>
      </c>
    </row>
    <row r="57" spans="1:2" x14ac:dyDescent="0.3">
      <c r="A57" s="98">
        <v>4987176293374</v>
      </c>
      <c r="B57" s="96">
        <v>53</v>
      </c>
    </row>
    <row r="58" spans="1:2" x14ac:dyDescent="0.3">
      <c r="A58" s="98">
        <v>4987176301017</v>
      </c>
      <c r="B58" s="96">
        <v>19.375</v>
      </c>
    </row>
    <row r="59" spans="1:2" x14ac:dyDescent="0.3">
      <c r="A59" s="98">
        <v>4987176301024</v>
      </c>
      <c r="B59" s="96">
        <v>141.5</v>
      </c>
    </row>
    <row r="60" spans="1:2" x14ac:dyDescent="0.3">
      <c r="A60" s="98">
        <v>4987176314222</v>
      </c>
      <c r="B60" s="96">
        <v>0</v>
      </c>
    </row>
    <row r="61" spans="1:2" x14ac:dyDescent="0.3">
      <c r="A61" s="98">
        <v>4987176314253</v>
      </c>
      <c r="B61" s="96">
        <v>0</v>
      </c>
    </row>
    <row r="62" spans="1:2" x14ac:dyDescent="0.3">
      <c r="A62" s="98">
        <v>4987176314277</v>
      </c>
      <c r="B62" s="96">
        <v>0</v>
      </c>
    </row>
    <row r="63" spans="1:2" x14ac:dyDescent="0.3">
      <c r="A63" s="98">
        <v>4987176314284</v>
      </c>
      <c r="B63" s="96">
        <v>0</v>
      </c>
    </row>
    <row r="64" spans="1:2" x14ac:dyDescent="0.3">
      <c r="A64" s="98">
        <v>4987176314291</v>
      </c>
      <c r="B64" s="96">
        <v>0</v>
      </c>
    </row>
    <row r="65" spans="1:2" x14ac:dyDescent="0.3">
      <c r="A65" s="98">
        <v>4987176314338</v>
      </c>
      <c r="B65" s="96">
        <v>0</v>
      </c>
    </row>
    <row r="66" spans="1:2" x14ac:dyDescent="0.3">
      <c r="A66" s="98">
        <v>4987176314369</v>
      </c>
      <c r="B66" s="96">
        <v>0</v>
      </c>
    </row>
    <row r="67" spans="1:2" x14ac:dyDescent="0.3">
      <c r="A67" s="98">
        <v>4987176314406</v>
      </c>
      <c r="B67" s="96">
        <v>0</v>
      </c>
    </row>
    <row r="68" spans="1:2" x14ac:dyDescent="0.3">
      <c r="A68" s="98">
        <v>4987176314413</v>
      </c>
      <c r="B68" s="96">
        <v>0</v>
      </c>
    </row>
    <row r="69" spans="1:2" x14ac:dyDescent="0.3">
      <c r="A69" s="98">
        <v>4987176314765</v>
      </c>
      <c r="B69" s="96">
        <v>0</v>
      </c>
    </row>
    <row r="70" spans="1:2" x14ac:dyDescent="0.3">
      <c r="A70" s="98">
        <v>4987176314772</v>
      </c>
      <c r="B70" s="96">
        <v>0</v>
      </c>
    </row>
    <row r="71" spans="1:2" x14ac:dyDescent="0.3">
      <c r="A71" s="98">
        <v>4987176314789</v>
      </c>
      <c r="B71" s="96">
        <v>0</v>
      </c>
    </row>
    <row r="72" spans="1:2" x14ac:dyDescent="0.3">
      <c r="A72" s="98">
        <v>4987176314796</v>
      </c>
      <c r="B72" s="96">
        <v>0</v>
      </c>
    </row>
    <row r="73" spans="1:2" x14ac:dyDescent="0.3">
      <c r="A73" s="98">
        <v>4987176314802</v>
      </c>
      <c r="B73" s="96">
        <v>0</v>
      </c>
    </row>
    <row r="74" spans="1:2" x14ac:dyDescent="0.3">
      <c r="A74" s="98">
        <v>4987176324023</v>
      </c>
      <c r="B74" s="96">
        <v>74</v>
      </c>
    </row>
    <row r="75" spans="1:2" x14ac:dyDescent="0.3">
      <c r="A75" s="98">
        <v>4987176325655</v>
      </c>
      <c r="B75" s="96">
        <v>469</v>
      </c>
    </row>
    <row r="76" spans="1:2" x14ac:dyDescent="0.3">
      <c r="A76" s="98">
        <v>4987176325662</v>
      </c>
      <c r="B76" s="96">
        <v>445</v>
      </c>
    </row>
    <row r="77" spans="1:2" x14ac:dyDescent="0.3">
      <c r="A77" s="98">
        <v>4987176337078</v>
      </c>
      <c r="B77" s="96">
        <v>-45</v>
      </c>
    </row>
    <row r="78" spans="1:2" x14ac:dyDescent="0.3">
      <c r="A78" s="98">
        <v>4987176337085</v>
      </c>
      <c r="B78" s="96">
        <v>0</v>
      </c>
    </row>
    <row r="79" spans="1:2" x14ac:dyDescent="0.3">
      <c r="A79" s="98">
        <v>4987176337092</v>
      </c>
      <c r="B79" s="96">
        <v>-30</v>
      </c>
    </row>
    <row r="80" spans="1:2" x14ac:dyDescent="0.3">
      <c r="A80" s="98">
        <v>4987176337146</v>
      </c>
      <c r="B80" s="96">
        <v>134.6</v>
      </c>
    </row>
    <row r="81" spans="1:2" x14ac:dyDescent="0.3">
      <c r="A81" s="98">
        <v>4987176337153</v>
      </c>
      <c r="B81" s="96">
        <v>366.5</v>
      </c>
    </row>
    <row r="82" spans="1:2" x14ac:dyDescent="0.3">
      <c r="A82" s="98">
        <v>4987176337160</v>
      </c>
      <c r="B82" s="96">
        <v>39.900000000000006</v>
      </c>
    </row>
    <row r="83" spans="1:2" x14ac:dyDescent="0.3">
      <c r="A83" s="98">
        <v>4987176339928</v>
      </c>
      <c r="B83" s="96">
        <v>0</v>
      </c>
    </row>
    <row r="84" spans="1:2" x14ac:dyDescent="0.3">
      <c r="A84" s="98">
        <v>4987176340856</v>
      </c>
      <c r="B84" s="96">
        <v>0</v>
      </c>
    </row>
    <row r="85" spans="1:2" x14ac:dyDescent="0.3">
      <c r="A85" s="98">
        <v>4987176340863</v>
      </c>
      <c r="B85" s="96">
        <v>88</v>
      </c>
    </row>
    <row r="86" spans="1:2" x14ac:dyDescent="0.3">
      <c r="A86" s="98">
        <v>4987176340870</v>
      </c>
      <c r="B86" s="96">
        <v>396</v>
      </c>
    </row>
    <row r="87" spans="1:2" x14ac:dyDescent="0.3">
      <c r="A87" s="98">
        <v>4987176340887</v>
      </c>
      <c r="B87" s="96">
        <v>0</v>
      </c>
    </row>
    <row r="88" spans="1:2" x14ac:dyDescent="0.3">
      <c r="A88" s="98">
        <v>4987176340894</v>
      </c>
      <c r="B88" s="96">
        <v>204</v>
      </c>
    </row>
    <row r="89" spans="1:2" x14ac:dyDescent="0.3">
      <c r="A89" s="98">
        <v>4987176340900</v>
      </c>
      <c r="B89" s="96">
        <v>-36</v>
      </c>
    </row>
    <row r="90" spans="1:2" x14ac:dyDescent="0.3">
      <c r="A90" s="98">
        <v>4987176340917</v>
      </c>
      <c r="B90" s="96">
        <v>0</v>
      </c>
    </row>
    <row r="91" spans="1:2" x14ac:dyDescent="0.3">
      <c r="A91" s="98">
        <v>4987176340924</v>
      </c>
      <c r="B91" s="96">
        <v>0</v>
      </c>
    </row>
    <row r="92" spans="1:2" x14ac:dyDescent="0.3">
      <c r="A92" s="98">
        <v>4987176340931</v>
      </c>
      <c r="B92" s="96">
        <v>0</v>
      </c>
    </row>
    <row r="93" spans="1:2" x14ac:dyDescent="0.3">
      <c r="A93" s="98">
        <v>4987176340948</v>
      </c>
      <c r="B93" s="96">
        <v>0</v>
      </c>
    </row>
    <row r="94" spans="1:2" x14ac:dyDescent="0.3">
      <c r="A94" s="98">
        <v>4987176357526</v>
      </c>
      <c r="B94" s="96">
        <v>32</v>
      </c>
    </row>
    <row r="95" spans="1:2" x14ac:dyDescent="0.3">
      <c r="A95" s="98">
        <v>4987176369345</v>
      </c>
      <c r="B95" s="96">
        <v>0</v>
      </c>
    </row>
    <row r="96" spans="1:2" x14ac:dyDescent="0.3">
      <c r="A96" s="98">
        <v>4987176369352</v>
      </c>
      <c r="B96" s="96">
        <v>0</v>
      </c>
    </row>
    <row r="97" spans="1:2" x14ac:dyDescent="0.3">
      <c r="A97" s="98">
        <v>4987176369369</v>
      </c>
      <c r="B97" s="96">
        <v>0</v>
      </c>
    </row>
    <row r="98" spans="1:2" x14ac:dyDescent="0.3">
      <c r="A98" s="98">
        <v>4987176369376</v>
      </c>
      <c r="B98" s="96">
        <v>0</v>
      </c>
    </row>
    <row r="99" spans="1:2" x14ac:dyDescent="0.3">
      <c r="A99" s="98">
        <v>4987176369383</v>
      </c>
      <c r="B99" s="96">
        <v>0</v>
      </c>
    </row>
    <row r="100" spans="1:2" x14ac:dyDescent="0.3">
      <c r="A100" s="98">
        <v>4987176372048</v>
      </c>
      <c r="B100" s="96">
        <v>0</v>
      </c>
    </row>
    <row r="101" spans="1:2" x14ac:dyDescent="0.3">
      <c r="A101" s="98">
        <v>4987176372055</v>
      </c>
      <c r="B101" s="96">
        <v>0</v>
      </c>
    </row>
    <row r="102" spans="1:2" x14ac:dyDescent="0.3">
      <c r="A102" s="98">
        <v>4987176372062</v>
      </c>
      <c r="B102" s="96">
        <v>140</v>
      </c>
    </row>
    <row r="103" spans="1:2" x14ac:dyDescent="0.3">
      <c r="A103" s="98">
        <v>4987176372079</v>
      </c>
      <c r="B103" s="96">
        <v>-0.66666666666666785</v>
      </c>
    </row>
    <row r="104" spans="1:2" x14ac:dyDescent="0.3">
      <c r="A104" s="98">
        <v>4987176372086</v>
      </c>
      <c r="B104" s="96">
        <v>0</v>
      </c>
    </row>
    <row r="105" spans="1:2" x14ac:dyDescent="0.3">
      <c r="A105" s="98">
        <v>4987176372093</v>
      </c>
      <c r="B105" s="96">
        <v>0</v>
      </c>
    </row>
    <row r="106" spans="1:2" x14ac:dyDescent="0.3">
      <c r="A106" s="98">
        <v>4987176372109</v>
      </c>
      <c r="B106" s="96">
        <v>0</v>
      </c>
    </row>
    <row r="107" spans="1:2" x14ac:dyDescent="0.3">
      <c r="A107" s="98">
        <v>4987176372116</v>
      </c>
      <c r="B107" s="96">
        <v>0</v>
      </c>
    </row>
    <row r="108" spans="1:2" x14ac:dyDescent="0.3">
      <c r="A108" s="98">
        <v>4987176372123</v>
      </c>
      <c r="B108" s="96">
        <v>0</v>
      </c>
    </row>
    <row r="109" spans="1:2" x14ac:dyDescent="0.3">
      <c r="A109" s="98">
        <v>4987176372130</v>
      </c>
      <c r="B109" s="96">
        <v>76.666666666666657</v>
      </c>
    </row>
    <row r="110" spans="1:2" x14ac:dyDescent="0.3">
      <c r="A110" s="98">
        <v>4987176372147</v>
      </c>
      <c r="B110" s="96">
        <v>0</v>
      </c>
    </row>
    <row r="111" spans="1:2" x14ac:dyDescent="0.3">
      <c r="A111" s="98">
        <v>4987176372154</v>
      </c>
      <c r="B111" s="96">
        <v>64</v>
      </c>
    </row>
    <row r="112" spans="1:2" x14ac:dyDescent="0.3">
      <c r="A112" s="98">
        <v>4987176372161</v>
      </c>
      <c r="B112" s="96">
        <v>0</v>
      </c>
    </row>
    <row r="113" spans="1:2" x14ac:dyDescent="0.3">
      <c r="A113" s="98">
        <v>4987176372178</v>
      </c>
      <c r="B113" s="96">
        <v>0</v>
      </c>
    </row>
    <row r="114" spans="1:2" x14ac:dyDescent="0.3">
      <c r="A114" s="98">
        <v>4987176372185</v>
      </c>
      <c r="B114" s="96">
        <v>0</v>
      </c>
    </row>
    <row r="115" spans="1:2" x14ac:dyDescent="0.3">
      <c r="A115" s="98">
        <v>4987176372192</v>
      </c>
      <c r="B115" s="96">
        <v>76.666666666666657</v>
      </c>
    </row>
    <row r="116" spans="1:2" x14ac:dyDescent="0.3">
      <c r="A116" s="98">
        <v>4987176372208</v>
      </c>
      <c r="B116" s="96">
        <v>0</v>
      </c>
    </row>
    <row r="117" spans="1:2" x14ac:dyDescent="0.3">
      <c r="A117" s="98">
        <v>4987176372215</v>
      </c>
      <c r="B117" s="96">
        <v>0</v>
      </c>
    </row>
    <row r="118" spans="1:2" x14ac:dyDescent="0.3">
      <c r="A118" s="98">
        <v>4987176372222</v>
      </c>
      <c r="B118" s="96">
        <v>56</v>
      </c>
    </row>
    <row r="119" spans="1:2" x14ac:dyDescent="0.3">
      <c r="A119" s="98">
        <v>4987176372239</v>
      </c>
      <c r="B119" s="96">
        <v>0</v>
      </c>
    </row>
    <row r="120" spans="1:2" x14ac:dyDescent="0.3">
      <c r="A120" s="98">
        <v>4987176372246</v>
      </c>
      <c r="B120" s="96">
        <v>0</v>
      </c>
    </row>
    <row r="121" spans="1:2" x14ac:dyDescent="0.3">
      <c r="A121" s="98">
        <v>4987176372253</v>
      </c>
      <c r="B121" s="96">
        <v>0</v>
      </c>
    </row>
    <row r="122" spans="1:2" x14ac:dyDescent="0.3">
      <c r="A122" s="98">
        <v>4987176372260</v>
      </c>
      <c r="B122" s="96">
        <v>0</v>
      </c>
    </row>
    <row r="123" spans="1:2" x14ac:dyDescent="0.3">
      <c r="A123" s="98">
        <v>4987176372277</v>
      </c>
      <c r="B123" s="96">
        <v>0</v>
      </c>
    </row>
    <row r="124" spans="1:2" x14ac:dyDescent="0.3">
      <c r="A124" s="98">
        <v>4987176372284</v>
      </c>
      <c r="B124" s="96">
        <v>0</v>
      </c>
    </row>
    <row r="125" spans="1:2" x14ac:dyDescent="0.3">
      <c r="A125" s="98">
        <v>4987176372291</v>
      </c>
      <c r="B125" s="96">
        <v>0</v>
      </c>
    </row>
    <row r="126" spans="1:2" x14ac:dyDescent="0.3">
      <c r="A126" s="98">
        <v>4987176372307</v>
      </c>
      <c r="B126" s="96">
        <v>0</v>
      </c>
    </row>
    <row r="127" spans="1:2" x14ac:dyDescent="0.3">
      <c r="A127" s="98">
        <v>4987176372314</v>
      </c>
      <c r="B127" s="96">
        <v>0</v>
      </c>
    </row>
    <row r="128" spans="1:2" x14ac:dyDescent="0.3">
      <c r="A128" s="98">
        <v>4987176372321</v>
      </c>
      <c r="B128" s="96">
        <v>0</v>
      </c>
    </row>
    <row r="129" spans="1:2" x14ac:dyDescent="0.3">
      <c r="A129" s="98">
        <v>4987176373854</v>
      </c>
      <c r="B129" s="96">
        <v>0.5136314067611778</v>
      </c>
    </row>
    <row r="130" spans="1:2" x14ac:dyDescent="0.3">
      <c r="A130" s="98">
        <v>4987176373861</v>
      </c>
      <c r="B130" s="96">
        <v>91.116173120728931</v>
      </c>
    </row>
    <row r="131" spans="1:2" x14ac:dyDescent="0.3">
      <c r="A131" s="98">
        <v>4987176373878</v>
      </c>
      <c r="B131" s="96">
        <v>94.505694760820035</v>
      </c>
    </row>
    <row r="132" spans="1:2" x14ac:dyDescent="0.3">
      <c r="A132" s="98">
        <v>4987176373885</v>
      </c>
      <c r="B132" s="96">
        <v>34.28055878928987</v>
      </c>
    </row>
    <row r="133" spans="1:2" x14ac:dyDescent="0.3">
      <c r="A133" s="98">
        <v>4987176373892</v>
      </c>
      <c r="B133" s="96">
        <v>119.58997722095671</v>
      </c>
    </row>
    <row r="134" spans="1:2" x14ac:dyDescent="0.3">
      <c r="A134" s="98">
        <v>4987176373908</v>
      </c>
      <c r="B134" s="96">
        <v>19.727371864776437</v>
      </c>
    </row>
    <row r="135" spans="1:2" x14ac:dyDescent="0.3">
      <c r="A135" s="98">
        <v>4987176373915</v>
      </c>
      <c r="B135" s="96">
        <v>73.34109429569267</v>
      </c>
    </row>
    <row r="136" spans="1:2" x14ac:dyDescent="0.3">
      <c r="A136" s="98">
        <v>4987176373922</v>
      </c>
      <c r="B136" s="96">
        <v>88.200455580865608</v>
      </c>
    </row>
    <row r="137" spans="1:2" x14ac:dyDescent="0.3">
      <c r="A137" s="98">
        <v>4987176373939</v>
      </c>
      <c r="B137" s="96">
        <v>30.369020501138948</v>
      </c>
    </row>
    <row r="138" spans="1:2" x14ac:dyDescent="0.3">
      <c r="A138" s="98">
        <v>4987176386694</v>
      </c>
      <c r="B138" s="96">
        <v>0</v>
      </c>
    </row>
    <row r="139" spans="1:2" x14ac:dyDescent="0.3">
      <c r="A139" s="98">
        <v>4987176386724</v>
      </c>
      <c r="B139" s="96">
        <v>0</v>
      </c>
    </row>
    <row r="140" spans="1:2" x14ac:dyDescent="0.3">
      <c r="A140" s="98">
        <v>4987176386762</v>
      </c>
      <c r="B140" s="96">
        <v>0</v>
      </c>
    </row>
    <row r="141" spans="1:2" x14ac:dyDescent="0.3">
      <c r="A141" s="98">
        <v>4987176386793</v>
      </c>
      <c r="B141" s="96">
        <v>0</v>
      </c>
    </row>
    <row r="142" spans="1:2" x14ac:dyDescent="0.3">
      <c r="A142" s="98">
        <v>4987176392343</v>
      </c>
      <c r="B142" s="96">
        <v>0</v>
      </c>
    </row>
    <row r="143" spans="1:2" x14ac:dyDescent="0.3">
      <c r="A143" s="98">
        <v>4987176392350</v>
      </c>
      <c r="B143" s="96">
        <v>0</v>
      </c>
    </row>
    <row r="144" spans="1:2" x14ac:dyDescent="0.3">
      <c r="A144" s="98">
        <v>4987176393326</v>
      </c>
      <c r="B144" s="96">
        <v>96</v>
      </c>
    </row>
    <row r="145" spans="1:2" x14ac:dyDescent="0.3">
      <c r="A145" s="98">
        <v>4987176405289</v>
      </c>
      <c r="B145" s="96">
        <v>1020</v>
      </c>
    </row>
    <row r="146" spans="1:2" x14ac:dyDescent="0.3">
      <c r="A146" s="98">
        <v>6903148138182</v>
      </c>
      <c r="B146" s="96">
        <v>0</v>
      </c>
    </row>
    <row r="147" spans="1:2" x14ac:dyDescent="0.3">
      <c r="A147" s="98">
        <v>6903148182383</v>
      </c>
      <c r="B147" s="96">
        <v>1.418981481481481</v>
      </c>
    </row>
    <row r="148" spans="1:2" x14ac:dyDescent="0.3">
      <c r="A148" s="98">
        <v>6903148182406</v>
      </c>
      <c r="B148" s="96">
        <v>8.71875</v>
      </c>
    </row>
    <row r="149" spans="1:2" x14ac:dyDescent="0.3">
      <c r="A149" s="98">
        <v>6903148182680</v>
      </c>
      <c r="B149" s="96">
        <v>7.4055555555555559</v>
      </c>
    </row>
    <row r="150" spans="1:2" x14ac:dyDescent="0.3">
      <c r="A150" s="98">
        <v>6903148224090</v>
      </c>
      <c r="B150" s="96">
        <v>250</v>
      </c>
    </row>
    <row r="151" spans="1:2" x14ac:dyDescent="0.3">
      <c r="A151" s="98">
        <v>6903148224106</v>
      </c>
      <c r="B151" s="96">
        <v>0</v>
      </c>
    </row>
    <row r="152" spans="1:2" x14ac:dyDescent="0.3">
      <c r="A152" s="98">
        <v>6903148300770</v>
      </c>
      <c r="B152" s="96">
        <v>0</v>
      </c>
    </row>
    <row r="153" spans="1:2" x14ac:dyDescent="0.3">
      <c r="A153" s="98">
        <v>6903148302712</v>
      </c>
      <c r="B153" s="96">
        <v>0</v>
      </c>
    </row>
    <row r="154" spans="1:2" x14ac:dyDescent="0.3">
      <c r="A154" s="98">
        <v>6903148304761</v>
      </c>
      <c r="B154" s="96">
        <v>62</v>
      </c>
    </row>
    <row r="155" spans="1:2" x14ac:dyDescent="0.3">
      <c r="A155" s="98">
        <v>6903148308752</v>
      </c>
      <c r="B155" s="96">
        <v>40.393939393939398</v>
      </c>
    </row>
    <row r="156" spans="1:2" x14ac:dyDescent="0.3">
      <c r="A156" s="98">
        <v>6903148345023</v>
      </c>
      <c r="B156" s="96">
        <v>25</v>
      </c>
    </row>
    <row r="157" spans="1:2" x14ac:dyDescent="0.3">
      <c r="A157" s="98">
        <v>6903148352700</v>
      </c>
      <c r="B157" s="96">
        <v>-2.8333333333333339</v>
      </c>
    </row>
    <row r="158" spans="1:2" x14ac:dyDescent="0.3">
      <c r="A158" s="98">
        <v>6903148354582</v>
      </c>
      <c r="B158" s="96">
        <v>64.818181818181813</v>
      </c>
    </row>
    <row r="159" spans="1:2" x14ac:dyDescent="0.3">
      <c r="A159" s="98">
        <v>6903148355923</v>
      </c>
      <c r="B159" s="96">
        <v>3.875</v>
      </c>
    </row>
    <row r="160" spans="1:2" x14ac:dyDescent="0.3">
      <c r="A160" s="98">
        <v>6903148355947</v>
      </c>
      <c r="B160" s="96">
        <v>-8.8333333333333339</v>
      </c>
    </row>
    <row r="161" spans="1:2" x14ac:dyDescent="0.3">
      <c r="A161" s="98">
        <v>6903148355954</v>
      </c>
      <c r="B161" s="96">
        <v>-18.125</v>
      </c>
    </row>
    <row r="162" spans="1:2" x14ac:dyDescent="0.3">
      <c r="A162" s="98">
        <v>6903148356982</v>
      </c>
      <c r="B162" s="96">
        <v>0</v>
      </c>
    </row>
    <row r="163" spans="1:2" x14ac:dyDescent="0.3">
      <c r="A163" s="98">
        <v>6903148356999</v>
      </c>
      <c r="B163" s="96">
        <v>7.5512820512820511</v>
      </c>
    </row>
    <row r="164" spans="1:2" x14ac:dyDescent="0.3">
      <c r="A164" s="98">
        <v>6903148357002</v>
      </c>
      <c r="B164" s="96">
        <v>0</v>
      </c>
    </row>
    <row r="165" spans="1:2" x14ac:dyDescent="0.3">
      <c r="A165" s="98">
        <v>6903148357019</v>
      </c>
      <c r="B165" s="96">
        <v>0</v>
      </c>
    </row>
    <row r="166" spans="1:2" x14ac:dyDescent="0.3">
      <c r="A166" s="98">
        <v>6903148357026</v>
      </c>
      <c r="B166" s="96">
        <v>50</v>
      </c>
    </row>
    <row r="167" spans="1:2" x14ac:dyDescent="0.3">
      <c r="A167" s="98">
        <v>6903148357033</v>
      </c>
      <c r="B167" s="96">
        <v>124</v>
      </c>
    </row>
    <row r="168" spans="1:2" x14ac:dyDescent="0.3">
      <c r="A168" s="98">
        <v>6903148357040</v>
      </c>
      <c r="B168" s="96">
        <v>18.226851851851851</v>
      </c>
    </row>
    <row r="169" spans="1:2" x14ac:dyDescent="0.3">
      <c r="A169" s="98">
        <v>6903148358023</v>
      </c>
      <c r="B169" s="96">
        <v>0</v>
      </c>
    </row>
    <row r="170" spans="1:2" x14ac:dyDescent="0.3">
      <c r="A170" s="98">
        <v>6903148358078</v>
      </c>
      <c r="B170" s="96">
        <v>0</v>
      </c>
    </row>
    <row r="171" spans="1:2" x14ac:dyDescent="0.3">
      <c r="A171" s="98">
        <v>6903148358085</v>
      </c>
      <c r="B171" s="96">
        <v>0</v>
      </c>
    </row>
    <row r="172" spans="1:2" x14ac:dyDescent="0.3">
      <c r="A172" s="98">
        <v>6903148358153</v>
      </c>
      <c r="B172" s="96">
        <v>0</v>
      </c>
    </row>
    <row r="173" spans="1:2" x14ac:dyDescent="0.3">
      <c r="A173" s="98">
        <v>6903148358221</v>
      </c>
      <c r="B173" s="96">
        <v>0</v>
      </c>
    </row>
    <row r="174" spans="1:2" x14ac:dyDescent="0.3">
      <c r="A174" s="98">
        <v>6903148358276</v>
      </c>
      <c r="B174" s="96">
        <v>0</v>
      </c>
    </row>
    <row r="175" spans="1:2" x14ac:dyDescent="0.3">
      <c r="A175" s="98">
        <v>6903148358290</v>
      </c>
      <c r="B175" s="96">
        <v>0</v>
      </c>
    </row>
    <row r="176" spans="1:2" x14ac:dyDescent="0.3">
      <c r="A176" s="98">
        <v>6903148358306</v>
      </c>
      <c r="B176" s="96">
        <v>0</v>
      </c>
    </row>
    <row r="177" spans="1:2" x14ac:dyDescent="0.3">
      <c r="A177" s="98">
        <v>9300618556502</v>
      </c>
      <c r="B177" s="96">
        <v>41</v>
      </c>
    </row>
    <row r="178" spans="1:2" x14ac:dyDescent="0.3">
      <c r="A178" s="98" t="s">
        <v>269</v>
      </c>
      <c r="B178" s="96">
        <v>641</v>
      </c>
    </row>
    <row r="179" spans="1:2" x14ac:dyDescent="0.3">
      <c r="A179" s="98" t="s">
        <v>270</v>
      </c>
      <c r="B179" s="96">
        <v>7005.8575040608075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9A020-C07D-44CF-A03A-71B4C0E7CCDB}">
  <dimension ref="A1:CW297"/>
  <sheetViews>
    <sheetView showGridLines="0" tabSelected="1" topLeftCell="N1" zoomScale="70" zoomScaleNormal="70" workbookViewId="0">
      <pane ySplit="1" topLeftCell="A230" activePane="bottomLeft" state="frozen"/>
      <selection activeCell="G1" sqref="G1"/>
      <selection pane="bottomLeft" activeCell="AZ247" sqref="AZ247"/>
    </sheetView>
  </sheetViews>
  <sheetFormatPr defaultRowHeight="14.5" outlineLevelCol="1" x14ac:dyDescent="0.3"/>
  <cols>
    <col min="1" max="1" width="22" customWidth="1"/>
    <col min="2" max="2" width="8" bestFit="1" customWidth="1"/>
    <col min="3" max="3" width="15.09765625" bestFit="1" customWidth="1"/>
    <col min="4" max="4" width="14.8984375" customWidth="1"/>
    <col min="5" max="6" width="19.3984375" customWidth="1"/>
    <col min="7" max="7" width="77.5" customWidth="1"/>
    <col min="8" max="8" width="21.8984375" customWidth="1"/>
    <col min="9" max="9" width="11.69921875" customWidth="1"/>
    <col min="10" max="12" width="10.296875" customWidth="1"/>
    <col min="13" max="13" width="14.296875" style="117" bestFit="1" customWidth="1"/>
    <col min="14" max="14" width="15.09765625" bestFit="1" customWidth="1"/>
    <col min="15" max="15" width="15" bestFit="1" customWidth="1"/>
    <col min="16" max="16" width="16.296875" style="25" hidden="1" customWidth="1" outlineLevel="1"/>
    <col min="17" max="17" width="16.8984375" style="25" hidden="1" customWidth="1" outlineLevel="1"/>
    <col min="18" max="18" width="17.09765625" style="25" hidden="1" customWidth="1" outlineLevel="1"/>
    <col min="19" max="19" width="16.296875" hidden="1" customWidth="1" outlineLevel="1"/>
    <col min="20" max="20" width="18.296875" hidden="1" customWidth="1" outlineLevel="1"/>
    <col min="21" max="21" width="17.796875" hidden="1" customWidth="1" outlineLevel="1"/>
    <col min="22" max="22" width="15.296875" hidden="1" customWidth="1" outlineLevel="1" collapsed="1"/>
    <col min="23" max="28" width="15.296875" hidden="1" customWidth="1" outlineLevel="1"/>
    <col min="29" max="29" width="11.796875" customWidth="1" collapsed="1"/>
    <col min="30" max="39" width="11.796875" hidden="1" customWidth="1" outlineLevel="1"/>
    <col min="40" max="40" width="11.796875" customWidth="1" collapsed="1"/>
    <col min="41" max="55" width="11.796875" customWidth="1" outlineLevel="1"/>
    <col min="56" max="56" width="11.796875" customWidth="1"/>
    <col min="57" max="59" width="14.09765625" customWidth="1"/>
    <col min="60" max="60" width="15.296875" customWidth="1"/>
    <col min="61" max="61" width="11.69921875" customWidth="1"/>
    <col min="62" max="64" width="23.09765625" hidden="1" customWidth="1" outlineLevel="1"/>
    <col min="65" max="73" width="15.59765625" hidden="1" customWidth="1" outlineLevel="1"/>
    <col min="74" max="74" width="23.09765625" style="42" customWidth="1" collapsed="1"/>
    <col min="75" max="76" width="23.09765625" style="42" customWidth="1"/>
    <col min="79" max="83" width="23.796875" customWidth="1"/>
    <col min="84" max="84" width="16.5" customWidth="1"/>
    <col min="85" max="85" width="13.59765625" customWidth="1"/>
    <col min="86" max="86" width="14.19921875" customWidth="1"/>
    <col min="87" max="89" width="13.3984375" customWidth="1"/>
    <col min="90" max="90" width="15.8984375" customWidth="1"/>
    <col min="91" max="95" width="13.3984375" customWidth="1"/>
    <col min="96" max="96" width="14.19921875" customWidth="1"/>
    <col min="97" max="97" width="12.59765625" bestFit="1" customWidth="1"/>
    <col min="98" max="98" width="14.8984375" bestFit="1" customWidth="1"/>
    <col min="99" max="99" width="12.59765625" bestFit="1" customWidth="1"/>
  </cols>
  <sheetData>
    <row r="1" spans="1:101" ht="43.5" x14ac:dyDescent="0.3">
      <c r="A1" s="13" t="s">
        <v>2</v>
      </c>
      <c r="B1" s="11" t="s">
        <v>0</v>
      </c>
      <c r="C1" s="12" t="s">
        <v>1</v>
      </c>
      <c r="D1" s="13" t="s">
        <v>3</v>
      </c>
      <c r="E1" s="14" t="s">
        <v>4</v>
      </c>
      <c r="F1" s="50" t="s">
        <v>219</v>
      </c>
      <c r="G1" s="15" t="s">
        <v>5</v>
      </c>
      <c r="H1" s="12" t="s">
        <v>6</v>
      </c>
      <c r="I1" s="16" t="s">
        <v>7</v>
      </c>
      <c r="J1" s="12" t="s">
        <v>8</v>
      </c>
      <c r="K1" s="12" t="s">
        <v>220</v>
      </c>
      <c r="L1" s="12" t="s">
        <v>221</v>
      </c>
      <c r="M1" s="114" t="s">
        <v>166</v>
      </c>
      <c r="N1" s="17" t="s">
        <v>167</v>
      </c>
      <c r="O1" s="18" t="s">
        <v>168</v>
      </c>
      <c r="P1" s="26" t="s">
        <v>170</v>
      </c>
      <c r="Q1" s="26" t="s">
        <v>171</v>
      </c>
      <c r="R1" s="27" t="s">
        <v>172</v>
      </c>
      <c r="S1" s="17" t="s">
        <v>196</v>
      </c>
      <c r="T1" s="17" t="s">
        <v>197</v>
      </c>
      <c r="U1" s="18" t="s">
        <v>198</v>
      </c>
      <c r="V1" s="48" t="s">
        <v>251</v>
      </c>
      <c r="W1" s="48" t="s">
        <v>252</v>
      </c>
      <c r="X1" s="48" t="s">
        <v>271</v>
      </c>
      <c r="Y1" s="48" t="s">
        <v>272</v>
      </c>
      <c r="Z1" s="48" t="s">
        <v>301</v>
      </c>
      <c r="AA1" s="48" t="s">
        <v>302</v>
      </c>
      <c r="AB1" s="48" t="s">
        <v>303</v>
      </c>
      <c r="AC1" s="78" t="s">
        <v>242</v>
      </c>
      <c r="AD1" s="119" t="s">
        <v>308</v>
      </c>
      <c r="AE1" s="119" t="s">
        <v>309</v>
      </c>
      <c r="AF1" s="119" t="s">
        <v>321</v>
      </c>
      <c r="AG1" s="119" t="s">
        <v>322</v>
      </c>
      <c r="AH1" s="119" t="s">
        <v>323</v>
      </c>
      <c r="AI1" s="119" t="s">
        <v>335</v>
      </c>
      <c r="AJ1" s="119" t="s">
        <v>336</v>
      </c>
      <c r="AK1" s="119" t="s">
        <v>350</v>
      </c>
      <c r="AL1" s="119" t="s">
        <v>340</v>
      </c>
      <c r="AM1" s="119" t="s">
        <v>344</v>
      </c>
      <c r="AN1" s="118" t="s">
        <v>304</v>
      </c>
      <c r="AO1" s="118" t="s">
        <v>357</v>
      </c>
      <c r="AP1" s="118" t="s">
        <v>359</v>
      </c>
      <c r="AQ1" s="118" t="s">
        <v>397</v>
      </c>
      <c r="AR1" s="118" t="s">
        <v>398</v>
      </c>
      <c r="AS1" s="118" t="s">
        <v>360</v>
      </c>
      <c r="AT1" s="118" t="s">
        <v>399</v>
      </c>
      <c r="AU1" s="118" t="s">
        <v>400</v>
      </c>
      <c r="AV1" s="118" t="s">
        <v>401</v>
      </c>
      <c r="AW1" s="118" t="s">
        <v>408</v>
      </c>
      <c r="AX1" s="118" t="s">
        <v>416</v>
      </c>
      <c r="AY1" s="268" t="s">
        <v>417</v>
      </c>
      <c r="AZ1" s="118" t="s">
        <v>414</v>
      </c>
      <c r="BA1" s="118" t="s">
        <v>351</v>
      </c>
      <c r="BB1" s="118" t="s">
        <v>351</v>
      </c>
      <c r="BC1" s="118" t="s">
        <v>351</v>
      </c>
      <c r="BD1" s="118" t="s">
        <v>352</v>
      </c>
      <c r="BE1" s="245" t="s">
        <v>406</v>
      </c>
      <c r="BF1" s="245" t="s">
        <v>418</v>
      </c>
      <c r="BG1" s="245" t="s">
        <v>407</v>
      </c>
      <c r="BH1" s="49" t="s">
        <v>404</v>
      </c>
      <c r="BI1" s="49" t="s">
        <v>415</v>
      </c>
      <c r="BJ1" s="94" t="s">
        <v>263</v>
      </c>
      <c r="BK1" s="94" t="s">
        <v>264</v>
      </c>
      <c r="BL1" s="94" t="s">
        <v>265</v>
      </c>
      <c r="BM1" s="148" t="s">
        <v>324</v>
      </c>
      <c r="BN1" s="147" t="s">
        <v>325</v>
      </c>
      <c r="BO1" s="147" t="s">
        <v>326</v>
      </c>
      <c r="BP1" s="148" t="s">
        <v>327</v>
      </c>
      <c r="BQ1" s="147" t="s">
        <v>328</v>
      </c>
      <c r="BR1" s="147" t="s">
        <v>329</v>
      </c>
      <c r="BS1" s="148" t="s">
        <v>353</v>
      </c>
      <c r="BT1" s="147" t="s">
        <v>354</v>
      </c>
      <c r="BU1" s="147" t="s">
        <v>355</v>
      </c>
      <c r="BV1" s="174" t="s">
        <v>337</v>
      </c>
      <c r="BW1" s="174"/>
      <c r="BX1" s="174"/>
      <c r="BZ1" s="63" t="s">
        <v>0</v>
      </c>
      <c r="CA1" s="64" t="s">
        <v>222</v>
      </c>
      <c r="CB1" s="65" t="s">
        <v>263</v>
      </c>
      <c r="CC1" s="66" t="s">
        <v>264</v>
      </c>
      <c r="CD1" s="66" t="s">
        <v>265</v>
      </c>
      <c r="CE1" s="67" t="s">
        <v>266</v>
      </c>
      <c r="CF1" s="65" t="s">
        <v>238</v>
      </c>
      <c r="CG1" s="66" t="s">
        <v>239</v>
      </c>
      <c r="CH1" s="66" t="s">
        <v>240</v>
      </c>
      <c r="CI1" s="67" t="s">
        <v>241</v>
      </c>
      <c r="CJ1" s="186" t="s">
        <v>346</v>
      </c>
      <c r="CK1" s="186" t="s">
        <v>347</v>
      </c>
      <c r="CL1" s="65" t="s">
        <v>243</v>
      </c>
      <c r="CM1" s="66" t="s">
        <v>244</v>
      </c>
      <c r="CN1" s="66" t="s">
        <v>245</v>
      </c>
      <c r="CO1" s="67" t="s">
        <v>246</v>
      </c>
      <c r="CP1" s="65" t="s">
        <v>247</v>
      </c>
      <c r="CQ1" s="66" t="s">
        <v>248</v>
      </c>
      <c r="CR1" s="66" t="s">
        <v>249</v>
      </c>
      <c r="CS1" s="67" t="s">
        <v>250</v>
      </c>
      <c r="CT1" s="235" t="s">
        <v>402</v>
      </c>
      <c r="CU1" s="234" t="s">
        <v>403</v>
      </c>
    </row>
    <row r="2" spans="1:101" ht="15" x14ac:dyDescent="0.35">
      <c r="A2" s="2">
        <v>522244896371913</v>
      </c>
      <c r="B2" s="19" t="s">
        <v>9</v>
      </c>
      <c r="C2" s="1" t="s">
        <v>10</v>
      </c>
      <c r="D2" s="2">
        <v>80864486</v>
      </c>
      <c r="E2" s="3">
        <v>4987176340894</v>
      </c>
      <c r="F2" s="3">
        <v>4987176340894</v>
      </c>
      <c r="G2" s="4" t="s">
        <v>174</v>
      </c>
      <c r="H2" s="1">
        <v>202</v>
      </c>
      <c r="I2" s="1" t="s">
        <v>173</v>
      </c>
      <c r="J2" s="5">
        <v>6</v>
      </c>
      <c r="K2" s="5">
        <v>1329.6</v>
      </c>
      <c r="L2" s="5">
        <v>1288.02</v>
      </c>
      <c r="M2" s="115">
        <v>354</v>
      </c>
      <c r="N2" s="21">
        <f>VLOOKUP(E2,'[1]Demand inbond in Aug'!$C:$J,8,0)</f>
        <v>0</v>
      </c>
      <c r="O2" s="23">
        <f>VLOOKUP(D2,'[2]Data for PV'!$B:$L,11,0)</f>
        <v>0</v>
      </c>
      <c r="P2" s="28">
        <f t="shared" ref="P2:P13" si="0">M2*J2</f>
        <v>2124</v>
      </c>
      <c r="Q2" s="24"/>
      <c r="R2" s="24"/>
      <c r="S2" s="31"/>
      <c r="T2" s="31"/>
      <c r="U2" s="31"/>
      <c r="V2" s="31"/>
      <c r="W2" s="31"/>
      <c r="X2" s="31">
        <v>150</v>
      </c>
      <c r="Y2" s="31"/>
      <c r="Z2" s="31"/>
      <c r="AA2" s="31"/>
      <c r="AB2" s="31"/>
      <c r="AC2" s="31">
        <f>SUM(V2:AB2)</f>
        <v>150</v>
      </c>
      <c r="AD2" s="31"/>
      <c r="AE2" s="31">
        <v>204</v>
      </c>
      <c r="AF2" s="31"/>
      <c r="AG2" s="31"/>
      <c r="AH2" s="31">
        <v>0</v>
      </c>
      <c r="AI2" s="31"/>
      <c r="AJ2" s="31"/>
      <c r="AK2" s="31"/>
      <c r="AL2" s="31"/>
      <c r="AM2" s="31"/>
      <c r="AN2" s="31">
        <f>SUM(AD2:AM2)</f>
        <v>204</v>
      </c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>
        <f>SUM(AO2:BC2)</f>
        <v>0</v>
      </c>
      <c r="BE2" s="29">
        <f>O2-BD2</f>
        <v>0</v>
      </c>
      <c r="BF2" s="29">
        <f>SUM(AO2:AW2)</f>
        <v>0</v>
      </c>
      <c r="BG2" s="29">
        <f>VLOOKUP(E2,'[3]Y2604-Y2608_庫存&amp;銷售'!$F:$AJ,23,0)</f>
        <v>4.833333333333333</v>
      </c>
      <c r="BH2" s="29">
        <f>VLOOKUP(E2,'[3]Y2604-Y2608_庫存&amp;銷售'!$F:$AL,25,0)</f>
        <v>0</v>
      </c>
      <c r="BI2" s="29">
        <f>VLOOKUP(E2,'[3]Y2604-Y2608_庫存&amp;銷售'!$F:$AN,30,0)</f>
        <v>0</v>
      </c>
      <c r="BJ2" s="81">
        <f t="shared" ref="BJ2:BJ19" si="1">M2*K2</f>
        <v>470678.39999999997</v>
      </c>
      <c r="BK2" s="81">
        <f t="shared" ref="BK2:BK19" si="2">N2*K2</f>
        <v>0</v>
      </c>
      <c r="BL2" s="81">
        <f t="shared" ref="BL2:BL19" si="3">O2*K2</f>
        <v>0</v>
      </c>
      <c r="BM2" s="81">
        <f t="shared" ref="BM2:BM19" si="4">AC2*K2</f>
        <v>199440</v>
      </c>
      <c r="BN2" s="81">
        <f t="shared" ref="BN2:BN19" si="5">AC2*H2*J2</f>
        <v>181800</v>
      </c>
      <c r="BO2" s="81">
        <f t="shared" ref="BO2:BO19" si="6">L2*1.02*AC2</f>
        <v>197067.06000000003</v>
      </c>
      <c r="BP2" s="81">
        <f t="shared" ref="BP2:BP19" si="7">AN2*K2</f>
        <v>271238.39999999997</v>
      </c>
      <c r="BQ2" s="81">
        <f t="shared" ref="BQ2:BQ19" si="8">AN2*H2*J2</f>
        <v>247248</v>
      </c>
      <c r="BR2" s="81">
        <f t="shared" ref="BR2:BR19" si="9">L2*1.02*AN2</f>
        <v>268011.20160000003</v>
      </c>
      <c r="BS2" s="199">
        <f>BD2*(K2-AY2)</f>
        <v>0</v>
      </c>
      <c r="BT2" s="199">
        <f t="shared" ref="BT2:BT65" si="10">H2*J2*BD2</f>
        <v>0</v>
      </c>
      <c r="BU2" s="199">
        <f t="shared" ref="BU2:BU65" si="11">L2*1.02*BD2</f>
        <v>0</v>
      </c>
      <c r="BV2" s="112">
        <f>VLOOKUP(E2,'[4]Y2604-Y2608_庫存&amp;銷售'!$F:$AB,17,0)</f>
        <v>51.333333333333336</v>
      </c>
      <c r="BW2" s="112">
        <f>VLOOKUP(A2,'[5]Demand inbond in Sep'!$B:$M,12,0)</f>
        <v>0</v>
      </c>
      <c r="BX2" s="112"/>
      <c r="BZ2" s="70" t="s">
        <v>56</v>
      </c>
      <c r="CA2" s="74" t="s">
        <v>82</v>
      </c>
      <c r="CB2" s="82">
        <f>SUMIF(C:C,CA2:CA16,BJ:BJ)</f>
        <v>4866742</v>
      </c>
      <c r="CC2" s="68"/>
      <c r="CD2" s="68"/>
      <c r="CE2" s="83"/>
      <c r="CF2" s="82">
        <f>SUMIF(C:C,CA2:CA16,BM:BM)</f>
        <v>755382</v>
      </c>
      <c r="CG2" s="68">
        <f>SUMIF(C:C,CA2:CA16,BP:BP)</f>
        <v>13111223.5</v>
      </c>
      <c r="CH2" s="68">
        <f>SUMIF(C:C,CA2:CA16,BS:BS)</f>
        <v>21752509.5</v>
      </c>
      <c r="CI2" s="187">
        <f>SUM(CF2:CH2)</f>
        <v>35619115</v>
      </c>
      <c r="CJ2" s="68">
        <v>40000000</v>
      </c>
      <c r="CK2" s="68">
        <f>CJ2-CF2-CG2-CH2</f>
        <v>4380885</v>
      </c>
      <c r="CL2" s="189">
        <f>SUMIF(C:C,CA2:CA16,BN:BN)</f>
        <v>674651</v>
      </c>
      <c r="CM2" s="69">
        <f>SUMIF(C:C,CA2:CA16,BQ:BQ)</f>
        <v>11366201</v>
      </c>
      <c r="CN2" s="69">
        <f>SUMIF(C:C,CA2:CA16,BT:BT)</f>
        <v>18966189</v>
      </c>
      <c r="CO2" s="87">
        <f>SUM(CL2:CN2)</f>
        <v>31007041</v>
      </c>
      <c r="CP2" s="86">
        <f>SUMIF(C:C,CA2:CA16,BO:BO)</f>
        <v>735221.92619999999</v>
      </c>
      <c r="CQ2" s="69">
        <f>SUMIF(C:C,CA2:CA16,BR:BR)</f>
        <v>12833480.115</v>
      </c>
      <c r="CR2" s="69">
        <f>SUMIF(C:C,CA2:CA16,BU:BU)</f>
        <v>21293874.990599997</v>
      </c>
      <c r="CS2" s="200">
        <f>CP2+CQ2+CR2</f>
        <v>34862577.031800002</v>
      </c>
      <c r="CT2" s="236">
        <v>31530000</v>
      </c>
      <c r="CU2" s="238">
        <f>CT2-CO2</f>
        <v>522959</v>
      </c>
      <c r="CV2" t="s">
        <v>394</v>
      </c>
    </row>
    <row r="3" spans="1:101" ht="15" x14ac:dyDescent="0.35">
      <c r="A3" s="2">
        <v>522244896371912</v>
      </c>
      <c r="B3" s="19" t="s">
        <v>9</v>
      </c>
      <c r="C3" s="1" t="s">
        <v>10</v>
      </c>
      <c r="D3" s="2">
        <v>80864488</v>
      </c>
      <c r="E3" s="3">
        <v>4987176340863</v>
      </c>
      <c r="F3" s="3">
        <v>4987176340863</v>
      </c>
      <c r="G3" s="4" t="s">
        <v>175</v>
      </c>
      <c r="H3" s="1">
        <v>202</v>
      </c>
      <c r="I3" s="1" t="s">
        <v>173</v>
      </c>
      <c r="J3" s="5">
        <v>6</v>
      </c>
      <c r="K3" s="5">
        <v>1329.6</v>
      </c>
      <c r="L3" s="5">
        <v>1288.02</v>
      </c>
      <c r="M3" s="115">
        <v>88</v>
      </c>
      <c r="N3" s="21">
        <f>VLOOKUP(E3,'[1]Demand inbond in Aug'!$C:$J,8,0)</f>
        <v>0</v>
      </c>
      <c r="O3" s="23">
        <f>VLOOKUP(D3,'[2]Data for PV'!$B:$L,11,0)</f>
        <v>0</v>
      </c>
      <c r="P3" s="28">
        <f t="shared" si="0"/>
        <v>528</v>
      </c>
      <c r="Q3" s="24"/>
      <c r="R3" s="24"/>
      <c r="S3" s="31"/>
      <c r="T3" s="31"/>
      <c r="U3" s="31"/>
      <c r="V3" s="31"/>
      <c r="W3" s="31"/>
      <c r="X3" s="31"/>
      <c r="Y3" s="31"/>
      <c r="Z3" s="31"/>
      <c r="AA3" s="31">
        <v>33</v>
      </c>
      <c r="AB3" s="31"/>
      <c r="AC3" s="31">
        <f t="shared" ref="AC3:AC70" si="12">SUM(V3:AB3)</f>
        <v>33</v>
      </c>
      <c r="AD3" s="31"/>
      <c r="AE3" s="31">
        <v>41</v>
      </c>
      <c r="AF3" s="31"/>
      <c r="AG3" s="31"/>
      <c r="AH3" s="31"/>
      <c r="AI3" s="31"/>
      <c r="AJ3" s="31"/>
      <c r="AK3" s="31"/>
      <c r="AL3" s="31"/>
      <c r="AM3" s="31"/>
      <c r="AN3" s="31">
        <f t="shared" ref="AN3:AN66" si="13">SUM(AD3:AM3)</f>
        <v>41</v>
      </c>
      <c r="AO3" s="31"/>
      <c r="AP3" s="31">
        <v>0</v>
      </c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>
        <f t="shared" ref="BD3:BD66" si="14">SUM(AO3:BC3)</f>
        <v>0</v>
      </c>
      <c r="BE3" s="29">
        <f t="shared" ref="BE3:BE53" si="15">O3-BD3</f>
        <v>0</v>
      </c>
      <c r="BF3" s="29">
        <f t="shared" ref="BF3:BF66" si="16">SUM(AO3:AW3)</f>
        <v>0</v>
      </c>
      <c r="BG3" s="29">
        <f>VLOOKUP(E3,'[3]Y2604-Y2608_庫存&amp;銷售'!$F:$AJ,23,0)</f>
        <v>8.6666666666666679</v>
      </c>
      <c r="BH3" s="29">
        <f>VLOOKUP(E3,'[3]Y2604-Y2608_庫存&amp;銷售'!$F:$AL,25,0)</f>
        <v>0</v>
      </c>
      <c r="BI3" s="29">
        <f>VLOOKUP(E3,'[3]Y2604-Y2608_庫存&amp;銷售'!$F:$AN,30,0)</f>
        <v>0</v>
      </c>
      <c r="BJ3" s="81">
        <f t="shared" si="1"/>
        <v>117004.79999999999</v>
      </c>
      <c r="BK3" s="81">
        <f t="shared" si="2"/>
        <v>0</v>
      </c>
      <c r="BL3" s="81">
        <f t="shared" si="3"/>
        <v>0</v>
      </c>
      <c r="BM3" s="81">
        <f t="shared" si="4"/>
        <v>43876.799999999996</v>
      </c>
      <c r="BN3" s="81">
        <f t="shared" si="5"/>
        <v>39996</v>
      </c>
      <c r="BO3" s="81">
        <f t="shared" si="6"/>
        <v>43354.753200000006</v>
      </c>
      <c r="BP3" s="81">
        <f t="shared" si="7"/>
        <v>54513.599999999999</v>
      </c>
      <c r="BQ3" s="81">
        <f t="shared" si="8"/>
        <v>49692</v>
      </c>
      <c r="BR3" s="81">
        <f t="shared" si="9"/>
        <v>53864.996400000004</v>
      </c>
      <c r="BS3" s="199">
        <f t="shared" ref="BS3:BS66" si="17">BD3*(K3-AY3)</f>
        <v>0</v>
      </c>
      <c r="BT3" s="199">
        <f t="shared" si="10"/>
        <v>0</v>
      </c>
      <c r="BU3" s="199">
        <f t="shared" si="11"/>
        <v>0</v>
      </c>
      <c r="BV3" s="112">
        <f>VLOOKUP(E3,'[4]Y2604-Y2608_庫存&amp;銷售'!$F:$AB,17,0)</f>
        <v>9.3333333333333339</v>
      </c>
      <c r="BW3" s="112">
        <f>VLOOKUP(A3,'[5]Demand inbond in Sep'!$B:$M,12,0)</f>
        <v>0</v>
      </c>
      <c r="BX3" s="112"/>
      <c r="BZ3" s="271" t="s">
        <v>9</v>
      </c>
      <c r="CA3" s="75" t="s">
        <v>10</v>
      </c>
      <c r="CB3" s="82">
        <f>SUMIF(C:C,CA2:CA16,BJ:BJ)</f>
        <v>7007675.79</v>
      </c>
      <c r="CC3" s="68"/>
      <c r="CD3" s="68"/>
      <c r="CE3" s="83"/>
      <c r="CF3" s="82">
        <f>SUMIF(C:C,CA2:CA16,BM:BM)</f>
        <v>4234230.3000000007</v>
      </c>
      <c r="CG3" s="68">
        <f>SUMIF(C:C,CA2:CA16,BP:BP)</f>
        <v>9947733.5</v>
      </c>
      <c r="CH3" s="68">
        <f>SUMIF(C:C,CA2:CA16,BS:BS)</f>
        <v>8474656</v>
      </c>
      <c r="CI3" s="187">
        <f t="shared" ref="CI3:CI16" si="18">SUM(CF3:CH3)</f>
        <v>22656619.800000001</v>
      </c>
      <c r="CJ3" s="68"/>
      <c r="CK3" s="68"/>
      <c r="CL3" s="189">
        <f>SUMIF(C:C,CA2:CA16,BN:BN)</f>
        <v>3856960</v>
      </c>
      <c r="CM3" s="69">
        <f>SUMIF(C:C,CA2:CA16,BQ:BQ)</f>
        <v>9077736</v>
      </c>
      <c r="CN3" s="69">
        <f>SUMIF(C:C,CA2:CA16,BT:BT)</f>
        <v>7691372</v>
      </c>
      <c r="CO3" s="87">
        <f t="shared" ref="CO3:CO16" si="19">SUM(CL3:CN3)</f>
        <v>20626068</v>
      </c>
      <c r="CP3" s="86">
        <f>SUMIF(C:C,CA2:CA16,BO:BO)</f>
        <v>4189965.1595999994</v>
      </c>
      <c r="CQ3" s="69">
        <f>SUMIF(C:C,CA2:CA16,BR:BR)</f>
        <v>9848492.873399999</v>
      </c>
      <c r="CR3" s="69">
        <f>SUMIF(C:C,CA2:CA16,BU:BU)</f>
        <v>8389079.5866</v>
      </c>
      <c r="CS3" s="200">
        <f t="shared" ref="CS3:CS16" si="20">CP3+CQ3+CR3</f>
        <v>22427537.619599998</v>
      </c>
      <c r="CT3" s="236">
        <v>17600000</v>
      </c>
      <c r="CU3" s="233">
        <f t="shared" ref="CU3:CU17" si="21">CT3-CO3</f>
        <v>-3026068</v>
      </c>
      <c r="CV3" t="s">
        <v>334</v>
      </c>
      <c r="CW3" s="79">
        <v>800</v>
      </c>
    </row>
    <row r="4" spans="1:101" ht="15" x14ac:dyDescent="0.35">
      <c r="A4" s="2">
        <v>522244896166679</v>
      </c>
      <c r="B4" s="19" t="s">
        <v>9</v>
      </c>
      <c r="C4" s="1" t="s">
        <v>10</v>
      </c>
      <c r="D4" s="2">
        <v>80863067</v>
      </c>
      <c r="E4" s="95">
        <v>14987176340907</v>
      </c>
      <c r="F4" s="3">
        <v>4987176340900</v>
      </c>
      <c r="G4" s="4" t="s">
        <v>11</v>
      </c>
      <c r="H4" s="1">
        <v>1158</v>
      </c>
      <c r="I4" s="252" t="s">
        <v>409</v>
      </c>
      <c r="J4" s="5">
        <v>1</v>
      </c>
      <c r="K4" s="5">
        <v>1283.4000000000001</v>
      </c>
      <c r="L4" s="5">
        <v>1242.8599999999999</v>
      </c>
      <c r="M4" s="169">
        <v>84</v>
      </c>
      <c r="N4" s="21">
        <v>150</v>
      </c>
      <c r="O4" s="23"/>
      <c r="P4" s="29">
        <f t="shared" si="0"/>
        <v>84</v>
      </c>
      <c r="Q4" s="24">
        <f t="shared" ref="Q4:Q13" si="22">N4*J4</f>
        <v>150</v>
      </c>
      <c r="R4" s="24">
        <f t="shared" ref="R4:R13" si="23">O4*J4</f>
        <v>0</v>
      </c>
      <c r="S4" s="31"/>
      <c r="T4" s="31"/>
      <c r="U4" s="31"/>
      <c r="V4" s="31"/>
      <c r="W4" s="31"/>
      <c r="X4" s="31">
        <v>36</v>
      </c>
      <c r="Y4" s="31"/>
      <c r="Z4" s="31"/>
      <c r="AA4" s="31"/>
      <c r="AB4" s="31">
        <v>48</v>
      </c>
      <c r="AC4" s="31">
        <f t="shared" si="12"/>
        <v>84</v>
      </c>
      <c r="AD4" s="31">
        <v>0</v>
      </c>
      <c r="AE4" s="31">
        <v>36</v>
      </c>
      <c r="AF4" s="31"/>
      <c r="AG4" s="31"/>
      <c r="AH4" s="31"/>
      <c r="AI4" s="31"/>
      <c r="AJ4" s="31"/>
      <c r="AK4" s="31"/>
      <c r="AL4" s="31">
        <v>36</v>
      </c>
      <c r="AM4" s="31">
        <v>316</v>
      </c>
      <c r="AN4" s="31">
        <f t="shared" si="13"/>
        <v>388</v>
      </c>
      <c r="AO4" s="31"/>
      <c r="AP4" s="31"/>
      <c r="AQ4" s="31"/>
      <c r="AR4" s="31"/>
      <c r="AS4" s="31"/>
      <c r="AT4" s="31"/>
      <c r="AU4" s="31"/>
      <c r="AV4" s="31">
        <v>0</v>
      </c>
      <c r="AW4" s="31"/>
      <c r="AX4" s="31"/>
      <c r="AY4" s="31"/>
      <c r="AZ4" s="31"/>
      <c r="BA4" s="31"/>
      <c r="BB4" s="31"/>
      <c r="BC4" s="31"/>
      <c r="BD4" s="31">
        <f t="shared" si="14"/>
        <v>0</v>
      </c>
      <c r="BE4" s="29">
        <f t="shared" si="15"/>
        <v>0</v>
      </c>
      <c r="BF4" s="29">
        <f t="shared" si="16"/>
        <v>0</v>
      </c>
      <c r="BG4" s="29">
        <f>VLOOKUP(E4,'[3]Y2604-Y2608_庫存&amp;銷售'!$F:$AJ,23,0)</f>
        <v>60</v>
      </c>
      <c r="BH4" s="29">
        <f>VLOOKUP(E4,'[3]Y2604-Y2608_庫存&amp;銷售'!$F:$AL,25,0)</f>
        <v>0</v>
      </c>
      <c r="BI4" s="29">
        <f>VLOOKUP(E4,'[3]Y2604-Y2608_庫存&amp;銷售'!$F:$AN,30,0)</f>
        <v>0</v>
      </c>
      <c r="BJ4" s="81">
        <f t="shared" si="1"/>
        <v>107805.6</v>
      </c>
      <c r="BK4" s="81">
        <f t="shared" si="2"/>
        <v>192510</v>
      </c>
      <c r="BL4" s="81">
        <f t="shared" si="3"/>
        <v>0</v>
      </c>
      <c r="BM4" s="81">
        <f t="shared" si="4"/>
        <v>107805.6</v>
      </c>
      <c r="BN4" s="81">
        <f t="shared" si="5"/>
        <v>97272</v>
      </c>
      <c r="BO4" s="81">
        <f t="shared" si="6"/>
        <v>106488.24479999999</v>
      </c>
      <c r="BP4" s="81">
        <f t="shared" si="7"/>
        <v>497959.2</v>
      </c>
      <c r="BQ4" s="81">
        <f t="shared" si="8"/>
        <v>449304</v>
      </c>
      <c r="BR4" s="81">
        <f t="shared" si="9"/>
        <v>491874.27359999996</v>
      </c>
      <c r="BS4" s="199">
        <f t="shared" si="17"/>
        <v>0</v>
      </c>
      <c r="BT4" s="199">
        <f t="shared" si="10"/>
        <v>0</v>
      </c>
      <c r="BU4" s="199">
        <f t="shared" si="11"/>
        <v>0</v>
      </c>
      <c r="BV4" s="112">
        <f>VLOOKUP(E4,'[4]Y2604-Y2608_庫存&amp;銷售'!$F:$AB,17,0)</f>
        <v>44</v>
      </c>
      <c r="BW4" s="112">
        <f>VLOOKUP(A4,'[5]Demand inbond in Sep'!$B:$M,12,0)</f>
        <v>0</v>
      </c>
      <c r="BX4" s="112"/>
      <c r="BZ4" s="271"/>
      <c r="CA4" s="75" t="s">
        <v>46</v>
      </c>
      <c r="CB4" s="82">
        <f>SUMIF(C:C,CA2:CA16,BJ:BJ)</f>
        <v>2379821.154010199</v>
      </c>
      <c r="CC4" s="68"/>
      <c r="CD4" s="68"/>
      <c r="CE4" s="83"/>
      <c r="CF4" s="82">
        <f>SUMIF(C:C,CA2:CA16,BM:BM)</f>
        <v>2040083.2</v>
      </c>
      <c r="CG4" s="68">
        <f>SUMIF(C:C,CA2:CA16,BP:BP)</f>
        <v>2350602.5999999996</v>
      </c>
      <c r="CH4" s="68">
        <f>SUMIF(C:C,CA2:CA16,BS:BS)</f>
        <v>2883162.1</v>
      </c>
      <c r="CI4" s="187">
        <f t="shared" si="18"/>
        <v>7273847.9000000004</v>
      </c>
      <c r="CJ4" s="68"/>
      <c r="CK4" s="68"/>
      <c r="CL4" s="189">
        <f>SUMIF(C:C,CA2:CA16,BN:BN)</f>
        <v>1921408</v>
      </c>
      <c r="CM4" s="69">
        <f>SUMIF(C:C,CA2:CA16,BQ:BQ)</f>
        <v>2215444</v>
      </c>
      <c r="CN4" s="69">
        <f>SUMIF(C:C,CA2:CA16,BT:BT)</f>
        <v>2743898</v>
      </c>
      <c r="CO4" s="87">
        <f t="shared" si="19"/>
        <v>6880750</v>
      </c>
      <c r="CP4" s="86">
        <f>SUMIF(C:C,CA2:CA16,BO:BO)</f>
        <v>2023602.8880000005</v>
      </c>
      <c r="CQ4" s="69">
        <f>SUMIF(C:C,CA2:CA16,BR:BR)</f>
        <v>2331295.3740000008</v>
      </c>
      <c r="CR4" s="69">
        <f>SUMIF(C:C,CA2:CA16,BU:BU)</f>
        <v>2857164.2790000001</v>
      </c>
      <c r="CS4" s="200">
        <f t="shared" si="20"/>
        <v>7212062.5410000011</v>
      </c>
      <c r="CT4" s="236">
        <v>6300000</v>
      </c>
      <c r="CU4" s="238">
        <f>CT4-CO4</f>
        <v>-580750</v>
      </c>
    </row>
    <row r="5" spans="1:101" ht="15" x14ac:dyDescent="0.35">
      <c r="A5" s="2">
        <v>522244896166694</v>
      </c>
      <c r="B5" s="19" t="s">
        <v>9</v>
      </c>
      <c r="C5" s="1" t="s">
        <v>10</v>
      </c>
      <c r="D5" s="2">
        <v>80863063</v>
      </c>
      <c r="E5" s="95">
        <v>14987176340877</v>
      </c>
      <c r="F5" s="3">
        <v>4987176340870</v>
      </c>
      <c r="G5" s="4" t="s">
        <v>12</v>
      </c>
      <c r="H5" s="1">
        <v>1158</v>
      </c>
      <c r="I5" s="252" t="s">
        <v>409</v>
      </c>
      <c r="J5" s="5">
        <v>1</v>
      </c>
      <c r="K5" s="5">
        <v>1283.4000000000001</v>
      </c>
      <c r="L5" s="5">
        <v>1242.8599999999999</v>
      </c>
      <c r="M5" s="169">
        <v>120</v>
      </c>
      <c r="N5" s="21">
        <f>VLOOKUP(E5,'[1]Demand inbond in Aug'!$C:$J,8,0)</f>
        <v>0</v>
      </c>
      <c r="O5" s="23"/>
      <c r="P5" s="29">
        <f t="shared" si="0"/>
        <v>120</v>
      </c>
      <c r="Q5" s="24">
        <f t="shared" si="22"/>
        <v>0</v>
      </c>
      <c r="R5" s="24">
        <f t="shared" si="23"/>
        <v>0</v>
      </c>
      <c r="S5" s="31"/>
      <c r="T5" s="31"/>
      <c r="U5" s="31"/>
      <c r="V5" s="31"/>
      <c r="W5" s="31">
        <v>120</v>
      </c>
      <c r="X5" s="31"/>
      <c r="Y5" s="31"/>
      <c r="Z5" s="31"/>
      <c r="AA5" s="31"/>
      <c r="AB5" s="31"/>
      <c r="AC5" s="31">
        <f t="shared" si="12"/>
        <v>120</v>
      </c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>
        <f t="shared" si="13"/>
        <v>0</v>
      </c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>
        <f t="shared" si="14"/>
        <v>0</v>
      </c>
      <c r="BE5" s="29">
        <f t="shared" si="15"/>
        <v>0</v>
      </c>
      <c r="BF5" s="29">
        <f t="shared" si="16"/>
        <v>0</v>
      </c>
      <c r="BG5" s="29">
        <f>VLOOKUP(E5,'[3]Y2604-Y2608_庫存&amp;銷售'!$F:$AJ,23,0)</f>
        <v>13</v>
      </c>
      <c r="BH5" s="29">
        <f>VLOOKUP(E5,'[3]Y2604-Y2608_庫存&amp;銷售'!$F:$AL,25,0)</f>
        <v>0</v>
      </c>
      <c r="BI5" s="29">
        <f>VLOOKUP(E5,'[3]Y2604-Y2608_庫存&amp;銷售'!$F:$AN,30,0)</f>
        <v>0</v>
      </c>
      <c r="BJ5" s="81">
        <f t="shared" si="1"/>
        <v>154008</v>
      </c>
      <c r="BK5" s="81">
        <f t="shared" si="2"/>
        <v>0</v>
      </c>
      <c r="BL5" s="81">
        <f t="shared" si="3"/>
        <v>0</v>
      </c>
      <c r="BM5" s="81">
        <f t="shared" si="4"/>
        <v>154008</v>
      </c>
      <c r="BN5" s="81">
        <f t="shared" si="5"/>
        <v>138960</v>
      </c>
      <c r="BO5" s="81">
        <f t="shared" si="6"/>
        <v>152126.06399999998</v>
      </c>
      <c r="BP5" s="81">
        <f t="shared" si="7"/>
        <v>0</v>
      </c>
      <c r="BQ5" s="81">
        <f t="shared" si="8"/>
        <v>0</v>
      </c>
      <c r="BR5" s="81">
        <f t="shared" si="9"/>
        <v>0</v>
      </c>
      <c r="BS5" s="199">
        <f t="shared" si="17"/>
        <v>0</v>
      </c>
      <c r="BT5" s="199">
        <f t="shared" si="10"/>
        <v>0</v>
      </c>
      <c r="BU5" s="199">
        <f t="shared" si="11"/>
        <v>0</v>
      </c>
      <c r="BV5" s="112">
        <f>VLOOKUP(E5,'[4]Y2604-Y2608_庫存&amp;銷售'!$F:$AB,17,0)</f>
        <v>19</v>
      </c>
      <c r="BW5" s="112">
        <f>VLOOKUP(A5,'[5]Demand inbond in Sep'!$B:$M,12,0)</f>
        <v>0</v>
      </c>
      <c r="BX5" s="112"/>
      <c r="BZ5" s="271"/>
      <c r="CA5" s="75" t="s">
        <v>200</v>
      </c>
      <c r="CB5" s="82">
        <f>SUMIF(C:C,CA2:CA16,BJ:BJ)</f>
        <v>228142.08000000002</v>
      </c>
      <c r="CC5" s="68"/>
      <c r="CD5" s="68"/>
      <c r="CE5" s="83"/>
      <c r="CF5" s="82">
        <f>SUMIF(C:C,CA2:CA16,BM:BM)</f>
        <v>0</v>
      </c>
      <c r="CG5" s="68">
        <f>SUMIF(C:C,CA2:CA16,BP:BP)</f>
        <v>254283.36000000002</v>
      </c>
      <c r="CH5" s="68">
        <f>SUMIF(C:C,CA2:CA16,BS:BS)</f>
        <v>254283.36000000002</v>
      </c>
      <c r="CI5" s="187">
        <f t="shared" si="18"/>
        <v>508566.72000000003</v>
      </c>
      <c r="CJ5" s="68"/>
      <c r="CK5" s="68"/>
      <c r="CL5" s="189">
        <f>SUMIF(C:C,CA2:CA16,BN:BN)</f>
        <v>0</v>
      </c>
      <c r="CM5" s="69">
        <f>SUMIF(C:C,CA2:CA16,BQ:BQ)</f>
        <v>241392</v>
      </c>
      <c r="CN5" s="69">
        <f>SUMIF(C:C,CA2:CA16,BT:BT)</f>
        <v>241392</v>
      </c>
      <c r="CO5" s="87">
        <f t="shared" si="19"/>
        <v>482784</v>
      </c>
      <c r="CP5" s="86">
        <f>SUMIF(C:C,CA2:CA16,BO:BO)</f>
        <v>0</v>
      </c>
      <c r="CQ5" s="69">
        <f>SUMIF(C:C,CA2:CA16,BR:BR)</f>
        <v>252266.19600000003</v>
      </c>
      <c r="CR5" s="69">
        <f>SUMIF(C:C,CA2:CA16,BU:BU)</f>
        <v>252266.19600000003</v>
      </c>
      <c r="CS5" s="200">
        <f t="shared" si="20"/>
        <v>504532.39200000005</v>
      </c>
      <c r="CT5" s="236">
        <v>480000</v>
      </c>
      <c r="CU5" s="233">
        <f t="shared" si="21"/>
        <v>-2784</v>
      </c>
    </row>
    <row r="6" spans="1:101" ht="15" x14ac:dyDescent="0.35">
      <c r="A6" s="2">
        <v>522244896172125</v>
      </c>
      <c r="B6" s="19" t="s">
        <v>9</v>
      </c>
      <c r="C6" s="1" t="s">
        <v>10</v>
      </c>
      <c r="D6" s="2">
        <v>80863069</v>
      </c>
      <c r="E6" s="95">
        <v>14987176340921</v>
      </c>
      <c r="F6" s="3">
        <v>4987176340924</v>
      </c>
      <c r="G6" s="4" t="s">
        <v>13</v>
      </c>
      <c r="H6" s="1">
        <v>1158</v>
      </c>
      <c r="I6" s="252" t="s">
        <v>409</v>
      </c>
      <c r="J6" s="5">
        <v>1</v>
      </c>
      <c r="K6" s="5">
        <v>1283.4000000000001</v>
      </c>
      <c r="L6" s="5">
        <v>1242.8599999999999</v>
      </c>
      <c r="M6" s="115">
        <v>0</v>
      </c>
      <c r="N6" s="21">
        <f>VLOOKUP(E6,'[1]Demand inbond in Aug'!$C:$J,8,0)</f>
        <v>0</v>
      </c>
      <c r="O6" s="250">
        <v>5</v>
      </c>
      <c r="P6" s="24">
        <f t="shared" si="0"/>
        <v>0</v>
      </c>
      <c r="Q6" s="24">
        <f t="shared" si="22"/>
        <v>0</v>
      </c>
      <c r="R6" s="24">
        <f t="shared" si="23"/>
        <v>5</v>
      </c>
      <c r="S6" s="31"/>
      <c r="T6" s="31"/>
      <c r="U6" s="31"/>
      <c r="V6" s="31"/>
      <c r="W6" s="31"/>
      <c r="X6" s="31">
        <v>0</v>
      </c>
      <c r="Y6" s="31"/>
      <c r="Z6" s="31"/>
      <c r="AA6" s="31"/>
      <c r="AB6" s="31"/>
      <c r="AC6" s="31">
        <f t="shared" si="12"/>
        <v>0</v>
      </c>
      <c r="AD6" s="31"/>
      <c r="AE6" s="31"/>
      <c r="AF6" s="31"/>
      <c r="AG6" s="31"/>
      <c r="AH6" s="31"/>
      <c r="AI6" s="31"/>
      <c r="AJ6" s="31">
        <v>0</v>
      </c>
      <c r="AK6" s="31"/>
      <c r="AL6" s="31"/>
      <c r="AM6" s="31"/>
      <c r="AN6" s="31">
        <f t="shared" si="13"/>
        <v>0</v>
      </c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>
        <v>55</v>
      </c>
      <c r="BA6" s="31"/>
      <c r="BB6" s="31"/>
      <c r="BC6" s="31"/>
      <c r="BD6" s="31">
        <f t="shared" si="14"/>
        <v>55</v>
      </c>
      <c r="BE6" s="29">
        <f t="shared" si="15"/>
        <v>-50</v>
      </c>
      <c r="BF6" s="29">
        <f t="shared" si="16"/>
        <v>0</v>
      </c>
      <c r="BG6" s="29">
        <f>VLOOKUP(E6,'[3]Y2604-Y2608_庫存&amp;銷售'!$F:$AJ,23,0)</f>
        <v>0</v>
      </c>
      <c r="BH6" s="29">
        <f>VLOOKUP(E6,'[3]Y2604-Y2608_庫存&amp;銷售'!$F:$AL,25,0)</f>
        <v>0</v>
      </c>
      <c r="BI6" s="29">
        <f>VLOOKUP(E6,'[3]Y2604-Y2608_庫存&amp;銷售'!$F:$AN,30,0)</f>
        <v>0</v>
      </c>
      <c r="BJ6" s="81">
        <f t="shared" si="1"/>
        <v>0</v>
      </c>
      <c r="BK6" s="81">
        <f t="shared" si="2"/>
        <v>0</v>
      </c>
      <c r="BL6" s="81">
        <f t="shared" si="3"/>
        <v>6417</v>
      </c>
      <c r="BM6" s="81">
        <f t="shared" si="4"/>
        <v>0</v>
      </c>
      <c r="BN6" s="81">
        <f t="shared" si="5"/>
        <v>0</v>
      </c>
      <c r="BO6" s="81">
        <f t="shared" si="6"/>
        <v>0</v>
      </c>
      <c r="BP6" s="81">
        <f t="shared" si="7"/>
        <v>0</v>
      </c>
      <c r="BQ6" s="81">
        <f t="shared" si="8"/>
        <v>0</v>
      </c>
      <c r="BR6" s="81">
        <f t="shared" si="9"/>
        <v>0</v>
      </c>
      <c r="BS6" s="199">
        <f t="shared" si="17"/>
        <v>70587</v>
      </c>
      <c r="BT6" s="199">
        <f t="shared" si="10"/>
        <v>63690</v>
      </c>
      <c r="BU6" s="199">
        <f t="shared" si="11"/>
        <v>69724.445999999996</v>
      </c>
      <c r="BV6" s="112">
        <f>VLOOKUP(E6,'[4]Y2604-Y2608_庫存&amp;銷售'!$F:$AB,17,0)</f>
        <v>5</v>
      </c>
      <c r="BW6" s="112">
        <f>VLOOKUP(A6,'[5]Demand inbond in Sep'!$B:$M,12,0)</f>
        <v>5</v>
      </c>
      <c r="BX6" s="112"/>
      <c r="BZ6" s="271"/>
      <c r="CA6" s="76" t="s">
        <v>26</v>
      </c>
      <c r="CB6" s="82">
        <f>SUMIF(C:C,CA2:CA16,BJ:BJ)</f>
        <v>1056814</v>
      </c>
      <c r="CC6" s="68"/>
      <c r="CD6" s="68"/>
      <c r="CE6" s="83"/>
      <c r="CF6" s="82">
        <f>SUMIF(C:C,CA2:CA16,BM:BM)</f>
        <v>0</v>
      </c>
      <c r="CG6" s="68">
        <f>SUMIF(C:C,CA2:CA16,BP:BP)</f>
        <v>4367</v>
      </c>
      <c r="CH6" s="68">
        <f>SUMIF(C:C,CA2:CA16,BS:BS)</f>
        <v>655050</v>
      </c>
      <c r="CI6" s="187">
        <f t="shared" si="18"/>
        <v>659417</v>
      </c>
      <c r="CJ6" s="68"/>
      <c r="CK6" s="68"/>
      <c r="CL6" s="189">
        <f>SUMIF(C:C,CA2:CA16,BN:BN)</f>
        <v>0</v>
      </c>
      <c r="CM6" s="69">
        <f>SUMIF(C:C,CA2:CA16,BQ:BQ)</f>
        <v>4000</v>
      </c>
      <c r="CN6" s="69">
        <f>SUMIF(C:C,CA2:CA16,BT:BT)</f>
        <v>600000</v>
      </c>
      <c r="CO6" s="87">
        <f t="shared" si="19"/>
        <v>604000</v>
      </c>
      <c r="CP6" s="86">
        <f>SUMIF(C:C,CA2:CA16,BO:BO)</f>
        <v>0</v>
      </c>
      <c r="CQ6" s="69">
        <f>SUMIF(C:C,CA2:CA16,BR:BR)</f>
        <v>4330.41</v>
      </c>
      <c r="CR6" s="69">
        <f>SUMIF(C:C,CA2:CA16,BU:BU)</f>
        <v>649561.5</v>
      </c>
      <c r="CS6" s="200">
        <f t="shared" si="20"/>
        <v>653891.91</v>
      </c>
      <c r="CT6" s="236">
        <v>68000</v>
      </c>
      <c r="CU6" s="246">
        <f t="shared" si="21"/>
        <v>-536000</v>
      </c>
    </row>
    <row r="7" spans="1:101" ht="15" x14ac:dyDescent="0.35">
      <c r="A7" s="2">
        <v>522244896175851</v>
      </c>
      <c r="B7" s="19" t="s">
        <v>9</v>
      </c>
      <c r="C7" s="1" t="s">
        <v>10</v>
      </c>
      <c r="D7" s="2">
        <v>80863061</v>
      </c>
      <c r="E7" s="3">
        <v>4987176340856</v>
      </c>
      <c r="F7" s="3">
        <v>4987176340856</v>
      </c>
      <c r="G7" s="4" t="s">
        <v>14</v>
      </c>
      <c r="H7" s="1">
        <v>193</v>
      </c>
      <c r="I7" s="252" t="s">
        <v>409</v>
      </c>
      <c r="J7" s="5">
        <v>6</v>
      </c>
      <c r="K7" s="5">
        <v>1283.4000000000001</v>
      </c>
      <c r="L7" s="5">
        <v>1242.8599999999999</v>
      </c>
      <c r="M7" s="169">
        <f>158+50</f>
        <v>208</v>
      </c>
      <c r="N7" s="21">
        <v>878</v>
      </c>
      <c r="O7" s="23">
        <v>700</v>
      </c>
      <c r="P7" s="28">
        <f t="shared" si="0"/>
        <v>1248</v>
      </c>
      <c r="Q7" s="24">
        <f t="shared" si="22"/>
        <v>5268</v>
      </c>
      <c r="R7" s="24">
        <f t="shared" si="23"/>
        <v>4200</v>
      </c>
      <c r="S7" s="31"/>
      <c r="T7" s="31"/>
      <c r="U7" s="31"/>
      <c r="V7" s="31"/>
      <c r="W7" s="31"/>
      <c r="X7" s="31"/>
      <c r="Y7" s="31">
        <v>158</v>
      </c>
      <c r="Z7" s="31">
        <v>50</v>
      </c>
      <c r="AA7" s="31"/>
      <c r="AB7" s="31"/>
      <c r="AC7" s="31">
        <f t="shared" si="12"/>
        <v>208</v>
      </c>
      <c r="AD7" s="31"/>
      <c r="AE7" s="31"/>
      <c r="AF7" s="31"/>
      <c r="AG7" s="31"/>
      <c r="AH7" s="31">
        <v>190</v>
      </c>
      <c r="AI7" s="31"/>
      <c r="AJ7" s="31"/>
      <c r="AK7" s="31"/>
      <c r="AL7" s="31">
        <v>644</v>
      </c>
      <c r="AM7" s="31"/>
      <c r="AN7" s="31">
        <f t="shared" si="13"/>
        <v>834</v>
      </c>
      <c r="AO7" s="31"/>
      <c r="AP7" s="31">
        <v>100</v>
      </c>
      <c r="AQ7" s="31"/>
      <c r="AR7" s="31"/>
      <c r="AS7" s="31"/>
      <c r="AT7" s="31"/>
      <c r="AU7" s="31"/>
      <c r="AV7" s="31">
        <v>600</v>
      </c>
      <c r="AW7" s="31"/>
      <c r="AX7" s="31"/>
      <c r="AY7" s="31"/>
      <c r="AZ7" s="31"/>
      <c r="BA7" s="31"/>
      <c r="BB7" s="31"/>
      <c r="BC7" s="31"/>
      <c r="BD7" s="31">
        <f t="shared" si="14"/>
        <v>700</v>
      </c>
      <c r="BE7" s="29">
        <f t="shared" si="15"/>
        <v>0</v>
      </c>
      <c r="BF7" s="29">
        <f t="shared" si="16"/>
        <v>700</v>
      </c>
      <c r="BG7" s="29">
        <f>VLOOKUP(E7,'[3]Y2604-Y2608_庫存&amp;銷售'!$F:$AJ,23,0)</f>
        <v>335.66666666666669</v>
      </c>
      <c r="BH7" s="29">
        <f>VLOOKUP(E7,'[3]Y2604-Y2608_庫存&amp;銷售'!$F:$AL,25,0)</f>
        <v>0</v>
      </c>
      <c r="BI7" s="29">
        <f>VLOOKUP(E7,'[3]Y2604-Y2608_庫存&amp;銷售'!$F:$AN,30,0)</f>
        <v>0</v>
      </c>
      <c r="BJ7" s="81">
        <f t="shared" si="1"/>
        <v>266947.20000000001</v>
      </c>
      <c r="BK7" s="81">
        <f t="shared" si="2"/>
        <v>1126825.2000000002</v>
      </c>
      <c r="BL7" s="81">
        <f t="shared" si="3"/>
        <v>898380.00000000012</v>
      </c>
      <c r="BM7" s="81">
        <f t="shared" si="4"/>
        <v>266947.20000000001</v>
      </c>
      <c r="BN7" s="81">
        <f t="shared" si="5"/>
        <v>240864</v>
      </c>
      <c r="BO7" s="81">
        <f t="shared" si="6"/>
        <v>263685.17759999994</v>
      </c>
      <c r="BP7" s="81">
        <f t="shared" si="7"/>
        <v>1070355.6000000001</v>
      </c>
      <c r="BQ7" s="81">
        <f t="shared" si="8"/>
        <v>965772</v>
      </c>
      <c r="BR7" s="81">
        <f t="shared" si="9"/>
        <v>1057276.1447999999</v>
      </c>
      <c r="BS7" s="199">
        <f t="shared" si="17"/>
        <v>898380.00000000012</v>
      </c>
      <c r="BT7" s="199">
        <f t="shared" si="10"/>
        <v>810600</v>
      </c>
      <c r="BU7" s="199">
        <f t="shared" si="11"/>
        <v>887402.03999999992</v>
      </c>
      <c r="BV7" s="112">
        <f>VLOOKUP(E7,'[4]Y2604-Y2608_庫存&amp;銷售'!$F:$AB,17,0)</f>
        <v>637.16666666666674</v>
      </c>
      <c r="BW7" s="112">
        <f>VLOOKUP(A7,'[5]Demand inbond in Sep'!$B:$M,12,0)</f>
        <v>700</v>
      </c>
      <c r="BX7" s="112"/>
      <c r="BZ7" s="70" t="s">
        <v>91</v>
      </c>
      <c r="CA7" s="75" t="s">
        <v>100</v>
      </c>
      <c r="CB7" s="82">
        <f>SUMIF(C:C,CA2:CA16,BJ:BJ)</f>
        <v>4335151.694080336</v>
      </c>
      <c r="CC7" s="68"/>
      <c r="CD7" s="68"/>
      <c r="CE7" s="83"/>
      <c r="CF7" s="82">
        <f>SUMIF(C:C,CA2:CA16,BM:BM)</f>
        <v>2972578.8000000003</v>
      </c>
      <c r="CG7" s="68">
        <f>SUMIF(C:C,CA2:CA16,BP:BP)</f>
        <v>2950984.68</v>
      </c>
      <c r="CH7" s="68">
        <f>SUMIF(C:C,CA2:CA16,BS:BS)</f>
        <v>4006209.1049305559</v>
      </c>
      <c r="CI7" s="187">
        <f t="shared" si="18"/>
        <v>9929772.5849305559</v>
      </c>
      <c r="CJ7" s="68">
        <v>6000000</v>
      </c>
      <c r="CK7" s="68">
        <f>CJ7-CF7-CG7</f>
        <v>76436.519999999553</v>
      </c>
      <c r="CL7" s="189">
        <f>SUMIF(C:C,CA2:CA16,BN:BN)</f>
        <v>2574206</v>
      </c>
      <c r="CM7" s="69">
        <f>SUMIF(C:C,CA2:CA16,BQ:BQ)</f>
        <v>2623791</v>
      </c>
      <c r="CN7" s="69">
        <f>SUMIF(C:C,CA2:CA16,BT:BT)</f>
        <v>3618972</v>
      </c>
      <c r="CO7" s="87">
        <f t="shared" si="19"/>
        <v>8816969</v>
      </c>
      <c r="CP7" s="86">
        <f>SUMIF(C:C,CA2:CA16,BO:BO)</f>
        <v>2882993.6547785997</v>
      </c>
      <c r="CQ7" s="69">
        <f>SUMIF(C:C,CA2:CA16,BR:BR)</f>
        <v>2866397.0477921995</v>
      </c>
      <c r="CR7" s="69">
        <f>SUMIF(C:C,CA2:CA16,BU:BU)</f>
        <v>3881239.1215903214</v>
      </c>
      <c r="CS7" s="200">
        <f t="shared" si="20"/>
        <v>9630629.8241611216</v>
      </c>
      <c r="CT7" s="236">
        <v>9400000</v>
      </c>
      <c r="CU7" s="238">
        <f t="shared" si="21"/>
        <v>583031</v>
      </c>
      <c r="CV7" t="s">
        <v>330</v>
      </c>
    </row>
    <row r="8" spans="1:101" ht="15" x14ac:dyDescent="0.35">
      <c r="A8" s="2">
        <v>522244896175852</v>
      </c>
      <c r="B8" s="19" t="s">
        <v>9</v>
      </c>
      <c r="C8" s="1" t="s">
        <v>10</v>
      </c>
      <c r="D8" s="2">
        <v>80863067</v>
      </c>
      <c r="E8" s="3">
        <v>4987176340900</v>
      </c>
      <c r="F8" s="3">
        <v>4987176340900</v>
      </c>
      <c r="G8" s="4" t="s">
        <v>15</v>
      </c>
      <c r="H8" s="1">
        <v>193</v>
      </c>
      <c r="I8" s="252" t="s">
        <v>409</v>
      </c>
      <c r="J8" s="5">
        <v>6</v>
      </c>
      <c r="K8" s="5">
        <v>1283.4000000000001</v>
      </c>
      <c r="L8" s="5">
        <v>1242.8599999999999</v>
      </c>
      <c r="M8" s="169">
        <f>536+266</f>
        <v>802</v>
      </c>
      <c r="N8" s="21">
        <v>850</v>
      </c>
      <c r="O8" s="250">
        <f>VLOOKUP(D8,'[2]Data for PV'!$B:$L,11,0)</f>
        <v>772.72727272727263</v>
      </c>
      <c r="P8" s="28">
        <f t="shared" si="0"/>
        <v>4812</v>
      </c>
      <c r="Q8" s="24">
        <f t="shared" si="22"/>
        <v>5100</v>
      </c>
      <c r="R8" s="24">
        <f t="shared" si="23"/>
        <v>4636.363636363636</v>
      </c>
      <c r="S8" s="31"/>
      <c r="T8" s="31"/>
      <c r="U8" s="31"/>
      <c r="V8" s="31"/>
      <c r="W8" s="31">
        <v>536</v>
      </c>
      <c r="X8" s="31"/>
      <c r="Y8" s="31">
        <v>0</v>
      </c>
      <c r="Z8" s="31"/>
      <c r="AA8" s="31"/>
      <c r="AB8" s="31">
        <v>266</v>
      </c>
      <c r="AC8" s="31">
        <f t="shared" si="12"/>
        <v>802</v>
      </c>
      <c r="AD8" s="31"/>
      <c r="AE8" s="31"/>
      <c r="AF8" s="31"/>
      <c r="AG8" s="31"/>
      <c r="AH8" s="31">
        <v>612</v>
      </c>
      <c r="AI8" s="31"/>
      <c r="AJ8" s="31"/>
      <c r="AK8" s="31"/>
      <c r="AL8" s="31">
        <v>0</v>
      </c>
      <c r="AM8" s="31"/>
      <c r="AN8" s="31">
        <f t="shared" si="13"/>
        <v>612</v>
      </c>
      <c r="AO8" s="31"/>
      <c r="AP8" s="31"/>
      <c r="AQ8" s="31"/>
      <c r="AR8" s="31"/>
      <c r="AS8" s="31">
        <v>700</v>
      </c>
      <c r="AT8" s="31"/>
      <c r="AU8" s="31"/>
      <c r="AV8" s="31"/>
      <c r="AW8" s="31"/>
      <c r="AX8" s="31">
        <v>73</v>
      </c>
      <c r="AY8" s="31"/>
      <c r="AZ8" s="31">
        <v>0</v>
      </c>
      <c r="BA8" s="31"/>
      <c r="BB8" s="31"/>
      <c r="BC8" s="31"/>
      <c r="BD8" s="31">
        <f t="shared" si="14"/>
        <v>773</v>
      </c>
      <c r="BE8" s="29">
        <f t="shared" si="15"/>
        <v>-0.27272727272736574</v>
      </c>
      <c r="BF8" s="29">
        <f t="shared" si="16"/>
        <v>700</v>
      </c>
      <c r="BG8" s="29">
        <f>VLOOKUP(E8,'[3]Y2604-Y2608_庫存&amp;銷售'!$F:$AJ,23,0)</f>
        <v>79.5</v>
      </c>
      <c r="BH8" s="29">
        <f>VLOOKUP(E8,'[3]Y2604-Y2608_庫存&amp;銷售'!$F:$AL,25,0)</f>
        <v>0</v>
      </c>
      <c r="BI8" s="29">
        <f>VLOOKUP(E8,'[3]Y2604-Y2608_庫存&amp;銷售'!$F:$AN,30,0)</f>
        <v>0</v>
      </c>
      <c r="BJ8" s="81">
        <f t="shared" si="1"/>
        <v>1029286.8</v>
      </c>
      <c r="BK8" s="81">
        <f t="shared" si="2"/>
        <v>1090890</v>
      </c>
      <c r="BL8" s="81">
        <f t="shared" si="3"/>
        <v>991718.18181818177</v>
      </c>
      <c r="BM8" s="81">
        <f t="shared" si="4"/>
        <v>1029286.8</v>
      </c>
      <c r="BN8" s="81">
        <f t="shared" si="5"/>
        <v>928716</v>
      </c>
      <c r="BO8" s="81">
        <f t="shared" si="6"/>
        <v>1016709.1943999998</v>
      </c>
      <c r="BP8" s="81">
        <f t="shared" si="7"/>
        <v>785440.8</v>
      </c>
      <c r="BQ8" s="81">
        <f t="shared" si="8"/>
        <v>708696</v>
      </c>
      <c r="BR8" s="81">
        <f t="shared" si="9"/>
        <v>775842.92639999988</v>
      </c>
      <c r="BS8" s="199">
        <f t="shared" si="17"/>
        <v>992068.20000000007</v>
      </c>
      <c r="BT8" s="199">
        <f t="shared" si="10"/>
        <v>895134</v>
      </c>
      <c r="BU8" s="199">
        <f t="shared" si="11"/>
        <v>979945.39559999981</v>
      </c>
      <c r="BV8" s="112">
        <f>VLOOKUP(E8,'[4]Y2604-Y2608_庫存&amp;銷售'!$F:$AB,17,0)</f>
        <v>738.33333333333326</v>
      </c>
      <c r="BW8" s="112">
        <f>VLOOKUP(A8,'[5]Demand inbond in Sep'!$B:$M,12,0)</f>
        <v>773</v>
      </c>
      <c r="BX8" s="112"/>
      <c r="BZ8" s="70" t="s">
        <v>223</v>
      </c>
      <c r="CA8" s="75" t="s">
        <v>224</v>
      </c>
      <c r="CB8" s="82">
        <f>SUMIF(C:C,CA2:CA16,BJ:BJ)</f>
        <v>578531.64</v>
      </c>
      <c r="CC8" s="68"/>
      <c r="CD8" s="68"/>
      <c r="CE8" s="83"/>
      <c r="CF8" s="82">
        <f>SUMIF(C:C,CA2:CA16,BM:BM)</f>
        <v>312620.64</v>
      </c>
      <c r="CG8" s="68">
        <f>SUMIF(C:C,CA2:CA16,BP:BP)</f>
        <v>940659.61</v>
      </c>
      <c r="CH8" s="68">
        <f>SUMIF(C:C,CA2:CA16,BS:BS)</f>
        <v>860145</v>
      </c>
      <c r="CI8" s="187">
        <f t="shared" si="18"/>
        <v>2113425.25</v>
      </c>
      <c r="CJ8" s="68">
        <v>3000000</v>
      </c>
      <c r="CK8" s="68">
        <f>CJ8-CF8-CG8</f>
        <v>1746719.75</v>
      </c>
      <c r="CL8" s="189">
        <f>SUMIF(C:C,CA2:CA16,BN:BN)</f>
        <v>282360</v>
      </c>
      <c r="CM8" s="69">
        <f>SUMIF(C:C,CA2:CA16,BQ:BQ)</f>
        <v>853188</v>
      </c>
      <c r="CN8" s="69">
        <f>SUMIF(C:C,CA2:CA16,BT:BT)</f>
        <v>780066</v>
      </c>
      <c r="CO8" s="87">
        <f t="shared" si="19"/>
        <v>1915614</v>
      </c>
      <c r="CP8" s="86">
        <f>SUMIF(C:C,CA2:CA16,BO:BO)</f>
        <v>310864.84327584004</v>
      </c>
      <c r="CQ8" s="69">
        <f>SUMIF(C:C,CA2:CA16,BR:BR)</f>
        <v>933708.81657987018</v>
      </c>
      <c r="CR8" s="69">
        <f>SUMIF(C:C,CA2:CA16,BU:BU)</f>
        <v>854660.0287738801</v>
      </c>
      <c r="CS8" s="200">
        <f t="shared" si="20"/>
        <v>2099233.6886295904</v>
      </c>
      <c r="CT8" s="236">
        <v>2290000</v>
      </c>
      <c r="CU8" s="238">
        <f t="shared" si="21"/>
        <v>374386</v>
      </c>
      <c r="CV8" t="s">
        <v>338</v>
      </c>
    </row>
    <row r="9" spans="1:101" ht="15" x14ac:dyDescent="0.35">
      <c r="A9" s="2">
        <v>522244896175853</v>
      </c>
      <c r="B9" s="19" t="s">
        <v>9</v>
      </c>
      <c r="C9" s="1" t="s">
        <v>10</v>
      </c>
      <c r="D9" s="2">
        <v>80870022</v>
      </c>
      <c r="E9" s="3">
        <v>4987176340917</v>
      </c>
      <c r="F9" s="3">
        <v>4987176340917</v>
      </c>
      <c r="G9" s="4" t="s">
        <v>16</v>
      </c>
      <c r="H9" s="1">
        <v>122</v>
      </c>
      <c r="I9" s="1"/>
      <c r="J9" s="5">
        <v>12</v>
      </c>
      <c r="K9" s="5">
        <v>1620</v>
      </c>
      <c r="L9" s="5">
        <v>1571.9</v>
      </c>
      <c r="M9" s="115">
        <v>0</v>
      </c>
      <c r="N9" s="21">
        <f>VLOOKUP(E9,'[1]Demand inbond in Aug'!$C:$J,8,0)</f>
        <v>0</v>
      </c>
      <c r="O9" s="23"/>
      <c r="P9" s="24">
        <f t="shared" si="0"/>
        <v>0</v>
      </c>
      <c r="Q9" s="24">
        <f t="shared" si="22"/>
        <v>0</v>
      </c>
      <c r="R9" s="24">
        <f t="shared" si="23"/>
        <v>0</v>
      </c>
      <c r="S9" s="31"/>
      <c r="T9" s="31"/>
      <c r="U9" s="31"/>
      <c r="V9" s="31"/>
      <c r="W9" s="31"/>
      <c r="X9" s="31"/>
      <c r="Y9" s="31"/>
      <c r="Z9" s="31"/>
      <c r="AA9" s="31"/>
      <c r="AB9" s="31"/>
      <c r="AC9" s="31">
        <f t="shared" si="12"/>
        <v>0</v>
      </c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>
        <f t="shared" si="13"/>
        <v>0</v>
      </c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>
        <f t="shared" si="14"/>
        <v>0</v>
      </c>
      <c r="BE9" s="29">
        <f t="shared" si="15"/>
        <v>0</v>
      </c>
      <c r="BF9" s="29">
        <f t="shared" si="16"/>
        <v>0</v>
      </c>
      <c r="BG9" s="29">
        <f>VLOOKUP(E9,'[3]Y2604-Y2608_庫存&amp;銷售'!$F:$AJ,23,0)</f>
        <v>0</v>
      </c>
      <c r="BH9" s="29">
        <f>VLOOKUP(E9,'[3]Y2604-Y2608_庫存&amp;銷售'!$F:$AL,25,0)</f>
        <v>0</v>
      </c>
      <c r="BI9" s="29">
        <f>VLOOKUP(E9,'[3]Y2604-Y2608_庫存&amp;銷售'!$F:$AN,30,0)</f>
        <v>0</v>
      </c>
      <c r="BJ9" s="81">
        <f t="shared" si="1"/>
        <v>0</v>
      </c>
      <c r="BK9" s="81">
        <f t="shared" si="2"/>
        <v>0</v>
      </c>
      <c r="BL9" s="81">
        <f t="shared" si="3"/>
        <v>0</v>
      </c>
      <c r="BM9" s="81">
        <f t="shared" si="4"/>
        <v>0</v>
      </c>
      <c r="BN9" s="81">
        <f t="shared" si="5"/>
        <v>0</v>
      </c>
      <c r="BO9" s="81">
        <f t="shared" si="6"/>
        <v>0</v>
      </c>
      <c r="BP9" s="81">
        <f t="shared" si="7"/>
        <v>0</v>
      </c>
      <c r="BQ9" s="81">
        <f t="shared" si="8"/>
        <v>0</v>
      </c>
      <c r="BR9" s="81">
        <f t="shared" si="9"/>
        <v>0</v>
      </c>
      <c r="BS9" s="199">
        <f t="shared" si="17"/>
        <v>0</v>
      </c>
      <c r="BT9" s="199">
        <f t="shared" si="10"/>
        <v>0</v>
      </c>
      <c r="BU9" s="199">
        <f t="shared" si="11"/>
        <v>0</v>
      </c>
      <c r="BV9" s="112">
        <f>VLOOKUP(E9,'[4]Y2604-Y2608_庫存&amp;銷售'!$F:$AB,17,0)</f>
        <v>0</v>
      </c>
      <c r="BW9" s="112">
        <f>VLOOKUP(A9,'[5]Demand inbond in Sep'!$B:$M,12,0)</f>
        <v>0</v>
      </c>
      <c r="BX9" s="112"/>
      <c r="BZ9" s="271" t="s">
        <v>225</v>
      </c>
      <c r="CA9" s="76" t="s">
        <v>226</v>
      </c>
      <c r="CB9" s="82">
        <f>SUMIF(C:C,CA2:CA16,BJ:BJ)</f>
        <v>0</v>
      </c>
      <c r="CC9" s="68"/>
      <c r="CD9" s="68"/>
      <c r="CE9" s="83"/>
      <c r="CF9" s="82">
        <f>SUMIF(C:C,CA2:CA16,BM:BM)</f>
        <v>0</v>
      </c>
      <c r="CG9" s="68">
        <f>SUMIF(C:C,CA2:CA16,BP:BP)</f>
        <v>446440.54</v>
      </c>
      <c r="CH9" s="68">
        <f>SUMIF(C:C,CA2:CA16,BS:BS)</f>
        <v>478329.14999999997</v>
      </c>
      <c r="CI9" s="187">
        <f t="shared" si="18"/>
        <v>924769.69</v>
      </c>
      <c r="CJ9" s="68"/>
      <c r="CK9" s="68"/>
      <c r="CL9" s="189">
        <f>SUMIF(C:C,CA2:CA16,BN:BN)</f>
        <v>0</v>
      </c>
      <c r="CM9" s="69">
        <f>SUMIF(C:C,CA2:CA16,BQ:BQ)</f>
        <v>420966</v>
      </c>
      <c r="CN9" s="69">
        <f>SUMIF(C:C,CA2:CA16,BT:BT)</f>
        <v>451035</v>
      </c>
      <c r="CO9" s="87">
        <f t="shared" si="19"/>
        <v>872001</v>
      </c>
      <c r="CP9" s="86">
        <f>SUMIF(C:C,CA2:CA16,BO:BO)</f>
        <v>0</v>
      </c>
      <c r="CQ9" s="69">
        <f>SUMIF(C:C,CA2:CA16,BR:BR)</f>
        <v>442968.64029053994</v>
      </c>
      <c r="CR9" s="69">
        <f>SUMIF(C:C,CA2:CA16,BU:BU)</f>
        <v>474609.25745414989</v>
      </c>
      <c r="CS9" s="200">
        <f t="shared" si="20"/>
        <v>917577.89774468984</v>
      </c>
      <c r="CT9" s="236">
        <v>420000</v>
      </c>
      <c r="CU9" s="233">
        <f t="shared" si="21"/>
        <v>-452001</v>
      </c>
    </row>
    <row r="10" spans="1:101" ht="15" x14ac:dyDescent="0.35">
      <c r="A10" s="2">
        <v>522244896175854</v>
      </c>
      <c r="B10" s="19" t="s">
        <v>9</v>
      </c>
      <c r="C10" s="1" t="s">
        <v>10</v>
      </c>
      <c r="D10" s="2">
        <v>80863069</v>
      </c>
      <c r="E10" s="3">
        <v>4987176340924</v>
      </c>
      <c r="F10" s="3">
        <v>4987176340924</v>
      </c>
      <c r="G10" s="4" t="s">
        <v>17</v>
      </c>
      <c r="H10" s="1">
        <v>193</v>
      </c>
      <c r="I10" s="252" t="s">
        <v>409</v>
      </c>
      <c r="J10" s="5">
        <v>6</v>
      </c>
      <c r="K10" s="5">
        <v>1283.4000000000001</v>
      </c>
      <c r="L10" s="5">
        <v>1242.8599999999999</v>
      </c>
      <c r="M10" s="115">
        <v>0</v>
      </c>
      <c r="N10" s="21">
        <f>VLOOKUP(E10,'[1]Demand inbond in Aug'!$C:$J,8,0)</f>
        <v>142.29</v>
      </c>
      <c r="O10" s="23">
        <v>150</v>
      </c>
      <c r="P10" s="24">
        <f t="shared" si="0"/>
        <v>0</v>
      </c>
      <c r="Q10" s="24">
        <f t="shared" si="22"/>
        <v>853.74</v>
      </c>
      <c r="R10" s="24">
        <f t="shared" si="23"/>
        <v>900</v>
      </c>
      <c r="S10" s="31"/>
      <c r="T10" s="31"/>
      <c r="U10" s="31"/>
      <c r="V10" s="31"/>
      <c r="W10" s="31"/>
      <c r="X10" s="31">
        <v>0</v>
      </c>
      <c r="Y10" s="31"/>
      <c r="Z10" s="31"/>
      <c r="AA10" s="31"/>
      <c r="AB10" s="31"/>
      <c r="AC10" s="31">
        <f t="shared" si="12"/>
        <v>0</v>
      </c>
      <c r="AD10" s="31"/>
      <c r="AE10" s="31">
        <v>142</v>
      </c>
      <c r="AF10" s="31"/>
      <c r="AG10" s="31"/>
      <c r="AH10" s="31">
        <v>0</v>
      </c>
      <c r="AI10" s="31"/>
      <c r="AJ10" s="31"/>
      <c r="AK10" s="31"/>
      <c r="AL10" s="31"/>
      <c r="AM10" s="31"/>
      <c r="AN10" s="31">
        <f t="shared" si="13"/>
        <v>142</v>
      </c>
      <c r="AO10" s="31"/>
      <c r="AP10" s="31"/>
      <c r="AQ10" s="31"/>
      <c r="AR10" s="31"/>
      <c r="AS10" s="31"/>
      <c r="AT10" s="31">
        <v>150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>
        <f t="shared" si="14"/>
        <v>150</v>
      </c>
      <c r="BE10" s="29">
        <f t="shared" si="15"/>
        <v>0</v>
      </c>
      <c r="BF10" s="29">
        <f t="shared" si="16"/>
        <v>150</v>
      </c>
      <c r="BG10" s="29">
        <f>VLOOKUP(E10,'[3]Y2604-Y2608_庫存&amp;銷售'!$F:$AJ,23,0)</f>
        <v>31.999999999999996</v>
      </c>
      <c r="BH10" s="29">
        <f>VLOOKUP(E10,'[3]Y2604-Y2608_庫存&amp;銷售'!$F:$AL,25,0)</f>
        <v>0</v>
      </c>
      <c r="BI10" s="29">
        <f>VLOOKUP(E10,'[3]Y2604-Y2608_庫存&amp;銷售'!$F:$AN,30,0)</f>
        <v>0</v>
      </c>
      <c r="BJ10" s="81">
        <f t="shared" si="1"/>
        <v>0</v>
      </c>
      <c r="BK10" s="81">
        <f t="shared" si="2"/>
        <v>182614.986</v>
      </c>
      <c r="BL10" s="81">
        <f t="shared" si="3"/>
        <v>192510</v>
      </c>
      <c r="BM10" s="81">
        <f t="shared" si="4"/>
        <v>0</v>
      </c>
      <c r="BN10" s="81">
        <f t="shared" si="5"/>
        <v>0</v>
      </c>
      <c r="BO10" s="81">
        <f t="shared" si="6"/>
        <v>0</v>
      </c>
      <c r="BP10" s="81">
        <f t="shared" si="7"/>
        <v>182242.80000000002</v>
      </c>
      <c r="BQ10" s="81">
        <f t="shared" si="8"/>
        <v>164436</v>
      </c>
      <c r="BR10" s="81">
        <f t="shared" si="9"/>
        <v>180015.84239999996</v>
      </c>
      <c r="BS10" s="199">
        <f t="shared" si="17"/>
        <v>192510</v>
      </c>
      <c r="BT10" s="199">
        <f t="shared" si="10"/>
        <v>173700</v>
      </c>
      <c r="BU10" s="199">
        <f t="shared" si="11"/>
        <v>190157.58</v>
      </c>
      <c r="BV10" s="112">
        <f>VLOOKUP(E10,'[4]Y2604-Y2608_庫存&amp;銷售'!$F:$AB,17,0)</f>
        <v>14.5</v>
      </c>
      <c r="BW10" s="112">
        <f>VLOOKUP(A10,'[5]Demand inbond in Sep'!$B:$M,12,0)</f>
        <v>150</v>
      </c>
      <c r="BX10" s="112"/>
      <c r="BZ10" s="271"/>
      <c r="CA10" s="76" t="s">
        <v>227</v>
      </c>
      <c r="CB10" s="82">
        <f>SUMIF(C:C,CA2:CA16,BJ:BJ)</f>
        <v>0</v>
      </c>
      <c r="CC10" s="68"/>
      <c r="CD10" s="68"/>
      <c r="CE10" s="83"/>
      <c r="CF10" s="82">
        <f>SUMIF(C:C,CA2:CA16,BM:BM)</f>
        <v>0</v>
      </c>
      <c r="CG10" s="68">
        <f>SUMIF(C:C,CA2:CA16,BP:BP)</f>
        <v>0</v>
      </c>
      <c r="CH10" s="68">
        <f>SUMIF(C:C,CA2:CA16,BS:BS)</f>
        <v>0</v>
      </c>
      <c r="CI10" s="187">
        <f t="shared" si="18"/>
        <v>0</v>
      </c>
      <c r="CJ10" s="68"/>
      <c r="CK10" s="68"/>
      <c r="CL10" s="189">
        <f>SUMIF(C:C,CA2:CA16,BN:BN)</f>
        <v>0</v>
      </c>
      <c r="CM10" s="69">
        <f>SUMIF(C:C,CA2:CA16,BQ:BQ)</f>
        <v>0</v>
      </c>
      <c r="CN10" s="69">
        <f>SUMIF(C:C,CA2:CA16,BT:BT)</f>
        <v>0</v>
      </c>
      <c r="CO10" s="87">
        <f t="shared" si="19"/>
        <v>0</v>
      </c>
      <c r="CP10" s="86">
        <f>SUMIF(C:C,CA2:CA16,BO:BO)</f>
        <v>0</v>
      </c>
      <c r="CQ10" s="69">
        <f>SUMIF(C:C,CA2:CA16,BR:BR)</f>
        <v>0</v>
      </c>
      <c r="CR10" s="69">
        <f>SUMIF(C:C,CA2:CA16,BU:BU)</f>
        <v>0</v>
      </c>
      <c r="CS10" s="200">
        <f t="shared" si="20"/>
        <v>0</v>
      </c>
      <c r="CT10" s="237"/>
      <c r="CU10" s="233">
        <f t="shared" si="21"/>
        <v>0</v>
      </c>
    </row>
    <row r="11" spans="1:101" ht="15" x14ac:dyDescent="0.35">
      <c r="A11" s="2">
        <v>522244896175855</v>
      </c>
      <c r="B11" s="19" t="s">
        <v>9</v>
      </c>
      <c r="C11" s="1" t="s">
        <v>10</v>
      </c>
      <c r="D11" s="2">
        <v>80834744</v>
      </c>
      <c r="E11" s="3">
        <v>4987176340887</v>
      </c>
      <c r="F11" s="3">
        <v>4987176340887</v>
      </c>
      <c r="G11" s="4" t="s">
        <v>18</v>
      </c>
      <c r="H11" s="1">
        <v>122</v>
      </c>
      <c r="I11" s="1"/>
      <c r="J11" s="5">
        <v>12</v>
      </c>
      <c r="K11" s="5">
        <v>1620</v>
      </c>
      <c r="L11" s="5">
        <v>1571.9</v>
      </c>
      <c r="M11" s="115">
        <v>0</v>
      </c>
      <c r="N11" s="21">
        <f>VLOOKUP(E11,'[1]Demand inbond in Aug'!$C:$J,8,0)</f>
        <v>0</v>
      </c>
      <c r="O11" s="23"/>
      <c r="P11" s="24">
        <f t="shared" si="0"/>
        <v>0</v>
      </c>
      <c r="Q11" s="24">
        <f t="shared" si="22"/>
        <v>0</v>
      </c>
      <c r="R11" s="24">
        <f t="shared" si="23"/>
        <v>0</v>
      </c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>
        <f t="shared" si="12"/>
        <v>0</v>
      </c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>
        <f t="shared" si="13"/>
        <v>0</v>
      </c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>
        <f t="shared" si="14"/>
        <v>0</v>
      </c>
      <c r="BE11" s="29">
        <f t="shared" si="15"/>
        <v>0</v>
      </c>
      <c r="BF11" s="29">
        <f t="shared" si="16"/>
        <v>0</v>
      </c>
      <c r="BG11" s="29">
        <f>VLOOKUP(E11,'[3]Y2604-Y2608_庫存&amp;銷售'!$F:$AJ,23,0)</f>
        <v>0</v>
      </c>
      <c r="BH11" s="29">
        <f>VLOOKUP(E11,'[3]Y2604-Y2608_庫存&amp;銷售'!$F:$AL,25,0)</f>
        <v>0</v>
      </c>
      <c r="BI11" s="29">
        <f>VLOOKUP(E11,'[3]Y2604-Y2608_庫存&amp;銷售'!$F:$AN,30,0)</f>
        <v>0</v>
      </c>
      <c r="BJ11" s="81">
        <f t="shared" si="1"/>
        <v>0</v>
      </c>
      <c r="BK11" s="81">
        <f t="shared" si="2"/>
        <v>0</v>
      </c>
      <c r="BL11" s="81">
        <f t="shared" si="3"/>
        <v>0</v>
      </c>
      <c r="BM11" s="81">
        <f t="shared" si="4"/>
        <v>0</v>
      </c>
      <c r="BN11" s="81">
        <f t="shared" si="5"/>
        <v>0</v>
      </c>
      <c r="BO11" s="81">
        <f t="shared" si="6"/>
        <v>0</v>
      </c>
      <c r="BP11" s="81">
        <f t="shared" si="7"/>
        <v>0</v>
      </c>
      <c r="BQ11" s="81">
        <f t="shared" si="8"/>
        <v>0</v>
      </c>
      <c r="BR11" s="81">
        <f t="shared" si="9"/>
        <v>0</v>
      </c>
      <c r="BS11" s="199">
        <f t="shared" si="17"/>
        <v>0</v>
      </c>
      <c r="BT11" s="199">
        <f t="shared" si="10"/>
        <v>0</v>
      </c>
      <c r="BU11" s="199">
        <f t="shared" si="11"/>
        <v>0</v>
      </c>
      <c r="BV11" s="112">
        <f>VLOOKUP(E11,'[4]Y2604-Y2608_庫存&amp;銷售'!$F:$AB,17,0)</f>
        <v>0</v>
      </c>
      <c r="BW11" s="112">
        <f>VLOOKUP(A11,'[5]Demand inbond in Sep'!$B:$M,12,0)</f>
        <v>0</v>
      </c>
      <c r="BX11" s="112"/>
      <c r="BZ11" s="271"/>
      <c r="CA11" s="76" t="s">
        <v>228</v>
      </c>
      <c r="CB11" s="82">
        <f>SUMIF(C:C,CA2:CA16,BJ:BJ)</f>
        <v>287640</v>
      </c>
      <c r="CC11" s="68"/>
      <c r="CD11" s="68"/>
      <c r="CE11" s="83"/>
      <c r="CF11" s="82">
        <f>SUMIF(C:C,CA2:CA16,BM:BM)</f>
        <v>263670</v>
      </c>
      <c r="CG11" s="68">
        <f>SUMIF(C:C,CA2:CA16,BP:BP)</f>
        <v>340374</v>
      </c>
      <c r="CH11" s="68">
        <f>SUMIF(C:C,CA2:CA16,BS:BS)</f>
        <v>0</v>
      </c>
      <c r="CI11" s="187">
        <f t="shared" si="18"/>
        <v>604044</v>
      </c>
      <c r="CJ11" s="68"/>
      <c r="CK11" s="68"/>
      <c r="CL11" s="189">
        <f>SUMIF(C:C,CA2:CA16,BN:BN)</f>
        <v>231660</v>
      </c>
      <c r="CM11" s="69">
        <f>SUMIF(C:C,CA2:CA16,BQ:BQ)</f>
        <v>299052</v>
      </c>
      <c r="CN11" s="69">
        <f>SUMIF(C:C,CA2:CA16,BT:BT)</f>
        <v>0</v>
      </c>
      <c r="CO11" s="87">
        <f t="shared" si="19"/>
        <v>530712</v>
      </c>
      <c r="CP11" s="86">
        <f>SUMIF(C:C,CA2:CA16,BO:BO)</f>
        <v>261589.44734999997</v>
      </c>
      <c r="CQ11" s="69">
        <f>SUMIF(C:C,CA2:CA16,BR:BR)</f>
        <v>337688.19566999999</v>
      </c>
      <c r="CR11" s="69">
        <f>SUMIF(C:C,CA2:CA16,BU:BU)</f>
        <v>0</v>
      </c>
      <c r="CS11" s="200">
        <f t="shared" si="20"/>
        <v>599277.64301999996</v>
      </c>
      <c r="CT11" s="236">
        <v>530000</v>
      </c>
      <c r="CU11" s="233">
        <f t="shared" si="21"/>
        <v>-712</v>
      </c>
      <c r="CV11" t="s">
        <v>331</v>
      </c>
    </row>
    <row r="12" spans="1:101" ht="15" x14ac:dyDescent="0.35">
      <c r="A12" s="2">
        <v>522244896175856</v>
      </c>
      <c r="B12" s="19" t="s">
        <v>9</v>
      </c>
      <c r="C12" s="1" t="s">
        <v>10</v>
      </c>
      <c r="D12" s="2">
        <v>80870021</v>
      </c>
      <c r="E12" s="3">
        <v>4987176340931</v>
      </c>
      <c r="F12" s="3">
        <v>4987176340931</v>
      </c>
      <c r="G12" s="4" t="s">
        <v>19</v>
      </c>
      <c r="H12" s="1">
        <v>122</v>
      </c>
      <c r="I12" s="1"/>
      <c r="J12" s="5">
        <v>12</v>
      </c>
      <c r="K12" s="5">
        <v>1620</v>
      </c>
      <c r="L12" s="5">
        <v>1571.9</v>
      </c>
      <c r="M12" s="115">
        <v>0</v>
      </c>
      <c r="N12" s="21">
        <f>VLOOKUP(E12,'[1]Demand inbond in Aug'!$C:$J,8,0)</f>
        <v>0</v>
      </c>
      <c r="O12" s="23"/>
      <c r="P12" s="24">
        <f t="shared" si="0"/>
        <v>0</v>
      </c>
      <c r="Q12" s="24">
        <f t="shared" si="22"/>
        <v>0</v>
      </c>
      <c r="R12" s="24">
        <f t="shared" si="23"/>
        <v>0</v>
      </c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>
        <f t="shared" si="12"/>
        <v>0</v>
      </c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>
        <f t="shared" si="13"/>
        <v>0</v>
      </c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>
        <f t="shared" si="14"/>
        <v>0</v>
      </c>
      <c r="BE12" s="29">
        <f t="shared" si="15"/>
        <v>0</v>
      </c>
      <c r="BF12" s="29">
        <f t="shared" si="16"/>
        <v>0</v>
      </c>
      <c r="BG12" s="29">
        <f>VLOOKUP(E12,'[3]Y2604-Y2608_庫存&amp;銷售'!$F:$AJ,23,0)</f>
        <v>0</v>
      </c>
      <c r="BH12" s="29">
        <f>VLOOKUP(E12,'[3]Y2604-Y2608_庫存&amp;銷售'!$F:$AL,25,0)</f>
        <v>0</v>
      </c>
      <c r="BI12" s="29">
        <f>VLOOKUP(E12,'[3]Y2604-Y2608_庫存&amp;銷售'!$F:$AN,30,0)</f>
        <v>0</v>
      </c>
      <c r="BJ12" s="81">
        <f t="shared" si="1"/>
        <v>0</v>
      </c>
      <c r="BK12" s="81">
        <f t="shared" si="2"/>
        <v>0</v>
      </c>
      <c r="BL12" s="81">
        <f t="shared" si="3"/>
        <v>0</v>
      </c>
      <c r="BM12" s="81">
        <f t="shared" si="4"/>
        <v>0</v>
      </c>
      <c r="BN12" s="81">
        <f t="shared" si="5"/>
        <v>0</v>
      </c>
      <c r="BO12" s="81">
        <f t="shared" si="6"/>
        <v>0</v>
      </c>
      <c r="BP12" s="81">
        <f t="shared" si="7"/>
        <v>0</v>
      </c>
      <c r="BQ12" s="81">
        <f t="shared" si="8"/>
        <v>0</v>
      </c>
      <c r="BR12" s="81">
        <f t="shared" si="9"/>
        <v>0</v>
      </c>
      <c r="BS12" s="199">
        <f t="shared" si="17"/>
        <v>0</v>
      </c>
      <c r="BT12" s="199">
        <f t="shared" si="10"/>
        <v>0</v>
      </c>
      <c r="BU12" s="199">
        <f t="shared" si="11"/>
        <v>0</v>
      </c>
      <c r="BV12" s="112">
        <f>VLOOKUP(E12,'[4]Y2604-Y2608_庫存&amp;銷售'!$F:$AB,17,0)</f>
        <v>0</v>
      </c>
      <c r="BW12" s="112">
        <f>VLOOKUP(A12,'[5]Demand inbond in Sep'!$B:$M,12,0)</f>
        <v>0</v>
      </c>
      <c r="BX12" s="112"/>
      <c r="BZ12" s="271"/>
      <c r="CA12" s="76" t="s">
        <v>229</v>
      </c>
      <c r="CB12" s="82">
        <f>SUMIF(C:C,CA2:CA16,BJ:BJ)</f>
        <v>371520</v>
      </c>
      <c r="CC12" s="68"/>
      <c r="CD12" s="68"/>
      <c r="CE12" s="83"/>
      <c r="CF12" s="82">
        <f>SUMIF(C:C,CA2:CA16,BM:BM)</f>
        <v>371520</v>
      </c>
      <c r="CG12" s="68">
        <f>SUMIF(C:C,CA2:CA16,BP:BP)</f>
        <v>114939</v>
      </c>
      <c r="CH12" s="68">
        <f>SUMIF(C:C,CA2:CA16,BS:BS)</f>
        <v>0</v>
      </c>
      <c r="CI12" s="187">
        <f t="shared" si="18"/>
        <v>486459</v>
      </c>
      <c r="CJ12" s="68"/>
      <c r="CK12" s="68"/>
      <c r="CL12" s="189">
        <f>SUMIF(C:C,CA2:CA16,BN:BN)</f>
        <v>330000</v>
      </c>
      <c r="CM12" s="69">
        <f>SUMIF(C:C,CA2:CA16,BQ:BQ)</f>
        <v>101628</v>
      </c>
      <c r="CN12" s="69">
        <f>SUMIF(C:C,CA2:CA16,BT:BT)</f>
        <v>0</v>
      </c>
      <c r="CO12" s="87">
        <f t="shared" si="19"/>
        <v>431628</v>
      </c>
      <c r="CP12" s="86">
        <f>SUMIF(C:C,CA2:CA16,BO:BO)</f>
        <v>366614.09568000003</v>
      </c>
      <c r="CQ12" s="69">
        <f>SUMIF(C:C,CA2:CA16,BR:BR)</f>
        <v>113421.235851</v>
      </c>
      <c r="CR12" s="69">
        <f>SUMIF(C:C,CA2:CA16,BU:BU)</f>
        <v>0</v>
      </c>
      <c r="CS12" s="200">
        <f t="shared" si="20"/>
        <v>480035.33153100003</v>
      </c>
      <c r="CT12" s="236">
        <v>430000</v>
      </c>
      <c r="CU12" s="233">
        <f t="shared" si="21"/>
        <v>-1628</v>
      </c>
    </row>
    <row r="13" spans="1:101" ht="15" x14ac:dyDescent="0.35">
      <c r="A13" s="2">
        <v>522244896175857</v>
      </c>
      <c r="B13" s="19" t="s">
        <v>9</v>
      </c>
      <c r="C13" s="1" t="s">
        <v>10</v>
      </c>
      <c r="D13" s="2">
        <v>80863063</v>
      </c>
      <c r="E13" s="3">
        <v>4987176340870</v>
      </c>
      <c r="F13" s="3">
        <v>4987176340870</v>
      </c>
      <c r="G13" s="4" t="s">
        <v>20</v>
      </c>
      <c r="H13" s="1">
        <v>193</v>
      </c>
      <c r="I13" s="252" t="s">
        <v>409</v>
      </c>
      <c r="J13" s="5">
        <v>6</v>
      </c>
      <c r="K13" s="5">
        <v>1283.4000000000001</v>
      </c>
      <c r="L13" s="5">
        <v>1242.8599999999999</v>
      </c>
      <c r="M13" s="115">
        <v>516</v>
      </c>
      <c r="N13" s="21">
        <f>VLOOKUP(E13,'[1]Demand inbond in Aug'!$C:$J,8,0)</f>
        <v>0</v>
      </c>
      <c r="O13" s="23">
        <f>VLOOKUP(D13,'[2]Data for PV'!$B:$L,11,0)</f>
        <v>772.72727272727263</v>
      </c>
      <c r="P13" s="28">
        <f t="shared" si="0"/>
        <v>3096</v>
      </c>
      <c r="Q13" s="24">
        <f t="shared" si="22"/>
        <v>0</v>
      </c>
      <c r="R13" s="24">
        <f t="shared" si="23"/>
        <v>4636.363636363636</v>
      </c>
      <c r="S13" s="31"/>
      <c r="T13" s="31"/>
      <c r="U13" s="31"/>
      <c r="V13" s="31"/>
      <c r="W13" s="31"/>
      <c r="X13" s="31"/>
      <c r="Y13" s="31">
        <v>10</v>
      </c>
      <c r="Z13" s="31"/>
      <c r="AA13" s="31"/>
      <c r="AB13" s="31">
        <v>160</v>
      </c>
      <c r="AC13" s="31">
        <f t="shared" si="12"/>
        <v>170</v>
      </c>
      <c r="AD13" s="31">
        <v>122</v>
      </c>
      <c r="AE13" s="31"/>
      <c r="AF13" s="31"/>
      <c r="AG13" s="31"/>
      <c r="AH13" s="31"/>
      <c r="AI13" s="31"/>
      <c r="AJ13" s="31"/>
      <c r="AK13" s="31"/>
      <c r="AL13" s="31">
        <v>212</v>
      </c>
      <c r="AM13" s="31"/>
      <c r="AN13" s="31">
        <f t="shared" si="13"/>
        <v>334</v>
      </c>
      <c r="AO13" s="31"/>
      <c r="AP13" s="31">
        <v>12</v>
      </c>
      <c r="AQ13" s="31"/>
      <c r="AR13" s="31"/>
      <c r="AS13" s="31"/>
      <c r="AT13" s="31">
        <v>282</v>
      </c>
      <c r="AU13" s="31"/>
      <c r="AV13" s="31"/>
      <c r="AW13" s="31"/>
      <c r="AX13" s="31"/>
      <c r="AY13" s="31"/>
      <c r="AZ13" s="31"/>
      <c r="BA13" s="31"/>
      <c r="BB13" s="31"/>
      <c r="BC13" s="31"/>
      <c r="BD13" s="31">
        <f t="shared" si="14"/>
        <v>294</v>
      </c>
      <c r="BE13" s="29">
        <f t="shared" si="15"/>
        <v>478.72727272727263</v>
      </c>
      <c r="BF13" s="29">
        <f t="shared" si="16"/>
        <v>294</v>
      </c>
      <c r="BG13" s="29">
        <f>VLOOKUP(E13,'[3]Y2604-Y2608_庫存&amp;銷售'!$F:$AJ,23,0)</f>
        <v>38</v>
      </c>
      <c r="BH13" s="29">
        <f>VLOOKUP(E13,'[3]Y2604-Y2608_庫存&amp;銷售'!$F:$AL,25,0)</f>
        <v>0</v>
      </c>
      <c r="BI13" s="29">
        <f>VLOOKUP(E13,'[3]Y2604-Y2608_庫存&amp;銷售'!$F:$AN,30,0)</f>
        <v>0</v>
      </c>
      <c r="BJ13" s="81">
        <f t="shared" si="1"/>
        <v>662234.4</v>
      </c>
      <c r="BK13" s="81">
        <f t="shared" si="2"/>
        <v>0</v>
      </c>
      <c r="BL13" s="81">
        <f t="shared" si="3"/>
        <v>991718.18181818177</v>
      </c>
      <c r="BM13" s="81">
        <f t="shared" si="4"/>
        <v>218178.00000000003</v>
      </c>
      <c r="BN13" s="81">
        <f t="shared" si="5"/>
        <v>196860</v>
      </c>
      <c r="BO13" s="81">
        <f t="shared" si="6"/>
        <v>215511.92399999997</v>
      </c>
      <c r="BP13" s="81">
        <f t="shared" si="7"/>
        <v>428655.60000000003</v>
      </c>
      <c r="BQ13" s="81">
        <f t="shared" si="8"/>
        <v>386772</v>
      </c>
      <c r="BR13" s="81">
        <f t="shared" si="9"/>
        <v>423417.54479999992</v>
      </c>
      <c r="BS13" s="199">
        <f t="shared" si="17"/>
        <v>377319.60000000003</v>
      </c>
      <c r="BT13" s="199">
        <f t="shared" si="10"/>
        <v>340452</v>
      </c>
      <c r="BU13" s="199">
        <f t="shared" si="11"/>
        <v>372708.85679999995</v>
      </c>
      <c r="BV13" s="112">
        <f>VLOOKUP(E13,'[4]Y2604-Y2608_庫存&amp;銷售'!$F:$AB,17,0)</f>
        <v>153.66666666666666</v>
      </c>
      <c r="BW13" s="112">
        <f>VLOOKUP(A13,'[5]Demand inbond in Sep'!$B:$M,12,0)</f>
        <v>773</v>
      </c>
      <c r="BX13" s="112"/>
      <c r="BZ13" s="71" t="s">
        <v>230</v>
      </c>
      <c r="CA13" s="76" t="s">
        <v>231</v>
      </c>
      <c r="CB13" s="82">
        <f>SUMIF(C:C,CA2:CA16,BJ:BJ)</f>
        <v>0</v>
      </c>
      <c r="CC13" s="68"/>
      <c r="CD13" s="68"/>
      <c r="CE13" s="83"/>
      <c r="CF13" s="82">
        <f>SUMIF(C:C,CA2:CA16,BM:BM)</f>
        <v>0</v>
      </c>
      <c r="CG13" s="68">
        <f>SUMIF(C:C,CA2:CA16,BP:BP)</f>
        <v>0</v>
      </c>
      <c r="CH13" s="68">
        <f>SUMIF(C:C,CA2:CA16,BS:BS)</f>
        <v>2747686.2</v>
      </c>
      <c r="CI13" s="187">
        <f t="shared" si="18"/>
        <v>2747686.2</v>
      </c>
      <c r="CJ13" s="68"/>
      <c r="CK13" s="68"/>
      <c r="CL13" s="189">
        <f>SUMIF(C:C,CA2:CA16,BN:BN)</f>
        <v>0</v>
      </c>
      <c r="CM13" s="69">
        <f>SUMIF(C:C,CA2:CA16,BQ:BQ)</f>
        <v>0</v>
      </c>
      <c r="CN13" s="69">
        <f>SUMIF(C:C,CA2:CA16,BT:BT)</f>
        <v>2401608</v>
      </c>
      <c r="CO13" s="87">
        <f t="shared" si="19"/>
        <v>2401608</v>
      </c>
      <c r="CP13" s="86">
        <f>SUMIF(C:C,CA2:CA16,BO:BO)</f>
        <v>0</v>
      </c>
      <c r="CQ13" s="69">
        <f>SUMIF(C:C,CA2:CA16,BR:BR)</f>
        <v>0</v>
      </c>
      <c r="CR13" s="69">
        <f>SUMIF(C:C,CA2:CA16,BU:BU)</f>
        <v>2726523.2300142003</v>
      </c>
      <c r="CS13" s="200">
        <f t="shared" si="20"/>
        <v>2726523.2300142003</v>
      </c>
      <c r="CT13" s="236">
        <v>1900000</v>
      </c>
      <c r="CU13" s="246">
        <f t="shared" si="21"/>
        <v>-501608</v>
      </c>
    </row>
    <row r="14" spans="1:101" ht="15" x14ac:dyDescent="0.35">
      <c r="A14" s="2">
        <v>522244896175860</v>
      </c>
      <c r="B14" s="19" t="s">
        <v>9</v>
      </c>
      <c r="C14" s="1" t="s">
        <v>10</v>
      </c>
      <c r="D14" s="2">
        <v>80820265</v>
      </c>
      <c r="E14" s="3">
        <v>4987176337146</v>
      </c>
      <c r="F14" s="3">
        <v>4987176337146</v>
      </c>
      <c r="G14" s="4" t="s">
        <v>21</v>
      </c>
      <c r="H14" s="1">
        <v>208</v>
      </c>
      <c r="I14" s="252" t="s">
        <v>409</v>
      </c>
      <c r="J14" s="5">
        <v>10</v>
      </c>
      <c r="K14" s="5">
        <v>2256.9</v>
      </c>
      <c r="L14" s="5">
        <v>2194.5</v>
      </c>
      <c r="M14" s="115">
        <v>146.6</v>
      </c>
      <c r="N14" s="21">
        <f>VLOOKUP(E14,'[1]Demand inbond in Aug'!$C:$J,8,0)</f>
        <v>0</v>
      </c>
      <c r="O14" s="23">
        <v>147</v>
      </c>
      <c r="P14" s="24">
        <v>1470</v>
      </c>
      <c r="Q14" s="24">
        <v>1470</v>
      </c>
      <c r="R14" s="24">
        <v>1470</v>
      </c>
      <c r="S14" s="31"/>
      <c r="T14" s="31"/>
      <c r="U14" s="31"/>
      <c r="V14" s="31"/>
      <c r="W14" s="31">
        <v>12</v>
      </c>
      <c r="X14" s="31"/>
      <c r="Y14" s="31"/>
      <c r="Z14" s="31"/>
      <c r="AA14" s="31"/>
      <c r="AB14" s="31"/>
      <c r="AC14" s="31">
        <f t="shared" si="12"/>
        <v>12</v>
      </c>
      <c r="AD14" s="31"/>
      <c r="AE14" s="31"/>
      <c r="AF14" s="31">
        <v>6</v>
      </c>
      <c r="AG14" s="31"/>
      <c r="AH14" s="31"/>
      <c r="AI14" s="31"/>
      <c r="AJ14" s="31"/>
      <c r="AK14" s="31"/>
      <c r="AL14" s="31">
        <v>42</v>
      </c>
      <c r="AM14" s="31"/>
      <c r="AN14" s="31">
        <f t="shared" si="13"/>
        <v>48</v>
      </c>
      <c r="AO14" s="31"/>
      <c r="AP14" s="31">
        <v>38</v>
      </c>
      <c r="AQ14" s="31">
        <v>0</v>
      </c>
      <c r="AR14" s="31"/>
      <c r="AS14" s="31"/>
      <c r="AT14" s="31"/>
      <c r="AU14" s="31"/>
      <c r="AV14" s="31"/>
      <c r="AW14" s="31"/>
      <c r="AX14" s="31">
        <v>7</v>
      </c>
      <c r="AY14" s="31"/>
      <c r="AZ14" s="31"/>
      <c r="BA14" s="31"/>
      <c r="BB14" s="31"/>
      <c r="BC14" s="31"/>
      <c r="BD14" s="31">
        <f t="shared" si="14"/>
        <v>45</v>
      </c>
      <c r="BE14" s="29">
        <f t="shared" si="15"/>
        <v>102</v>
      </c>
      <c r="BF14" s="29">
        <f t="shared" si="16"/>
        <v>38</v>
      </c>
      <c r="BG14" s="29">
        <f>VLOOKUP(E14,'[3]Y2604-Y2608_庫存&amp;銷售'!$F:$AJ,23,0)</f>
        <v>10.5</v>
      </c>
      <c r="BH14" s="29">
        <f>VLOOKUP(E14,'[3]Y2604-Y2608_庫存&amp;銷售'!$F:$AL,25,0)</f>
        <v>0</v>
      </c>
      <c r="BI14" s="29">
        <f>VLOOKUP(E14,'[3]Y2604-Y2608_庫存&amp;銷售'!$F:$AN,30,0)</f>
        <v>0</v>
      </c>
      <c r="BJ14" s="81">
        <f t="shared" si="1"/>
        <v>330861.53999999998</v>
      </c>
      <c r="BK14" s="81">
        <f t="shared" si="2"/>
        <v>0</v>
      </c>
      <c r="BL14" s="81">
        <f t="shared" si="3"/>
        <v>331764.3</v>
      </c>
      <c r="BM14" s="81">
        <f t="shared" si="4"/>
        <v>27082.800000000003</v>
      </c>
      <c r="BN14" s="81">
        <f t="shared" si="5"/>
        <v>24960</v>
      </c>
      <c r="BO14" s="81">
        <f t="shared" si="6"/>
        <v>26860.68</v>
      </c>
      <c r="BP14" s="81">
        <f t="shared" si="7"/>
        <v>108331.20000000001</v>
      </c>
      <c r="BQ14" s="81">
        <f t="shared" si="8"/>
        <v>99840</v>
      </c>
      <c r="BR14" s="81">
        <f t="shared" si="9"/>
        <v>107442.72</v>
      </c>
      <c r="BS14" s="199">
        <f t="shared" si="17"/>
        <v>101560.5</v>
      </c>
      <c r="BT14" s="199">
        <f t="shared" si="10"/>
        <v>93600</v>
      </c>
      <c r="BU14" s="199">
        <f t="shared" si="11"/>
        <v>100727.54999999999</v>
      </c>
      <c r="BV14" s="112">
        <f>VLOOKUP(E14,'[4]Y2604-Y2608_庫存&amp;銷售'!$F:$AB,17,0)</f>
        <v>7.1</v>
      </c>
      <c r="BW14" s="112">
        <f>VLOOKUP(A14,'[5]Demand inbond in Sep'!$B:$M,12,0)</f>
        <v>147</v>
      </c>
      <c r="BX14" s="112"/>
      <c r="BZ14" s="71" t="s">
        <v>232</v>
      </c>
      <c r="CA14" s="76" t="s">
        <v>233</v>
      </c>
      <c r="CB14" s="82">
        <f>SUMIF(C:C,CA2:CA16,BJ:BJ)</f>
        <v>1307106.5</v>
      </c>
      <c r="CC14" s="68"/>
      <c r="CD14" s="68"/>
      <c r="CE14" s="83"/>
      <c r="CF14" s="82">
        <f>SUMIF(C:C,CA2:CA16,BM:BM)</f>
        <v>629504.6</v>
      </c>
      <c r="CG14" s="68">
        <f>SUMIF(C:C,CA2:CA16,BP:BP)</f>
        <v>1876426.0999999999</v>
      </c>
      <c r="CH14" s="68">
        <f>SUMIF(C:C,CA2:CA16,BS:BS)</f>
        <v>3098668.1</v>
      </c>
      <c r="CI14" s="187">
        <f t="shared" si="18"/>
        <v>5604598.7999999998</v>
      </c>
      <c r="CJ14" s="68">
        <v>4000000</v>
      </c>
      <c r="CK14" s="68">
        <f>CJ14-CF14-CG14-CH14</f>
        <v>-1604598.8</v>
      </c>
      <c r="CL14" s="189">
        <f>SUMIF(C:C,CA2:CA16,BN:BN)</f>
        <v>588232</v>
      </c>
      <c r="CM14" s="69">
        <f>SUMIF(C:C,CA2:CA16,BQ:BQ)</f>
        <v>1770192</v>
      </c>
      <c r="CN14" s="69">
        <f>SUMIF(C:C,CA2:CA16,BT:BT)</f>
        <v>2976324</v>
      </c>
      <c r="CO14" s="87">
        <f t="shared" si="19"/>
        <v>5334748</v>
      </c>
      <c r="CP14" s="86">
        <f>SUMIF(C:C,CA2:CA16,BO:BO)</f>
        <v>625609.71384420001</v>
      </c>
      <c r="CQ14" s="69">
        <f>SUMIF(C:C,CA2:CA16,BR:BR)</f>
        <v>1863448.2649077002</v>
      </c>
      <c r="CR14" s="69">
        <f>SUMIF(C:C,CA2:CA16,BU:BU)</f>
        <v>3095728.5553539</v>
      </c>
      <c r="CS14" s="200">
        <f t="shared" si="20"/>
        <v>5584786.5341058001</v>
      </c>
      <c r="CT14" s="236">
        <v>5160000</v>
      </c>
      <c r="CU14" s="233">
        <f t="shared" si="21"/>
        <v>-174748</v>
      </c>
      <c r="CV14" t="s">
        <v>339</v>
      </c>
    </row>
    <row r="15" spans="1:101" ht="15" x14ac:dyDescent="0.35">
      <c r="A15" s="2">
        <v>522244896175861</v>
      </c>
      <c r="B15" s="19" t="s">
        <v>9</v>
      </c>
      <c r="C15" s="1" t="s">
        <v>10</v>
      </c>
      <c r="D15" s="2">
        <v>80820263</v>
      </c>
      <c r="E15" s="3">
        <v>4987176337153</v>
      </c>
      <c r="F15" s="3">
        <v>4987176337153</v>
      </c>
      <c r="G15" s="4" t="s">
        <v>22</v>
      </c>
      <c r="H15" s="1">
        <v>208</v>
      </c>
      <c r="I15" s="252" t="s">
        <v>409</v>
      </c>
      <c r="J15" s="5">
        <v>10</v>
      </c>
      <c r="K15" s="5">
        <v>2256.9</v>
      </c>
      <c r="L15" s="5">
        <v>2194.5</v>
      </c>
      <c r="M15" s="115">
        <v>366.5</v>
      </c>
      <c r="N15" s="21">
        <f>VLOOKUP(E15,'[1]Demand inbond in Aug'!$C:$J,8,0)</f>
        <v>366.66666666666669</v>
      </c>
      <c r="O15" s="23">
        <v>367</v>
      </c>
      <c r="P15" s="24">
        <v>3670</v>
      </c>
      <c r="Q15" s="24">
        <v>3670</v>
      </c>
      <c r="R15" s="24">
        <v>3670</v>
      </c>
      <c r="S15" s="31"/>
      <c r="T15" s="31"/>
      <c r="U15" s="31"/>
      <c r="V15" s="31"/>
      <c r="W15" s="31"/>
      <c r="X15" s="31"/>
      <c r="Y15" s="31">
        <v>226</v>
      </c>
      <c r="Z15" s="31"/>
      <c r="AA15" s="31"/>
      <c r="AB15" s="31">
        <v>65</v>
      </c>
      <c r="AC15" s="31">
        <f t="shared" si="12"/>
        <v>291</v>
      </c>
      <c r="AD15" s="31">
        <v>190</v>
      </c>
      <c r="AE15" s="31">
        <v>76</v>
      </c>
      <c r="AF15" s="31"/>
      <c r="AG15" s="31"/>
      <c r="AH15" s="31">
        <v>176</v>
      </c>
      <c r="AI15" s="31"/>
      <c r="AJ15" s="31"/>
      <c r="AK15" s="31"/>
      <c r="AL15" s="31"/>
      <c r="AM15" s="31"/>
      <c r="AN15" s="31">
        <f t="shared" si="13"/>
        <v>442</v>
      </c>
      <c r="AO15" s="31"/>
      <c r="AP15" s="31">
        <v>367</v>
      </c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>
        <f t="shared" si="14"/>
        <v>367</v>
      </c>
      <c r="BE15" s="29">
        <f t="shared" si="15"/>
        <v>0</v>
      </c>
      <c r="BF15" s="29">
        <f t="shared" si="16"/>
        <v>367</v>
      </c>
      <c r="BG15" s="29">
        <f>VLOOKUP(E15,'[3]Y2604-Y2608_庫存&amp;銷售'!$F:$AJ,23,0)</f>
        <v>77.5</v>
      </c>
      <c r="BH15" s="29">
        <f>VLOOKUP(E15,'[3]Y2604-Y2608_庫存&amp;銷售'!$F:$AL,25,0)</f>
        <v>0</v>
      </c>
      <c r="BI15" s="29">
        <f>VLOOKUP(E15,'[3]Y2604-Y2608_庫存&amp;銷售'!$F:$AN,30,0)</f>
        <v>0</v>
      </c>
      <c r="BJ15" s="81">
        <f t="shared" si="1"/>
        <v>827153.85</v>
      </c>
      <c r="BK15" s="81">
        <f t="shared" si="2"/>
        <v>827530.00000000012</v>
      </c>
      <c r="BL15" s="81">
        <f t="shared" si="3"/>
        <v>828282.3</v>
      </c>
      <c r="BM15" s="81">
        <f t="shared" si="4"/>
        <v>656757.9</v>
      </c>
      <c r="BN15" s="81">
        <f t="shared" si="5"/>
        <v>605280</v>
      </c>
      <c r="BO15" s="81">
        <f t="shared" si="6"/>
        <v>651371.49</v>
      </c>
      <c r="BP15" s="81">
        <f t="shared" si="7"/>
        <v>997549.8</v>
      </c>
      <c r="BQ15" s="81">
        <f t="shared" si="8"/>
        <v>919360</v>
      </c>
      <c r="BR15" s="81">
        <f t="shared" si="9"/>
        <v>989368.37999999989</v>
      </c>
      <c r="BS15" s="199">
        <f t="shared" si="17"/>
        <v>828282.3</v>
      </c>
      <c r="BT15" s="199">
        <f t="shared" si="10"/>
        <v>763360</v>
      </c>
      <c r="BU15" s="199">
        <f t="shared" si="11"/>
        <v>821489.13</v>
      </c>
      <c r="BV15" s="112">
        <f>VLOOKUP(E15,'[4]Y2604-Y2608_庫存&amp;銷售'!$F:$AB,17,0)</f>
        <v>396.8</v>
      </c>
      <c r="BW15" s="112">
        <f>VLOOKUP(A15,'[5]Demand inbond in Sep'!$B:$M,12,0)</f>
        <v>367</v>
      </c>
      <c r="BX15" s="112"/>
      <c r="BZ15" s="272" t="s">
        <v>234</v>
      </c>
      <c r="CA15" s="76" t="s">
        <v>235</v>
      </c>
      <c r="CB15" s="82">
        <f>SUMIF(C:C,CA2:CA16,BJ:BJ)</f>
        <v>0</v>
      </c>
      <c r="CC15" s="68"/>
      <c r="CD15" s="68"/>
      <c r="CE15" s="83"/>
      <c r="CF15" s="82">
        <f>SUMIF(C:C,CA2:CA16,BM:BM)</f>
        <v>0</v>
      </c>
      <c r="CG15" s="68">
        <f>SUMIF(C:C,CA2:CA16,BP:BP)</f>
        <v>304588.80000000005</v>
      </c>
      <c r="CH15" s="68">
        <f>SUMIF(C:C,CA2:CA16,BS:BS)</f>
        <v>472274.4</v>
      </c>
      <c r="CI15" s="187">
        <f t="shared" si="18"/>
        <v>776863.20000000007</v>
      </c>
      <c r="CJ15" s="68"/>
      <c r="CK15" s="68"/>
      <c r="CL15" s="189">
        <f>SUMIF(C:C,CA2:CA16,BN:BN)</f>
        <v>0</v>
      </c>
      <c r="CM15" s="69">
        <f>SUMIF(C:C,CA2:CA16,BQ:BQ)</f>
        <v>262656</v>
      </c>
      <c r="CN15" s="69">
        <f>SUMIF(C:C,CA2:CA16,BT:BT)</f>
        <v>405528</v>
      </c>
      <c r="CO15" s="87">
        <f t="shared" si="19"/>
        <v>668184</v>
      </c>
      <c r="CP15" s="86">
        <f>SUMIF(C:C,CA2:CA16,BO:BO)</f>
        <v>0</v>
      </c>
      <c r="CQ15" s="69">
        <f>SUMIF(C:C,CA2:CA16,BR:BR)</f>
        <v>301407.55199999997</v>
      </c>
      <c r="CR15" s="69">
        <f>SUMIF(C:C,CA2:CA16,BU:BU)</f>
        <v>467063.37948</v>
      </c>
      <c r="CS15" s="200">
        <f t="shared" si="20"/>
        <v>768470.93148000003</v>
      </c>
      <c r="CT15" s="236">
        <v>560000</v>
      </c>
      <c r="CU15" s="238">
        <f t="shared" si="21"/>
        <v>-108184</v>
      </c>
    </row>
    <row r="16" spans="1:101" ht="15.5" thickBot="1" x14ac:dyDescent="0.4">
      <c r="A16" s="2">
        <v>522244896175862</v>
      </c>
      <c r="B16" s="19" t="s">
        <v>9</v>
      </c>
      <c r="C16" s="1" t="s">
        <v>10</v>
      </c>
      <c r="D16" s="2">
        <v>80835222</v>
      </c>
      <c r="E16" s="3">
        <v>4987176340948</v>
      </c>
      <c r="F16" s="3">
        <v>4987176340948</v>
      </c>
      <c r="G16" s="4" t="s">
        <v>23</v>
      </c>
      <c r="H16" s="1">
        <v>122</v>
      </c>
      <c r="I16" s="1"/>
      <c r="J16" s="5">
        <v>12</v>
      </c>
      <c r="K16" s="5">
        <v>1620</v>
      </c>
      <c r="L16" s="5">
        <v>1571.9</v>
      </c>
      <c r="M16" s="115">
        <v>0</v>
      </c>
      <c r="N16" s="21">
        <f>VLOOKUP(E16,'[1]Demand inbond in Aug'!$C:$J,8,0)</f>
        <v>0</v>
      </c>
      <c r="O16" s="23"/>
      <c r="P16" s="24">
        <f>M16*J16</f>
        <v>0</v>
      </c>
      <c r="Q16" s="24">
        <f>N16*J16</f>
        <v>0</v>
      </c>
      <c r="R16" s="24">
        <f>O16*J16</f>
        <v>0</v>
      </c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>
        <f t="shared" si="12"/>
        <v>0</v>
      </c>
      <c r="AD16" s="31"/>
      <c r="AE16" s="31"/>
      <c r="AF16" s="31"/>
      <c r="AG16" s="31"/>
      <c r="AH16" s="31">
        <v>0</v>
      </c>
      <c r="AI16" s="31"/>
      <c r="AJ16" s="31"/>
      <c r="AK16" s="31"/>
      <c r="AL16" s="31"/>
      <c r="AM16" s="31"/>
      <c r="AN16" s="31">
        <f t="shared" si="13"/>
        <v>0</v>
      </c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>
        <f t="shared" si="14"/>
        <v>0</v>
      </c>
      <c r="BE16" s="29">
        <f t="shared" si="15"/>
        <v>0</v>
      </c>
      <c r="BF16" s="29">
        <f t="shared" si="16"/>
        <v>0</v>
      </c>
      <c r="BG16" s="29">
        <f>VLOOKUP(E16,'[3]Y2604-Y2608_庫存&amp;銷售'!$F:$AJ,23,0)</f>
        <v>0</v>
      </c>
      <c r="BH16" s="29">
        <f>VLOOKUP(E16,'[3]Y2604-Y2608_庫存&amp;銷售'!$F:$AL,25,0)</f>
        <v>0</v>
      </c>
      <c r="BI16" s="29">
        <f>VLOOKUP(E16,'[3]Y2604-Y2608_庫存&amp;銷售'!$F:$AN,30,0)</f>
        <v>0</v>
      </c>
      <c r="BJ16" s="81">
        <f t="shared" si="1"/>
        <v>0</v>
      </c>
      <c r="BK16" s="81">
        <f t="shared" si="2"/>
        <v>0</v>
      </c>
      <c r="BL16" s="81">
        <f t="shared" si="3"/>
        <v>0</v>
      </c>
      <c r="BM16" s="81">
        <f t="shared" si="4"/>
        <v>0</v>
      </c>
      <c r="BN16" s="81">
        <f t="shared" si="5"/>
        <v>0</v>
      </c>
      <c r="BO16" s="81">
        <f t="shared" si="6"/>
        <v>0</v>
      </c>
      <c r="BP16" s="81">
        <f t="shared" si="7"/>
        <v>0</v>
      </c>
      <c r="BQ16" s="81">
        <f t="shared" si="8"/>
        <v>0</v>
      </c>
      <c r="BR16" s="81">
        <f t="shared" si="9"/>
        <v>0</v>
      </c>
      <c r="BS16" s="199">
        <f t="shared" si="17"/>
        <v>0</v>
      </c>
      <c r="BT16" s="199">
        <f t="shared" si="10"/>
        <v>0</v>
      </c>
      <c r="BU16" s="199">
        <f t="shared" si="11"/>
        <v>0</v>
      </c>
      <c r="BV16" s="112">
        <f>VLOOKUP(E16,'[4]Y2604-Y2608_庫存&amp;銷售'!$F:$AB,17,0)</f>
        <v>0</v>
      </c>
      <c r="BW16" s="112">
        <f>VLOOKUP(A16,'[5]Demand inbond in Sep'!$B:$M,12,0)</f>
        <v>0</v>
      </c>
      <c r="BX16" s="112"/>
      <c r="BZ16" s="273"/>
      <c r="CA16" s="77" t="s">
        <v>236</v>
      </c>
      <c r="CB16" s="84">
        <f>SUMIF(C:C,CA2:CA16,BJ:BJ)</f>
        <v>0</v>
      </c>
      <c r="CC16" s="72"/>
      <c r="CD16" s="72"/>
      <c r="CE16" s="85"/>
      <c r="CF16" s="84">
        <f>SUMIF(C:C,CA2:CA16,BM:BM)</f>
        <v>0</v>
      </c>
      <c r="CG16" s="72">
        <f>SUMIF(C:C,CA2:CA16,BP:BP)</f>
        <v>159667.19999999998</v>
      </c>
      <c r="CH16" s="72">
        <f>SUMIF(C:C,CA2:CA16,BS:BS)</f>
        <v>394027.2</v>
      </c>
      <c r="CI16" s="188">
        <f t="shared" si="18"/>
        <v>553694.4</v>
      </c>
      <c r="CJ16" s="72"/>
      <c r="CK16" s="72"/>
      <c r="CL16" s="190">
        <f>SUMIF(C:C,CA2:CA16,BN:BN)</f>
        <v>0</v>
      </c>
      <c r="CM16" s="73">
        <f>SUMIF(C:C,CA2:CA16,BQ:BQ)</f>
        <v>156816</v>
      </c>
      <c r="CN16" s="73">
        <f>SUMIF(C:C,CA2:CA16,BT:BT)</f>
        <v>362724</v>
      </c>
      <c r="CO16" s="87">
        <f t="shared" si="19"/>
        <v>519540</v>
      </c>
      <c r="CP16" s="88">
        <f>SUMIF(C:C,CA2:CA16,BO:BO)</f>
        <v>0</v>
      </c>
      <c r="CQ16" s="73">
        <f>SUMIF(C:C,CA2:CA16,BR:BR)</f>
        <v>157624.39439999999</v>
      </c>
      <c r="CR16" s="73">
        <f>SUMIF(C:C,CA2:CA16,BU:BU)</f>
        <v>389749.4636664</v>
      </c>
      <c r="CS16" s="200">
        <f t="shared" si="20"/>
        <v>547373.85806640005</v>
      </c>
      <c r="CT16" s="236">
        <v>520000</v>
      </c>
      <c r="CU16" s="238">
        <f t="shared" si="21"/>
        <v>460</v>
      </c>
    </row>
    <row r="17" spans="1:99" ht="15.5" thickBot="1" x14ac:dyDescent="0.4">
      <c r="A17" s="2">
        <v>522244896175863</v>
      </c>
      <c r="B17" s="19" t="s">
        <v>9</v>
      </c>
      <c r="C17" s="1" t="s">
        <v>10</v>
      </c>
      <c r="D17" s="2">
        <v>80820259</v>
      </c>
      <c r="E17" s="3">
        <v>4987176337160</v>
      </c>
      <c r="F17" s="3">
        <v>4987176337160</v>
      </c>
      <c r="G17" s="4" t="s">
        <v>24</v>
      </c>
      <c r="H17" s="1">
        <v>208</v>
      </c>
      <c r="I17" s="252" t="s">
        <v>409</v>
      </c>
      <c r="J17" s="5">
        <v>10</v>
      </c>
      <c r="K17" s="5">
        <v>2256.9</v>
      </c>
      <c r="L17" s="5">
        <v>2194.5</v>
      </c>
      <c r="M17" s="115">
        <v>220</v>
      </c>
      <c r="N17" s="21">
        <f>VLOOKUP(E17,'[1]Demand inbond in Aug'!$C:$J,8,0)</f>
        <v>293.33333333333337</v>
      </c>
      <c r="O17" s="23">
        <v>220</v>
      </c>
      <c r="P17" s="24">
        <v>2200</v>
      </c>
      <c r="Q17" s="24">
        <v>2200</v>
      </c>
      <c r="R17" s="24">
        <v>2200</v>
      </c>
      <c r="S17" s="31"/>
      <c r="T17" s="31"/>
      <c r="U17" s="31"/>
      <c r="V17" s="31">
        <v>180</v>
      </c>
      <c r="W17" s="31"/>
      <c r="X17" s="31"/>
      <c r="Y17" s="31">
        <v>40</v>
      </c>
      <c r="Z17" s="31"/>
      <c r="AA17" s="31"/>
      <c r="AB17" s="31">
        <v>0</v>
      </c>
      <c r="AC17" s="31">
        <f t="shared" si="12"/>
        <v>220</v>
      </c>
      <c r="AD17" s="31">
        <v>220</v>
      </c>
      <c r="AE17" s="31"/>
      <c r="AF17" s="31"/>
      <c r="AG17" s="31"/>
      <c r="AH17" s="31">
        <v>73</v>
      </c>
      <c r="AI17" s="31"/>
      <c r="AJ17" s="31"/>
      <c r="AK17" s="31"/>
      <c r="AL17" s="31"/>
      <c r="AM17" s="31"/>
      <c r="AN17" s="31">
        <f t="shared" si="13"/>
        <v>293</v>
      </c>
      <c r="AO17" s="31"/>
      <c r="AP17" s="31">
        <v>220</v>
      </c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>
        <f t="shared" si="14"/>
        <v>220</v>
      </c>
      <c r="BE17" s="29">
        <f t="shared" si="15"/>
        <v>0</v>
      </c>
      <c r="BF17" s="29">
        <f t="shared" si="16"/>
        <v>220</v>
      </c>
      <c r="BG17" s="29">
        <f>VLOOKUP(E17,'[3]Y2604-Y2608_庫存&amp;銷售'!$F:$AJ,23,0)</f>
        <v>71.300000000000011</v>
      </c>
      <c r="BH17" s="29">
        <f>VLOOKUP(E17,'[3]Y2604-Y2608_庫存&amp;銷售'!$F:$AL,25,0)</f>
        <v>0</v>
      </c>
      <c r="BI17" s="29">
        <f>VLOOKUP(E17,'[3]Y2604-Y2608_庫存&amp;銷售'!$F:$AN,30,0)</f>
        <v>0</v>
      </c>
      <c r="BJ17" s="81">
        <f t="shared" si="1"/>
        <v>496518</v>
      </c>
      <c r="BK17" s="81">
        <f t="shared" si="2"/>
        <v>662024.00000000012</v>
      </c>
      <c r="BL17" s="81">
        <f t="shared" si="3"/>
        <v>496518</v>
      </c>
      <c r="BM17" s="81">
        <f t="shared" si="4"/>
        <v>496518</v>
      </c>
      <c r="BN17" s="81">
        <f t="shared" si="5"/>
        <v>457600</v>
      </c>
      <c r="BO17" s="81">
        <f t="shared" si="6"/>
        <v>492445.8</v>
      </c>
      <c r="BP17" s="81">
        <f t="shared" si="7"/>
        <v>661271.70000000007</v>
      </c>
      <c r="BQ17" s="81">
        <f t="shared" si="8"/>
        <v>609440</v>
      </c>
      <c r="BR17" s="81">
        <f t="shared" si="9"/>
        <v>655848.27</v>
      </c>
      <c r="BS17" s="199">
        <f t="shared" si="17"/>
        <v>496518</v>
      </c>
      <c r="BT17" s="199">
        <f t="shared" si="10"/>
        <v>457600</v>
      </c>
      <c r="BU17" s="199">
        <f t="shared" si="11"/>
        <v>492445.8</v>
      </c>
      <c r="BV17" s="112">
        <f>VLOOKUP(E17,'[4]Y2604-Y2608_庫存&amp;銷售'!$F:$AB,17,0)</f>
        <v>194.6</v>
      </c>
      <c r="BW17" s="112">
        <f>VLOOKUP(A17,'[5]Demand inbond in Sep'!$B:$M,12,0)</f>
        <v>220</v>
      </c>
      <c r="BX17" s="112"/>
      <c r="BZ17" s="55" t="s">
        <v>237</v>
      </c>
      <c r="CA17" s="56"/>
      <c r="CB17" s="57">
        <f>SUM(CB2:CB16)</f>
        <v>22419144.858090535</v>
      </c>
      <c r="CC17" s="58"/>
      <c r="CD17" s="58"/>
      <c r="CE17" s="59"/>
      <c r="CF17" s="57">
        <f>SUM(CF2:CF16)</f>
        <v>11579589.540000001</v>
      </c>
      <c r="CG17" s="58">
        <f t="shared" ref="CG17" si="24">SUM(CG2:CG16)</f>
        <v>32802289.890000001</v>
      </c>
      <c r="CH17" s="58">
        <f>SUM(CH2:CH16)</f>
        <v>46077000.114930563</v>
      </c>
      <c r="CI17" s="59">
        <f>SUM(CF17:CH17)</f>
        <v>90458879.544930562</v>
      </c>
      <c r="CJ17" s="191"/>
      <c r="CK17" s="59"/>
      <c r="CL17" s="60">
        <f>SUM(CL2:CL16)</f>
        <v>10459477</v>
      </c>
      <c r="CM17" s="61">
        <f t="shared" ref="CM17:CQ17" si="25">SUM(CM2:CM16)</f>
        <v>29393062</v>
      </c>
      <c r="CN17" s="61">
        <f t="shared" si="25"/>
        <v>41239108</v>
      </c>
      <c r="CO17" s="62">
        <f t="shared" si="25"/>
        <v>81091647</v>
      </c>
      <c r="CP17" s="89">
        <f>SUM(CP2:CP16)</f>
        <v>11396461.728728639</v>
      </c>
      <c r="CQ17" s="90">
        <f t="shared" si="25"/>
        <v>32286529.115891311</v>
      </c>
      <c r="CR17" s="90">
        <f>SUM(CR2:CR16)</f>
        <v>45331519.588532843</v>
      </c>
      <c r="CS17" s="201">
        <f>SUM(CS2:CS16)</f>
        <v>89014510.433152825</v>
      </c>
      <c r="CT17" s="236">
        <f>SUM(CT2:CT16)</f>
        <v>77188000</v>
      </c>
      <c r="CU17" s="238">
        <f t="shared" si="21"/>
        <v>-3903647</v>
      </c>
    </row>
    <row r="18" spans="1:99" ht="15" x14ac:dyDescent="0.35">
      <c r="A18" s="2">
        <v>522244896192055</v>
      </c>
      <c r="B18" s="19" t="s">
        <v>9</v>
      </c>
      <c r="C18" s="1" t="s">
        <v>10</v>
      </c>
      <c r="D18" s="2">
        <v>80863061</v>
      </c>
      <c r="E18" s="95">
        <v>14987176340853</v>
      </c>
      <c r="F18" s="3">
        <v>4987176340856</v>
      </c>
      <c r="G18" s="4" t="s">
        <v>392</v>
      </c>
      <c r="H18" s="1">
        <v>1158</v>
      </c>
      <c r="I18" s="1"/>
      <c r="J18" s="5">
        <v>1</v>
      </c>
      <c r="K18" s="5">
        <v>1283.4000000000001</v>
      </c>
      <c r="L18" s="5">
        <v>1242.8599999999999</v>
      </c>
      <c r="M18" s="169">
        <f>0+158</f>
        <v>158</v>
      </c>
      <c r="N18" s="21">
        <v>122</v>
      </c>
      <c r="O18" s="23"/>
      <c r="P18" s="28">
        <f>M18*J18</f>
        <v>158</v>
      </c>
      <c r="Q18" s="24">
        <f>N18*J18</f>
        <v>122</v>
      </c>
      <c r="R18" s="24">
        <f>O18*J18</f>
        <v>0</v>
      </c>
      <c r="S18" s="31"/>
      <c r="T18" s="31"/>
      <c r="U18" s="31"/>
      <c r="V18" s="31"/>
      <c r="W18" s="31">
        <v>158</v>
      </c>
      <c r="X18" s="31"/>
      <c r="Y18" s="31"/>
      <c r="Z18" s="31"/>
      <c r="AA18" s="31"/>
      <c r="AB18" s="31"/>
      <c r="AC18" s="31">
        <f t="shared" si="12"/>
        <v>158</v>
      </c>
      <c r="AD18" s="31"/>
      <c r="AE18" s="31">
        <v>122</v>
      </c>
      <c r="AF18" s="31"/>
      <c r="AG18" s="31"/>
      <c r="AH18" s="31"/>
      <c r="AI18" s="31"/>
      <c r="AJ18" s="31"/>
      <c r="AK18" s="31"/>
      <c r="AL18" s="32">
        <v>0</v>
      </c>
      <c r="AM18" s="31">
        <v>0</v>
      </c>
      <c r="AN18" s="31">
        <f t="shared" si="13"/>
        <v>122</v>
      </c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>
        <f t="shared" si="14"/>
        <v>0</v>
      </c>
      <c r="BE18" s="29">
        <f t="shared" si="15"/>
        <v>0</v>
      </c>
      <c r="BF18" s="29">
        <f t="shared" si="16"/>
        <v>0</v>
      </c>
      <c r="BG18" s="29">
        <f>VLOOKUP(E18,'[3]Y2604-Y2608_庫存&amp;銷售'!$F:$AJ,23,0)</f>
        <v>40</v>
      </c>
      <c r="BH18" s="29">
        <f>VLOOKUP(E18,'[3]Y2604-Y2608_庫存&amp;銷售'!$F:$AL,25,0)</f>
        <v>0</v>
      </c>
      <c r="BI18" s="29">
        <f>VLOOKUP(E18,'[3]Y2604-Y2608_庫存&amp;銷售'!$F:$AN,30,0)</f>
        <v>0</v>
      </c>
      <c r="BJ18" s="81">
        <f t="shared" si="1"/>
        <v>202777.2</v>
      </c>
      <c r="BK18" s="81">
        <f t="shared" si="2"/>
        <v>156574.80000000002</v>
      </c>
      <c r="BL18" s="81">
        <f t="shared" si="3"/>
        <v>0</v>
      </c>
      <c r="BM18" s="81">
        <f t="shared" si="4"/>
        <v>202777.2</v>
      </c>
      <c r="BN18" s="81">
        <f t="shared" si="5"/>
        <v>182964</v>
      </c>
      <c r="BO18" s="81">
        <f t="shared" si="6"/>
        <v>200299.31759999998</v>
      </c>
      <c r="BP18" s="81">
        <f t="shared" si="7"/>
        <v>156574.80000000002</v>
      </c>
      <c r="BQ18" s="81">
        <f t="shared" si="8"/>
        <v>141276</v>
      </c>
      <c r="BR18" s="81">
        <f t="shared" si="9"/>
        <v>154661.49839999998</v>
      </c>
      <c r="BS18" s="199">
        <f t="shared" si="17"/>
        <v>0</v>
      </c>
      <c r="BT18" s="199">
        <f t="shared" si="10"/>
        <v>0</v>
      </c>
      <c r="BU18" s="199">
        <f t="shared" si="11"/>
        <v>0</v>
      </c>
      <c r="BV18" s="112">
        <f>VLOOKUP(E18,'[4]Y2604-Y2608_庫存&amp;銷售'!$F:$AB,17,0)</f>
        <v>201</v>
      </c>
      <c r="BW18" s="112">
        <f>VLOOKUP(A18,'[5]Demand inbond in Sep'!$B:$M,12,0)</f>
        <v>0</v>
      </c>
      <c r="BX18" s="112"/>
      <c r="CM18" s="171">
        <f>CM17/1.05</f>
        <v>27993392.380952381</v>
      </c>
      <c r="CN18" s="171">
        <f>CN17/1.05</f>
        <v>39275340.952380948</v>
      </c>
      <c r="CP18" s="149"/>
    </row>
    <row r="19" spans="1:99" ht="15" x14ac:dyDescent="0.35">
      <c r="A19" s="2">
        <v>522244896293692</v>
      </c>
      <c r="B19" s="19" t="s">
        <v>9</v>
      </c>
      <c r="C19" s="1" t="s">
        <v>10</v>
      </c>
      <c r="D19" s="2">
        <v>83916087</v>
      </c>
      <c r="E19" s="3">
        <v>4987176405289</v>
      </c>
      <c r="F19" s="3">
        <v>4987176405289</v>
      </c>
      <c r="G19" s="4" t="s">
        <v>25</v>
      </c>
      <c r="H19" s="1">
        <v>447</v>
      </c>
      <c r="I19" s="270" t="s">
        <v>420</v>
      </c>
      <c r="J19" s="5">
        <v>4</v>
      </c>
      <c r="K19" s="5">
        <v>1952</v>
      </c>
      <c r="L19" s="5">
        <v>1896.45</v>
      </c>
      <c r="M19" s="115">
        <v>1200</v>
      </c>
      <c r="N19" s="21">
        <v>1200</v>
      </c>
      <c r="O19" s="23">
        <v>950</v>
      </c>
      <c r="P19" s="24">
        <f>M19*J19</f>
        <v>4800</v>
      </c>
      <c r="Q19" s="24">
        <f>N19*J19</f>
        <v>4800</v>
      </c>
      <c r="R19" s="24">
        <f>O19*J19</f>
        <v>3800</v>
      </c>
      <c r="S19" s="31"/>
      <c r="T19" s="31"/>
      <c r="U19" s="31"/>
      <c r="V19" s="31"/>
      <c r="W19" s="31">
        <v>180</v>
      </c>
      <c r="X19" s="31"/>
      <c r="Y19" s="31">
        <v>246</v>
      </c>
      <c r="Z19" s="31"/>
      <c r="AA19" s="31"/>
      <c r="AB19" s="31"/>
      <c r="AC19" s="24">
        <f t="shared" si="12"/>
        <v>426</v>
      </c>
      <c r="AD19" s="31"/>
      <c r="AE19" s="31">
        <v>338</v>
      </c>
      <c r="AF19" s="31"/>
      <c r="AG19" s="31"/>
      <c r="AH19" s="31">
        <v>691</v>
      </c>
      <c r="AI19" s="31"/>
      <c r="AJ19" s="178">
        <v>945</v>
      </c>
      <c r="AK19" s="178"/>
      <c r="AL19" s="31">
        <v>451</v>
      </c>
      <c r="AM19" s="31"/>
      <c r="AN19" s="31">
        <f t="shared" si="13"/>
        <v>2425</v>
      </c>
      <c r="AO19" s="31"/>
      <c r="AP19" s="31">
        <v>723</v>
      </c>
      <c r="AQ19" s="31"/>
      <c r="AR19" s="31"/>
      <c r="AS19" s="31">
        <v>0</v>
      </c>
      <c r="AT19" s="31">
        <v>0</v>
      </c>
      <c r="AU19" s="31"/>
      <c r="AV19" s="31"/>
      <c r="AW19" s="31"/>
      <c r="AX19" s="31">
        <v>0</v>
      </c>
      <c r="AY19" s="31"/>
      <c r="AZ19" s="31">
        <v>56</v>
      </c>
      <c r="BA19" s="31"/>
      <c r="BB19" s="31"/>
      <c r="BC19" s="31"/>
      <c r="BD19" s="31">
        <f t="shared" si="14"/>
        <v>779</v>
      </c>
      <c r="BE19" s="29">
        <f t="shared" si="15"/>
        <v>171</v>
      </c>
      <c r="BF19" s="29">
        <f t="shared" si="16"/>
        <v>723</v>
      </c>
      <c r="BG19" s="29">
        <f>VLOOKUP(E19,'[3]Y2604-Y2608_庫存&amp;銷售'!$F:$AJ,23,0)</f>
        <v>644</v>
      </c>
      <c r="BH19" s="29">
        <f>VLOOKUP(E19,'[3]Y2604-Y2608_庫存&amp;銷售'!$F:$AL,25,0)</f>
        <v>0</v>
      </c>
      <c r="BI19" s="29">
        <f>VLOOKUP(E19,'[3]Y2604-Y2608_庫存&amp;銷售'!$F:$AN,30,0)</f>
        <v>0</v>
      </c>
      <c r="BJ19" s="81">
        <f t="shared" si="1"/>
        <v>2342400</v>
      </c>
      <c r="BK19" s="81">
        <f t="shared" si="2"/>
        <v>2342400</v>
      </c>
      <c r="BL19" s="81">
        <f t="shared" si="3"/>
        <v>1854400</v>
      </c>
      <c r="BM19" s="81">
        <f t="shared" si="4"/>
        <v>831552</v>
      </c>
      <c r="BN19" s="81">
        <f t="shared" si="5"/>
        <v>761688</v>
      </c>
      <c r="BO19" s="81">
        <f t="shared" si="6"/>
        <v>824045.45400000003</v>
      </c>
      <c r="BP19" s="81">
        <f t="shared" si="7"/>
        <v>4733600</v>
      </c>
      <c r="BQ19" s="81">
        <f t="shared" si="8"/>
        <v>4335900</v>
      </c>
      <c r="BR19" s="81">
        <f t="shared" si="9"/>
        <v>4690869.0750000002</v>
      </c>
      <c r="BS19" s="199">
        <f t="shared" si="17"/>
        <v>1520608</v>
      </c>
      <c r="BT19" s="199">
        <f>H19*J19*(BD19-AZ19)</f>
        <v>1292724</v>
      </c>
      <c r="BU19" s="199">
        <f t="shared" si="11"/>
        <v>1506881.2410000002</v>
      </c>
      <c r="BV19" s="112">
        <f>VLOOKUP(E19,'[4]Y2604-Y2608_庫存&amp;銷售'!$F:$AB,17,0)</f>
        <v>416.25</v>
      </c>
      <c r="BW19" s="112">
        <f>VLOOKUP(A19,'[5]Demand inbond in Sep'!$B:$M,12,0)</f>
        <v>950</v>
      </c>
      <c r="BX19" s="112"/>
      <c r="CL19" s="149"/>
    </row>
    <row r="20" spans="1:99" ht="15.5" thickBot="1" x14ac:dyDescent="0.4">
      <c r="A20" s="2">
        <v>522244895843035</v>
      </c>
      <c r="B20" s="19" t="s">
        <v>9</v>
      </c>
      <c r="C20" s="1" t="s">
        <v>10</v>
      </c>
      <c r="D20" s="2">
        <v>83936822</v>
      </c>
      <c r="E20" s="3">
        <v>4987176284655</v>
      </c>
      <c r="F20" s="3">
        <v>4987176284655</v>
      </c>
      <c r="G20" s="4" t="s">
        <v>391</v>
      </c>
      <c r="H20" s="1">
        <v>408</v>
      </c>
      <c r="I20" s="1" t="s">
        <v>173</v>
      </c>
      <c r="J20" s="5">
        <v>4</v>
      </c>
      <c r="K20" s="5">
        <v>1746.4</v>
      </c>
      <c r="L20" s="5">
        <v>1695.46</v>
      </c>
      <c r="M20" s="115"/>
      <c r="N20" s="21"/>
      <c r="O20" s="23">
        <f>VLOOKUP(D20,'[2]Data for PV'!$B:$L,11,0)</f>
        <v>1716</v>
      </c>
      <c r="P20" s="24"/>
      <c r="Q20" s="24"/>
      <c r="R20" s="24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178"/>
      <c r="AK20" s="178"/>
      <c r="AL20" s="31"/>
      <c r="AM20" s="31"/>
      <c r="AN20" s="31">
        <f t="shared" si="13"/>
        <v>0</v>
      </c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>
        <v>1716</v>
      </c>
      <c r="BA20" s="31"/>
      <c r="BB20" s="31"/>
      <c r="BC20" s="31"/>
      <c r="BD20" s="31">
        <f t="shared" si="14"/>
        <v>1716</v>
      </c>
      <c r="BE20" s="29">
        <f t="shared" si="15"/>
        <v>0</v>
      </c>
      <c r="BF20" s="29">
        <f t="shared" si="16"/>
        <v>0</v>
      </c>
      <c r="BG20" s="29" t="e">
        <f>VLOOKUP(E20,'[3]Y2604-Y2608_庫存&amp;銷售'!$F:$AJ,23,0)</f>
        <v>#N/A</v>
      </c>
      <c r="BH20" s="29" t="e">
        <f>VLOOKUP(E20,'[3]Y2604-Y2608_庫存&amp;銷售'!$F:$AL,25,0)</f>
        <v>#N/A</v>
      </c>
      <c r="BI20" s="29" t="e">
        <f>VLOOKUP(E20,'[3]Y2604-Y2608_庫存&amp;銷售'!$F:$AN,30,0)</f>
        <v>#N/A</v>
      </c>
      <c r="BJ20" s="81"/>
      <c r="BK20" s="81"/>
      <c r="BL20" s="81"/>
      <c r="BM20" s="81"/>
      <c r="BN20" s="81"/>
      <c r="BO20" s="81"/>
      <c r="BP20" s="81"/>
      <c r="BQ20" s="81"/>
      <c r="BR20" s="81"/>
      <c r="BS20" s="199">
        <f t="shared" si="17"/>
        <v>2996822.4000000004</v>
      </c>
      <c r="BT20" s="199">
        <f t="shared" si="10"/>
        <v>2800512</v>
      </c>
      <c r="BU20" s="199">
        <f t="shared" si="11"/>
        <v>2967597.5472000004</v>
      </c>
      <c r="BV20" s="112"/>
      <c r="BW20" s="112" t="e">
        <f>VLOOKUP(A20,'[5]Demand inbond in Sep'!$B:$M,12,0)</f>
        <v>#N/A</v>
      </c>
      <c r="BX20" s="112"/>
      <c r="CH20" s="171">
        <f>10000000-CH3-CH4-CH5-CH6</f>
        <v>-2267151.46</v>
      </c>
      <c r="CL20" s="149"/>
    </row>
    <row r="21" spans="1:99" ht="15.5" thickBot="1" x14ac:dyDescent="0.4">
      <c r="A21" s="2">
        <v>522244896461780</v>
      </c>
      <c r="B21" s="19" t="s">
        <v>9</v>
      </c>
      <c r="C21" s="1" t="s">
        <v>10</v>
      </c>
      <c r="D21" s="2">
        <v>83939482</v>
      </c>
      <c r="E21" s="3">
        <v>4987176430601</v>
      </c>
      <c r="F21" s="3">
        <v>4987176430601</v>
      </c>
      <c r="G21" s="4" t="s">
        <v>393</v>
      </c>
      <c r="H21" s="1">
        <v>408</v>
      </c>
      <c r="I21" s="1"/>
      <c r="J21" s="5">
        <v>4</v>
      </c>
      <c r="K21" s="5">
        <v>1746.4</v>
      </c>
      <c r="L21" s="5">
        <v>1695.46</v>
      </c>
      <c r="M21" s="115"/>
      <c r="N21" s="21"/>
      <c r="O21" s="23">
        <f>VLOOKUP(D21,'[2]Data for PV'!$B:$L,11,0)</f>
        <v>0</v>
      </c>
      <c r="P21" s="24"/>
      <c r="Q21" s="24"/>
      <c r="R21" s="24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178"/>
      <c r="AK21" s="178"/>
      <c r="AL21" s="31"/>
      <c r="AM21" s="31"/>
      <c r="AN21" s="31">
        <f t="shared" si="13"/>
        <v>0</v>
      </c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>
        <f t="shared" si="14"/>
        <v>0</v>
      </c>
      <c r="BE21" s="29">
        <f t="shared" si="15"/>
        <v>0</v>
      </c>
      <c r="BF21" s="29">
        <f t="shared" si="16"/>
        <v>0</v>
      </c>
      <c r="BG21" s="29" t="e">
        <f>VLOOKUP(E21,'[3]Y2604-Y2608_庫存&amp;銷售'!$F:$AJ,23,0)</f>
        <v>#N/A</v>
      </c>
      <c r="BH21" s="29" t="e">
        <f>VLOOKUP(E21,'[3]Y2604-Y2608_庫存&amp;銷售'!$F:$AL,25,0)</f>
        <v>#N/A</v>
      </c>
      <c r="BI21" s="29" t="e">
        <f>VLOOKUP(E21,'[3]Y2604-Y2608_庫存&amp;銷售'!$F:$AN,30,0)</f>
        <v>#N/A</v>
      </c>
      <c r="BJ21" s="81"/>
      <c r="BK21" s="81"/>
      <c r="BL21" s="81"/>
      <c r="BM21" s="81"/>
      <c r="BN21" s="81"/>
      <c r="BO21" s="81"/>
      <c r="BP21" s="81"/>
      <c r="BQ21" s="81"/>
      <c r="BR21" s="81"/>
      <c r="BS21" s="199">
        <f t="shared" si="17"/>
        <v>0</v>
      </c>
      <c r="BT21" s="199">
        <f t="shared" si="10"/>
        <v>0</v>
      </c>
      <c r="BU21" s="199">
        <f t="shared" si="11"/>
        <v>0</v>
      </c>
      <c r="BV21" s="112"/>
      <c r="BW21" s="112" t="e">
        <f>VLOOKUP(A21,'[5]Demand inbond in Sep'!$B:$M,12,0)</f>
        <v>#N/A</v>
      </c>
      <c r="BX21" s="112"/>
      <c r="CH21" s="171">
        <v>2180000</v>
      </c>
      <c r="CL21" s="149"/>
      <c r="CM21" s="256">
        <v>29290948</v>
      </c>
    </row>
    <row r="22" spans="1:99" ht="15" x14ac:dyDescent="0.35">
      <c r="A22" s="2"/>
      <c r="B22" s="19" t="s">
        <v>9</v>
      </c>
      <c r="C22" s="1" t="s">
        <v>26</v>
      </c>
      <c r="D22" s="2">
        <v>83907176</v>
      </c>
      <c r="E22" s="3">
        <v>4987176392343</v>
      </c>
      <c r="F22" s="3">
        <v>4987176392343</v>
      </c>
      <c r="G22" s="4" t="s">
        <v>254</v>
      </c>
      <c r="H22" s="1"/>
      <c r="I22" s="1" t="s">
        <v>173</v>
      </c>
      <c r="J22" s="5">
        <v>6</v>
      </c>
      <c r="K22" s="5">
        <v>838.8</v>
      </c>
      <c r="L22" s="5">
        <v>808.24</v>
      </c>
      <c r="M22" s="115">
        <v>0</v>
      </c>
      <c r="N22" s="21"/>
      <c r="O22" s="23"/>
      <c r="P22" s="24"/>
      <c r="Q22" s="24"/>
      <c r="R22" s="24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>
        <f t="shared" si="12"/>
        <v>0</v>
      </c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>
        <f t="shared" si="13"/>
        <v>0</v>
      </c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>
        <f t="shared" si="14"/>
        <v>0</v>
      </c>
      <c r="BE22" s="29">
        <f t="shared" si="15"/>
        <v>0</v>
      </c>
      <c r="BF22" s="29">
        <f t="shared" si="16"/>
        <v>0</v>
      </c>
      <c r="BG22" s="29">
        <f>VLOOKUP(E22,'[3]Y2604-Y2608_庫存&amp;銷售'!$F:$AJ,23,0)</f>
        <v>0</v>
      </c>
      <c r="BH22" s="29">
        <f>VLOOKUP(E22,'[3]Y2604-Y2608_庫存&amp;銷售'!$F:$AL,25,0)</f>
        <v>0</v>
      </c>
      <c r="BI22" s="29">
        <f>VLOOKUP(E22,'[3]Y2604-Y2608_庫存&amp;銷售'!$F:$AN,30,0)</f>
        <v>0</v>
      </c>
      <c r="BJ22" s="81">
        <f t="shared" ref="BJ22:BJ67" si="26">M22*K22</f>
        <v>0</v>
      </c>
      <c r="BK22" s="81">
        <f t="shared" ref="BK22:BK67" si="27">N22*K22</f>
        <v>0</v>
      </c>
      <c r="BL22" s="81">
        <f t="shared" ref="BL22:BL67" si="28">O22*K22</f>
        <v>0</v>
      </c>
      <c r="BM22" s="81">
        <f t="shared" ref="BM22:BM53" si="29">AC22*K22</f>
        <v>0</v>
      </c>
      <c r="BN22" s="81">
        <f t="shared" ref="BN22:BN53" si="30">AC22*H22*J22</f>
        <v>0</v>
      </c>
      <c r="BO22" s="81">
        <f t="shared" ref="BO22:BO53" si="31">L22*1.02*AC22</f>
        <v>0</v>
      </c>
      <c r="BP22" s="81">
        <f t="shared" ref="BP22:BP85" si="32">AN22*K22</f>
        <v>0</v>
      </c>
      <c r="BQ22" s="81">
        <f t="shared" ref="BQ22:BQ85" si="33">AN22*H22*J22</f>
        <v>0</v>
      </c>
      <c r="BR22" s="81">
        <f t="shared" ref="BR22:BR85" si="34">L22*1.02*AN22</f>
        <v>0</v>
      </c>
      <c r="BS22" s="199">
        <f t="shared" si="17"/>
        <v>0</v>
      </c>
      <c r="BT22" s="199">
        <f t="shared" si="10"/>
        <v>0</v>
      </c>
      <c r="BU22" s="199">
        <f t="shared" si="11"/>
        <v>0</v>
      </c>
      <c r="BV22" s="112">
        <f>VLOOKUP(E22,'[4]Y2604-Y2608_庫存&amp;銷售'!$F:$AB,17,0)</f>
        <v>0</v>
      </c>
      <c r="BW22" s="112" t="e">
        <f>VLOOKUP(A22,'[5]Demand inbond in Sep'!$B:$M,12,0)</f>
        <v>#N/A</v>
      </c>
      <c r="BX22" s="112"/>
      <c r="CH22" s="171">
        <f>CH21+CH3+CH4+CH5+CH6</f>
        <v>14447151.459999999</v>
      </c>
    </row>
    <row r="23" spans="1:99" ht="15" x14ac:dyDescent="0.35">
      <c r="A23" s="2"/>
      <c r="B23" s="19" t="s">
        <v>9</v>
      </c>
      <c r="C23" s="1" t="s">
        <v>26</v>
      </c>
      <c r="D23" s="2">
        <v>83907177</v>
      </c>
      <c r="E23" s="3">
        <v>4987176392350</v>
      </c>
      <c r="F23" s="3">
        <v>4987176392350</v>
      </c>
      <c r="G23" s="4" t="s">
        <v>255</v>
      </c>
      <c r="H23" s="1"/>
      <c r="I23" s="1" t="s">
        <v>173</v>
      </c>
      <c r="J23" s="5">
        <v>6</v>
      </c>
      <c r="K23" s="5">
        <v>838.8</v>
      </c>
      <c r="L23" s="5">
        <v>808.24</v>
      </c>
      <c r="M23" s="115">
        <v>0</v>
      </c>
      <c r="N23" s="21"/>
      <c r="O23" s="23"/>
      <c r="P23" s="24"/>
      <c r="Q23" s="24"/>
      <c r="R23" s="24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>
        <f t="shared" si="12"/>
        <v>0</v>
      </c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>
        <f t="shared" si="13"/>
        <v>0</v>
      </c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>
        <f t="shared" si="14"/>
        <v>0</v>
      </c>
      <c r="BE23" s="29">
        <f t="shared" si="15"/>
        <v>0</v>
      </c>
      <c r="BF23" s="29">
        <f t="shared" si="16"/>
        <v>0</v>
      </c>
      <c r="BG23" s="29">
        <f>VLOOKUP(E23,'[3]Y2604-Y2608_庫存&amp;銷售'!$F:$AJ,23,0)</f>
        <v>0</v>
      </c>
      <c r="BH23" s="29">
        <f>VLOOKUP(E23,'[3]Y2604-Y2608_庫存&amp;銷售'!$F:$AL,25,0)</f>
        <v>0</v>
      </c>
      <c r="BI23" s="29">
        <f>VLOOKUP(E23,'[3]Y2604-Y2608_庫存&amp;銷售'!$F:$AN,30,0)</f>
        <v>0</v>
      </c>
      <c r="BJ23" s="81">
        <f t="shared" si="26"/>
        <v>0</v>
      </c>
      <c r="BK23" s="81">
        <f t="shared" si="27"/>
        <v>0</v>
      </c>
      <c r="BL23" s="81">
        <f t="shared" si="28"/>
        <v>0</v>
      </c>
      <c r="BM23" s="81">
        <f t="shared" si="29"/>
        <v>0</v>
      </c>
      <c r="BN23" s="81">
        <f t="shared" si="30"/>
        <v>0</v>
      </c>
      <c r="BO23" s="81">
        <f t="shared" si="31"/>
        <v>0</v>
      </c>
      <c r="BP23" s="81">
        <f t="shared" si="32"/>
        <v>0</v>
      </c>
      <c r="BQ23" s="81">
        <f t="shared" si="33"/>
        <v>0</v>
      </c>
      <c r="BR23" s="81">
        <f t="shared" si="34"/>
        <v>0</v>
      </c>
      <c r="BS23" s="199">
        <f t="shared" si="17"/>
        <v>0</v>
      </c>
      <c r="BT23" s="199">
        <f t="shared" si="10"/>
        <v>0</v>
      </c>
      <c r="BU23" s="199">
        <f t="shared" si="11"/>
        <v>0</v>
      </c>
      <c r="BV23" s="112">
        <f>VLOOKUP(E23,'[4]Y2604-Y2608_庫存&amp;銷售'!$F:$AB,17,0)</f>
        <v>0</v>
      </c>
      <c r="BW23" s="112" t="e">
        <f>VLOOKUP(A23,'[5]Demand inbond in Sep'!$B:$M,12,0)</f>
        <v>#N/A</v>
      </c>
      <c r="BX23" s="112"/>
    </row>
    <row r="24" spans="1:99" x14ac:dyDescent="0.3">
      <c r="A24" s="2">
        <v>522244896442066</v>
      </c>
      <c r="B24" s="19" t="s">
        <v>9</v>
      </c>
      <c r="C24" s="1" t="s">
        <v>26</v>
      </c>
      <c r="D24" s="2">
        <v>80861747</v>
      </c>
      <c r="E24" s="2">
        <v>4987176339935</v>
      </c>
      <c r="F24" s="2">
        <v>4987176339935</v>
      </c>
      <c r="G24" s="267" t="s">
        <v>286</v>
      </c>
      <c r="H24" s="1">
        <v>200</v>
      </c>
      <c r="I24" s="1" t="s">
        <v>173</v>
      </c>
      <c r="J24" s="5">
        <v>10</v>
      </c>
      <c r="K24" s="5">
        <v>2183.5</v>
      </c>
      <c r="L24" s="5">
        <v>2122.75</v>
      </c>
      <c r="M24" s="115">
        <v>237</v>
      </c>
      <c r="N24" s="21"/>
      <c r="O24" s="23">
        <v>330</v>
      </c>
      <c r="P24" s="24"/>
      <c r="Q24" s="24"/>
      <c r="R24" s="24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>
        <f t="shared" si="12"/>
        <v>0</v>
      </c>
      <c r="AD24" s="31"/>
      <c r="AE24" s="31"/>
      <c r="AF24" s="31"/>
      <c r="AG24" s="31"/>
      <c r="AH24" s="31"/>
      <c r="AI24" s="31"/>
      <c r="AJ24" s="31"/>
      <c r="AK24" s="31">
        <v>1</v>
      </c>
      <c r="AL24" s="31"/>
      <c r="AM24" s="31"/>
      <c r="AN24" s="31">
        <f t="shared" si="13"/>
        <v>1</v>
      </c>
      <c r="AO24" s="31"/>
      <c r="AP24" s="31">
        <v>6</v>
      </c>
      <c r="AQ24" s="31"/>
      <c r="AR24" s="31"/>
      <c r="AS24" s="31"/>
      <c r="AT24" s="31"/>
      <c r="AU24" s="31"/>
      <c r="AV24" s="31"/>
      <c r="AW24" s="31">
        <v>120</v>
      </c>
      <c r="AX24" s="31"/>
      <c r="AY24" s="31"/>
      <c r="AZ24" s="31">
        <v>80</v>
      </c>
      <c r="BA24" s="31"/>
      <c r="BB24" s="31"/>
      <c r="BC24" s="31"/>
      <c r="BD24" s="31">
        <f t="shared" si="14"/>
        <v>206</v>
      </c>
      <c r="BE24" s="29">
        <f t="shared" si="15"/>
        <v>124</v>
      </c>
      <c r="BF24" s="29">
        <f t="shared" si="16"/>
        <v>126</v>
      </c>
      <c r="BG24" s="29">
        <f>VLOOKUP(E24,'[3]Y2604-Y2608_庫存&amp;銷售'!$F:$AJ,23,0)</f>
        <v>0.8</v>
      </c>
      <c r="BH24" s="29">
        <f>VLOOKUP(E24,'[3]Y2604-Y2608_庫存&amp;銷售'!$F:$AL,25,0)</f>
        <v>0</v>
      </c>
      <c r="BI24" s="29">
        <f>VLOOKUP(E24,'[3]Y2604-Y2608_庫存&amp;銷售'!$F:$AN,30,0)</f>
        <v>0</v>
      </c>
      <c r="BJ24" s="81">
        <f t="shared" si="26"/>
        <v>517489.5</v>
      </c>
      <c r="BK24" s="81">
        <f t="shared" si="27"/>
        <v>0</v>
      </c>
      <c r="BL24" s="81">
        <f t="shared" si="28"/>
        <v>720555</v>
      </c>
      <c r="BM24" s="81">
        <f t="shared" si="29"/>
        <v>0</v>
      </c>
      <c r="BN24" s="81">
        <f t="shared" si="30"/>
        <v>0</v>
      </c>
      <c r="BO24" s="81">
        <f t="shared" si="31"/>
        <v>0</v>
      </c>
      <c r="BP24" s="81">
        <f t="shared" si="32"/>
        <v>2183.5</v>
      </c>
      <c r="BQ24" s="81">
        <f t="shared" si="33"/>
        <v>2000</v>
      </c>
      <c r="BR24" s="81">
        <f t="shared" si="34"/>
        <v>2165.2049999999999</v>
      </c>
      <c r="BS24" s="199">
        <f t="shared" si="17"/>
        <v>449801</v>
      </c>
      <c r="BT24" s="199">
        <f t="shared" si="10"/>
        <v>412000</v>
      </c>
      <c r="BU24" s="199">
        <f t="shared" si="11"/>
        <v>446032.23</v>
      </c>
      <c r="BV24" s="112" t="e">
        <f>VLOOKUP(E24,'[4]Y2604-Y2608_庫存&amp;銷售'!$F:$AB,17,0)</f>
        <v>#N/A</v>
      </c>
      <c r="BW24" s="112">
        <f>VLOOKUP(A24,'[5]Demand inbond in Sep'!$B:$M,12,0)</f>
        <v>330</v>
      </c>
      <c r="BX24" s="112"/>
    </row>
    <row r="25" spans="1:99" x14ac:dyDescent="0.3">
      <c r="A25" s="2">
        <v>522244896442065</v>
      </c>
      <c r="B25" s="19" t="s">
        <v>9</v>
      </c>
      <c r="C25" s="1" t="s">
        <v>26</v>
      </c>
      <c r="D25" s="2">
        <v>80861743</v>
      </c>
      <c r="E25" s="2">
        <v>4987176339898</v>
      </c>
      <c r="F25" s="2">
        <v>4987176339898</v>
      </c>
      <c r="G25" s="267" t="s">
        <v>287</v>
      </c>
      <c r="H25" s="1">
        <v>200</v>
      </c>
      <c r="I25" s="1" t="s">
        <v>173</v>
      </c>
      <c r="J25" s="5">
        <v>10</v>
      </c>
      <c r="K25" s="5">
        <v>2183.5</v>
      </c>
      <c r="L25" s="5">
        <v>2122.75</v>
      </c>
      <c r="M25" s="115">
        <v>247</v>
      </c>
      <c r="N25" s="21"/>
      <c r="O25" s="23">
        <v>330</v>
      </c>
      <c r="P25" s="24"/>
      <c r="Q25" s="24"/>
      <c r="R25" s="24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>
        <f t="shared" si="12"/>
        <v>0</v>
      </c>
      <c r="AD25" s="31"/>
      <c r="AE25" s="31"/>
      <c r="AF25" s="31"/>
      <c r="AG25" s="31"/>
      <c r="AH25" s="31"/>
      <c r="AI25" s="31"/>
      <c r="AJ25" s="31"/>
      <c r="AK25" s="31">
        <v>1</v>
      </c>
      <c r="AL25" s="31"/>
      <c r="AM25" s="31"/>
      <c r="AN25" s="31">
        <f t="shared" si="13"/>
        <v>1</v>
      </c>
      <c r="AO25" s="31"/>
      <c r="AP25" s="31">
        <v>6</v>
      </c>
      <c r="AQ25" s="31"/>
      <c r="AR25" s="31"/>
      <c r="AS25" s="31"/>
      <c r="AT25" s="31"/>
      <c r="AU25" s="31"/>
      <c r="AV25" s="31"/>
      <c r="AW25" s="31"/>
      <c r="AX25" s="31">
        <v>8</v>
      </c>
      <c r="AY25" s="31"/>
      <c r="AZ25" s="31">
        <v>80</v>
      </c>
      <c r="BA25" s="31"/>
      <c r="BB25" s="31"/>
      <c r="BC25" s="31"/>
      <c r="BD25" s="31">
        <f t="shared" si="14"/>
        <v>94</v>
      </c>
      <c r="BE25" s="29">
        <f t="shared" si="15"/>
        <v>236</v>
      </c>
      <c r="BF25" s="29">
        <f t="shared" si="16"/>
        <v>6</v>
      </c>
      <c r="BG25" s="29">
        <f>VLOOKUP(E25,'[3]Y2604-Y2608_庫存&amp;銷售'!$F:$AJ,23,0)</f>
        <v>1.1000000000000001</v>
      </c>
      <c r="BH25" s="29">
        <f>VLOOKUP(E25,'[3]Y2604-Y2608_庫存&amp;銷售'!$F:$AL,25,0)</f>
        <v>0</v>
      </c>
      <c r="BI25" s="29">
        <f>VLOOKUP(E25,'[3]Y2604-Y2608_庫存&amp;銷售'!$F:$AN,30,0)</f>
        <v>0</v>
      </c>
      <c r="BJ25" s="81">
        <f t="shared" si="26"/>
        <v>539324.5</v>
      </c>
      <c r="BK25" s="81">
        <f t="shared" si="27"/>
        <v>0</v>
      </c>
      <c r="BL25" s="81">
        <f t="shared" si="28"/>
        <v>720555</v>
      </c>
      <c r="BM25" s="81">
        <f t="shared" si="29"/>
        <v>0</v>
      </c>
      <c r="BN25" s="81">
        <f t="shared" si="30"/>
        <v>0</v>
      </c>
      <c r="BO25" s="81">
        <f t="shared" si="31"/>
        <v>0</v>
      </c>
      <c r="BP25" s="81">
        <f t="shared" si="32"/>
        <v>2183.5</v>
      </c>
      <c r="BQ25" s="81">
        <f t="shared" si="33"/>
        <v>2000</v>
      </c>
      <c r="BR25" s="81">
        <f t="shared" si="34"/>
        <v>2165.2049999999999</v>
      </c>
      <c r="BS25" s="199">
        <f t="shared" si="17"/>
        <v>205249</v>
      </c>
      <c r="BT25" s="199">
        <f t="shared" si="10"/>
        <v>188000</v>
      </c>
      <c r="BU25" s="199">
        <f t="shared" si="11"/>
        <v>203529.27</v>
      </c>
      <c r="BV25" s="112" t="e">
        <f>VLOOKUP(E25,'[4]Y2604-Y2608_庫存&amp;銷售'!$F:$AB,17,0)</f>
        <v>#N/A</v>
      </c>
      <c r="BW25" s="112">
        <f>VLOOKUP(A25,'[5]Demand inbond in Sep'!$B:$M,12,0)</f>
        <v>330</v>
      </c>
      <c r="BX25" s="112"/>
    </row>
    <row r="26" spans="1:99" ht="15.5" thickBot="1" x14ac:dyDescent="0.4">
      <c r="A26" s="2">
        <v>522244895993400</v>
      </c>
      <c r="B26" s="19" t="s">
        <v>9</v>
      </c>
      <c r="C26" s="1" t="s">
        <v>26</v>
      </c>
      <c r="D26" s="2">
        <v>80861746</v>
      </c>
      <c r="E26" s="3">
        <v>4987176339928</v>
      </c>
      <c r="F26" s="3">
        <v>4987176339928</v>
      </c>
      <c r="G26" s="4" t="s">
        <v>253</v>
      </c>
      <c r="H26" s="1">
        <v>368</v>
      </c>
      <c r="I26" s="1"/>
      <c r="J26" s="5">
        <v>5</v>
      </c>
      <c r="K26" s="5">
        <v>1955</v>
      </c>
      <c r="L26" s="5">
        <v>1899.38</v>
      </c>
      <c r="M26" s="115">
        <v>0</v>
      </c>
      <c r="N26" s="21">
        <f>VLOOKUP(E26,'[1]Demand inbond in Aug'!$C:$J,8,0)</f>
        <v>0</v>
      </c>
      <c r="O26" s="23">
        <f>VLOOKUP(D26,'[2]Data for PV'!$B:$L,11,0)</f>
        <v>0</v>
      </c>
      <c r="P26" s="24">
        <f t="shared" ref="P26:P44" si="35">M26*J26</f>
        <v>0</v>
      </c>
      <c r="Q26" s="24">
        <f t="shared" ref="Q26:Q44" si="36">N26*J26</f>
        <v>0</v>
      </c>
      <c r="R26" s="24">
        <f t="shared" ref="R26:R44" si="37">O26*J26</f>
        <v>0</v>
      </c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>
        <f t="shared" si="12"/>
        <v>0</v>
      </c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>
        <f t="shared" si="13"/>
        <v>0</v>
      </c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>
        <f t="shared" si="14"/>
        <v>0</v>
      </c>
      <c r="BE26" s="29">
        <f t="shared" si="15"/>
        <v>0</v>
      </c>
      <c r="BF26" s="29">
        <f t="shared" si="16"/>
        <v>0</v>
      </c>
      <c r="BG26" s="29">
        <f>VLOOKUP(E26,'[3]Y2604-Y2608_庫存&amp;銷售'!$F:$AJ,23,0)</f>
        <v>0</v>
      </c>
      <c r="BH26" s="29">
        <f>VLOOKUP(E26,'[3]Y2604-Y2608_庫存&amp;銷售'!$F:$AL,25,0)</f>
        <v>0</v>
      </c>
      <c r="BI26" s="29">
        <f>VLOOKUP(E26,'[3]Y2604-Y2608_庫存&amp;銷售'!$F:$AN,30,0)</f>
        <v>0</v>
      </c>
      <c r="BJ26" s="81">
        <f t="shared" si="26"/>
        <v>0</v>
      </c>
      <c r="BK26" s="81">
        <f t="shared" si="27"/>
        <v>0</v>
      </c>
      <c r="BL26" s="81">
        <f t="shared" si="28"/>
        <v>0</v>
      </c>
      <c r="BM26" s="81">
        <f t="shared" si="29"/>
        <v>0</v>
      </c>
      <c r="BN26" s="81">
        <f t="shared" si="30"/>
        <v>0</v>
      </c>
      <c r="BO26" s="81">
        <f t="shared" si="31"/>
        <v>0</v>
      </c>
      <c r="BP26" s="81">
        <f t="shared" si="32"/>
        <v>0</v>
      </c>
      <c r="BQ26" s="81">
        <f t="shared" si="33"/>
        <v>0</v>
      </c>
      <c r="BR26" s="81">
        <f t="shared" si="34"/>
        <v>0</v>
      </c>
      <c r="BS26" s="199">
        <f t="shared" si="17"/>
        <v>0</v>
      </c>
      <c r="BT26" s="199">
        <f t="shared" si="10"/>
        <v>0</v>
      </c>
      <c r="BU26" s="199">
        <f t="shared" si="11"/>
        <v>0</v>
      </c>
      <c r="BV26" s="112">
        <f>VLOOKUP(E26,'[4]Y2604-Y2608_庫存&amp;銷售'!$F:$AB,17,0)</f>
        <v>0</v>
      </c>
      <c r="BW26" s="112">
        <f>VLOOKUP(A26,'[5]Demand inbond in Sep'!$B:$M,12,0)</f>
        <v>0</v>
      </c>
      <c r="BX26" s="112"/>
      <c r="CL26" t="s">
        <v>285</v>
      </c>
    </row>
    <row r="27" spans="1:99" s="53" customFormat="1" ht="15.5" thickBot="1" x14ac:dyDescent="0.4">
      <c r="A27" s="7">
        <v>474068608303106</v>
      </c>
      <c r="B27" s="20" t="s">
        <v>9</v>
      </c>
      <c r="C27" s="6" t="s">
        <v>27</v>
      </c>
      <c r="D27" s="7">
        <v>80815410</v>
      </c>
      <c r="E27" s="8">
        <v>4987176274922</v>
      </c>
      <c r="F27" s="8">
        <v>4987176274922</v>
      </c>
      <c r="G27" s="9" t="s">
        <v>28</v>
      </c>
      <c r="H27" s="210">
        <v>145</v>
      </c>
      <c r="I27" s="22" t="s">
        <v>169</v>
      </c>
      <c r="J27" s="10">
        <v>10</v>
      </c>
      <c r="K27" s="5">
        <v>1440.3</v>
      </c>
      <c r="L27" s="5">
        <v>1396.23</v>
      </c>
      <c r="M27" s="115">
        <v>0</v>
      </c>
      <c r="N27" s="21">
        <f>VLOOKUP(E27,'[1]Demand inbond in Aug'!$C:$J,8,0)</f>
        <v>0</v>
      </c>
      <c r="O27" s="23"/>
      <c r="P27" s="51">
        <f t="shared" si="35"/>
        <v>0</v>
      </c>
      <c r="Q27" s="51">
        <f t="shared" si="36"/>
        <v>0</v>
      </c>
      <c r="R27" s="51">
        <f t="shared" si="37"/>
        <v>0</v>
      </c>
      <c r="S27" s="52"/>
      <c r="T27" s="52"/>
      <c r="U27" s="52"/>
      <c r="V27" s="52"/>
      <c r="W27" s="52"/>
      <c r="X27" s="31"/>
      <c r="Y27" s="31"/>
      <c r="Z27" s="52"/>
      <c r="AA27" s="52"/>
      <c r="AB27" s="52"/>
      <c r="AC27" s="31">
        <f t="shared" si="12"/>
        <v>0</v>
      </c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>
        <f t="shared" si="13"/>
        <v>0</v>
      </c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>
        <f t="shared" si="14"/>
        <v>0</v>
      </c>
      <c r="BE27" s="29">
        <f t="shared" si="15"/>
        <v>0</v>
      </c>
      <c r="BF27" s="29">
        <f t="shared" si="16"/>
        <v>0</v>
      </c>
      <c r="BG27" s="29">
        <f>VLOOKUP(E27,'[3]Y2604-Y2608_庫存&amp;銷售'!$F:$AJ,23,0)</f>
        <v>0</v>
      </c>
      <c r="BH27" s="29">
        <f>VLOOKUP(E27,'[3]Y2604-Y2608_庫存&amp;銷售'!$F:$AL,25,0)</f>
        <v>0</v>
      </c>
      <c r="BI27" s="29">
        <f>VLOOKUP(E27,'[3]Y2604-Y2608_庫存&amp;銷售'!$F:$AN,30,0)</f>
        <v>0</v>
      </c>
      <c r="BJ27" s="81">
        <f t="shared" si="26"/>
        <v>0</v>
      </c>
      <c r="BK27" s="81">
        <f t="shared" si="27"/>
        <v>0</v>
      </c>
      <c r="BL27" s="81">
        <f t="shared" si="28"/>
        <v>0</v>
      </c>
      <c r="BM27" s="81">
        <f t="shared" si="29"/>
        <v>0</v>
      </c>
      <c r="BN27" s="81">
        <f t="shared" si="30"/>
        <v>0</v>
      </c>
      <c r="BO27" s="81">
        <f t="shared" si="31"/>
        <v>0</v>
      </c>
      <c r="BP27" s="81">
        <f t="shared" si="32"/>
        <v>0</v>
      </c>
      <c r="BQ27" s="81">
        <f t="shared" si="33"/>
        <v>0</v>
      </c>
      <c r="BR27" s="81">
        <f t="shared" si="34"/>
        <v>0</v>
      </c>
      <c r="BS27" s="199">
        <f t="shared" si="17"/>
        <v>0</v>
      </c>
      <c r="BT27" s="199">
        <f t="shared" si="10"/>
        <v>0</v>
      </c>
      <c r="BU27" s="199">
        <f t="shared" si="11"/>
        <v>0</v>
      </c>
      <c r="BV27" s="112">
        <f>VLOOKUP(E27,'[4]Y2604-Y2608_庫存&amp;銷售'!$F:$AB,17,0)</f>
        <v>0</v>
      </c>
      <c r="BW27" s="112">
        <f>VLOOKUP(A27,'[5]Demand inbond in Sep'!$B:$M,12,0)</f>
        <v>0</v>
      </c>
      <c r="BX27" s="112"/>
      <c r="CL27" s="99" t="s">
        <v>273</v>
      </c>
      <c r="CM27" s="100" t="s">
        <v>274</v>
      </c>
      <c r="CN27" s="100" t="s">
        <v>275</v>
      </c>
      <c r="CO27" s="100" t="s">
        <v>276</v>
      </c>
      <c r="CP27" s="100" t="s">
        <v>277</v>
      </c>
      <c r="CQ27" s="100" t="s">
        <v>278</v>
      </c>
      <c r="CR27" s="100" t="s">
        <v>279</v>
      </c>
      <c r="CS27" s="100" t="s">
        <v>280</v>
      </c>
      <c r="CT27" s="100" t="s">
        <v>281</v>
      </c>
      <c r="CU27" s="100" t="s">
        <v>282</v>
      </c>
    </row>
    <row r="28" spans="1:99" s="42" customFormat="1" ht="15.5" thickBot="1" x14ac:dyDescent="0.4">
      <c r="A28" s="35">
        <v>474068608303107</v>
      </c>
      <c r="B28" s="19" t="s">
        <v>9</v>
      </c>
      <c r="C28" s="34" t="s">
        <v>27</v>
      </c>
      <c r="D28" s="35">
        <v>80815408</v>
      </c>
      <c r="E28" s="36">
        <v>4987176274908</v>
      </c>
      <c r="F28" s="3">
        <v>4987176274908</v>
      </c>
      <c r="G28" s="37" t="s">
        <v>29</v>
      </c>
      <c r="H28" s="209">
        <v>175</v>
      </c>
      <c r="I28" s="34"/>
      <c r="J28" s="39">
        <v>6</v>
      </c>
      <c r="K28" s="5">
        <v>1081.3</v>
      </c>
      <c r="L28" s="5">
        <v>1045.29</v>
      </c>
      <c r="M28" s="115">
        <v>0</v>
      </c>
      <c r="N28" s="21">
        <f>VLOOKUP(E28,'[1]Demand inbond in Aug'!$C:$J,8,0)</f>
        <v>0</v>
      </c>
      <c r="O28" s="23">
        <f>VLOOKUP(D28,'[2]Data for PV'!$B:$L,11,0)</f>
        <v>60.55</v>
      </c>
      <c r="P28" s="40">
        <f t="shared" si="35"/>
        <v>0</v>
      </c>
      <c r="Q28" s="40">
        <f t="shared" si="36"/>
        <v>0</v>
      </c>
      <c r="R28" s="40">
        <f t="shared" si="37"/>
        <v>363.29999999999995</v>
      </c>
      <c r="S28" s="41"/>
      <c r="T28" s="41"/>
      <c r="U28" s="41"/>
      <c r="V28" s="31"/>
      <c r="W28" s="31"/>
      <c r="X28" s="31"/>
      <c r="Y28" s="31"/>
      <c r="Z28" s="31"/>
      <c r="AA28" s="31"/>
      <c r="AB28" s="31"/>
      <c r="AC28" s="31">
        <f t="shared" si="12"/>
        <v>0</v>
      </c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>
        <f t="shared" si="13"/>
        <v>0</v>
      </c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>
        <f t="shared" si="14"/>
        <v>0</v>
      </c>
      <c r="BE28" s="29">
        <f t="shared" si="15"/>
        <v>60.55</v>
      </c>
      <c r="BF28" s="29">
        <f t="shared" si="16"/>
        <v>0</v>
      </c>
      <c r="BG28" s="29">
        <f>VLOOKUP(E28,'[3]Y2604-Y2608_庫存&amp;銷售'!$F:$AJ,23,0)</f>
        <v>0</v>
      </c>
      <c r="BH28" s="29">
        <f>VLOOKUP(E28,'[3]Y2604-Y2608_庫存&amp;銷售'!$F:$AL,25,0)</f>
        <v>0</v>
      </c>
      <c r="BI28" s="29">
        <f>VLOOKUP(E28,'[3]Y2604-Y2608_庫存&amp;銷售'!$F:$AN,30,0)</f>
        <v>0</v>
      </c>
      <c r="BJ28" s="81">
        <f t="shared" si="26"/>
        <v>0</v>
      </c>
      <c r="BK28" s="81">
        <f t="shared" si="27"/>
        <v>0</v>
      </c>
      <c r="BL28" s="81">
        <f t="shared" si="28"/>
        <v>65472.714999999997</v>
      </c>
      <c r="BM28" s="81">
        <f t="shared" si="29"/>
        <v>0</v>
      </c>
      <c r="BN28" s="81">
        <f t="shared" si="30"/>
        <v>0</v>
      </c>
      <c r="BO28" s="81">
        <f t="shared" si="31"/>
        <v>0</v>
      </c>
      <c r="BP28" s="81">
        <f t="shared" si="32"/>
        <v>0</v>
      </c>
      <c r="BQ28" s="81">
        <f t="shared" si="33"/>
        <v>0</v>
      </c>
      <c r="BR28" s="81">
        <f t="shared" si="34"/>
        <v>0</v>
      </c>
      <c r="BS28" s="199">
        <f t="shared" si="17"/>
        <v>0</v>
      </c>
      <c r="BT28" s="199">
        <f t="shared" si="10"/>
        <v>0</v>
      </c>
      <c r="BU28" s="199">
        <f t="shared" si="11"/>
        <v>0</v>
      </c>
      <c r="BV28" s="112">
        <f>VLOOKUP(E28,'[4]Y2604-Y2608_庫存&amp;銷售'!$F:$AB,17,0)</f>
        <v>0</v>
      </c>
      <c r="BW28" s="112">
        <f>VLOOKUP(A28,'[5]Demand inbond in Sep'!$B:$M,12,0)</f>
        <v>61</v>
      </c>
      <c r="BX28" s="112"/>
      <c r="CL28" s="101" t="s">
        <v>283</v>
      </c>
      <c r="CM28" s="102">
        <f>CL2/1.05</f>
        <v>642524.76190476189</v>
      </c>
      <c r="CN28" s="102">
        <f>(CL3+CL4)/1.05</f>
        <v>5503207.6190476185</v>
      </c>
      <c r="CO28" s="102">
        <f>CL7/1.05</f>
        <v>2451624.7619047617</v>
      </c>
      <c r="CP28" s="102">
        <f>(CL9+CL10+CL11+CL12)/1.05</f>
        <v>534914.28571428568</v>
      </c>
      <c r="CQ28" s="103"/>
      <c r="CR28" s="102">
        <f>CL14/1.05</f>
        <v>560220.95238095231</v>
      </c>
      <c r="CS28" s="102">
        <f>CL8/1.05</f>
        <v>268914.28571428568</v>
      </c>
      <c r="CT28" s="103"/>
      <c r="CU28" s="104">
        <f>SUM(CM28:CT28)</f>
        <v>9961406.6666666642</v>
      </c>
    </row>
    <row r="29" spans="1:99" s="53" customFormat="1" ht="15.5" thickBot="1" x14ac:dyDescent="0.4">
      <c r="A29" s="7">
        <v>474068608303118</v>
      </c>
      <c r="B29" s="20" t="s">
        <v>9</v>
      </c>
      <c r="C29" s="6" t="s">
        <v>27</v>
      </c>
      <c r="D29" s="7">
        <v>80815409</v>
      </c>
      <c r="E29" s="8">
        <v>4987176274915</v>
      </c>
      <c r="F29" s="8">
        <v>4987176274915</v>
      </c>
      <c r="G29" s="9" t="s">
        <v>30</v>
      </c>
      <c r="H29" s="210">
        <v>145</v>
      </c>
      <c r="I29" s="22" t="s">
        <v>169</v>
      </c>
      <c r="J29" s="10">
        <v>10</v>
      </c>
      <c r="K29" s="5">
        <v>1440.3</v>
      </c>
      <c r="L29" s="5">
        <v>1396.23</v>
      </c>
      <c r="M29" s="115">
        <v>0</v>
      </c>
      <c r="N29" s="21">
        <f>VLOOKUP(E29,'[1]Demand inbond in Aug'!$C:$J,8,0)</f>
        <v>0</v>
      </c>
      <c r="O29" s="23">
        <f>VLOOKUP(D29,'[2]Data for PV'!$B:$L,11,0)</f>
        <v>0</v>
      </c>
      <c r="P29" s="51">
        <f t="shared" si="35"/>
        <v>0</v>
      </c>
      <c r="Q29" s="51">
        <f t="shared" si="36"/>
        <v>0</v>
      </c>
      <c r="R29" s="51">
        <f t="shared" si="37"/>
        <v>0</v>
      </c>
      <c r="S29" s="52"/>
      <c r="T29" s="52"/>
      <c r="U29" s="52"/>
      <c r="V29" s="52"/>
      <c r="W29" s="52"/>
      <c r="X29" s="31"/>
      <c r="Y29" s="31"/>
      <c r="Z29" s="52"/>
      <c r="AA29" s="52"/>
      <c r="AB29" s="52"/>
      <c r="AC29" s="31">
        <f t="shared" si="12"/>
        <v>0</v>
      </c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>
        <f t="shared" si="13"/>
        <v>0</v>
      </c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>
        <f t="shared" si="14"/>
        <v>0</v>
      </c>
      <c r="BE29" s="29">
        <f t="shared" si="15"/>
        <v>0</v>
      </c>
      <c r="BF29" s="29">
        <f t="shared" si="16"/>
        <v>0</v>
      </c>
      <c r="BG29" s="29">
        <f>VLOOKUP(E29,'[3]Y2604-Y2608_庫存&amp;銷售'!$F:$AJ,23,0)</f>
        <v>0</v>
      </c>
      <c r="BH29" s="29">
        <f>VLOOKUP(E29,'[3]Y2604-Y2608_庫存&amp;銷售'!$F:$AL,25,0)</f>
        <v>0</v>
      </c>
      <c r="BI29" s="29">
        <f>VLOOKUP(E29,'[3]Y2604-Y2608_庫存&amp;銷售'!$F:$AN,30,0)</f>
        <v>0</v>
      </c>
      <c r="BJ29" s="81">
        <f t="shared" si="26"/>
        <v>0</v>
      </c>
      <c r="BK29" s="81">
        <f t="shared" si="27"/>
        <v>0</v>
      </c>
      <c r="BL29" s="81">
        <f t="shared" si="28"/>
        <v>0</v>
      </c>
      <c r="BM29" s="81">
        <f t="shared" si="29"/>
        <v>0</v>
      </c>
      <c r="BN29" s="81">
        <f t="shared" si="30"/>
        <v>0</v>
      </c>
      <c r="BO29" s="81">
        <f t="shared" si="31"/>
        <v>0</v>
      </c>
      <c r="BP29" s="81">
        <f t="shared" si="32"/>
        <v>0</v>
      </c>
      <c r="BQ29" s="81">
        <f t="shared" si="33"/>
        <v>0</v>
      </c>
      <c r="BR29" s="81">
        <f t="shared" si="34"/>
        <v>0</v>
      </c>
      <c r="BS29" s="199">
        <f t="shared" si="17"/>
        <v>0</v>
      </c>
      <c r="BT29" s="199">
        <f t="shared" si="10"/>
        <v>0</v>
      </c>
      <c r="BU29" s="199">
        <f t="shared" si="11"/>
        <v>0</v>
      </c>
      <c r="BV29" s="112">
        <f>VLOOKUP(E29,'[4]Y2604-Y2608_庫存&amp;銷售'!$F:$AB,17,0)</f>
        <v>0.4</v>
      </c>
      <c r="BW29" s="112">
        <f>VLOOKUP(A29,'[5]Demand inbond in Sep'!$B:$M,12,0)</f>
        <v>0</v>
      </c>
      <c r="BX29" s="112"/>
      <c r="CL29" s="101" t="s">
        <v>284</v>
      </c>
      <c r="CM29" s="104">
        <f>CP2</f>
        <v>735221.92619999999</v>
      </c>
      <c r="CN29" s="104">
        <f>CP3+CP4</f>
        <v>6213568.0476000002</v>
      </c>
      <c r="CO29" s="102">
        <f>CP7</f>
        <v>2882993.6547785997</v>
      </c>
      <c r="CP29" s="102">
        <f>CP9+CP10+CP11+CP12</f>
        <v>628203.54303000006</v>
      </c>
      <c r="CQ29" s="105"/>
      <c r="CR29" s="104">
        <f>CP14</f>
        <v>625609.71384420001</v>
      </c>
      <c r="CS29" s="104">
        <f>CP8</f>
        <v>310864.84327584004</v>
      </c>
      <c r="CT29" s="105"/>
      <c r="CU29" s="104">
        <f>SUM(CM29:CT29)</f>
        <v>11396461.728728639</v>
      </c>
    </row>
    <row r="30" spans="1:99" s="42" customFormat="1" ht="15" x14ac:dyDescent="0.35">
      <c r="A30" s="35">
        <v>474068608335874</v>
      </c>
      <c r="B30" s="19" t="s">
        <v>9</v>
      </c>
      <c r="C30" s="34" t="s">
        <v>27</v>
      </c>
      <c r="D30" s="35">
        <v>80815407</v>
      </c>
      <c r="E30" s="36">
        <v>4987176274892</v>
      </c>
      <c r="F30" s="3">
        <v>4987176274892</v>
      </c>
      <c r="G30" s="37" t="s">
        <v>31</v>
      </c>
      <c r="H30" s="209">
        <v>175</v>
      </c>
      <c r="I30" s="34"/>
      <c r="J30" s="39">
        <v>6</v>
      </c>
      <c r="K30" s="5">
        <v>1081.3</v>
      </c>
      <c r="L30" s="5">
        <v>1045.29</v>
      </c>
      <c r="M30" s="115">
        <v>0</v>
      </c>
      <c r="N30" s="21">
        <f>VLOOKUP(E30,'[1]Demand inbond in Aug'!$C:$J,8,0)</f>
        <v>50</v>
      </c>
      <c r="O30" s="23">
        <f>VLOOKUP(D30,'[2]Data for PV'!$B:$L,11,0)</f>
        <v>112.45</v>
      </c>
      <c r="P30" s="40">
        <f t="shared" si="35"/>
        <v>0</v>
      </c>
      <c r="Q30" s="40">
        <f t="shared" si="36"/>
        <v>300</v>
      </c>
      <c r="R30" s="40">
        <f t="shared" si="37"/>
        <v>674.7</v>
      </c>
      <c r="S30" s="41"/>
      <c r="T30" s="41"/>
      <c r="U30" s="41"/>
      <c r="V30" s="31"/>
      <c r="W30" s="31"/>
      <c r="X30" s="31"/>
      <c r="Y30" s="31"/>
      <c r="Z30" s="31"/>
      <c r="AA30" s="31"/>
      <c r="AB30" s="31"/>
      <c r="AC30" s="31">
        <f t="shared" si="12"/>
        <v>0</v>
      </c>
      <c r="AD30" s="31"/>
      <c r="AE30" s="31"/>
      <c r="AF30" s="31"/>
      <c r="AG30" s="31"/>
      <c r="AH30" s="31">
        <v>50</v>
      </c>
      <c r="AI30" s="31"/>
      <c r="AJ30" s="31"/>
      <c r="AK30" s="31"/>
      <c r="AL30" s="31"/>
      <c r="AM30" s="31"/>
      <c r="AN30" s="31">
        <f t="shared" si="13"/>
        <v>50</v>
      </c>
      <c r="AO30" s="31"/>
      <c r="AP30" s="31"/>
      <c r="AQ30" s="31"/>
      <c r="AR30" s="31"/>
      <c r="AS30" s="31"/>
      <c r="AT30" s="31"/>
      <c r="AU30" s="31"/>
      <c r="AV30" s="31"/>
      <c r="AW30" s="31">
        <v>100</v>
      </c>
      <c r="AX30" s="31">
        <v>12</v>
      </c>
      <c r="AY30" s="31"/>
      <c r="AZ30" s="31"/>
      <c r="BA30" s="31"/>
      <c r="BB30" s="31"/>
      <c r="BC30" s="31"/>
      <c r="BD30" s="31">
        <f t="shared" si="14"/>
        <v>112</v>
      </c>
      <c r="BE30" s="29">
        <f t="shared" si="15"/>
        <v>0.45000000000000284</v>
      </c>
      <c r="BF30" s="29">
        <f t="shared" si="16"/>
        <v>100</v>
      </c>
      <c r="BG30" s="29">
        <f>VLOOKUP(E30,'[3]Y2604-Y2608_庫存&amp;銷售'!$F:$AJ,23,0)</f>
        <v>6.833333333333333</v>
      </c>
      <c r="BH30" s="29">
        <f>VLOOKUP(E30,'[3]Y2604-Y2608_庫存&amp;銷售'!$F:$AL,25,0)</f>
        <v>0</v>
      </c>
      <c r="BI30" s="29">
        <f>VLOOKUP(E30,'[3]Y2604-Y2608_庫存&amp;銷售'!$F:$AN,30,0)</f>
        <v>0</v>
      </c>
      <c r="BJ30" s="81">
        <f t="shared" si="26"/>
        <v>0</v>
      </c>
      <c r="BK30" s="81">
        <f t="shared" si="27"/>
        <v>54065</v>
      </c>
      <c r="BL30" s="81">
        <f t="shared" si="28"/>
        <v>121592.185</v>
      </c>
      <c r="BM30" s="81">
        <f t="shared" si="29"/>
        <v>0</v>
      </c>
      <c r="BN30" s="81">
        <f t="shared" si="30"/>
        <v>0</v>
      </c>
      <c r="BO30" s="81">
        <f t="shared" si="31"/>
        <v>0</v>
      </c>
      <c r="BP30" s="81">
        <f t="shared" si="32"/>
        <v>54065</v>
      </c>
      <c r="BQ30" s="81">
        <f t="shared" si="33"/>
        <v>52500</v>
      </c>
      <c r="BR30" s="81">
        <f t="shared" si="34"/>
        <v>53309.79</v>
      </c>
      <c r="BS30" s="199">
        <f t="shared" si="17"/>
        <v>121105.59999999999</v>
      </c>
      <c r="BT30" s="199">
        <f t="shared" si="10"/>
        <v>117600</v>
      </c>
      <c r="BU30" s="199">
        <f t="shared" si="11"/>
        <v>119413.9296</v>
      </c>
      <c r="BV30" s="112">
        <f>VLOOKUP(E30,'[4]Y2604-Y2608_庫存&amp;銷售'!$F:$AB,17,0)</f>
        <v>51</v>
      </c>
      <c r="BW30" s="112">
        <f>VLOOKUP(A30,'[5]Demand inbond in Sep'!$B:$M,12,0)</f>
        <v>112</v>
      </c>
      <c r="BX30" s="112"/>
    </row>
    <row r="31" spans="1:99" s="53" customFormat="1" ht="15.5" thickBot="1" x14ac:dyDescent="0.4">
      <c r="A31" s="7">
        <v>522244895806718</v>
      </c>
      <c r="B31" s="20" t="s">
        <v>9</v>
      </c>
      <c r="C31" s="6" t="s">
        <v>27</v>
      </c>
      <c r="D31" s="7">
        <v>80842257</v>
      </c>
      <c r="E31" s="8">
        <v>4987176314772</v>
      </c>
      <c r="F31" s="8">
        <v>4987176314772</v>
      </c>
      <c r="G31" s="9" t="s">
        <v>32</v>
      </c>
      <c r="H31" s="210">
        <v>143</v>
      </c>
      <c r="I31" s="22" t="s">
        <v>169</v>
      </c>
      <c r="J31" s="10">
        <v>10</v>
      </c>
      <c r="K31" s="5">
        <v>1440.3</v>
      </c>
      <c r="L31" s="5">
        <v>1396.23</v>
      </c>
      <c r="M31" s="115">
        <v>0</v>
      </c>
      <c r="N31" s="21">
        <f>VLOOKUP(E31,'[1]Demand inbond in Aug'!$C:$J,8,0)</f>
        <v>0</v>
      </c>
      <c r="O31" s="23">
        <f>VLOOKUP(D31,'[2]Data for PV'!$B:$L,11,0)</f>
        <v>0</v>
      </c>
      <c r="P31" s="51">
        <f t="shared" si="35"/>
        <v>0</v>
      </c>
      <c r="Q31" s="51">
        <f t="shared" si="36"/>
        <v>0</v>
      </c>
      <c r="R31" s="51">
        <f t="shared" si="37"/>
        <v>0</v>
      </c>
      <c r="S31" s="52"/>
      <c r="T31" s="52"/>
      <c r="U31" s="52"/>
      <c r="V31" s="52"/>
      <c r="W31" s="52"/>
      <c r="X31" s="31"/>
      <c r="Y31" s="31"/>
      <c r="Z31" s="52"/>
      <c r="AA31" s="52"/>
      <c r="AB31" s="52"/>
      <c r="AC31" s="31">
        <f t="shared" si="12"/>
        <v>0</v>
      </c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>
        <f t="shared" si="13"/>
        <v>0</v>
      </c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>
        <f t="shared" si="14"/>
        <v>0</v>
      </c>
      <c r="BE31" s="29">
        <f t="shared" si="15"/>
        <v>0</v>
      </c>
      <c r="BF31" s="29">
        <f t="shared" si="16"/>
        <v>0</v>
      </c>
      <c r="BG31" s="29">
        <f>VLOOKUP(E31,'[3]Y2604-Y2608_庫存&amp;銷售'!$F:$AJ,23,0)</f>
        <v>0</v>
      </c>
      <c r="BH31" s="29">
        <f>VLOOKUP(E31,'[3]Y2604-Y2608_庫存&amp;銷售'!$F:$AL,25,0)</f>
        <v>0</v>
      </c>
      <c r="BI31" s="29">
        <f>VLOOKUP(E31,'[3]Y2604-Y2608_庫存&amp;銷售'!$F:$AN,30,0)</f>
        <v>0</v>
      </c>
      <c r="BJ31" s="81">
        <f t="shared" si="26"/>
        <v>0</v>
      </c>
      <c r="BK31" s="81">
        <f t="shared" si="27"/>
        <v>0</v>
      </c>
      <c r="BL31" s="81">
        <f t="shared" si="28"/>
        <v>0</v>
      </c>
      <c r="BM31" s="81">
        <f t="shared" si="29"/>
        <v>0</v>
      </c>
      <c r="BN31" s="81">
        <f t="shared" si="30"/>
        <v>0</v>
      </c>
      <c r="BO31" s="81">
        <f t="shared" si="31"/>
        <v>0</v>
      </c>
      <c r="BP31" s="81">
        <f t="shared" si="32"/>
        <v>0</v>
      </c>
      <c r="BQ31" s="81">
        <f t="shared" si="33"/>
        <v>0</v>
      </c>
      <c r="BR31" s="81">
        <f t="shared" si="34"/>
        <v>0</v>
      </c>
      <c r="BS31" s="199">
        <f t="shared" si="17"/>
        <v>0</v>
      </c>
      <c r="BT31" s="199">
        <f t="shared" si="10"/>
        <v>0</v>
      </c>
      <c r="BU31" s="199">
        <f t="shared" si="11"/>
        <v>0</v>
      </c>
      <c r="BV31" s="112">
        <f>VLOOKUP(E31,'[4]Y2604-Y2608_庫存&amp;銷售'!$F:$AB,17,0)</f>
        <v>1</v>
      </c>
      <c r="BW31" s="112">
        <f>VLOOKUP(A31,'[5]Demand inbond in Sep'!$B:$M,12,0)</f>
        <v>0</v>
      </c>
      <c r="BX31" s="112"/>
      <c r="CL31" t="s">
        <v>332</v>
      </c>
      <c r="CM31"/>
      <c r="CN31"/>
      <c r="CO31"/>
      <c r="CP31"/>
      <c r="CQ31"/>
      <c r="CR31"/>
      <c r="CS31"/>
      <c r="CT31"/>
      <c r="CU31"/>
    </row>
    <row r="32" spans="1:99" s="42" customFormat="1" ht="15.5" thickBot="1" x14ac:dyDescent="0.4">
      <c r="A32" s="35">
        <v>522244895806719</v>
      </c>
      <c r="B32" s="19" t="s">
        <v>9</v>
      </c>
      <c r="C32" s="34" t="s">
        <v>27</v>
      </c>
      <c r="D32" s="35">
        <v>80841892</v>
      </c>
      <c r="E32" s="36">
        <v>4987176314277</v>
      </c>
      <c r="F32" s="36">
        <v>4987176314277</v>
      </c>
      <c r="G32" s="37" t="s">
        <v>33</v>
      </c>
      <c r="H32" s="209">
        <v>183.00000000000003</v>
      </c>
      <c r="I32" s="38"/>
      <c r="J32" s="39">
        <v>6</v>
      </c>
      <c r="K32" s="39">
        <v>1081.3</v>
      </c>
      <c r="L32" s="39">
        <v>1045.29</v>
      </c>
      <c r="M32" s="115">
        <v>0</v>
      </c>
      <c r="N32" s="21">
        <f>VLOOKUP(E32,'[1]Demand inbond in Aug'!$C:$J,8,0)</f>
        <v>0</v>
      </c>
      <c r="O32" s="23">
        <f>VLOOKUP(D32,'[2]Data for PV'!$B:$L,11,0)</f>
        <v>203.5</v>
      </c>
      <c r="P32" s="40">
        <f t="shared" si="35"/>
        <v>0</v>
      </c>
      <c r="Q32" s="40">
        <f t="shared" si="36"/>
        <v>0</v>
      </c>
      <c r="R32" s="40">
        <f t="shared" si="37"/>
        <v>1221</v>
      </c>
      <c r="S32" s="41"/>
      <c r="T32" s="41"/>
      <c r="U32" s="41"/>
      <c r="V32" s="41"/>
      <c r="W32" s="41"/>
      <c r="X32" s="31"/>
      <c r="Y32" s="31"/>
      <c r="Z32" s="41"/>
      <c r="AA32" s="41"/>
      <c r="AB32" s="41"/>
      <c r="AC32" s="31">
        <f t="shared" si="12"/>
        <v>0</v>
      </c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>
        <f t="shared" si="13"/>
        <v>0</v>
      </c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>
        <f t="shared" si="14"/>
        <v>0</v>
      </c>
      <c r="BE32" s="29">
        <f t="shared" si="15"/>
        <v>203.5</v>
      </c>
      <c r="BF32" s="29">
        <f t="shared" si="16"/>
        <v>0</v>
      </c>
      <c r="BG32" s="29">
        <f>VLOOKUP(E32,'[3]Y2604-Y2608_庫存&amp;銷售'!$F:$AJ,23,0)</f>
        <v>0</v>
      </c>
      <c r="BH32" s="29">
        <f>VLOOKUP(E32,'[3]Y2604-Y2608_庫存&amp;銷售'!$F:$AL,25,0)</f>
        <v>0</v>
      </c>
      <c r="BI32" s="29">
        <f>VLOOKUP(E32,'[3]Y2604-Y2608_庫存&amp;銷售'!$F:$AN,30,0)</f>
        <v>0</v>
      </c>
      <c r="BJ32" s="81">
        <f t="shared" si="26"/>
        <v>0</v>
      </c>
      <c r="BK32" s="81">
        <f t="shared" si="27"/>
        <v>0</v>
      </c>
      <c r="BL32" s="81">
        <f t="shared" si="28"/>
        <v>220044.55</v>
      </c>
      <c r="BM32" s="81">
        <f t="shared" si="29"/>
        <v>0</v>
      </c>
      <c r="BN32" s="81">
        <f t="shared" si="30"/>
        <v>0</v>
      </c>
      <c r="BO32" s="81">
        <f t="shared" si="31"/>
        <v>0</v>
      </c>
      <c r="BP32" s="81">
        <f t="shared" si="32"/>
        <v>0</v>
      </c>
      <c r="BQ32" s="81">
        <f t="shared" si="33"/>
        <v>0</v>
      </c>
      <c r="BR32" s="81">
        <f t="shared" si="34"/>
        <v>0</v>
      </c>
      <c r="BS32" s="199">
        <f t="shared" si="17"/>
        <v>0</v>
      </c>
      <c r="BT32" s="199">
        <f t="shared" si="10"/>
        <v>0</v>
      </c>
      <c r="BU32" s="199">
        <f t="shared" si="11"/>
        <v>0</v>
      </c>
      <c r="BV32" s="112">
        <f>VLOOKUP(E32,'[4]Y2604-Y2608_庫存&amp;銷售'!$F:$AB,17,0)</f>
        <v>0</v>
      </c>
      <c r="BW32" s="112">
        <f>VLOOKUP(A32,'[5]Demand inbond in Sep'!$B:$M,12,0)</f>
        <v>204</v>
      </c>
      <c r="BX32" s="112"/>
      <c r="CL32" s="99" t="s">
        <v>273</v>
      </c>
      <c r="CM32" s="100" t="s">
        <v>274</v>
      </c>
      <c r="CN32" s="100" t="s">
        <v>275</v>
      </c>
      <c r="CO32" s="100" t="s">
        <v>276</v>
      </c>
      <c r="CP32" s="100" t="s">
        <v>277</v>
      </c>
      <c r="CQ32" s="100" t="s">
        <v>278</v>
      </c>
      <c r="CR32" s="100" t="s">
        <v>279</v>
      </c>
      <c r="CS32" s="100" t="s">
        <v>280</v>
      </c>
      <c r="CT32" s="100" t="s">
        <v>281</v>
      </c>
      <c r="CU32" s="100" t="s">
        <v>282</v>
      </c>
    </row>
    <row r="33" spans="1:99" s="42" customFormat="1" ht="15.5" thickBot="1" x14ac:dyDescent="0.4">
      <c r="A33" s="35">
        <v>522244895806720</v>
      </c>
      <c r="B33" s="19" t="s">
        <v>9</v>
      </c>
      <c r="C33" s="34" t="s">
        <v>27</v>
      </c>
      <c r="D33" s="35">
        <v>80841899</v>
      </c>
      <c r="E33" s="36">
        <v>4987176314338</v>
      </c>
      <c r="F33" s="3">
        <v>4987176314338</v>
      </c>
      <c r="G33" s="37" t="s">
        <v>34</v>
      </c>
      <c r="H33" s="209">
        <v>183.00000000000003</v>
      </c>
      <c r="I33" s="34"/>
      <c r="J33" s="39">
        <v>6</v>
      </c>
      <c r="K33" s="5">
        <v>1081.3</v>
      </c>
      <c r="L33" s="5">
        <v>1045.29</v>
      </c>
      <c r="M33" s="115">
        <v>0</v>
      </c>
      <c r="N33" s="21">
        <f>VLOOKUP(E33,'[1]Demand inbond in Aug'!$C:$J,8,0)</f>
        <v>0</v>
      </c>
      <c r="O33" s="23">
        <f>VLOOKUP(D33,'[2]Data for PV'!$B:$L,11,0)</f>
        <v>203.5</v>
      </c>
      <c r="P33" s="40">
        <f t="shared" si="35"/>
        <v>0</v>
      </c>
      <c r="Q33" s="40">
        <f t="shared" si="36"/>
        <v>0</v>
      </c>
      <c r="R33" s="40">
        <f t="shared" si="37"/>
        <v>1221</v>
      </c>
      <c r="S33" s="41"/>
      <c r="T33" s="41"/>
      <c r="U33" s="41"/>
      <c r="V33" s="31"/>
      <c r="W33" s="31"/>
      <c r="X33" s="31"/>
      <c r="Y33" s="31"/>
      <c r="Z33" s="31"/>
      <c r="AA33" s="31"/>
      <c r="AB33" s="31"/>
      <c r="AC33" s="31">
        <f t="shared" si="12"/>
        <v>0</v>
      </c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>
        <f t="shared" si="13"/>
        <v>0</v>
      </c>
      <c r="AO33" s="31"/>
      <c r="AP33" s="31"/>
      <c r="AQ33" s="31"/>
      <c r="AR33" s="31"/>
      <c r="AS33" s="31"/>
      <c r="AT33" s="31"/>
      <c r="AU33" s="31"/>
      <c r="AV33" s="31"/>
      <c r="AW33" s="31"/>
      <c r="AX33" s="31">
        <v>34</v>
      </c>
      <c r="AY33" s="31"/>
      <c r="AZ33" s="31"/>
      <c r="BA33" s="31"/>
      <c r="BB33" s="31"/>
      <c r="BC33" s="31"/>
      <c r="BD33" s="31">
        <f t="shared" si="14"/>
        <v>34</v>
      </c>
      <c r="BE33" s="29">
        <f t="shared" si="15"/>
        <v>169.5</v>
      </c>
      <c r="BF33" s="29">
        <f t="shared" si="16"/>
        <v>0</v>
      </c>
      <c r="BG33" s="29">
        <f>VLOOKUP(E33,'[3]Y2604-Y2608_庫存&amp;銷售'!$F:$AJ,23,0)</f>
        <v>0</v>
      </c>
      <c r="BH33" s="29">
        <f>VLOOKUP(E33,'[3]Y2604-Y2608_庫存&amp;銷售'!$F:$AL,25,0)</f>
        <v>0</v>
      </c>
      <c r="BI33" s="29">
        <f>VLOOKUP(E33,'[3]Y2604-Y2608_庫存&amp;銷售'!$F:$AN,30,0)</f>
        <v>0</v>
      </c>
      <c r="BJ33" s="81">
        <f t="shared" si="26"/>
        <v>0</v>
      </c>
      <c r="BK33" s="81">
        <f t="shared" si="27"/>
        <v>0</v>
      </c>
      <c r="BL33" s="81">
        <f t="shared" si="28"/>
        <v>220044.55</v>
      </c>
      <c r="BM33" s="81">
        <f t="shared" si="29"/>
        <v>0</v>
      </c>
      <c r="BN33" s="81">
        <f t="shared" si="30"/>
        <v>0</v>
      </c>
      <c r="BO33" s="81">
        <f t="shared" si="31"/>
        <v>0</v>
      </c>
      <c r="BP33" s="81">
        <f t="shared" si="32"/>
        <v>0</v>
      </c>
      <c r="BQ33" s="81">
        <f t="shared" si="33"/>
        <v>0</v>
      </c>
      <c r="BR33" s="81">
        <f t="shared" si="34"/>
        <v>0</v>
      </c>
      <c r="BS33" s="199">
        <f t="shared" si="17"/>
        <v>36764.199999999997</v>
      </c>
      <c r="BT33" s="199">
        <f t="shared" si="10"/>
        <v>37332.000000000007</v>
      </c>
      <c r="BU33" s="199">
        <f t="shared" si="11"/>
        <v>36250.657200000001</v>
      </c>
      <c r="BV33" s="112">
        <f>VLOOKUP(E33,'[4]Y2604-Y2608_庫存&amp;銷售'!$F:$AB,17,0)</f>
        <v>0</v>
      </c>
      <c r="BW33" s="112">
        <f>VLOOKUP(A33,'[5]Demand inbond in Sep'!$B:$M,12,0)</f>
        <v>204</v>
      </c>
      <c r="BX33" s="112"/>
      <c r="CL33" s="101" t="s">
        <v>283</v>
      </c>
      <c r="CM33" s="102">
        <f>CM2/1.05</f>
        <v>10824953.333333332</v>
      </c>
      <c r="CN33" s="102">
        <f>(CM4+CM5+CM3+CM6)/1.05</f>
        <v>10989116.19047619</v>
      </c>
      <c r="CO33" s="102">
        <f>CM7/1.05</f>
        <v>2498848.5714285714</v>
      </c>
      <c r="CP33" s="102">
        <f>(CM9+CM10+CM11+CM12)/1.05</f>
        <v>782520</v>
      </c>
      <c r="CQ33" s="103"/>
      <c r="CR33" s="102">
        <f>CM14/1.05</f>
        <v>1685897.1428571427</v>
      </c>
      <c r="CS33" s="102">
        <f>CM8/1.05</f>
        <v>812560</v>
      </c>
      <c r="CT33" s="180">
        <f>(CM15+CM16)/1.05</f>
        <v>399497.14285714284</v>
      </c>
      <c r="CU33" s="104">
        <f>SUM(CM33:CT33)</f>
        <v>27993392.380952377</v>
      </c>
    </row>
    <row r="34" spans="1:99" s="42" customFormat="1" ht="15.5" thickBot="1" x14ac:dyDescent="0.4">
      <c r="A34" s="35">
        <v>522244895806721</v>
      </c>
      <c r="B34" s="19" t="s">
        <v>9</v>
      </c>
      <c r="C34" s="34" t="s">
        <v>27</v>
      </c>
      <c r="D34" s="35">
        <v>80841907</v>
      </c>
      <c r="E34" s="36">
        <v>4987176314413</v>
      </c>
      <c r="F34" s="3">
        <v>4987176314413</v>
      </c>
      <c r="G34" s="37" t="s">
        <v>35</v>
      </c>
      <c r="H34" s="209">
        <v>183.00000000000003</v>
      </c>
      <c r="I34" s="34"/>
      <c r="J34" s="39">
        <v>6</v>
      </c>
      <c r="K34" s="5">
        <v>1081.3</v>
      </c>
      <c r="L34" s="5">
        <v>1045.29</v>
      </c>
      <c r="M34" s="115">
        <v>0</v>
      </c>
      <c r="N34" s="21">
        <f>VLOOKUP(E34,'[1]Demand inbond in Aug'!$C:$J,8,0)</f>
        <v>0</v>
      </c>
      <c r="O34" s="23">
        <f>VLOOKUP(D34,'[2]Data for PV'!$B:$L,11,0)</f>
        <v>111</v>
      </c>
      <c r="P34" s="40">
        <f t="shared" si="35"/>
        <v>0</v>
      </c>
      <c r="Q34" s="40">
        <f t="shared" si="36"/>
        <v>0</v>
      </c>
      <c r="R34" s="40">
        <f t="shared" si="37"/>
        <v>666</v>
      </c>
      <c r="S34" s="41"/>
      <c r="T34" s="41"/>
      <c r="U34" s="41"/>
      <c r="V34" s="31"/>
      <c r="W34" s="31"/>
      <c r="X34" s="31"/>
      <c r="Y34" s="31"/>
      <c r="Z34" s="31"/>
      <c r="AA34" s="31"/>
      <c r="AB34" s="31"/>
      <c r="AC34" s="31">
        <f t="shared" si="12"/>
        <v>0</v>
      </c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>
        <f t="shared" si="13"/>
        <v>0</v>
      </c>
      <c r="AO34" s="31"/>
      <c r="AP34" s="31"/>
      <c r="AQ34" s="31">
        <v>73</v>
      </c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>
        <f t="shared" si="14"/>
        <v>73</v>
      </c>
      <c r="BE34" s="29">
        <f t="shared" si="15"/>
        <v>38</v>
      </c>
      <c r="BF34" s="29">
        <f t="shared" si="16"/>
        <v>73</v>
      </c>
      <c r="BG34" s="29">
        <f>VLOOKUP(E34,'[3]Y2604-Y2608_庫存&amp;銷售'!$F:$AJ,23,0)</f>
        <v>5.333333333333333</v>
      </c>
      <c r="BH34" s="29">
        <f>VLOOKUP(E34,'[3]Y2604-Y2608_庫存&amp;銷售'!$F:$AL,25,0)</f>
        <v>0</v>
      </c>
      <c r="BI34" s="29">
        <f>VLOOKUP(E34,'[3]Y2604-Y2608_庫存&amp;銷售'!$F:$AN,30,0)</f>
        <v>0</v>
      </c>
      <c r="BJ34" s="81">
        <f t="shared" si="26"/>
        <v>0</v>
      </c>
      <c r="BK34" s="81">
        <f t="shared" si="27"/>
        <v>0</v>
      </c>
      <c r="BL34" s="81">
        <f t="shared" si="28"/>
        <v>120024.29999999999</v>
      </c>
      <c r="BM34" s="81">
        <f t="shared" si="29"/>
        <v>0</v>
      </c>
      <c r="BN34" s="81">
        <f t="shared" si="30"/>
        <v>0</v>
      </c>
      <c r="BO34" s="81">
        <f t="shared" si="31"/>
        <v>0</v>
      </c>
      <c r="BP34" s="81">
        <f t="shared" si="32"/>
        <v>0</v>
      </c>
      <c r="BQ34" s="81">
        <f t="shared" si="33"/>
        <v>0</v>
      </c>
      <c r="BR34" s="81">
        <f t="shared" si="34"/>
        <v>0</v>
      </c>
      <c r="BS34" s="199">
        <f t="shared" si="17"/>
        <v>78934.899999999994</v>
      </c>
      <c r="BT34" s="199">
        <f t="shared" si="10"/>
        <v>80154.000000000015</v>
      </c>
      <c r="BU34" s="199">
        <f t="shared" si="11"/>
        <v>77832.293399999995</v>
      </c>
      <c r="BV34" s="112">
        <f>VLOOKUP(E34,'[4]Y2604-Y2608_庫存&amp;銷售'!$F:$AB,17,0)</f>
        <v>0</v>
      </c>
      <c r="BW34" s="112">
        <f>VLOOKUP(A34,'[5]Demand inbond in Sep'!$B:$M,12,0)</f>
        <v>111</v>
      </c>
      <c r="BX34" s="112"/>
      <c r="CL34" s="101" t="s">
        <v>284</v>
      </c>
      <c r="CM34" s="104">
        <f>CQ2</f>
        <v>12833480.115</v>
      </c>
      <c r="CN34" s="104">
        <f>CQ3+CQ4+CQ5+CQ6</f>
        <v>12436384.853400001</v>
      </c>
      <c r="CO34" s="102">
        <f>CQ7</f>
        <v>2866397.0477921995</v>
      </c>
      <c r="CP34" s="102">
        <f>CQ9+CQ10+CQ11+CQ12</f>
        <v>894078.07181154005</v>
      </c>
      <c r="CQ34" s="105"/>
      <c r="CR34" s="104">
        <f>CQ14</f>
        <v>1863448.2649077002</v>
      </c>
      <c r="CS34" s="104">
        <f>CQ8</f>
        <v>933708.81657987018</v>
      </c>
      <c r="CT34" s="181">
        <f>CQ15+CQ16</f>
        <v>459031.94639999996</v>
      </c>
      <c r="CU34" s="104">
        <f>SUM(CM34:CT34)</f>
        <v>32286529.115891311</v>
      </c>
    </row>
    <row r="35" spans="1:99" s="42" customFormat="1" ht="15" x14ac:dyDescent="0.35">
      <c r="A35" s="35">
        <v>522244895806722</v>
      </c>
      <c r="B35" s="19" t="s">
        <v>9</v>
      </c>
      <c r="C35" s="34" t="s">
        <v>27</v>
      </c>
      <c r="D35" s="35">
        <v>80841906</v>
      </c>
      <c r="E35" s="36">
        <v>4987176314406</v>
      </c>
      <c r="F35" s="3">
        <v>4987176314406</v>
      </c>
      <c r="G35" s="37" t="s">
        <v>36</v>
      </c>
      <c r="H35" s="209">
        <v>183.00000000000003</v>
      </c>
      <c r="I35" s="34"/>
      <c r="J35" s="39">
        <v>6</v>
      </c>
      <c r="K35" s="5">
        <v>1081.3</v>
      </c>
      <c r="L35" s="5">
        <v>1045.29</v>
      </c>
      <c r="M35" s="115">
        <v>0</v>
      </c>
      <c r="N35" s="21">
        <f>VLOOKUP(E35,'[1]Demand inbond in Aug'!$C:$J,8,0)</f>
        <v>0</v>
      </c>
      <c r="O35" s="23">
        <f>VLOOKUP(D35,'[2]Data for PV'!$B:$L,11,0)</f>
        <v>203.5</v>
      </c>
      <c r="P35" s="40">
        <f t="shared" si="35"/>
        <v>0</v>
      </c>
      <c r="Q35" s="40">
        <f t="shared" si="36"/>
        <v>0</v>
      </c>
      <c r="R35" s="40">
        <f t="shared" si="37"/>
        <v>1221</v>
      </c>
      <c r="S35" s="41"/>
      <c r="T35" s="41"/>
      <c r="U35" s="41"/>
      <c r="V35" s="31"/>
      <c r="W35" s="31"/>
      <c r="X35" s="31"/>
      <c r="Y35" s="31"/>
      <c r="Z35" s="31"/>
      <c r="AA35" s="31"/>
      <c r="AB35" s="31"/>
      <c r="AC35" s="31">
        <f t="shared" si="12"/>
        <v>0</v>
      </c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>
        <f t="shared" si="13"/>
        <v>0</v>
      </c>
      <c r="AO35" s="31"/>
      <c r="AP35" s="31"/>
      <c r="AQ35" s="31"/>
      <c r="AR35" s="31"/>
      <c r="AS35" s="31"/>
      <c r="AT35" s="31"/>
      <c r="AU35" s="31">
        <v>100</v>
      </c>
      <c r="AV35" s="31"/>
      <c r="AW35" s="31"/>
      <c r="AX35" s="31">
        <v>17</v>
      </c>
      <c r="AY35" s="31"/>
      <c r="AZ35" s="31"/>
      <c r="BA35" s="31"/>
      <c r="BB35" s="31"/>
      <c r="BC35" s="31"/>
      <c r="BD35" s="31">
        <f t="shared" si="14"/>
        <v>117</v>
      </c>
      <c r="BE35" s="29">
        <f t="shared" si="15"/>
        <v>86.5</v>
      </c>
      <c r="BF35" s="29">
        <f t="shared" si="16"/>
        <v>100</v>
      </c>
      <c r="BG35" s="29">
        <f>VLOOKUP(E35,'[3]Y2604-Y2608_庫存&amp;銷售'!$F:$AJ,23,0)</f>
        <v>0</v>
      </c>
      <c r="BH35" s="29">
        <f>VLOOKUP(E35,'[3]Y2604-Y2608_庫存&amp;銷售'!$F:$AL,25,0)</f>
        <v>0</v>
      </c>
      <c r="BI35" s="29">
        <f>VLOOKUP(E35,'[3]Y2604-Y2608_庫存&amp;銷售'!$F:$AN,30,0)</f>
        <v>0</v>
      </c>
      <c r="BJ35" s="81">
        <f t="shared" si="26"/>
        <v>0</v>
      </c>
      <c r="BK35" s="81">
        <f t="shared" si="27"/>
        <v>0</v>
      </c>
      <c r="BL35" s="81">
        <f t="shared" si="28"/>
        <v>220044.55</v>
      </c>
      <c r="BM35" s="81">
        <f t="shared" si="29"/>
        <v>0</v>
      </c>
      <c r="BN35" s="81">
        <f t="shared" si="30"/>
        <v>0</v>
      </c>
      <c r="BO35" s="81">
        <f t="shared" si="31"/>
        <v>0</v>
      </c>
      <c r="BP35" s="81">
        <f t="shared" si="32"/>
        <v>0</v>
      </c>
      <c r="BQ35" s="81">
        <f t="shared" si="33"/>
        <v>0</v>
      </c>
      <c r="BR35" s="81">
        <f t="shared" si="34"/>
        <v>0</v>
      </c>
      <c r="BS35" s="199">
        <f t="shared" si="17"/>
        <v>126512.09999999999</v>
      </c>
      <c r="BT35" s="199">
        <f t="shared" si="10"/>
        <v>128466.00000000003</v>
      </c>
      <c r="BU35" s="199">
        <f t="shared" si="11"/>
        <v>124744.9086</v>
      </c>
      <c r="BV35" s="112">
        <f>VLOOKUP(E35,'[4]Y2604-Y2608_庫存&amp;銷售'!$F:$AB,17,0)</f>
        <v>0</v>
      </c>
      <c r="BW35" s="112">
        <f>VLOOKUP(A35,'[5]Demand inbond in Sep'!$B:$M,12,0)</f>
        <v>204</v>
      </c>
      <c r="BX35" s="112"/>
    </row>
    <row r="36" spans="1:99" s="42" customFormat="1" ht="15" x14ac:dyDescent="0.35">
      <c r="A36" s="35">
        <v>522244895806723</v>
      </c>
      <c r="B36" s="19" t="s">
        <v>9</v>
      </c>
      <c r="C36" s="34" t="s">
        <v>27</v>
      </c>
      <c r="D36" s="35">
        <v>80841888</v>
      </c>
      <c r="E36" s="36">
        <v>4987176314222</v>
      </c>
      <c r="F36" s="3">
        <v>4987176314222</v>
      </c>
      <c r="G36" s="37" t="s">
        <v>37</v>
      </c>
      <c r="H36" s="209">
        <v>183.00000000000003</v>
      </c>
      <c r="I36" s="34"/>
      <c r="J36" s="39">
        <v>6</v>
      </c>
      <c r="K36" s="5">
        <v>1081.3</v>
      </c>
      <c r="L36" s="5">
        <v>1045.29</v>
      </c>
      <c r="M36" s="115">
        <v>0</v>
      </c>
      <c r="N36" s="21">
        <f>VLOOKUP(E36,'[1]Demand inbond in Aug'!$C:$J,8,0)</f>
        <v>0</v>
      </c>
      <c r="O36" s="23">
        <f>VLOOKUP(D36,'[2]Data for PV'!$B:$L,11,0)</f>
        <v>203.5</v>
      </c>
      <c r="P36" s="40">
        <f t="shared" si="35"/>
        <v>0</v>
      </c>
      <c r="Q36" s="40">
        <f t="shared" si="36"/>
        <v>0</v>
      </c>
      <c r="R36" s="40">
        <f t="shared" si="37"/>
        <v>1221</v>
      </c>
      <c r="S36" s="41"/>
      <c r="T36" s="41"/>
      <c r="U36" s="41"/>
      <c r="V36" s="31"/>
      <c r="W36" s="31"/>
      <c r="X36" s="31"/>
      <c r="Y36" s="31"/>
      <c r="Z36" s="31"/>
      <c r="AA36" s="31"/>
      <c r="AB36" s="31"/>
      <c r="AC36" s="31">
        <f t="shared" si="12"/>
        <v>0</v>
      </c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>
        <f t="shared" si="13"/>
        <v>0</v>
      </c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>
        <f t="shared" si="14"/>
        <v>0</v>
      </c>
      <c r="BE36" s="29">
        <f t="shared" si="15"/>
        <v>203.5</v>
      </c>
      <c r="BF36" s="29">
        <f t="shared" si="16"/>
        <v>0</v>
      </c>
      <c r="BG36" s="29">
        <f>VLOOKUP(E36,'[3]Y2604-Y2608_庫存&amp;銷售'!$F:$AJ,23,0)</f>
        <v>0</v>
      </c>
      <c r="BH36" s="29">
        <f>VLOOKUP(E36,'[3]Y2604-Y2608_庫存&amp;銷售'!$F:$AL,25,0)</f>
        <v>0</v>
      </c>
      <c r="BI36" s="29">
        <f>VLOOKUP(E36,'[3]Y2604-Y2608_庫存&amp;銷售'!$F:$AN,30,0)</f>
        <v>0</v>
      </c>
      <c r="BJ36" s="81">
        <f t="shared" si="26"/>
        <v>0</v>
      </c>
      <c r="BK36" s="81">
        <f t="shared" si="27"/>
        <v>0</v>
      </c>
      <c r="BL36" s="81">
        <f t="shared" si="28"/>
        <v>220044.55</v>
      </c>
      <c r="BM36" s="81">
        <f t="shared" si="29"/>
        <v>0</v>
      </c>
      <c r="BN36" s="81">
        <f t="shared" si="30"/>
        <v>0</v>
      </c>
      <c r="BO36" s="81">
        <f t="shared" si="31"/>
        <v>0</v>
      </c>
      <c r="BP36" s="81">
        <f t="shared" si="32"/>
        <v>0</v>
      </c>
      <c r="BQ36" s="81">
        <f t="shared" si="33"/>
        <v>0</v>
      </c>
      <c r="BR36" s="81">
        <f t="shared" si="34"/>
        <v>0</v>
      </c>
      <c r="BS36" s="199">
        <f t="shared" si="17"/>
        <v>0</v>
      </c>
      <c r="BT36" s="199">
        <f t="shared" si="10"/>
        <v>0</v>
      </c>
      <c r="BU36" s="199">
        <f t="shared" si="11"/>
        <v>0</v>
      </c>
      <c r="BV36" s="112">
        <f>VLOOKUP(E36,'[4]Y2604-Y2608_庫存&amp;銷售'!$F:$AB,17,0)</f>
        <v>0</v>
      </c>
      <c r="BW36" s="112">
        <f>VLOOKUP(A36,'[5]Demand inbond in Sep'!$B:$M,12,0)</f>
        <v>204</v>
      </c>
      <c r="BX36" s="112"/>
    </row>
    <row r="37" spans="1:99" s="42" customFormat="1" ht="15.5" thickBot="1" x14ac:dyDescent="0.4">
      <c r="A37" s="35">
        <v>522244895806725</v>
      </c>
      <c r="B37" s="19" t="s">
        <v>9</v>
      </c>
      <c r="C37" s="34" t="s">
        <v>27</v>
      </c>
      <c r="D37" s="35">
        <v>80841891</v>
      </c>
      <c r="E37" s="36">
        <v>4987176314253</v>
      </c>
      <c r="F37" s="3">
        <v>4987176314253</v>
      </c>
      <c r="G37" s="37" t="s">
        <v>38</v>
      </c>
      <c r="H37" s="209">
        <v>183.00000000000003</v>
      </c>
      <c r="I37" s="34"/>
      <c r="J37" s="39">
        <v>6</v>
      </c>
      <c r="K37" s="5">
        <v>1081.3</v>
      </c>
      <c r="L37" s="5">
        <v>1045.29</v>
      </c>
      <c r="M37" s="115">
        <v>0</v>
      </c>
      <c r="N37" s="21">
        <f>VLOOKUP(E37,'[1]Demand inbond in Aug'!$C:$J,8,0)</f>
        <v>0</v>
      </c>
      <c r="O37" s="23">
        <f>VLOOKUP(D37,'[2]Data for PV'!$B:$L,11,0)</f>
        <v>102.4</v>
      </c>
      <c r="P37" s="40">
        <f t="shared" si="35"/>
        <v>0</v>
      </c>
      <c r="Q37" s="40">
        <f t="shared" si="36"/>
        <v>0</v>
      </c>
      <c r="R37" s="40">
        <f t="shared" si="37"/>
        <v>614.40000000000009</v>
      </c>
      <c r="S37" s="41"/>
      <c r="T37" s="41"/>
      <c r="U37" s="41"/>
      <c r="V37" s="31"/>
      <c r="W37" s="31"/>
      <c r="X37" s="31"/>
      <c r="Y37" s="31"/>
      <c r="Z37" s="31"/>
      <c r="AA37" s="31"/>
      <c r="AB37" s="31"/>
      <c r="AC37" s="31">
        <f t="shared" si="12"/>
        <v>0</v>
      </c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>
        <f t="shared" si="13"/>
        <v>0</v>
      </c>
      <c r="AO37" s="31"/>
      <c r="AP37" s="31"/>
      <c r="AQ37" s="31">
        <v>66</v>
      </c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>
        <f t="shared" si="14"/>
        <v>66</v>
      </c>
      <c r="BE37" s="29">
        <f t="shared" si="15"/>
        <v>36.400000000000006</v>
      </c>
      <c r="BF37" s="29">
        <f t="shared" si="16"/>
        <v>66</v>
      </c>
      <c r="BG37" s="29">
        <f>VLOOKUP(E37,'[3]Y2604-Y2608_庫存&amp;銷售'!$F:$AJ,23,0)</f>
        <v>0</v>
      </c>
      <c r="BH37" s="29">
        <f>VLOOKUP(E37,'[3]Y2604-Y2608_庫存&amp;銷售'!$F:$AL,25,0)</f>
        <v>0</v>
      </c>
      <c r="BI37" s="29">
        <f>VLOOKUP(E37,'[3]Y2604-Y2608_庫存&amp;銷售'!$F:$AN,30,0)</f>
        <v>0</v>
      </c>
      <c r="BJ37" s="81">
        <f t="shared" si="26"/>
        <v>0</v>
      </c>
      <c r="BK37" s="81">
        <f t="shared" si="27"/>
        <v>0</v>
      </c>
      <c r="BL37" s="81">
        <f t="shared" si="28"/>
        <v>110725.12</v>
      </c>
      <c r="BM37" s="81">
        <f t="shared" si="29"/>
        <v>0</v>
      </c>
      <c r="BN37" s="81">
        <f t="shared" si="30"/>
        <v>0</v>
      </c>
      <c r="BO37" s="81">
        <f t="shared" si="31"/>
        <v>0</v>
      </c>
      <c r="BP37" s="81">
        <f t="shared" si="32"/>
        <v>0</v>
      </c>
      <c r="BQ37" s="81">
        <f t="shared" si="33"/>
        <v>0</v>
      </c>
      <c r="BR37" s="81">
        <f t="shared" si="34"/>
        <v>0</v>
      </c>
      <c r="BS37" s="199">
        <f t="shared" si="17"/>
        <v>71365.8</v>
      </c>
      <c r="BT37" s="199">
        <f t="shared" si="10"/>
        <v>72468.000000000015</v>
      </c>
      <c r="BU37" s="199">
        <f t="shared" si="11"/>
        <v>70368.9228</v>
      </c>
      <c r="BV37" s="112">
        <f>VLOOKUP(E37,'[4]Y2604-Y2608_庫存&amp;銷售'!$F:$AB,17,0)</f>
        <v>0</v>
      </c>
      <c r="BW37" s="112">
        <f>VLOOKUP(A37,'[5]Demand inbond in Sep'!$B:$M,12,0)</f>
        <v>102</v>
      </c>
      <c r="BX37" s="112"/>
      <c r="CL37" t="s">
        <v>356</v>
      </c>
      <c r="CM37"/>
      <c r="CN37"/>
      <c r="CO37"/>
      <c r="CP37"/>
      <c r="CQ37"/>
      <c r="CR37"/>
      <c r="CS37"/>
      <c r="CT37"/>
      <c r="CU37"/>
    </row>
    <row r="38" spans="1:99" s="53" customFormat="1" ht="15.5" thickBot="1" x14ac:dyDescent="0.4">
      <c r="A38" s="7">
        <v>522244895806727</v>
      </c>
      <c r="B38" s="20" t="s">
        <v>9</v>
      </c>
      <c r="C38" s="6" t="s">
        <v>27</v>
      </c>
      <c r="D38" s="7">
        <v>80842259</v>
      </c>
      <c r="E38" s="8">
        <v>4987176314796</v>
      </c>
      <c r="F38" s="8">
        <v>4987176314796</v>
      </c>
      <c r="G38" s="9" t="s">
        <v>39</v>
      </c>
      <c r="H38" s="210">
        <v>143</v>
      </c>
      <c r="I38" s="22" t="s">
        <v>169</v>
      </c>
      <c r="J38" s="10">
        <v>10</v>
      </c>
      <c r="K38" s="5">
        <v>1440.3</v>
      </c>
      <c r="L38" s="5">
        <v>1396.23</v>
      </c>
      <c r="M38" s="115">
        <v>0</v>
      </c>
      <c r="N38" s="21"/>
      <c r="O38" s="23">
        <f>VLOOKUP(D38,'[2]Data for PV'!$B:$L,11,0)</f>
        <v>0</v>
      </c>
      <c r="P38" s="51">
        <f t="shared" si="35"/>
        <v>0</v>
      </c>
      <c r="Q38" s="51">
        <f t="shared" si="36"/>
        <v>0</v>
      </c>
      <c r="R38" s="51">
        <f t="shared" si="37"/>
        <v>0</v>
      </c>
      <c r="S38" s="52"/>
      <c r="T38" s="52"/>
      <c r="U38" s="52"/>
      <c r="V38" s="52"/>
      <c r="W38" s="52"/>
      <c r="X38" s="31"/>
      <c r="Y38" s="31"/>
      <c r="Z38" s="52"/>
      <c r="AA38" s="52"/>
      <c r="AB38" s="52"/>
      <c r="AC38" s="31">
        <f t="shared" si="12"/>
        <v>0</v>
      </c>
      <c r="AD38" s="31"/>
      <c r="AE38" s="31"/>
      <c r="AF38" s="31"/>
      <c r="AG38" s="31"/>
      <c r="AH38" s="31">
        <v>0</v>
      </c>
      <c r="AI38" s="31"/>
      <c r="AJ38" s="31"/>
      <c r="AK38" s="31"/>
      <c r="AL38" s="31"/>
      <c r="AM38" s="31"/>
      <c r="AN38" s="31">
        <f t="shared" si="13"/>
        <v>0</v>
      </c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>
        <f t="shared" si="14"/>
        <v>0</v>
      </c>
      <c r="BE38" s="29">
        <f t="shared" si="15"/>
        <v>0</v>
      </c>
      <c r="BF38" s="29">
        <f t="shared" si="16"/>
        <v>0</v>
      </c>
      <c r="BG38" s="29">
        <f>VLOOKUP(E38,'[3]Y2604-Y2608_庫存&amp;銷售'!$F:$AJ,23,0)</f>
        <v>24.5</v>
      </c>
      <c r="BH38" s="29">
        <f>VLOOKUP(E38,'[3]Y2604-Y2608_庫存&amp;銷售'!$F:$AL,25,0)</f>
        <v>0</v>
      </c>
      <c r="BI38" s="29">
        <f>VLOOKUP(E38,'[3]Y2604-Y2608_庫存&amp;銷售'!$F:$AN,30,0)</f>
        <v>0</v>
      </c>
      <c r="BJ38" s="81">
        <f t="shared" si="26"/>
        <v>0</v>
      </c>
      <c r="BK38" s="81">
        <f t="shared" si="27"/>
        <v>0</v>
      </c>
      <c r="BL38" s="81">
        <f t="shared" si="28"/>
        <v>0</v>
      </c>
      <c r="BM38" s="81">
        <f t="shared" si="29"/>
        <v>0</v>
      </c>
      <c r="BN38" s="81">
        <f t="shared" si="30"/>
        <v>0</v>
      </c>
      <c r="BO38" s="81">
        <f t="shared" si="31"/>
        <v>0</v>
      </c>
      <c r="BP38" s="81">
        <f t="shared" si="32"/>
        <v>0</v>
      </c>
      <c r="BQ38" s="81">
        <f t="shared" si="33"/>
        <v>0</v>
      </c>
      <c r="BR38" s="81">
        <f t="shared" si="34"/>
        <v>0</v>
      </c>
      <c r="BS38" s="199">
        <f t="shared" si="17"/>
        <v>0</v>
      </c>
      <c r="BT38" s="199">
        <f t="shared" si="10"/>
        <v>0</v>
      </c>
      <c r="BU38" s="199">
        <f t="shared" si="11"/>
        <v>0</v>
      </c>
      <c r="BV38" s="112">
        <f>VLOOKUP(E38,'[4]Y2604-Y2608_庫存&amp;銷售'!$F:$AB,17,0)</f>
        <v>81</v>
      </c>
      <c r="BW38" s="112">
        <f>VLOOKUP(A38,'[5]Demand inbond in Sep'!$B:$M,12,0)</f>
        <v>0</v>
      </c>
      <c r="BX38" s="112"/>
      <c r="CL38" s="99" t="s">
        <v>273</v>
      </c>
      <c r="CM38" s="100" t="s">
        <v>274</v>
      </c>
      <c r="CN38" s="100" t="s">
        <v>275</v>
      </c>
      <c r="CO38" s="100" t="s">
        <v>276</v>
      </c>
      <c r="CP38" s="100" t="s">
        <v>277</v>
      </c>
      <c r="CQ38" s="100" t="s">
        <v>278</v>
      </c>
      <c r="CR38" s="100" t="s">
        <v>279</v>
      </c>
      <c r="CS38" s="100" t="s">
        <v>280</v>
      </c>
      <c r="CT38" s="100" t="s">
        <v>281</v>
      </c>
      <c r="CU38" s="100" t="s">
        <v>282</v>
      </c>
    </row>
    <row r="39" spans="1:99" s="53" customFormat="1" ht="15.5" thickBot="1" x14ac:dyDescent="0.4">
      <c r="A39" s="7">
        <v>522244895806728</v>
      </c>
      <c r="B39" s="20" t="s">
        <v>9</v>
      </c>
      <c r="C39" s="6" t="s">
        <v>27</v>
      </c>
      <c r="D39" s="7">
        <v>80841895</v>
      </c>
      <c r="E39" s="8">
        <v>4987176314291</v>
      </c>
      <c r="F39" s="8">
        <v>4987176314291</v>
      </c>
      <c r="G39" s="9" t="s">
        <v>40</v>
      </c>
      <c r="H39" s="22">
        <f>VLOOKUP(E39,[6]工作表1!$E:$J,6,0)</f>
        <v>140</v>
      </c>
      <c r="I39" s="22" t="s">
        <v>169</v>
      </c>
      <c r="J39" s="10">
        <v>10</v>
      </c>
      <c r="K39" s="5">
        <v>1440.3</v>
      </c>
      <c r="L39" s="5">
        <v>1396.23</v>
      </c>
      <c r="M39" s="115">
        <v>0</v>
      </c>
      <c r="N39" s="21">
        <f>VLOOKUP(E39,'[1]Demand inbond in Aug'!$C:$J,8,0)</f>
        <v>0</v>
      </c>
      <c r="O39" s="23"/>
      <c r="P39" s="51">
        <f t="shared" si="35"/>
        <v>0</v>
      </c>
      <c r="Q39" s="51">
        <f t="shared" si="36"/>
        <v>0</v>
      </c>
      <c r="R39" s="51">
        <f t="shared" si="37"/>
        <v>0</v>
      </c>
      <c r="S39" s="52"/>
      <c r="T39" s="52"/>
      <c r="U39" s="52"/>
      <c r="V39" s="52"/>
      <c r="W39" s="52"/>
      <c r="X39" s="31"/>
      <c r="Y39" s="31"/>
      <c r="Z39" s="52"/>
      <c r="AA39" s="52"/>
      <c r="AB39" s="52"/>
      <c r="AC39" s="31">
        <f t="shared" si="12"/>
        <v>0</v>
      </c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>
        <f t="shared" si="13"/>
        <v>0</v>
      </c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>
        <f t="shared" si="14"/>
        <v>0</v>
      </c>
      <c r="BE39" s="29">
        <f t="shared" si="15"/>
        <v>0</v>
      </c>
      <c r="BF39" s="29">
        <f t="shared" si="16"/>
        <v>0</v>
      </c>
      <c r="BG39" s="29">
        <f>VLOOKUP(E39,'[3]Y2604-Y2608_庫存&amp;銷售'!$F:$AJ,23,0)</f>
        <v>0</v>
      </c>
      <c r="BH39" s="29">
        <f>VLOOKUP(E39,'[3]Y2604-Y2608_庫存&amp;銷售'!$F:$AL,25,0)</f>
        <v>0</v>
      </c>
      <c r="BI39" s="29">
        <f>VLOOKUP(E39,'[3]Y2604-Y2608_庫存&amp;銷售'!$F:$AN,30,0)</f>
        <v>0</v>
      </c>
      <c r="BJ39" s="81">
        <f t="shared" si="26"/>
        <v>0</v>
      </c>
      <c r="BK39" s="81">
        <f t="shared" si="27"/>
        <v>0</v>
      </c>
      <c r="BL39" s="81">
        <f t="shared" si="28"/>
        <v>0</v>
      </c>
      <c r="BM39" s="81">
        <f t="shared" si="29"/>
        <v>0</v>
      </c>
      <c r="BN39" s="81">
        <f t="shared" si="30"/>
        <v>0</v>
      </c>
      <c r="BO39" s="81">
        <f t="shared" si="31"/>
        <v>0</v>
      </c>
      <c r="BP39" s="81">
        <f t="shared" si="32"/>
        <v>0</v>
      </c>
      <c r="BQ39" s="81">
        <f t="shared" si="33"/>
        <v>0</v>
      </c>
      <c r="BR39" s="81">
        <f t="shared" si="34"/>
        <v>0</v>
      </c>
      <c r="BS39" s="199">
        <f t="shared" si="17"/>
        <v>0</v>
      </c>
      <c r="BT39" s="199">
        <f t="shared" si="10"/>
        <v>0</v>
      </c>
      <c r="BU39" s="199">
        <f t="shared" si="11"/>
        <v>0</v>
      </c>
      <c r="BV39" s="112">
        <f>VLOOKUP(E39,'[4]Y2604-Y2608_庫存&amp;銷售'!$F:$AB,17,0)</f>
        <v>0</v>
      </c>
      <c r="BW39" s="112">
        <f>VLOOKUP(A39,'[5]Demand inbond in Sep'!$B:$M,12,0)</f>
        <v>0</v>
      </c>
      <c r="BX39" s="112"/>
      <c r="CL39" s="101" t="s">
        <v>283</v>
      </c>
      <c r="CM39" s="102">
        <f>CN2/1.05</f>
        <v>18063037.142857142</v>
      </c>
      <c r="CN39" s="102">
        <f>(CN3+CN4+CN5+CN6)/1.05</f>
        <v>10739678.095238095</v>
      </c>
      <c r="CO39" s="102">
        <f>CN7/1.05</f>
        <v>3446640</v>
      </c>
      <c r="CP39" s="102">
        <f>(CN9+CN10+CN11+CN12)/1.05</f>
        <v>429557.14285714284</v>
      </c>
      <c r="CQ39" s="180">
        <f>CN13/1.05</f>
        <v>2287245.7142857141</v>
      </c>
      <c r="CR39" s="102">
        <f>CN14/1.05</f>
        <v>2834594.2857142854</v>
      </c>
      <c r="CS39" s="102">
        <f>CN8/1.05</f>
        <v>742920</v>
      </c>
      <c r="CT39" s="180">
        <f>(CN15+CN16)/1.05</f>
        <v>731668.57142857136</v>
      </c>
      <c r="CU39" s="104">
        <f>SUM(CM39:CT39)</f>
        <v>39275340.952380955</v>
      </c>
    </row>
    <row r="40" spans="1:99" s="53" customFormat="1" ht="15.5" thickBot="1" x14ac:dyDescent="0.4">
      <c r="A40" s="7">
        <v>522244895806730</v>
      </c>
      <c r="B40" s="20" t="s">
        <v>9</v>
      </c>
      <c r="C40" s="6" t="s">
        <v>27</v>
      </c>
      <c r="D40" s="7">
        <v>80842258</v>
      </c>
      <c r="E40" s="8">
        <v>4987176314789</v>
      </c>
      <c r="F40" s="8">
        <v>4987176314789</v>
      </c>
      <c r="G40" s="9" t="s">
        <v>41</v>
      </c>
      <c r="H40" s="210">
        <v>143</v>
      </c>
      <c r="I40" s="22" t="s">
        <v>169</v>
      </c>
      <c r="J40" s="10">
        <v>10</v>
      </c>
      <c r="K40" s="5">
        <v>1440.3</v>
      </c>
      <c r="L40" s="5">
        <v>1396.23</v>
      </c>
      <c r="M40" s="115">
        <v>0</v>
      </c>
      <c r="N40" s="21">
        <f>VLOOKUP(E40,'[1]Demand inbond in Aug'!$C:$J,8,0)</f>
        <v>0</v>
      </c>
      <c r="O40" s="23">
        <f>VLOOKUP(D40,'[2]Data for PV'!$B:$L,11,0)</f>
        <v>0</v>
      </c>
      <c r="P40" s="51">
        <f t="shared" si="35"/>
        <v>0</v>
      </c>
      <c r="Q40" s="51">
        <f t="shared" si="36"/>
        <v>0</v>
      </c>
      <c r="R40" s="51">
        <f t="shared" si="37"/>
        <v>0</v>
      </c>
      <c r="S40" s="52"/>
      <c r="T40" s="52"/>
      <c r="U40" s="52"/>
      <c r="V40" s="52"/>
      <c r="W40" s="52"/>
      <c r="X40" s="31"/>
      <c r="Y40" s="31"/>
      <c r="Z40" s="52"/>
      <c r="AA40" s="52"/>
      <c r="AB40" s="52"/>
      <c r="AC40" s="31">
        <f t="shared" si="12"/>
        <v>0</v>
      </c>
      <c r="AD40" s="31"/>
      <c r="AE40" s="31"/>
      <c r="AF40" s="31"/>
      <c r="AG40" s="31"/>
      <c r="AH40" s="31">
        <v>0</v>
      </c>
      <c r="AI40" s="31"/>
      <c r="AJ40" s="31"/>
      <c r="AK40" s="31"/>
      <c r="AL40" s="31"/>
      <c r="AM40" s="31"/>
      <c r="AN40" s="31">
        <f t="shared" si="13"/>
        <v>0</v>
      </c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>
        <f t="shared" si="14"/>
        <v>0</v>
      </c>
      <c r="BE40" s="29">
        <f t="shared" si="15"/>
        <v>0</v>
      </c>
      <c r="BF40" s="29">
        <f t="shared" si="16"/>
        <v>0</v>
      </c>
      <c r="BG40" s="29">
        <f>VLOOKUP(E40,'[3]Y2604-Y2608_庫存&amp;銷售'!$F:$AJ,23,0)</f>
        <v>0</v>
      </c>
      <c r="BH40" s="29">
        <f>VLOOKUP(E40,'[3]Y2604-Y2608_庫存&amp;銷售'!$F:$AL,25,0)</f>
        <v>0</v>
      </c>
      <c r="BI40" s="29">
        <f>VLOOKUP(E40,'[3]Y2604-Y2608_庫存&amp;銷售'!$F:$AN,30,0)</f>
        <v>0</v>
      </c>
      <c r="BJ40" s="81">
        <f t="shared" si="26"/>
        <v>0</v>
      </c>
      <c r="BK40" s="81">
        <f t="shared" si="27"/>
        <v>0</v>
      </c>
      <c r="BL40" s="81">
        <f t="shared" si="28"/>
        <v>0</v>
      </c>
      <c r="BM40" s="81">
        <f t="shared" si="29"/>
        <v>0</v>
      </c>
      <c r="BN40" s="81">
        <f t="shared" si="30"/>
        <v>0</v>
      </c>
      <c r="BO40" s="81">
        <f t="shared" si="31"/>
        <v>0</v>
      </c>
      <c r="BP40" s="81">
        <f t="shared" si="32"/>
        <v>0</v>
      </c>
      <c r="BQ40" s="81">
        <f t="shared" si="33"/>
        <v>0</v>
      </c>
      <c r="BR40" s="81">
        <f t="shared" si="34"/>
        <v>0</v>
      </c>
      <c r="BS40" s="199">
        <f t="shared" si="17"/>
        <v>0</v>
      </c>
      <c r="BT40" s="199">
        <f t="shared" si="10"/>
        <v>0</v>
      </c>
      <c r="BU40" s="199">
        <f t="shared" si="11"/>
        <v>0</v>
      </c>
      <c r="BV40" s="112">
        <f>VLOOKUP(E40,'[4]Y2604-Y2608_庫存&amp;銷售'!$F:$AB,17,0)</f>
        <v>35.900000000000006</v>
      </c>
      <c r="BW40" s="112">
        <f>VLOOKUP(A40,'[5]Demand inbond in Sep'!$B:$M,12,0)</f>
        <v>0</v>
      </c>
      <c r="BX40" s="112"/>
      <c r="CL40" s="101" t="s">
        <v>284</v>
      </c>
      <c r="CM40" s="104">
        <f>CR2</f>
        <v>21293874.990599997</v>
      </c>
      <c r="CN40" s="104">
        <f>CR3+CR4+CR5+CR6</f>
        <v>12148071.561600002</v>
      </c>
      <c r="CO40" s="102">
        <f>CR7</f>
        <v>3881239.1215903214</v>
      </c>
      <c r="CP40" s="102">
        <f>CR9+CR10+CR11+CR12</f>
        <v>474609.25745414989</v>
      </c>
      <c r="CQ40" s="181">
        <f>CR13</f>
        <v>2726523.2300142003</v>
      </c>
      <c r="CR40" s="104">
        <f>CR14</f>
        <v>3095728.5553539</v>
      </c>
      <c r="CS40" s="104">
        <f>CR8</f>
        <v>854660.0287738801</v>
      </c>
      <c r="CT40" s="181">
        <f>CR15+CR16</f>
        <v>856812.84314640006</v>
      </c>
      <c r="CU40" s="104">
        <f>SUM(CM40:CT40)</f>
        <v>45331519.58853285</v>
      </c>
    </row>
    <row r="41" spans="1:99" s="53" customFormat="1" ht="15" x14ac:dyDescent="0.35">
      <c r="A41" s="7">
        <v>522244895806731</v>
      </c>
      <c r="B41" s="20" t="s">
        <v>9</v>
      </c>
      <c r="C41" s="6" t="s">
        <v>27</v>
      </c>
      <c r="D41" s="7">
        <v>80842260</v>
      </c>
      <c r="E41" s="8">
        <v>4987176314802</v>
      </c>
      <c r="F41" s="8">
        <v>4987176314802</v>
      </c>
      <c r="G41" s="9" t="s">
        <v>42</v>
      </c>
      <c r="H41" s="210">
        <v>143</v>
      </c>
      <c r="I41" s="22" t="s">
        <v>169</v>
      </c>
      <c r="J41" s="10">
        <v>10</v>
      </c>
      <c r="K41" s="5">
        <v>1440.3</v>
      </c>
      <c r="L41" s="5">
        <v>1396.23</v>
      </c>
      <c r="M41" s="115">
        <v>0</v>
      </c>
      <c r="N41" s="21">
        <f>VLOOKUP(E41,'[1]Demand inbond in Aug'!$C:$J,8,0)</f>
        <v>0</v>
      </c>
      <c r="O41" s="23">
        <f>VLOOKUP(D41,'[2]Data for PV'!$B:$L,11,0)</f>
        <v>0</v>
      </c>
      <c r="P41" s="51">
        <f t="shared" si="35"/>
        <v>0</v>
      </c>
      <c r="Q41" s="51">
        <f t="shared" si="36"/>
        <v>0</v>
      </c>
      <c r="R41" s="51">
        <f t="shared" si="37"/>
        <v>0</v>
      </c>
      <c r="S41" s="52"/>
      <c r="T41" s="52"/>
      <c r="U41" s="52"/>
      <c r="V41" s="52"/>
      <c r="W41" s="52"/>
      <c r="X41" s="31"/>
      <c r="Y41" s="31"/>
      <c r="Z41" s="52"/>
      <c r="AA41" s="52"/>
      <c r="AB41" s="52"/>
      <c r="AC41" s="31">
        <f t="shared" si="12"/>
        <v>0</v>
      </c>
      <c r="AD41" s="31"/>
      <c r="AE41" s="31"/>
      <c r="AF41" s="31"/>
      <c r="AG41" s="31"/>
      <c r="AH41" s="31"/>
      <c r="AI41" s="31"/>
      <c r="AJ41" s="31">
        <v>0</v>
      </c>
      <c r="AK41" s="31"/>
      <c r="AL41" s="31"/>
      <c r="AM41" s="31"/>
      <c r="AN41" s="31">
        <f t="shared" si="13"/>
        <v>0</v>
      </c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>
        <f t="shared" si="14"/>
        <v>0</v>
      </c>
      <c r="BE41" s="29">
        <f t="shared" si="15"/>
        <v>0</v>
      </c>
      <c r="BF41" s="29">
        <f t="shared" si="16"/>
        <v>0</v>
      </c>
      <c r="BG41" s="29">
        <f>VLOOKUP(E41,'[3]Y2604-Y2608_庫存&amp;銷售'!$F:$AJ,23,0)</f>
        <v>0.30000000000000004</v>
      </c>
      <c r="BH41" s="29">
        <f>VLOOKUP(E41,'[3]Y2604-Y2608_庫存&amp;銷售'!$F:$AL,25,0)</f>
        <v>0</v>
      </c>
      <c r="BI41" s="29">
        <f>VLOOKUP(E41,'[3]Y2604-Y2608_庫存&amp;銷售'!$F:$AN,30,0)</f>
        <v>0</v>
      </c>
      <c r="BJ41" s="81">
        <f t="shared" si="26"/>
        <v>0</v>
      </c>
      <c r="BK41" s="81">
        <f t="shared" si="27"/>
        <v>0</v>
      </c>
      <c r="BL41" s="81">
        <f t="shared" si="28"/>
        <v>0</v>
      </c>
      <c r="BM41" s="81">
        <f t="shared" si="29"/>
        <v>0</v>
      </c>
      <c r="BN41" s="81">
        <f t="shared" si="30"/>
        <v>0</v>
      </c>
      <c r="BO41" s="81">
        <f t="shared" si="31"/>
        <v>0</v>
      </c>
      <c r="BP41" s="81">
        <f t="shared" si="32"/>
        <v>0</v>
      </c>
      <c r="BQ41" s="81">
        <f t="shared" si="33"/>
        <v>0</v>
      </c>
      <c r="BR41" s="81">
        <f t="shared" si="34"/>
        <v>0</v>
      </c>
      <c r="BS41" s="199">
        <f t="shared" si="17"/>
        <v>0</v>
      </c>
      <c r="BT41" s="199">
        <f t="shared" si="10"/>
        <v>0</v>
      </c>
      <c r="BU41" s="199">
        <f t="shared" si="11"/>
        <v>0</v>
      </c>
      <c r="BV41" s="112">
        <f>VLOOKUP(E41,'[4]Y2604-Y2608_庫存&amp;銷售'!$F:$AB,17,0)</f>
        <v>77.800000000000011</v>
      </c>
      <c r="BW41" s="112">
        <f>VLOOKUP(A41,'[5]Demand inbond in Sep'!$B:$M,12,0)</f>
        <v>0</v>
      </c>
      <c r="BX41" s="112"/>
    </row>
    <row r="42" spans="1:99" s="53" customFormat="1" ht="15" x14ac:dyDescent="0.35">
      <c r="A42" s="7">
        <v>522244895806733</v>
      </c>
      <c r="B42" s="20" t="s">
        <v>9</v>
      </c>
      <c r="C42" s="6" t="s">
        <v>27</v>
      </c>
      <c r="D42" s="7">
        <v>80842256</v>
      </c>
      <c r="E42" s="8">
        <v>4987176314765</v>
      </c>
      <c r="F42" s="8">
        <v>4987176314765</v>
      </c>
      <c r="G42" s="9" t="s">
        <v>43</v>
      </c>
      <c r="H42" s="210">
        <v>143</v>
      </c>
      <c r="I42" s="22" t="s">
        <v>169</v>
      </c>
      <c r="J42" s="10">
        <v>10</v>
      </c>
      <c r="K42" s="5">
        <v>1440.3</v>
      </c>
      <c r="L42" s="5">
        <v>1396.23</v>
      </c>
      <c r="M42" s="115">
        <v>0</v>
      </c>
      <c r="N42" s="21">
        <f>VLOOKUP(E42,'[1]Demand inbond in Aug'!$C:$J,8,0)</f>
        <v>0</v>
      </c>
      <c r="O42" s="23">
        <f>VLOOKUP(D42,'[2]Data for PV'!$B:$L,11,0)</f>
        <v>0</v>
      </c>
      <c r="P42" s="51">
        <f t="shared" si="35"/>
        <v>0</v>
      </c>
      <c r="Q42" s="51">
        <f t="shared" si="36"/>
        <v>0</v>
      </c>
      <c r="R42" s="51">
        <f t="shared" si="37"/>
        <v>0</v>
      </c>
      <c r="S42" s="52"/>
      <c r="T42" s="52"/>
      <c r="U42" s="52"/>
      <c r="V42" s="52"/>
      <c r="W42" s="52"/>
      <c r="X42" s="31"/>
      <c r="Y42" s="31"/>
      <c r="Z42" s="52"/>
      <c r="AA42" s="52"/>
      <c r="AB42" s="52"/>
      <c r="AC42" s="31">
        <f t="shared" si="12"/>
        <v>0</v>
      </c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>
        <f t="shared" si="13"/>
        <v>0</v>
      </c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>
        <f t="shared" si="14"/>
        <v>0</v>
      </c>
      <c r="BE42" s="29">
        <f t="shared" si="15"/>
        <v>0</v>
      </c>
      <c r="BF42" s="29">
        <f t="shared" si="16"/>
        <v>0</v>
      </c>
      <c r="BG42" s="29">
        <f>VLOOKUP(E42,'[3]Y2604-Y2608_庫存&amp;銷售'!$F:$AJ,23,0)</f>
        <v>10.600000000000001</v>
      </c>
      <c r="BH42" s="29">
        <f>VLOOKUP(E42,'[3]Y2604-Y2608_庫存&amp;銷售'!$F:$AL,25,0)</f>
        <v>0</v>
      </c>
      <c r="BI42" s="29">
        <f>VLOOKUP(E42,'[3]Y2604-Y2608_庫存&amp;銷售'!$F:$AN,30,0)</f>
        <v>0</v>
      </c>
      <c r="BJ42" s="81">
        <f t="shared" si="26"/>
        <v>0</v>
      </c>
      <c r="BK42" s="81">
        <f t="shared" si="27"/>
        <v>0</v>
      </c>
      <c r="BL42" s="81">
        <f t="shared" si="28"/>
        <v>0</v>
      </c>
      <c r="BM42" s="81">
        <f t="shared" si="29"/>
        <v>0</v>
      </c>
      <c r="BN42" s="81">
        <f t="shared" si="30"/>
        <v>0</v>
      </c>
      <c r="BO42" s="81">
        <f t="shared" si="31"/>
        <v>0</v>
      </c>
      <c r="BP42" s="81">
        <f t="shared" si="32"/>
        <v>0</v>
      </c>
      <c r="BQ42" s="81">
        <f t="shared" si="33"/>
        <v>0</v>
      </c>
      <c r="BR42" s="81">
        <f t="shared" si="34"/>
        <v>0</v>
      </c>
      <c r="BS42" s="199">
        <f t="shared" si="17"/>
        <v>0</v>
      </c>
      <c r="BT42" s="199">
        <f t="shared" si="10"/>
        <v>0</v>
      </c>
      <c r="BU42" s="199">
        <f t="shared" si="11"/>
        <v>0</v>
      </c>
      <c r="BV42" s="112">
        <f>VLOOKUP(E42,'[4]Y2604-Y2608_庫存&amp;銷售'!$F:$AB,17,0)</f>
        <v>65.699999999999989</v>
      </c>
      <c r="BW42" s="112">
        <f>VLOOKUP(A42,'[5]Demand inbond in Sep'!$B:$M,12,0)</f>
        <v>0</v>
      </c>
      <c r="BX42" s="112"/>
    </row>
    <row r="43" spans="1:99" s="42" customFormat="1" ht="15" x14ac:dyDescent="0.35">
      <c r="A43" s="35">
        <v>522244895806734</v>
      </c>
      <c r="B43" s="19" t="s">
        <v>9</v>
      </c>
      <c r="C43" s="34" t="s">
        <v>27</v>
      </c>
      <c r="D43" s="35">
        <v>80841894</v>
      </c>
      <c r="E43" s="36">
        <v>4987176314284</v>
      </c>
      <c r="F43" s="3">
        <v>4987176314284</v>
      </c>
      <c r="G43" s="37" t="s">
        <v>44</v>
      </c>
      <c r="H43" s="209">
        <v>183.00000000000003</v>
      </c>
      <c r="I43" s="34"/>
      <c r="J43" s="39">
        <v>6</v>
      </c>
      <c r="K43" s="5">
        <v>1081.3</v>
      </c>
      <c r="L43" s="5">
        <v>1045.29</v>
      </c>
      <c r="M43" s="115">
        <v>0</v>
      </c>
      <c r="N43" s="21">
        <f>VLOOKUP(E43,'[1]Demand inbond in Aug'!$C:$J,8,0)</f>
        <v>0</v>
      </c>
      <c r="O43" s="23">
        <f>VLOOKUP(D43,'[2]Data for PV'!$B:$L,11,0)</f>
        <v>155.4</v>
      </c>
      <c r="P43" s="40">
        <f t="shared" si="35"/>
        <v>0</v>
      </c>
      <c r="Q43" s="40">
        <f t="shared" si="36"/>
        <v>0</v>
      </c>
      <c r="R43" s="40">
        <f t="shared" si="37"/>
        <v>932.40000000000009</v>
      </c>
      <c r="S43" s="41"/>
      <c r="T43" s="41"/>
      <c r="U43" s="41"/>
      <c r="V43" s="31"/>
      <c r="W43" s="31"/>
      <c r="X43" s="31"/>
      <c r="Y43" s="31"/>
      <c r="Z43" s="31"/>
      <c r="AA43" s="31"/>
      <c r="AB43" s="31"/>
      <c r="AC43" s="31">
        <f t="shared" si="12"/>
        <v>0</v>
      </c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>
        <f t="shared" si="13"/>
        <v>0</v>
      </c>
      <c r="AO43" s="31"/>
      <c r="AP43" s="31"/>
      <c r="AQ43" s="31"/>
      <c r="AR43" s="31"/>
      <c r="AS43" s="31"/>
      <c r="AT43" s="31"/>
      <c r="AU43" s="31"/>
      <c r="AV43" s="31"/>
      <c r="AW43" s="31"/>
      <c r="AX43" s="31">
        <v>23</v>
      </c>
      <c r="AY43" s="31"/>
      <c r="AZ43" s="31"/>
      <c r="BA43" s="31"/>
      <c r="BB43" s="31"/>
      <c r="BC43" s="31"/>
      <c r="BD43" s="31">
        <f t="shared" si="14"/>
        <v>23</v>
      </c>
      <c r="BE43" s="29">
        <f t="shared" si="15"/>
        <v>132.4</v>
      </c>
      <c r="BF43" s="29">
        <f t="shared" si="16"/>
        <v>0</v>
      </c>
      <c r="BG43" s="29">
        <f>VLOOKUP(E43,'[3]Y2604-Y2608_庫存&amp;銷售'!$F:$AJ,23,0)</f>
        <v>0</v>
      </c>
      <c r="BH43" s="29">
        <f>VLOOKUP(E43,'[3]Y2604-Y2608_庫存&amp;銷售'!$F:$AL,25,0)</f>
        <v>0</v>
      </c>
      <c r="BI43" s="29">
        <f>VLOOKUP(E43,'[3]Y2604-Y2608_庫存&amp;銷售'!$F:$AN,30,0)</f>
        <v>0</v>
      </c>
      <c r="BJ43" s="81">
        <f t="shared" si="26"/>
        <v>0</v>
      </c>
      <c r="BK43" s="81">
        <f t="shared" si="27"/>
        <v>0</v>
      </c>
      <c r="BL43" s="81">
        <f t="shared" si="28"/>
        <v>168034.02</v>
      </c>
      <c r="BM43" s="81">
        <f t="shared" si="29"/>
        <v>0</v>
      </c>
      <c r="BN43" s="81">
        <f t="shared" si="30"/>
        <v>0</v>
      </c>
      <c r="BO43" s="81">
        <f t="shared" si="31"/>
        <v>0</v>
      </c>
      <c r="BP43" s="81">
        <f t="shared" si="32"/>
        <v>0</v>
      </c>
      <c r="BQ43" s="81">
        <f t="shared" si="33"/>
        <v>0</v>
      </c>
      <c r="BR43" s="81">
        <f t="shared" si="34"/>
        <v>0</v>
      </c>
      <c r="BS43" s="199">
        <f t="shared" si="17"/>
        <v>24869.899999999998</v>
      </c>
      <c r="BT43" s="199">
        <f t="shared" si="10"/>
        <v>25254.000000000004</v>
      </c>
      <c r="BU43" s="199">
        <f t="shared" si="11"/>
        <v>24522.503399999998</v>
      </c>
      <c r="BV43" s="112">
        <f>VLOOKUP(E43,'[4]Y2604-Y2608_庫存&amp;銷售'!$F:$AB,17,0)</f>
        <v>0</v>
      </c>
      <c r="BW43" s="112">
        <f>VLOOKUP(A43,'[5]Demand inbond in Sep'!$B:$M,12,0)</f>
        <v>155</v>
      </c>
      <c r="BX43" s="112"/>
      <c r="CM43" s="264">
        <f>CM39-CM40</f>
        <v>-3230837.8477428555</v>
      </c>
    </row>
    <row r="44" spans="1:99" s="53" customFormat="1" ht="15" x14ac:dyDescent="0.35">
      <c r="A44" s="7">
        <v>522244895806735</v>
      </c>
      <c r="B44" s="20" t="s">
        <v>9</v>
      </c>
      <c r="C44" s="6" t="s">
        <v>27</v>
      </c>
      <c r="D44" s="7">
        <v>80841902</v>
      </c>
      <c r="E44" s="8">
        <v>4987176314369</v>
      </c>
      <c r="F44" s="8">
        <v>4987176314369</v>
      </c>
      <c r="G44" s="9" t="s">
        <v>45</v>
      </c>
      <c r="H44" s="22">
        <f>VLOOKUP(E44,[6]工作表1!$E:$J,6,0)</f>
        <v>140</v>
      </c>
      <c r="I44" s="22" t="s">
        <v>169</v>
      </c>
      <c r="J44" s="10">
        <v>10</v>
      </c>
      <c r="K44" s="5">
        <v>1440.3</v>
      </c>
      <c r="L44" s="5">
        <v>1396.23</v>
      </c>
      <c r="M44" s="115">
        <v>0</v>
      </c>
      <c r="N44" s="21">
        <f>VLOOKUP(E44,'[1]Demand inbond in Aug'!$C:$J,8,0)</f>
        <v>0</v>
      </c>
      <c r="O44" s="23"/>
      <c r="P44" s="51">
        <f t="shared" si="35"/>
        <v>0</v>
      </c>
      <c r="Q44" s="51">
        <f t="shared" si="36"/>
        <v>0</v>
      </c>
      <c r="R44" s="51">
        <f t="shared" si="37"/>
        <v>0</v>
      </c>
      <c r="S44" s="52"/>
      <c r="T44" s="52"/>
      <c r="U44" s="52"/>
      <c r="V44" s="52"/>
      <c r="W44" s="52"/>
      <c r="X44" s="31"/>
      <c r="Y44" s="31"/>
      <c r="Z44" s="52"/>
      <c r="AA44" s="52"/>
      <c r="AB44" s="52"/>
      <c r="AC44" s="31">
        <f t="shared" si="12"/>
        <v>0</v>
      </c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>
        <f t="shared" si="13"/>
        <v>0</v>
      </c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>
        <f t="shared" si="14"/>
        <v>0</v>
      </c>
      <c r="BE44" s="29">
        <f t="shared" si="15"/>
        <v>0</v>
      </c>
      <c r="BF44" s="29">
        <f t="shared" si="16"/>
        <v>0</v>
      </c>
      <c r="BG44" s="29">
        <f>VLOOKUP(E44,'[3]Y2604-Y2608_庫存&amp;銷售'!$F:$AJ,23,0)</f>
        <v>0</v>
      </c>
      <c r="BH44" s="29">
        <f>VLOOKUP(E44,'[3]Y2604-Y2608_庫存&amp;銷售'!$F:$AL,25,0)</f>
        <v>0</v>
      </c>
      <c r="BI44" s="29">
        <f>VLOOKUP(E44,'[3]Y2604-Y2608_庫存&amp;銷售'!$F:$AN,30,0)</f>
        <v>0</v>
      </c>
      <c r="BJ44" s="81">
        <f t="shared" si="26"/>
        <v>0</v>
      </c>
      <c r="BK44" s="81">
        <f t="shared" si="27"/>
        <v>0</v>
      </c>
      <c r="BL44" s="81">
        <f t="shared" si="28"/>
        <v>0</v>
      </c>
      <c r="BM44" s="81">
        <f t="shared" si="29"/>
        <v>0</v>
      </c>
      <c r="BN44" s="81">
        <f t="shared" si="30"/>
        <v>0</v>
      </c>
      <c r="BO44" s="81">
        <f t="shared" si="31"/>
        <v>0</v>
      </c>
      <c r="BP44" s="81">
        <f t="shared" si="32"/>
        <v>0</v>
      </c>
      <c r="BQ44" s="81">
        <f t="shared" si="33"/>
        <v>0</v>
      </c>
      <c r="BR44" s="81">
        <f t="shared" si="34"/>
        <v>0</v>
      </c>
      <c r="BS44" s="199">
        <f t="shared" si="17"/>
        <v>0</v>
      </c>
      <c r="BT44" s="199">
        <f t="shared" si="10"/>
        <v>0</v>
      </c>
      <c r="BU44" s="199">
        <f t="shared" si="11"/>
        <v>0</v>
      </c>
      <c r="BV44" s="112">
        <f>VLOOKUP(E44,'[4]Y2604-Y2608_庫存&amp;銷售'!$F:$AB,17,0)</f>
        <v>0</v>
      </c>
      <c r="BW44" s="112">
        <f>VLOOKUP(A44,'[5]Demand inbond in Sep'!$B:$M,12,0)</f>
        <v>0</v>
      </c>
      <c r="BX44" s="112"/>
    </row>
    <row r="45" spans="1:99" x14ac:dyDescent="0.3">
      <c r="A45" s="2">
        <v>522244896317752</v>
      </c>
      <c r="B45" s="19" t="s">
        <v>9</v>
      </c>
      <c r="C45" s="1" t="s">
        <v>46</v>
      </c>
      <c r="D45" s="2">
        <v>80890584</v>
      </c>
      <c r="E45" s="3">
        <v>4987176373922</v>
      </c>
      <c r="F45" s="3">
        <v>4987176373922</v>
      </c>
      <c r="G45" s="4" t="s">
        <v>47</v>
      </c>
      <c r="H45" s="1">
        <v>272</v>
      </c>
      <c r="I45" s="1"/>
      <c r="J45" s="5">
        <v>8</v>
      </c>
      <c r="K45" s="5">
        <v>2310.4</v>
      </c>
      <c r="L45" s="5">
        <v>2246.8000000000002</v>
      </c>
      <c r="M45" s="115">
        <v>108.20045558086561</v>
      </c>
      <c r="N45" s="21">
        <v>108</v>
      </c>
      <c r="O45" s="23">
        <f>VLOOKUP(D45,'[2]Data for PV'!$B:$L,11,0)</f>
        <v>102.50569476082003</v>
      </c>
      <c r="P45" s="24">
        <v>864</v>
      </c>
      <c r="Q45" s="24">
        <v>864</v>
      </c>
      <c r="R45" s="24">
        <v>864</v>
      </c>
      <c r="S45" s="31"/>
      <c r="T45" s="31"/>
      <c r="U45" s="31"/>
      <c r="V45" s="31"/>
      <c r="W45" s="31"/>
      <c r="X45" s="31">
        <v>20</v>
      </c>
      <c r="Y45" s="31">
        <v>54</v>
      </c>
      <c r="Z45" s="31"/>
      <c r="AA45" s="31">
        <v>11</v>
      </c>
      <c r="AB45" s="31">
        <v>4</v>
      </c>
      <c r="AC45" s="31">
        <f t="shared" si="12"/>
        <v>89</v>
      </c>
      <c r="AD45" s="31"/>
      <c r="AE45" s="31">
        <v>105</v>
      </c>
      <c r="AF45" s="31"/>
      <c r="AG45" s="31"/>
      <c r="AH45" s="31">
        <v>10</v>
      </c>
      <c r="AI45" s="31"/>
      <c r="AJ45" s="31"/>
      <c r="AK45" s="31"/>
      <c r="AL45" s="31"/>
      <c r="AM45" s="31"/>
      <c r="AN45" s="31">
        <f t="shared" si="13"/>
        <v>115</v>
      </c>
      <c r="AO45" s="31"/>
      <c r="AP45" s="31">
        <v>82</v>
      </c>
      <c r="AQ45" s="31">
        <v>0</v>
      </c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>
        <f t="shared" si="14"/>
        <v>82</v>
      </c>
      <c r="BE45" s="29">
        <f t="shared" si="15"/>
        <v>20.505694760820035</v>
      </c>
      <c r="BF45" s="29">
        <f t="shared" si="16"/>
        <v>82</v>
      </c>
      <c r="BG45" s="29">
        <f>VLOOKUP(E45,'[3]Y2604-Y2608_庫存&amp;銷售'!$F:$AJ,23,0)</f>
        <v>15.75</v>
      </c>
      <c r="BH45" s="29">
        <f>VLOOKUP(E45,'[3]Y2604-Y2608_庫存&amp;銷售'!$F:$AL,25,0)</f>
        <v>0</v>
      </c>
      <c r="BI45" s="29">
        <f>VLOOKUP(E45,'[3]Y2604-Y2608_庫存&amp;銷售'!$F:$AN,30,0)</f>
        <v>0</v>
      </c>
      <c r="BJ45" s="81">
        <f t="shared" si="26"/>
        <v>249986.3325740319</v>
      </c>
      <c r="BK45" s="81">
        <f t="shared" si="27"/>
        <v>249523.20000000001</v>
      </c>
      <c r="BL45" s="81">
        <f t="shared" si="28"/>
        <v>236829.15717539861</v>
      </c>
      <c r="BM45" s="81">
        <f t="shared" si="29"/>
        <v>205625.60000000001</v>
      </c>
      <c r="BN45" s="81">
        <f t="shared" si="30"/>
        <v>193664</v>
      </c>
      <c r="BO45" s="81">
        <f t="shared" si="31"/>
        <v>203964.50400000002</v>
      </c>
      <c r="BP45" s="81">
        <f t="shared" si="32"/>
        <v>265696</v>
      </c>
      <c r="BQ45" s="81">
        <f t="shared" si="33"/>
        <v>250240</v>
      </c>
      <c r="BR45" s="81">
        <f t="shared" si="34"/>
        <v>263549.64</v>
      </c>
      <c r="BS45" s="199">
        <f t="shared" si="17"/>
        <v>189452.80000000002</v>
      </c>
      <c r="BT45" s="199">
        <f t="shared" si="10"/>
        <v>178432</v>
      </c>
      <c r="BU45" s="199">
        <f t="shared" si="11"/>
        <v>187922.35200000001</v>
      </c>
      <c r="BV45" s="112">
        <f>VLOOKUP(E45,'[4]Y2604-Y2608_庫存&amp;銷售'!$F:$AB,17,0)</f>
        <v>30.375</v>
      </c>
      <c r="BW45" s="112">
        <f>VLOOKUP(A45,'[5]Demand inbond in Sep'!$B:$M,12,0)</f>
        <v>103</v>
      </c>
      <c r="BX45" s="112"/>
    </row>
    <row r="46" spans="1:99" x14ac:dyDescent="0.3">
      <c r="A46" s="2">
        <v>522244896317753</v>
      </c>
      <c r="B46" s="19" t="s">
        <v>9</v>
      </c>
      <c r="C46" s="1" t="s">
        <v>46</v>
      </c>
      <c r="D46" s="2">
        <v>80890585</v>
      </c>
      <c r="E46" s="3">
        <v>4987176373939</v>
      </c>
      <c r="F46" s="3">
        <v>4987176373939</v>
      </c>
      <c r="G46" s="4" t="s">
        <v>48</v>
      </c>
      <c r="H46" s="1">
        <v>272</v>
      </c>
      <c r="I46" s="1"/>
      <c r="J46" s="5">
        <v>8</v>
      </c>
      <c r="K46" s="5">
        <v>2310.4</v>
      </c>
      <c r="L46" s="5">
        <v>2246.8000000000002</v>
      </c>
      <c r="M46" s="169">
        <f>142+65</f>
        <v>207</v>
      </c>
      <c r="N46" s="21">
        <v>142</v>
      </c>
      <c r="O46" s="23">
        <f>VLOOKUP(D46,'[2]Data for PV'!$B:$L,11,0)</f>
        <v>136.67425968109339</v>
      </c>
      <c r="P46" s="24">
        <v>1136</v>
      </c>
      <c r="Q46" s="24">
        <v>1136</v>
      </c>
      <c r="R46" s="24">
        <v>1136</v>
      </c>
      <c r="S46" s="31"/>
      <c r="T46" s="31"/>
      <c r="U46" s="31"/>
      <c r="V46" s="31"/>
      <c r="W46" s="31">
        <v>112</v>
      </c>
      <c r="X46" s="31"/>
      <c r="Y46" s="31">
        <v>50</v>
      </c>
      <c r="Z46" s="31"/>
      <c r="AA46" s="31"/>
      <c r="AB46" s="31">
        <v>45</v>
      </c>
      <c r="AC46" s="31">
        <f t="shared" si="12"/>
        <v>207</v>
      </c>
      <c r="AD46" s="31">
        <v>142</v>
      </c>
      <c r="AE46" s="31"/>
      <c r="AF46" s="31"/>
      <c r="AG46" s="31"/>
      <c r="AH46" s="31">
        <v>0</v>
      </c>
      <c r="AI46" s="31"/>
      <c r="AJ46" s="31"/>
      <c r="AK46" s="31"/>
      <c r="AL46" s="31"/>
      <c r="AM46" s="31"/>
      <c r="AN46" s="31">
        <f t="shared" si="13"/>
        <v>142</v>
      </c>
      <c r="AO46" s="31"/>
      <c r="AP46" s="31">
        <v>0</v>
      </c>
      <c r="AQ46" s="31"/>
      <c r="AR46" s="31"/>
      <c r="AS46" s="31"/>
      <c r="AT46" s="31"/>
      <c r="AU46" s="31"/>
      <c r="AV46" s="31"/>
      <c r="AW46" s="31"/>
      <c r="AX46" s="31">
        <v>20</v>
      </c>
      <c r="AY46" s="31"/>
      <c r="AZ46" s="31">
        <v>117</v>
      </c>
      <c r="BA46" s="31"/>
      <c r="BB46" s="31"/>
      <c r="BC46" s="31"/>
      <c r="BD46" s="31">
        <f t="shared" si="14"/>
        <v>137</v>
      </c>
      <c r="BE46" s="29">
        <f t="shared" si="15"/>
        <v>-0.32574031890661104</v>
      </c>
      <c r="BF46" s="29">
        <f t="shared" si="16"/>
        <v>0</v>
      </c>
      <c r="BG46" s="29">
        <f>VLOOKUP(E46,'[3]Y2604-Y2608_庫存&amp;銷售'!$F:$AJ,23,0)</f>
        <v>37.75</v>
      </c>
      <c r="BH46" s="29">
        <f>VLOOKUP(E46,'[3]Y2604-Y2608_庫存&amp;銷售'!$F:$AL,25,0)</f>
        <v>0</v>
      </c>
      <c r="BI46" s="29">
        <f>VLOOKUP(E46,'[3]Y2604-Y2608_庫存&amp;銷售'!$F:$AN,30,0)</f>
        <v>0</v>
      </c>
      <c r="BJ46" s="81">
        <f t="shared" si="26"/>
        <v>478252.80000000005</v>
      </c>
      <c r="BK46" s="81">
        <f t="shared" si="27"/>
        <v>328076.79999999999</v>
      </c>
      <c r="BL46" s="81">
        <f t="shared" si="28"/>
        <v>315772.20956719818</v>
      </c>
      <c r="BM46" s="81">
        <f t="shared" si="29"/>
        <v>478252.80000000005</v>
      </c>
      <c r="BN46" s="81">
        <f t="shared" si="30"/>
        <v>450432</v>
      </c>
      <c r="BO46" s="81">
        <f t="shared" si="31"/>
        <v>474389.35200000007</v>
      </c>
      <c r="BP46" s="81">
        <f t="shared" si="32"/>
        <v>328076.79999999999</v>
      </c>
      <c r="BQ46" s="81">
        <f t="shared" si="33"/>
        <v>308992</v>
      </c>
      <c r="BR46" s="81">
        <f t="shared" si="34"/>
        <v>325426.51200000005</v>
      </c>
      <c r="BS46" s="199">
        <f t="shared" si="17"/>
        <v>316524.79999999999</v>
      </c>
      <c r="BT46" s="199">
        <f t="shared" si="10"/>
        <v>298112</v>
      </c>
      <c r="BU46" s="199">
        <f t="shared" si="11"/>
        <v>313967.83200000005</v>
      </c>
      <c r="BV46" s="112">
        <f>VLOOKUP(E46,'[4]Y2604-Y2608_庫存&amp;銷售'!$F:$AB,17,0)</f>
        <v>249.125</v>
      </c>
      <c r="BW46" s="112">
        <f>VLOOKUP(A46,'[5]Demand inbond in Sep'!$B:$M,12,0)</f>
        <v>137</v>
      </c>
      <c r="BX46" s="112"/>
    </row>
    <row r="47" spans="1:99" x14ac:dyDescent="0.3">
      <c r="A47" s="2">
        <v>522244896317754</v>
      </c>
      <c r="B47" s="19" t="s">
        <v>9</v>
      </c>
      <c r="C47" s="1" t="s">
        <v>46</v>
      </c>
      <c r="D47" s="2">
        <v>80890580</v>
      </c>
      <c r="E47" s="3">
        <v>4987176373885</v>
      </c>
      <c r="F47" s="3">
        <v>4987176373885</v>
      </c>
      <c r="G47" s="4" t="s">
        <v>49</v>
      </c>
      <c r="H47" s="1">
        <v>272</v>
      </c>
      <c r="I47" s="1"/>
      <c r="J47" s="5">
        <v>8</v>
      </c>
      <c r="K47" s="5">
        <v>2310.4</v>
      </c>
      <c r="L47" s="5">
        <v>2246.8000000000002</v>
      </c>
      <c r="M47" s="169">
        <f>101+68</f>
        <v>169</v>
      </c>
      <c r="N47" s="21">
        <v>101</v>
      </c>
      <c r="O47" s="23">
        <f>VLOOKUP(D47,'[2]Data for PV'!$B:$L,11,0)</f>
        <v>122.23515715948777</v>
      </c>
      <c r="P47" s="24">
        <v>808</v>
      </c>
      <c r="Q47" s="24">
        <v>808</v>
      </c>
      <c r="R47" s="24">
        <v>808</v>
      </c>
      <c r="S47" s="31"/>
      <c r="T47" s="31"/>
      <c r="U47" s="31"/>
      <c r="V47" s="31"/>
      <c r="W47" s="31">
        <v>67</v>
      </c>
      <c r="X47" s="31"/>
      <c r="Y47" s="31">
        <v>102</v>
      </c>
      <c r="Z47" s="31"/>
      <c r="AA47" s="31"/>
      <c r="AB47" s="31"/>
      <c r="AC47" s="31">
        <f t="shared" si="12"/>
        <v>169</v>
      </c>
      <c r="AD47" s="31"/>
      <c r="AE47" s="31"/>
      <c r="AF47" s="31"/>
      <c r="AG47" s="31"/>
      <c r="AH47" s="31">
        <v>49</v>
      </c>
      <c r="AI47" s="31"/>
      <c r="AJ47" s="31"/>
      <c r="AK47" s="31"/>
      <c r="AL47" s="31">
        <v>52</v>
      </c>
      <c r="AM47" s="31"/>
      <c r="AN47" s="31">
        <f t="shared" si="13"/>
        <v>101</v>
      </c>
      <c r="AO47" s="31"/>
      <c r="AP47" s="31">
        <v>32</v>
      </c>
      <c r="AQ47" s="31"/>
      <c r="AR47" s="31"/>
      <c r="AS47" s="31"/>
      <c r="AT47" s="31"/>
      <c r="AU47" s="31"/>
      <c r="AV47" s="31"/>
      <c r="AW47" s="31"/>
      <c r="AX47" s="31">
        <v>100</v>
      </c>
      <c r="AY47" s="31"/>
      <c r="AZ47" s="31">
        <v>0</v>
      </c>
      <c r="BA47" s="31"/>
      <c r="BB47" s="31"/>
      <c r="BC47" s="31"/>
      <c r="BD47" s="31">
        <f t="shared" si="14"/>
        <v>132</v>
      </c>
      <c r="BE47" s="29">
        <f t="shared" si="15"/>
        <v>-9.7648428405122303</v>
      </c>
      <c r="BF47" s="29">
        <f t="shared" si="16"/>
        <v>32</v>
      </c>
      <c r="BG47" s="29">
        <f>VLOOKUP(E47,'[3]Y2604-Y2608_庫存&amp;銷售'!$F:$AJ,23,0)</f>
        <v>20.625</v>
      </c>
      <c r="BH47" s="29">
        <f>VLOOKUP(E47,'[3]Y2604-Y2608_庫存&amp;銷售'!$F:$AL,25,0)</f>
        <v>0</v>
      </c>
      <c r="BI47" s="29">
        <f>VLOOKUP(E47,'[3]Y2604-Y2608_庫存&amp;銷售'!$F:$AN,30,0)</f>
        <v>0</v>
      </c>
      <c r="BJ47" s="81">
        <f t="shared" si="26"/>
        <v>390457.60000000003</v>
      </c>
      <c r="BK47" s="81">
        <f t="shared" si="27"/>
        <v>233350.40000000002</v>
      </c>
      <c r="BL47" s="81">
        <f t="shared" si="28"/>
        <v>282412.10710128053</v>
      </c>
      <c r="BM47" s="81">
        <f t="shared" si="29"/>
        <v>390457.60000000003</v>
      </c>
      <c r="BN47" s="81">
        <f t="shared" si="30"/>
        <v>367744</v>
      </c>
      <c r="BO47" s="81">
        <f t="shared" si="31"/>
        <v>387303.38400000008</v>
      </c>
      <c r="BP47" s="81">
        <f t="shared" si="32"/>
        <v>233350.40000000002</v>
      </c>
      <c r="BQ47" s="81">
        <f t="shared" si="33"/>
        <v>219776</v>
      </c>
      <c r="BR47" s="81">
        <f t="shared" si="34"/>
        <v>231465.33600000004</v>
      </c>
      <c r="BS47" s="199">
        <f t="shared" si="17"/>
        <v>304972.79999999999</v>
      </c>
      <c r="BT47" s="199">
        <f t="shared" si="10"/>
        <v>287232</v>
      </c>
      <c r="BU47" s="199">
        <f t="shared" si="11"/>
        <v>302509.15200000006</v>
      </c>
      <c r="BV47" s="112">
        <f>VLOOKUP(E47,'[4]Y2604-Y2608_庫存&amp;銷售'!$F:$AB,17,0)</f>
        <v>114.375</v>
      </c>
      <c r="BW47" s="112">
        <f>VLOOKUP(A47,'[5]Demand inbond in Sep'!$B:$M,12,0)</f>
        <v>122</v>
      </c>
      <c r="BX47" s="112"/>
    </row>
    <row r="48" spans="1:99" x14ac:dyDescent="0.3">
      <c r="A48" s="2">
        <v>522244896317755</v>
      </c>
      <c r="B48" s="19" t="s">
        <v>9</v>
      </c>
      <c r="C48" s="1" t="s">
        <v>46</v>
      </c>
      <c r="D48" s="2">
        <v>80890578</v>
      </c>
      <c r="E48" s="3">
        <v>4987176373861</v>
      </c>
      <c r="F48" s="3">
        <v>4987176373861</v>
      </c>
      <c r="G48" s="4" t="s">
        <v>50</v>
      </c>
      <c r="H48" s="1">
        <v>272</v>
      </c>
      <c r="I48" s="1"/>
      <c r="J48" s="5">
        <v>8</v>
      </c>
      <c r="K48" s="5">
        <v>2310.4</v>
      </c>
      <c r="L48" s="5">
        <v>2246.8000000000002</v>
      </c>
      <c r="M48" s="169">
        <f>91+1</f>
        <v>92</v>
      </c>
      <c r="N48" s="21">
        <f>VLOOKUP(E48,'[1]Demand inbond in Aug'!$C:$J,8,0)</f>
        <v>257</v>
      </c>
      <c r="O48" s="23">
        <f>VLOOKUP(D48,'[2]Data for PV'!$B:$L,11,0)</f>
        <v>125.28473804100227</v>
      </c>
      <c r="P48" s="24">
        <f>91*8</f>
        <v>728</v>
      </c>
      <c r="Q48" s="24">
        <f t="shared" ref="Q48:R48" si="38">91*8</f>
        <v>728</v>
      </c>
      <c r="R48" s="24">
        <f t="shared" si="38"/>
        <v>728</v>
      </c>
      <c r="S48" s="31"/>
      <c r="T48" s="31"/>
      <c r="U48" s="31"/>
      <c r="V48" s="31"/>
      <c r="W48" s="31"/>
      <c r="X48" s="31"/>
      <c r="Y48" s="31">
        <v>92</v>
      </c>
      <c r="Z48" s="31"/>
      <c r="AA48" s="31"/>
      <c r="AB48" s="31">
        <v>0</v>
      </c>
      <c r="AC48" s="31">
        <f t="shared" si="12"/>
        <v>92</v>
      </c>
      <c r="AD48" s="31">
        <v>90</v>
      </c>
      <c r="AE48" s="31"/>
      <c r="AF48" s="31"/>
      <c r="AG48" s="31"/>
      <c r="AH48" s="31"/>
      <c r="AI48" s="31"/>
      <c r="AJ48" s="31"/>
      <c r="AK48" s="31"/>
      <c r="AL48" s="31">
        <v>167</v>
      </c>
      <c r="AM48" s="31"/>
      <c r="AN48" s="31">
        <f t="shared" si="13"/>
        <v>257</v>
      </c>
      <c r="AO48" s="31"/>
      <c r="AP48" s="31">
        <v>91</v>
      </c>
      <c r="AQ48" s="31">
        <v>9</v>
      </c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>
        <f t="shared" si="14"/>
        <v>100</v>
      </c>
      <c r="BE48" s="29">
        <f t="shared" si="15"/>
        <v>25.284738041002271</v>
      </c>
      <c r="BF48" s="29">
        <f t="shared" si="16"/>
        <v>100</v>
      </c>
      <c r="BG48" s="29">
        <f>VLOOKUP(E48,'[3]Y2604-Y2608_庫存&amp;銷售'!$F:$AJ,23,0)</f>
        <v>22.375</v>
      </c>
      <c r="BH48" s="29">
        <f>VLOOKUP(E48,'[3]Y2604-Y2608_庫存&amp;銷售'!$F:$AL,25,0)</f>
        <v>0</v>
      </c>
      <c r="BI48" s="29">
        <f>VLOOKUP(E48,'[3]Y2604-Y2608_庫存&amp;銷售'!$F:$AN,30,0)</f>
        <v>0</v>
      </c>
      <c r="BJ48" s="81">
        <f t="shared" si="26"/>
        <v>212556.80000000002</v>
      </c>
      <c r="BK48" s="81">
        <f t="shared" si="27"/>
        <v>593772.80000000005</v>
      </c>
      <c r="BL48" s="81">
        <f t="shared" si="28"/>
        <v>289457.85876993166</v>
      </c>
      <c r="BM48" s="81">
        <f t="shared" si="29"/>
        <v>212556.80000000002</v>
      </c>
      <c r="BN48" s="81">
        <f t="shared" si="30"/>
        <v>200192</v>
      </c>
      <c r="BO48" s="81">
        <f t="shared" si="31"/>
        <v>210839.71200000003</v>
      </c>
      <c r="BP48" s="81">
        <f t="shared" si="32"/>
        <v>593772.80000000005</v>
      </c>
      <c r="BQ48" s="81">
        <f t="shared" si="33"/>
        <v>559232</v>
      </c>
      <c r="BR48" s="81">
        <f t="shared" si="34"/>
        <v>588976.15200000012</v>
      </c>
      <c r="BS48" s="199">
        <f t="shared" si="17"/>
        <v>231040</v>
      </c>
      <c r="BT48" s="199">
        <f t="shared" si="10"/>
        <v>217600</v>
      </c>
      <c r="BU48" s="199">
        <f t="shared" si="11"/>
        <v>229173.60000000003</v>
      </c>
      <c r="BV48" s="112">
        <f>VLOOKUP(E48,'[4]Y2604-Y2608_庫存&amp;銷售'!$F:$AB,17,0)</f>
        <v>107.75</v>
      </c>
      <c r="BW48" s="112">
        <f>VLOOKUP(A48,'[5]Demand inbond in Sep'!$B:$M,12,0)</f>
        <v>125</v>
      </c>
      <c r="BX48" s="112"/>
    </row>
    <row r="49" spans="1:76" x14ac:dyDescent="0.3">
      <c r="A49" s="2">
        <v>522244896317756</v>
      </c>
      <c r="B49" s="19" t="s">
        <v>9</v>
      </c>
      <c r="C49" s="1" t="s">
        <v>46</v>
      </c>
      <c r="D49" s="2">
        <v>80890582</v>
      </c>
      <c r="E49" s="3">
        <v>4987176373908</v>
      </c>
      <c r="F49" s="3">
        <v>4987176373908</v>
      </c>
      <c r="G49" s="4" t="s">
        <v>51</v>
      </c>
      <c r="H49" s="1">
        <v>272</v>
      </c>
      <c r="I49" s="1"/>
      <c r="J49" s="5">
        <v>8</v>
      </c>
      <c r="K49" s="5">
        <v>2310.4</v>
      </c>
      <c r="L49" s="5">
        <v>2246.8000000000002</v>
      </c>
      <c r="M49" s="169">
        <f>50+30</f>
        <v>80</v>
      </c>
      <c r="N49" s="21">
        <v>50</v>
      </c>
      <c r="O49" s="23">
        <f>VLOOKUP(D49,'[2]Data for PV'!$B:$L,11,0)</f>
        <v>52.344601962922575</v>
      </c>
      <c r="P49" s="24">
        <v>400</v>
      </c>
      <c r="Q49" s="24">
        <v>400</v>
      </c>
      <c r="R49" s="24">
        <v>400</v>
      </c>
      <c r="S49" s="31"/>
      <c r="T49" s="31"/>
      <c r="U49" s="31"/>
      <c r="V49" s="31"/>
      <c r="W49" s="31">
        <v>30</v>
      </c>
      <c r="X49" s="31"/>
      <c r="Y49" s="31">
        <v>50</v>
      </c>
      <c r="Z49" s="31"/>
      <c r="AA49" s="31"/>
      <c r="AB49" s="31">
        <v>0</v>
      </c>
      <c r="AC49" s="31">
        <f t="shared" si="12"/>
        <v>80</v>
      </c>
      <c r="AD49" s="31">
        <v>50</v>
      </c>
      <c r="AE49" s="31"/>
      <c r="AF49" s="31"/>
      <c r="AG49" s="31"/>
      <c r="AH49" s="31"/>
      <c r="AI49" s="31"/>
      <c r="AJ49" s="31"/>
      <c r="AK49" s="31"/>
      <c r="AL49" s="31"/>
      <c r="AM49" s="31"/>
      <c r="AN49" s="31">
        <f t="shared" si="13"/>
        <v>50</v>
      </c>
      <c r="AO49" s="31"/>
      <c r="AP49" s="31">
        <v>50</v>
      </c>
      <c r="AQ49" s="31"/>
      <c r="AR49" s="31"/>
      <c r="AS49" s="31"/>
      <c r="AT49" s="31"/>
      <c r="AU49" s="31"/>
      <c r="AV49" s="31"/>
      <c r="AW49" s="31"/>
      <c r="AX49" s="31">
        <v>2</v>
      </c>
      <c r="AY49" s="31"/>
      <c r="AZ49" s="31">
        <v>113</v>
      </c>
      <c r="BA49" s="31"/>
      <c r="BB49" s="31"/>
      <c r="BC49" s="31"/>
      <c r="BD49" s="31">
        <f t="shared" si="14"/>
        <v>165</v>
      </c>
      <c r="BE49" s="29">
        <f t="shared" si="15"/>
        <v>-112.65539803707742</v>
      </c>
      <c r="BF49" s="29">
        <f t="shared" si="16"/>
        <v>50</v>
      </c>
      <c r="BG49" s="29">
        <f>VLOOKUP(E49,'[3]Y2604-Y2608_庫存&amp;銷售'!$F:$AJ,23,0)</f>
        <v>7</v>
      </c>
      <c r="BH49" s="29">
        <f>VLOOKUP(E49,'[3]Y2604-Y2608_庫存&amp;銷售'!$F:$AL,25,0)</f>
        <v>0</v>
      </c>
      <c r="BI49" s="29">
        <f>VLOOKUP(E49,'[3]Y2604-Y2608_庫存&amp;銷售'!$F:$AN,30,0)</f>
        <v>0</v>
      </c>
      <c r="BJ49" s="81">
        <f t="shared" si="26"/>
        <v>184832</v>
      </c>
      <c r="BK49" s="81">
        <f t="shared" si="27"/>
        <v>115520</v>
      </c>
      <c r="BL49" s="81">
        <f t="shared" si="28"/>
        <v>120936.96837513632</v>
      </c>
      <c r="BM49" s="81">
        <f t="shared" si="29"/>
        <v>184832</v>
      </c>
      <c r="BN49" s="81">
        <f t="shared" si="30"/>
        <v>174080</v>
      </c>
      <c r="BO49" s="81">
        <f t="shared" si="31"/>
        <v>183338.88000000003</v>
      </c>
      <c r="BP49" s="81">
        <f t="shared" si="32"/>
        <v>115520</v>
      </c>
      <c r="BQ49" s="81">
        <f t="shared" si="33"/>
        <v>108800</v>
      </c>
      <c r="BR49" s="81">
        <f t="shared" si="34"/>
        <v>114586.80000000002</v>
      </c>
      <c r="BS49" s="199">
        <f t="shared" si="17"/>
        <v>381216</v>
      </c>
      <c r="BT49" s="199">
        <f t="shared" si="10"/>
        <v>359040</v>
      </c>
      <c r="BU49" s="199">
        <f t="shared" si="11"/>
        <v>378136.44000000006</v>
      </c>
      <c r="BV49" s="112">
        <f>VLOOKUP(E49,'[4]Y2604-Y2608_庫存&amp;銷售'!$F:$AB,17,0)</f>
        <v>58.75</v>
      </c>
      <c r="BW49" s="112">
        <f>VLOOKUP(A49,'[5]Demand inbond in Sep'!$B:$M,12,0)</f>
        <v>52</v>
      </c>
      <c r="BX49" s="112"/>
    </row>
    <row r="50" spans="1:76" x14ac:dyDescent="0.3">
      <c r="A50" s="2">
        <v>522244896317757</v>
      </c>
      <c r="B50" s="19" t="s">
        <v>9</v>
      </c>
      <c r="C50" s="1" t="s">
        <v>46</v>
      </c>
      <c r="D50" s="2">
        <v>80890579</v>
      </c>
      <c r="E50" s="3">
        <v>4987176373878</v>
      </c>
      <c r="F50" s="3">
        <v>4987176373878</v>
      </c>
      <c r="G50" s="4" t="s">
        <v>52</v>
      </c>
      <c r="H50" s="1">
        <v>272</v>
      </c>
      <c r="I50" s="1"/>
      <c r="J50" s="5">
        <v>8</v>
      </c>
      <c r="K50" s="5">
        <v>2310.4</v>
      </c>
      <c r="L50" s="5">
        <v>2246.8000000000002</v>
      </c>
      <c r="M50" s="115">
        <v>102.50569476082003</v>
      </c>
      <c r="N50" s="21">
        <v>103</v>
      </c>
      <c r="O50" s="250">
        <v>100</v>
      </c>
      <c r="P50" s="24">
        <v>824</v>
      </c>
      <c r="Q50" s="24">
        <v>824</v>
      </c>
      <c r="R50" s="24">
        <v>824</v>
      </c>
      <c r="S50" s="31"/>
      <c r="T50" s="31"/>
      <c r="U50" s="31"/>
      <c r="V50" s="31"/>
      <c r="W50" s="31"/>
      <c r="X50" s="31">
        <v>8</v>
      </c>
      <c r="Y50" s="31">
        <v>25</v>
      </c>
      <c r="Z50" s="31"/>
      <c r="AA50" s="31">
        <v>11</v>
      </c>
      <c r="AB50" s="31">
        <v>4</v>
      </c>
      <c r="AC50" s="31">
        <f t="shared" si="12"/>
        <v>48</v>
      </c>
      <c r="AD50" s="31"/>
      <c r="AE50" s="31">
        <v>85</v>
      </c>
      <c r="AF50" s="31"/>
      <c r="AG50" s="31"/>
      <c r="AH50" s="31">
        <v>6</v>
      </c>
      <c r="AI50" s="31"/>
      <c r="AJ50" s="31"/>
      <c r="AK50" s="31"/>
      <c r="AL50" s="31"/>
      <c r="AM50" s="31"/>
      <c r="AN50" s="31">
        <f t="shared" si="13"/>
        <v>91</v>
      </c>
      <c r="AO50" s="31"/>
      <c r="AP50" s="31">
        <v>42</v>
      </c>
      <c r="AQ50" s="31">
        <v>0</v>
      </c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>
        <f t="shared" si="14"/>
        <v>42</v>
      </c>
      <c r="BE50" s="29">
        <f t="shared" si="15"/>
        <v>58</v>
      </c>
      <c r="BF50" s="29">
        <f t="shared" si="16"/>
        <v>42</v>
      </c>
      <c r="BG50" s="29">
        <f>VLOOKUP(E50,'[3]Y2604-Y2608_庫存&amp;銷售'!$F:$AJ,23,0)</f>
        <v>9.375</v>
      </c>
      <c r="BH50" s="29">
        <f>VLOOKUP(E50,'[3]Y2604-Y2608_庫存&amp;銷售'!$F:$AL,25,0)</f>
        <v>0</v>
      </c>
      <c r="BI50" s="29">
        <f>VLOOKUP(E50,'[3]Y2604-Y2608_庫存&amp;銷售'!$F:$AN,30,0)</f>
        <v>0</v>
      </c>
      <c r="BJ50" s="81">
        <f t="shared" si="26"/>
        <v>236829.15717539861</v>
      </c>
      <c r="BK50" s="81">
        <f t="shared" si="27"/>
        <v>237971.20000000001</v>
      </c>
      <c r="BL50" s="81">
        <f t="shared" si="28"/>
        <v>231040</v>
      </c>
      <c r="BM50" s="81">
        <f t="shared" si="29"/>
        <v>110899.20000000001</v>
      </c>
      <c r="BN50" s="81">
        <f t="shared" si="30"/>
        <v>104448</v>
      </c>
      <c r="BO50" s="81">
        <f t="shared" si="31"/>
        <v>110003.32800000001</v>
      </c>
      <c r="BP50" s="81">
        <f t="shared" si="32"/>
        <v>210246.39999999999</v>
      </c>
      <c r="BQ50" s="81">
        <f t="shared" si="33"/>
        <v>198016</v>
      </c>
      <c r="BR50" s="81">
        <f t="shared" si="34"/>
        <v>208547.97600000002</v>
      </c>
      <c r="BS50" s="199">
        <f t="shared" si="17"/>
        <v>97036.800000000003</v>
      </c>
      <c r="BT50" s="199">
        <f t="shared" si="10"/>
        <v>91392</v>
      </c>
      <c r="BU50" s="199">
        <f t="shared" si="11"/>
        <v>96252.912000000011</v>
      </c>
      <c r="BV50" s="112">
        <f>VLOOKUP(E50,'[4]Y2604-Y2608_庫存&amp;銷售'!$F:$AB,17,0)</f>
        <v>16.875</v>
      </c>
      <c r="BW50" s="112">
        <f>VLOOKUP(A50,'[5]Demand inbond in Sep'!$B:$M,12,0)</f>
        <v>100</v>
      </c>
      <c r="BX50" s="112"/>
    </row>
    <row r="51" spans="1:76" x14ac:dyDescent="0.3">
      <c r="A51" s="2">
        <v>522244896317758</v>
      </c>
      <c r="B51" s="19" t="s">
        <v>9</v>
      </c>
      <c r="C51" s="1" t="s">
        <v>46</v>
      </c>
      <c r="D51" s="2">
        <v>80890577</v>
      </c>
      <c r="E51" s="3">
        <v>4987176373854</v>
      </c>
      <c r="F51" s="3">
        <v>4987176373854</v>
      </c>
      <c r="G51" s="4" t="s">
        <v>53</v>
      </c>
      <c r="H51" s="1">
        <v>272</v>
      </c>
      <c r="I51" s="1"/>
      <c r="J51" s="5">
        <v>8</v>
      </c>
      <c r="K51" s="5">
        <v>2310.4</v>
      </c>
      <c r="L51" s="5">
        <v>2246.8000000000002</v>
      </c>
      <c r="M51" s="169">
        <f>38+40</f>
        <v>78</v>
      </c>
      <c r="N51" s="21">
        <f>38+7</f>
        <v>45</v>
      </c>
      <c r="O51" s="250">
        <v>50</v>
      </c>
      <c r="P51" s="24">
        <v>304</v>
      </c>
      <c r="Q51" s="24">
        <v>304</v>
      </c>
      <c r="R51" s="24">
        <v>304</v>
      </c>
      <c r="S51" s="31"/>
      <c r="T51" s="31"/>
      <c r="U51" s="31"/>
      <c r="V51" s="31"/>
      <c r="W51" s="31">
        <v>37</v>
      </c>
      <c r="X51" s="31"/>
      <c r="Y51" s="31">
        <v>38</v>
      </c>
      <c r="Z51" s="31"/>
      <c r="AA51" s="31"/>
      <c r="AB51" s="31">
        <v>3</v>
      </c>
      <c r="AC51" s="31">
        <f t="shared" si="12"/>
        <v>78</v>
      </c>
      <c r="AD51" s="31">
        <v>45</v>
      </c>
      <c r="AE51" s="31"/>
      <c r="AF51" s="31"/>
      <c r="AG51" s="31"/>
      <c r="AH51" s="31">
        <v>0</v>
      </c>
      <c r="AI51" s="31"/>
      <c r="AJ51" s="31"/>
      <c r="AK51" s="31"/>
      <c r="AL51" s="31"/>
      <c r="AM51" s="31"/>
      <c r="AN51" s="31">
        <f t="shared" si="13"/>
        <v>45</v>
      </c>
      <c r="AO51" s="31"/>
      <c r="AP51" s="31">
        <v>38</v>
      </c>
      <c r="AQ51" s="31">
        <v>12</v>
      </c>
      <c r="AR51" s="31"/>
      <c r="AS51" s="31"/>
      <c r="AT51" s="31"/>
      <c r="AU51" s="31"/>
      <c r="AV51" s="31"/>
      <c r="AW51" s="31"/>
      <c r="AX51" s="31">
        <v>30</v>
      </c>
      <c r="AY51" s="31"/>
      <c r="AZ51" s="31"/>
      <c r="BA51" s="31"/>
      <c r="BB51" s="31"/>
      <c r="BC51" s="31"/>
      <c r="BD51" s="31">
        <f t="shared" si="14"/>
        <v>80</v>
      </c>
      <c r="BE51" s="29">
        <f t="shared" si="15"/>
        <v>-30</v>
      </c>
      <c r="BF51" s="29">
        <f t="shared" si="16"/>
        <v>50</v>
      </c>
      <c r="BG51" s="29">
        <f>VLOOKUP(E51,'[3]Y2604-Y2608_庫存&amp;銷售'!$F:$AJ,23,0)</f>
        <v>5.375</v>
      </c>
      <c r="BH51" s="29">
        <f>VLOOKUP(E51,'[3]Y2604-Y2608_庫存&amp;銷售'!$F:$AL,25,0)</f>
        <v>0</v>
      </c>
      <c r="BI51" s="29">
        <f>VLOOKUP(E51,'[3]Y2604-Y2608_庫存&amp;銷售'!$F:$AN,30,0)</f>
        <v>0</v>
      </c>
      <c r="BJ51" s="81">
        <f t="shared" si="26"/>
        <v>180211.20000000001</v>
      </c>
      <c r="BK51" s="81">
        <f t="shared" si="27"/>
        <v>103968</v>
      </c>
      <c r="BL51" s="81">
        <f t="shared" si="28"/>
        <v>115520</v>
      </c>
      <c r="BM51" s="81">
        <f t="shared" si="29"/>
        <v>180211.20000000001</v>
      </c>
      <c r="BN51" s="81">
        <f t="shared" si="30"/>
        <v>169728</v>
      </c>
      <c r="BO51" s="81">
        <f t="shared" si="31"/>
        <v>178755.40800000002</v>
      </c>
      <c r="BP51" s="81">
        <f t="shared" si="32"/>
        <v>103968</v>
      </c>
      <c r="BQ51" s="81">
        <f t="shared" si="33"/>
        <v>97920</v>
      </c>
      <c r="BR51" s="81">
        <f t="shared" si="34"/>
        <v>103128.12000000001</v>
      </c>
      <c r="BS51" s="199">
        <f t="shared" si="17"/>
        <v>184832</v>
      </c>
      <c r="BT51" s="199">
        <f t="shared" si="10"/>
        <v>174080</v>
      </c>
      <c r="BU51" s="199">
        <f t="shared" si="11"/>
        <v>183338.88000000003</v>
      </c>
      <c r="BV51" s="112">
        <f>VLOOKUP(E51,'[4]Y2604-Y2608_庫存&amp;銷售'!$F:$AB,17,0)</f>
        <v>48.75</v>
      </c>
      <c r="BW51" s="112">
        <f>VLOOKUP(A51,'[5]Demand inbond in Sep'!$B:$M,12,0)</f>
        <v>50</v>
      </c>
      <c r="BX51" s="112"/>
    </row>
    <row r="52" spans="1:76" x14ac:dyDescent="0.3">
      <c r="A52" s="2">
        <v>522244896317759</v>
      </c>
      <c r="B52" s="19" t="s">
        <v>9</v>
      </c>
      <c r="C52" s="1" t="s">
        <v>46</v>
      </c>
      <c r="D52" s="2">
        <v>80890583</v>
      </c>
      <c r="E52" s="3">
        <v>4987176373915</v>
      </c>
      <c r="F52" s="3">
        <v>4987176373915</v>
      </c>
      <c r="G52" s="4" t="s">
        <v>54</v>
      </c>
      <c r="H52" s="1">
        <v>272</v>
      </c>
      <c r="I52" s="1"/>
      <c r="J52" s="5">
        <v>8</v>
      </c>
      <c r="K52" s="5">
        <v>2310.4</v>
      </c>
      <c r="L52" s="5">
        <v>2246.8000000000002</v>
      </c>
      <c r="M52" s="115">
        <v>73.34109429569267</v>
      </c>
      <c r="N52" s="21">
        <f>VLOOKUP(E52,'[1]Demand inbond in Aug'!$C:$J,8,0)</f>
        <v>0</v>
      </c>
      <c r="O52" s="250">
        <v>80</v>
      </c>
      <c r="P52" s="24">
        <v>584</v>
      </c>
      <c r="Q52" s="24">
        <v>584</v>
      </c>
      <c r="R52" s="24">
        <v>584</v>
      </c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>
        <f t="shared" si="12"/>
        <v>0</v>
      </c>
      <c r="AD52" s="31"/>
      <c r="AE52" s="31">
        <v>47</v>
      </c>
      <c r="AF52" s="31">
        <v>26</v>
      </c>
      <c r="AG52" s="31"/>
      <c r="AH52" s="31"/>
      <c r="AI52" s="31"/>
      <c r="AJ52" s="31"/>
      <c r="AK52" s="31"/>
      <c r="AL52" s="31"/>
      <c r="AM52" s="31"/>
      <c r="AN52" s="31">
        <f t="shared" si="13"/>
        <v>73</v>
      </c>
      <c r="AO52" s="31"/>
      <c r="AP52" s="31">
        <v>0</v>
      </c>
      <c r="AQ52" s="254">
        <v>0</v>
      </c>
      <c r="AR52" s="31"/>
      <c r="AS52" s="31"/>
      <c r="AT52" s="31"/>
      <c r="AU52" s="31"/>
      <c r="AV52" s="31"/>
      <c r="AW52" s="31"/>
      <c r="AX52" s="31">
        <v>80</v>
      </c>
      <c r="AY52" s="31"/>
      <c r="AZ52" s="31">
        <v>0</v>
      </c>
      <c r="BA52" s="31"/>
      <c r="BB52" s="31"/>
      <c r="BC52" s="31"/>
      <c r="BD52" s="31">
        <f t="shared" si="14"/>
        <v>80</v>
      </c>
      <c r="BE52" s="29">
        <f t="shared" si="15"/>
        <v>0</v>
      </c>
      <c r="BF52" s="29">
        <f t="shared" si="16"/>
        <v>0</v>
      </c>
      <c r="BG52" s="29">
        <f>VLOOKUP(E52,'[3]Y2604-Y2608_庫存&amp;銷售'!$F:$AJ,23,0)</f>
        <v>10.5</v>
      </c>
      <c r="BH52" s="29">
        <f>VLOOKUP(E52,'[3]Y2604-Y2608_庫存&amp;銷售'!$F:$AL,25,0)</f>
        <v>0</v>
      </c>
      <c r="BI52" s="29">
        <f>VLOOKUP(E52,'[3]Y2604-Y2608_庫存&amp;銷售'!$F:$AN,30,0)</f>
        <v>0</v>
      </c>
      <c r="BJ52" s="81">
        <f t="shared" si="26"/>
        <v>169447.26426076837</v>
      </c>
      <c r="BK52" s="81">
        <f t="shared" si="27"/>
        <v>0</v>
      </c>
      <c r="BL52" s="81">
        <f t="shared" si="28"/>
        <v>184832</v>
      </c>
      <c r="BM52" s="81">
        <f t="shared" si="29"/>
        <v>0</v>
      </c>
      <c r="BN52" s="81">
        <f t="shared" si="30"/>
        <v>0</v>
      </c>
      <c r="BO52" s="81">
        <f t="shared" si="31"/>
        <v>0</v>
      </c>
      <c r="BP52" s="81">
        <f t="shared" si="32"/>
        <v>168659.20000000001</v>
      </c>
      <c r="BQ52" s="81">
        <f t="shared" si="33"/>
        <v>158848</v>
      </c>
      <c r="BR52" s="81">
        <f t="shared" si="34"/>
        <v>167296.72800000003</v>
      </c>
      <c r="BS52" s="199">
        <f t="shared" si="17"/>
        <v>184832</v>
      </c>
      <c r="BT52" s="199">
        <f t="shared" si="10"/>
        <v>174080</v>
      </c>
      <c r="BU52" s="199">
        <f t="shared" si="11"/>
        <v>183338.88000000003</v>
      </c>
      <c r="BV52" s="112">
        <f>VLOOKUP(E52,'[4]Y2604-Y2608_庫存&amp;銷售'!$F:$AB,17,0)</f>
        <v>34.125</v>
      </c>
      <c r="BW52" s="112">
        <f>VLOOKUP(A52,'[5]Demand inbond in Sep'!$B:$M,12,0)</f>
        <v>80</v>
      </c>
      <c r="BX52" s="112"/>
    </row>
    <row r="53" spans="1:76" x14ac:dyDescent="0.3">
      <c r="A53" s="2">
        <v>522244896317760</v>
      </c>
      <c r="B53" s="19" t="s">
        <v>9</v>
      </c>
      <c r="C53" s="1" t="s">
        <v>46</v>
      </c>
      <c r="D53" s="2">
        <v>80890581</v>
      </c>
      <c r="E53" s="3">
        <v>4987176373892</v>
      </c>
      <c r="F53" s="3">
        <v>4987176373892</v>
      </c>
      <c r="G53" s="4" t="s">
        <v>55</v>
      </c>
      <c r="H53" s="1">
        <v>272</v>
      </c>
      <c r="I53" s="1"/>
      <c r="J53" s="5">
        <v>8</v>
      </c>
      <c r="K53" s="5">
        <v>2310.4</v>
      </c>
      <c r="L53" s="5">
        <v>2246.8000000000002</v>
      </c>
      <c r="M53" s="115">
        <v>120</v>
      </c>
      <c r="N53" s="21">
        <v>120</v>
      </c>
      <c r="O53" s="23">
        <f>VLOOKUP(D53,'[2]Data for PV'!$B:$L,11,0)</f>
        <v>130.97949886104783</v>
      </c>
      <c r="P53" s="24">
        <v>960</v>
      </c>
      <c r="Q53" s="24">
        <v>960</v>
      </c>
      <c r="R53" s="24">
        <v>960</v>
      </c>
      <c r="S53" s="31"/>
      <c r="T53" s="31"/>
      <c r="U53" s="31"/>
      <c r="V53" s="31"/>
      <c r="W53" s="31"/>
      <c r="X53" s="31"/>
      <c r="Y53" s="31">
        <v>120</v>
      </c>
      <c r="Z53" s="31"/>
      <c r="AA53" s="31"/>
      <c r="AB53" s="31">
        <v>0</v>
      </c>
      <c r="AC53" s="31">
        <f t="shared" si="12"/>
        <v>120</v>
      </c>
      <c r="AD53" s="31">
        <v>120</v>
      </c>
      <c r="AE53" s="31"/>
      <c r="AF53" s="31"/>
      <c r="AG53" s="31"/>
      <c r="AH53" s="31"/>
      <c r="AI53" s="31"/>
      <c r="AJ53" s="31"/>
      <c r="AK53" s="31"/>
      <c r="AL53" s="31"/>
      <c r="AM53" s="31"/>
      <c r="AN53" s="31">
        <f t="shared" si="13"/>
        <v>120</v>
      </c>
      <c r="AO53" s="31"/>
      <c r="AP53" s="31">
        <v>100</v>
      </c>
      <c r="AQ53" s="31"/>
      <c r="AR53" s="31"/>
      <c r="AS53" s="31"/>
      <c r="AT53" s="31"/>
      <c r="AU53" s="31"/>
      <c r="AV53" s="31"/>
      <c r="AW53" s="31"/>
      <c r="AX53" s="31">
        <v>31</v>
      </c>
      <c r="AY53" s="31"/>
      <c r="AZ53" s="31">
        <v>100</v>
      </c>
      <c r="BA53" s="31"/>
      <c r="BB53" s="31"/>
      <c r="BC53" s="31"/>
      <c r="BD53" s="31">
        <f t="shared" si="14"/>
        <v>231</v>
      </c>
      <c r="BE53" s="29">
        <f t="shared" si="15"/>
        <v>-100.02050113895217</v>
      </c>
      <c r="BF53" s="29">
        <f t="shared" si="16"/>
        <v>100</v>
      </c>
      <c r="BG53" s="29">
        <f>VLOOKUP(E53,'[3]Y2604-Y2608_庫存&amp;銷售'!$F:$AJ,23,0)</f>
        <v>26.625</v>
      </c>
      <c r="BH53" s="29">
        <f>VLOOKUP(E53,'[3]Y2604-Y2608_庫存&amp;銷售'!$F:$AL,25,0)</f>
        <v>0</v>
      </c>
      <c r="BI53" s="29">
        <f>VLOOKUP(E53,'[3]Y2604-Y2608_庫存&amp;銷售'!$F:$AN,30,0)</f>
        <v>0</v>
      </c>
      <c r="BJ53" s="81">
        <f t="shared" si="26"/>
        <v>277248</v>
      </c>
      <c r="BK53" s="81">
        <f t="shared" si="27"/>
        <v>277248</v>
      </c>
      <c r="BL53" s="81">
        <f t="shared" si="28"/>
        <v>302615.03416856489</v>
      </c>
      <c r="BM53" s="81">
        <f t="shared" si="29"/>
        <v>277248</v>
      </c>
      <c r="BN53" s="81">
        <f t="shared" si="30"/>
        <v>261120</v>
      </c>
      <c r="BO53" s="81">
        <f t="shared" si="31"/>
        <v>275008.32000000007</v>
      </c>
      <c r="BP53" s="81">
        <f t="shared" si="32"/>
        <v>277248</v>
      </c>
      <c r="BQ53" s="81">
        <f t="shared" si="33"/>
        <v>261120</v>
      </c>
      <c r="BR53" s="81">
        <f t="shared" si="34"/>
        <v>275008.32000000007</v>
      </c>
      <c r="BS53" s="199">
        <f t="shared" si="17"/>
        <v>533702.40000000002</v>
      </c>
      <c r="BT53" s="199">
        <f t="shared" si="10"/>
        <v>502656</v>
      </c>
      <c r="BU53" s="199">
        <f t="shared" si="11"/>
        <v>529391.01600000006</v>
      </c>
      <c r="BV53" s="112">
        <f>VLOOKUP(E53,'[4]Y2604-Y2608_庫存&amp;銷售'!$F:$AB,17,0)</f>
        <v>147.875</v>
      </c>
      <c r="BW53" s="112">
        <f>VLOOKUP(A53,'[5]Demand inbond in Sep'!$B:$M,12,0)</f>
        <v>131</v>
      </c>
      <c r="BX53" s="112"/>
    </row>
    <row r="54" spans="1:76" ht="15" x14ac:dyDescent="0.35">
      <c r="A54" s="2">
        <v>435649257603072</v>
      </c>
      <c r="B54" s="19" t="s">
        <v>56</v>
      </c>
      <c r="C54" s="1" t="s">
        <v>57</v>
      </c>
      <c r="D54" s="2">
        <v>80838273</v>
      </c>
      <c r="E54" s="3">
        <v>14987176232868</v>
      </c>
      <c r="F54" s="3">
        <v>4987176232861</v>
      </c>
      <c r="G54" s="263" t="s">
        <v>58</v>
      </c>
      <c r="H54" s="1">
        <v>1231</v>
      </c>
      <c r="I54" s="106" t="s">
        <v>288</v>
      </c>
      <c r="J54" s="5">
        <v>1</v>
      </c>
      <c r="K54" s="5">
        <v>1464</v>
      </c>
      <c r="L54" s="5">
        <v>1406.69</v>
      </c>
      <c r="M54" s="115">
        <v>0</v>
      </c>
      <c r="N54" s="21"/>
      <c r="O54" s="23">
        <v>0</v>
      </c>
      <c r="P54" s="24">
        <f t="shared" ref="P54:P60" si="39">M54*J54</f>
        <v>0</v>
      </c>
      <c r="Q54" s="24">
        <f t="shared" ref="Q54:Q59" si="40">N54*J54</f>
        <v>0</v>
      </c>
      <c r="R54" s="24">
        <f t="shared" ref="R54:R61" si="41">O54*J54</f>
        <v>0</v>
      </c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>
        <f t="shared" si="12"/>
        <v>0</v>
      </c>
      <c r="AD54" s="31"/>
      <c r="AE54" s="31"/>
      <c r="AF54" s="31"/>
      <c r="AG54" s="31"/>
      <c r="AH54" s="31"/>
      <c r="AI54" s="31"/>
      <c r="AJ54" s="31"/>
      <c r="AK54" s="31"/>
      <c r="AL54" s="31">
        <v>288</v>
      </c>
      <c r="AM54" s="31">
        <v>31</v>
      </c>
      <c r="AN54" s="31">
        <f t="shared" si="13"/>
        <v>319</v>
      </c>
      <c r="AO54" s="31"/>
      <c r="AP54" s="31"/>
      <c r="AQ54" s="31">
        <v>24</v>
      </c>
      <c r="AR54" s="254">
        <v>0</v>
      </c>
      <c r="AS54" s="254">
        <v>0</v>
      </c>
      <c r="AT54" s="31"/>
      <c r="AU54" s="254">
        <v>0</v>
      </c>
      <c r="AV54" s="31"/>
      <c r="AW54" s="31"/>
      <c r="AX54" s="31"/>
      <c r="AY54" s="31"/>
      <c r="AZ54" s="31">
        <v>300</v>
      </c>
      <c r="BA54" s="31"/>
      <c r="BB54" s="31"/>
      <c r="BC54" s="31"/>
      <c r="BD54" s="31">
        <f t="shared" si="14"/>
        <v>324</v>
      </c>
      <c r="BE54" s="29">
        <f>O54-BD54</f>
        <v>-324</v>
      </c>
      <c r="BF54" s="29">
        <f t="shared" si="16"/>
        <v>24</v>
      </c>
      <c r="BG54" s="29">
        <f>VLOOKUP(E54,'[3]Y2604-Y2608_庫存&amp;銷售'!$F:$AJ,23,0)</f>
        <v>47</v>
      </c>
      <c r="BH54" s="29">
        <f>VLOOKUP(E54,'[3]Y2604-Y2608_庫存&amp;銷售'!$F:$AL,25,0)</f>
        <v>0</v>
      </c>
      <c r="BI54" s="29">
        <f>VLOOKUP(E54,'[3]Y2604-Y2608_庫存&amp;銷售'!$F:$AN,30,0)</f>
        <v>0</v>
      </c>
      <c r="BJ54" s="81">
        <f t="shared" si="26"/>
        <v>0</v>
      </c>
      <c r="BK54" s="81">
        <f t="shared" si="27"/>
        <v>0</v>
      </c>
      <c r="BL54" s="81">
        <f t="shared" si="28"/>
        <v>0</v>
      </c>
      <c r="BM54" s="81">
        <f t="shared" ref="BM54:BM85" si="42">AC54*K54</f>
        <v>0</v>
      </c>
      <c r="BN54" s="81">
        <f t="shared" ref="BN54:BN85" si="43">AC54*H54*J54</f>
        <v>0</v>
      </c>
      <c r="BO54" s="81">
        <f t="shared" ref="BO54:BO85" si="44">L54*1.02*AC54</f>
        <v>0</v>
      </c>
      <c r="BP54" s="81">
        <f t="shared" si="32"/>
        <v>467016</v>
      </c>
      <c r="BQ54" s="81">
        <f t="shared" si="33"/>
        <v>392689</v>
      </c>
      <c r="BR54" s="81">
        <f t="shared" si="34"/>
        <v>457708.79220000003</v>
      </c>
      <c r="BS54" s="199">
        <f t="shared" si="17"/>
        <v>474336</v>
      </c>
      <c r="BT54" s="199">
        <f t="shared" si="10"/>
        <v>398844</v>
      </c>
      <c r="BU54" s="199">
        <f t="shared" si="11"/>
        <v>464882.91120000003</v>
      </c>
      <c r="BV54" s="112">
        <f>VLOOKUP(E54,'[4]Y2604-Y2608_庫存&amp;銷售'!$F:$AB,17,0)</f>
        <v>178</v>
      </c>
      <c r="BW54" s="112">
        <f>VLOOKUP(D54,'[7]supply check '!$G:$I,3,0)</f>
        <v>1105</v>
      </c>
      <c r="BX54" s="112"/>
    </row>
    <row r="55" spans="1:76" ht="15" x14ac:dyDescent="0.35">
      <c r="A55" s="2">
        <v>435649257603073</v>
      </c>
      <c r="B55" s="19" t="s">
        <v>56</v>
      </c>
      <c r="C55" s="1" t="s">
        <v>57</v>
      </c>
      <c r="D55" s="2">
        <v>80838274</v>
      </c>
      <c r="E55" s="3">
        <v>14987176232851</v>
      </c>
      <c r="F55" s="3">
        <v>4987176232854</v>
      </c>
      <c r="G55" s="4" t="s">
        <v>59</v>
      </c>
      <c r="H55" s="1">
        <v>1231</v>
      </c>
      <c r="I55" s="106" t="s">
        <v>288</v>
      </c>
      <c r="J55" s="5">
        <v>1</v>
      </c>
      <c r="K55" s="5">
        <v>1464</v>
      </c>
      <c r="L55" s="5">
        <v>1406.69</v>
      </c>
      <c r="M55" s="115">
        <v>0</v>
      </c>
      <c r="N55" s="21"/>
      <c r="O55" s="23">
        <v>784</v>
      </c>
      <c r="P55" s="24">
        <f t="shared" si="39"/>
        <v>0</v>
      </c>
      <c r="Q55" s="24">
        <f t="shared" si="40"/>
        <v>0</v>
      </c>
      <c r="R55" s="24">
        <f t="shared" si="41"/>
        <v>784</v>
      </c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>
        <f t="shared" si="12"/>
        <v>0</v>
      </c>
      <c r="AD55" s="31"/>
      <c r="AE55" s="31"/>
      <c r="AF55" s="31"/>
      <c r="AG55" s="31">
        <v>59</v>
      </c>
      <c r="AH55" s="31"/>
      <c r="AI55" s="31"/>
      <c r="AJ55" s="31"/>
      <c r="AK55" s="31"/>
      <c r="AL55" s="31">
        <v>648</v>
      </c>
      <c r="AM55" s="31">
        <v>8</v>
      </c>
      <c r="AN55" s="31">
        <f t="shared" si="13"/>
        <v>715</v>
      </c>
      <c r="AO55" s="31"/>
      <c r="AP55" s="31"/>
      <c r="AQ55" s="31"/>
      <c r="AR55" s="254">
        <v>308</v>
      </c>
      <c r="AS55" s="254">
        <v>0</v>
      </c>
      <c r="AT55" s="254">
        <v>15</v>
      </c>
      <c r="AU55" s="254">
        <v>54</v>
      </c>
      <c r="AV55" s="31"/>
      <c r="AW55" s="31"/>
      <c r="AX55" s="31"/>
      <c r="AY55" s="31"/>
      <c r="AZ55" s="31">
        <v>439</v>
      </c>
      <c r="BA55" s="31"/>
      <c r="BB55" s="31"/>
      <c r="BC55" s="31"/>
      <c r="BD55" s="31">
        <f t="shared" si="14"/>
        <v>816</v>
      </c>
      <c r="BE55" s="29">
        <f t="shared" ref="BE55:BE92" si="45">O55-BD55</f>
        <v>-32</v>
      </c>
      <c r="BF55" s="29">
        <f t="shared" si="16"/>
        <v>377</v>
      </c>
      <c r="BG55" s="29">
        <f>VLOOKUP(E55,'[3]Y2604-Y2608_庫存&amp;銷售'!$F:$AJ,23,0)</f>
        <v>86</v>
      </c>
      <c r="BH55" s="29">
        <f>VLOOKUP(E55,'[3]Y2604-Y2608_庫存&amp;銷售'!$F:$AL,25,0)</f>
        <v>0</v>
      </c>
      <c r="BI55" s="29">
        <f>VLOOKUP(E55,'[3]Y2604-Y2608_庫存&amp;銷售'!$F:$AN,30,0)</f>
        <v>0</v>
      </c>
      <c r="BJ55" s="81">
        <f t="shared" si="26"/>
        <v>0</v>
      </c>
      <c r="BK55" s="81">
        <f t="shared" si="27"/>
        <v>0</v>
      </c>
      <c r="BL55" s="81">
        <f t="shared" si="28"/>
        <v>1147776</v>
      </c>
      <c r="BM55" s="81">
        <f t="shared" si="42"/>
        <v>0</v>
      </c>
      <c r="BN55" s="81">
        <f t="shared" si="43"/>
        <v>0</v>
      </c>
      <c r="BO55" s="81">
        <f t="shared" si="44"/>
        <v>0</v>
      </c>
      <c r="BP55" s="81">
        <f t="shared" si="32"/>
        <v>1046760</v>
      </c>
      <c r="BQ55" s="81">
        <f t="shared" si="33"/>
        <v>880165</v>
      </c>
      <c r="BR55" s="81">
        <f t="shared" si="34"/>
        <v>1025899.0170000001</v>
      </c>
      <c r="BS55" s="199">
        <f t="shared" si="17"/>
        <v>1194624</v>
      </c>
      <c r="BT55" s="199">
        <f t="shared" si="10"/>
        <v>1004496</v>
      </c>
      <c r="BU55" s="199">
        <f t="shared" si="11"/>
        <v>1170816.2208</v>
      </c>
      <c r="BV55" s="112">
        <f>VLOOKUP(E55,'[4]Y2604-Y2608_庫存&amp;銷售'!$F:$AB,17,0)</f>
        <v>334</v>
      </c>
      <c r="BW55" s="112">
        <f>VLOOKUP(D55,'[7]supply check '!$G:$I,3,0)</f>
        <v>889</v>
      </c>
      <c r="BX55" s="112"/>
    </row>
    <row r="56" spans="1:76" ht="15" x14ac:dyDescent="0.35">
      <c r="A56" s="2">
        <v>435649261797376</v>
      </c>
      <c r="B56" s="19" t="s">
        <v>56</v>
      </c>
      <c r="C56" s="1" t="s">
        <v>57</v>
      </c>
      <c r="D56" s="2">
        <v>80838275</v>
      </c>
      <c r="E56" s="3">
        <v>14987176232875</v>
      </c>
      <c r="F56" s="3">
        <v>4987176232878</v>
      </c>
      <c r="G56" s="4" t="s">
        <v>60</v>
      </c>
      <c r="H56" s="1">
        <v>1175</v>
      </c>
      <c r="I56" s="106" t="s">
        <v>288</v>
      </c>
      <c r="J56" s="5">
        <v>1</v>
      </c>
      <c r="K56" s="5">
        <v>1386</v>
      </c>
      <c r="L56" s="5">
        <v>1330.45</v>
      </c>
      <c r="M56" s="115">
        <v>0</v>
      </c>
      <c r="N56" s="21"/>
      <c r="O56" s="23">
        <v>4000</v>
      </c>
      <c r="P56" s="24">
        <f t="shared" si="39"/>
        <v>0</v>
      </c>
      <c r="Q56" s="24">
        <f t="shared" si="40"/>
        <v>0</v>
      </c>
      <c r="R56" s="24">
        <f t="shared" si="41"/>
        <v>4000</v>
      </c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>
        <f t="shared" si="12"/>
        <v>0</v>
      </c>
      <c r="AD56" s="31"/>
      <c r="AE56" s="31">
        <v>397</v>
      </c>
      <c r="AF56" s="31"/>
      <c r="AG56" s="31">
        <v>963</v>
      </c>
      <c r="AH56" s="31"/>
      <c r="AI56" s="31"/>
      <c r="AJ56" s="31"/>
      <c r="AK56" s="31"/>
      <c r="AL56" s="32">
        <v>312</v>
      </c>
      <c r="AM56" s="31">
        <v>0</v>
      </c>
      <c r="AN56" s="31">
        <f t="shared" si="13"/>
        <v>1672</v>
      </c>
      <c r="AO56" s="31"/>
      <c r="AP56" s="31"/>
      <c r="AQ56" s="31">
        <v>200</v>
      </c>
      <c r="AR56" s="31">
        <v>1000</v>
      </c>
      <c r="AS56" s="31">
        <v>2906</v>
      </c>
      <c r="AT56" s="31"/>
      <c r="AU56" s="31">
        <v>80</v>
      </c>
      <c r="AV56" s="31"/>
      <c r="AW56" s="31"/>
      <c r="AX56" s="31"/>
      <c r="AY56" s="31"/>
      <c r="AZ56" s="31"/>
      <c r="BA56" s="31"/>
      <c r="BB56" s="31"/>
      <c r="BC56" s="31"/>
      <c r="BD56" s="31">
        <f t="shared" si="14"/>
        <v>4186</v>
      </c>
      <c r="BE56" s="29">
        <f t="shared" si="45"/>
        <v>-186</v>
      </c>
      <c r="BF56" s="29">
        <f t="shared" si="16"/>
        <v>4186</v>
      </c>
      <c r="BG56" s="29">
        <f>VLOOKUP(E56,'[3]Y2604-Y2608_庫存&amp;銷售'!$F:$AJ,23,0)</f>
        <v>194</v>
      </c>
      <c r="BH56" s="29">
        <f>VLOOKUP(E56,'[3]Y2604-Y2608_庫存&amp;銷售'!$F:$AL,25,0)</f>
        <v>0</v>
      </c>
      <c r="BI56" s="29">
        <f>VLOOKUP(E56,'[3]Y2604-Y2608_庫存&amp;銷售'!$F:$AN,30,0)</f>
        <v>0</v>
      </c>
      <c r="BJ56" s="81">
        <f t="shared" si="26"/>
        <v>0</v>
      </c>
      <c r="BK56" s="81">
        <f t="shared" si="27"/>
        <v>0</v>
      </c>
      <c r="BL56" s="81">
        <f t="shared" si="28"/>
        <v>5544000</v>
      </c>
      <c r="BM56" s="81">
        <f t="shared" si="42"/>
        <v>0</v>
      </c>
      <c r="BN56" s="81">
        <f t="shared" si="43"/>
        <v>0</v>
      </c>
      <c r="BO56" s="81">
        <f t="shared" si="44"/>
        <v>0</v>
      </c>
      <c r="BP56" s="81">
        <f t="shared" si="32"/>
        <v>2317392</v>
      </c>
      <c r="BQ56" s="81">
        <f t="shared" si="33"/>
        <v>1964600</v>
      </c>
      <c r="BR56" s="81">
        <f t="shared" si="34"/>
        <v>2269002.648</v>
      </c>
      <c r="BS56" s="199">
        <f t="shared" si="17"/>
        <v>5801796</v>
      </c>
      <c r="BT56" s="199">
        <f t="shared" si="10"/>
        <v>4918550</v>
      </c>
      <c r="BU56" s="199">
        <f t="shared" si="11"/>
        <v>5680648.9739999995</v>
      </c>
      <c r="BV56" s="112">
        <f>VLOOKUP(E56,'[4]Y2604-Y2608_庫存&amp;銷售'!$F:$AB,17,0)</f>
        <v>868</v>
      </c>
      <c r="BW56" s="112">
        <f>VLOOKUP(D56,'[7]supply check '!$G:$I,3,0)</f>
        <v>4423</v>
      </c>
      <c r="BX56" s="112"/>
    </row>
    <row r="57" spans="1:76" ht="15" x14ac:dyDescent="0.35">
      <c r="A57" s="2">
        <v>435649261830144</v>
      </c>
      <c r="B57" s="19" t="s">
        <v>56</v>
      </c>
      <c r="C57" s="1" t="s">
        <v>57</v>
      </c>
      <c r="D57" s="2">
        <v>80838270</v>
      </c>
      <c r="E57" s="3">
        <v>14987176232882</v>
      </c>
      <c r="F57" s="3">
        <v>4987176232885</v>
      </c>
      <c r="G57" s="4" t="s">
        <v>61</v>
      </c>
      <c r="H57" s="1">
        <v>1175</v>
      </c>
      <c r="I57" s="106" t="s">
        <v>288</v>
      </c>
      <c r="J57" s="5">
        <v>1</v>
      </c>
      <c r="K57" s="5">
        <v>1386</v>
      </c>
      <c r="L57" s="5">
        <v>1330.45</v>
      </c>
      <c r="M57" s="115">
        <v>0</v>
      </c>
      <c r="N57" s="21"/>
      <c r="O57" s="23">
        <v>1184</v>
      </c>
      <c r="P57" s="24">
        <f t="shared" si="39"/>
        <v>0</v>
      </c>
      <c r="Q57" s="24">
        <f t="shared" si="40"/>
        <v>0</v>
      </c>
      <c r="R57" s="24">
        <f t="shared" si="41"/>
        <v>1184</v>
      </c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>
        <f t="shared" si="12"/>
        <v>0</v>
      </c>
      <c r="AD57" s="31"/>
      <c r="AE57" s="31"/>
      <c r="AF57" s="31"/>
      <c r="AG57" s="31"/>
      <c r="AH57" s="31"/>
      <c r="AI57" s="31"/>
      <c r="AJ57" s="31"/>
      <c r="AK57" s="31"/>
      <c r="AL57" s="32">
        <v>1073</v>
      </c>
      <c r="AM57" s="31">
        <v>0</v>
      </c>
      <c r="AN57" s="31">
        <f t="shared" si="13"/>
        <v>1073</v>
      </c>
      <c r="AO57" s="31"/>
      <c r="AP57" s="31"/>
      <c r="AQ57" s="31">
        <v>26</v>
      </c>
      <c r="AR57" s="31">
        <v>779</v>
      </c>
      <c r="AS57" s="31">
        <v>208</v>
      </c>
      <c r="AT57" s="31">
        <v>15</v>
      </c>
      <c r="AU57" s="31">
        <v>156</v>
      </c>
      <c r="AV57" s="31"/>
      <c r="AW57" s="31"/>
      <c r="AX57" s="31"/>
      <c r="AY57" s="31"/>
      <c r="AZ57" s="31"/>
      <c r="BA57" s="31"/>
      <c r="BB57" s="31"/>
      <c r="BC57" s="31"/>
      <c r="BD57" s="31">
        <f t="shared" si="14"/>
        <v>1184</v>
      </c>
      <c r="BE57" s="29">
        <f t="shared" si="45"/>
        <v>0</v>
      </c>
      <c r="BF57" s="29">
        <f t="shared" si="16"/>
        <v>1184</v>
      </c>
      <c r="BG57" s="29">
        <f>VLOOKUP(E57,'[3]Y2604-Y2608_庫存&amp;銷售'!$F:$AJ,23,0)</f>
        <v>107</v>
      </c>
      <c r="BH57" s="29">
        <f>VLOOKUP(E57,'[3]Y2604-Y2608_庫存&amp;銷售'!$F:$AL,25,0)</f>
        <v>0</v>
      </c>
      <c r="BI57" s="29">
        <f>VLOOKUP(E57,'[3]Y2604-Y2608_庫存&amp;銷售'!$F:$AN,30,0)</f>
        <v>0</v>
      </c>
      <c r="BJ57" s="81">
        <f t="shared" si="26"/>
        <v>0</v>
      </c>
      <c r="BK57" s="81">
        <f t="shared" si="27"/>
        <v>0</v>
      </c>
      <c r="BL57" s="81">
        <f t="shared" si="28"/>
        <v>1641024</v>
      </c>
      <c r="BM57" s="81">
        <f t="shared" si="42"/>
        <v>0</v>
      </c>
      <c r="BN57" s="81">
        <f t="shared" si="43"/>
        <v>0</v>
      </c>
      <c r="BO57" s="81">
        <f t="shared" si="44"/>
        <v>0</v>
      </c>
      <c r="BP57" s="81">
        <f t="shared" si="32"/>
        <v>1487178</v>
      </c>
      <c r="BQ57" s="81">
        <f t="shared" si="33"/>
        <v>1260775</v>
      </c>
      <c r="BR57" s="81">
        <f t="shared" si="34"/>
        <v>1456124.307</v>
      </c>
      <c r="BS57" s="199">
        <f t="shared" si="17"/>
        <v>1641024</v>
      </c>
      <c r="BT57" s="199">
        <f t="shared" si="10"/>
        <v>1391200</v>
      </c>
      <c r="BU57" s="199">
        <f t="shared" si="11"/>
        <v>1606757.8559999999</v>
      </c>
      <c r="BV57" s="112">
        <f>VLOOKUP(E57,'[4]Y2604-Y2608_庫存&amp;銷售'!$F:$AB,17,0)</f>
        <v>557</v>
      </c>
      <c r="BW57" s="112">
        <f>VLOOKUP(D57,'[7]supply check '!$G:$I,3,0)</f>
        <v>1365</v>
      </c>
      <c r="BX57" s="112"/>
    </row>
    <row r="58" spans="1:76" ht="15" x14ac:dyDescent="0.35">
      <c r="A58" s="2">
        <v>435649261846529</v>
      </c>
      <c r="B58" s="19" t="s">
        <v>56</v>
      </c>
      <c r="C58" s="1" t="s">
        <v>57</v>
      </c>
      <c r="D58" s="2">
        <v>80838272</v>
      </c>
      <c r="E58" s="3">
        <v>14987176232844</v>
      </c>
      <c r="F58" s="3">
        <v>4987176232847</v>
      </c>
      <c r="G58" s="4" t="s">
        <v>191</v>
      </c>
      <c r="H58" s="1">
        <v>1175</v>
      </c>
      <c r="I58" s="106" t="s">
        <v>288</v>
      </c>
      <c r="J58" s="5">
        <v>1</v>
      </c>
      <c r="K58" s="5">
        <v>1386</v>
      </c>
      <c r="L58" s="5">
        <v>1330.45</v>
      </c>
      <c r="M58" s="115">
        <v>0</v>
      </c>
      <c r="N58" s="21"/>
      <c r="O58" s="23">
        <v>1000</v>
      </c>
      <c r="P58" s="24">
        <f t="shared" si="39"/>
        <v>0</v>
      </c>
      <c r="Q58" s="24">
        <f t="shared" si="40"/>
        <v>0</v>
      </c>
      <c r="R58" s="24">
        <f t="shared" si="41"/>
        <v>1000</v>
      </c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>
        <f t="shared" si="12"/>
        <v>0</v>
      </c>
      <c r="AD58" s="31"/>
      <c r="AE58" s="31"/>
      <c r="AF58" s="31"/>
      <c r="AG58" s="31"/>
      <c r="AH58" s="31"/>
      <c r="AI58" s="31"/>
      <c r="AJ58" s="31"/>
      <c r="AK58" s="31"/>
      <c r="AL58" s="31">
        <v>616</v>
      </c>
      <c r="AM58" s="31">
        <v>5</v>
      </c>
      <c r="AN58" s="31">
        <f t="shared" si="13"/>
        <v>621</v>
      </c>
      <c r="AO58" s="31"/>
      <c r="AP58" s="31"/>
      <c r="AQ58" s="31">
        <v>44</v>
      </c>
      <c r="AR58" s="31">
        <v>512</v>
      </c>
      <c r="AS58" s="31"/>
      <c r="AT58" s="31"/>
      <c r="AU58" s="31">
        <v>44</v>
      </c>
      <c r="AV58" s="31"/>
      <c r="AW58" s="31"/>
      <c r="AX58" s="31"/>
      <c r="AY58" s="31"/>
      <c r="AZ58" s="31"/>
      <c r="BA58" s="31"/>
      <c r="BB58" s="31"/>
      <c r="BC58" s="31"/>
      <c r="BD58" s="31">
        <f t="shared" si="14"/>
        <v>600</v>
      </c>
      <c r="BE58" s="29">
        <f t="shared" si="45"/>
        <v>400</v>
      </c>
      <c r="BF58" s="29">
        <f t="shared" si="16"/>
        <v>600</v>
      </c>
      <c r="BG58" s="29">
        <f>VLOOKUP(E58,'[3]Y2604-Y2608_庫存&amp;銷售'!$F:$AJ,23,0)</f>
        <v>78</v>
      </c>
      <c r="BH58" s="29">
        <f>VLOOKUP(E58,'[3]Y2604-Y2608_庫存&amp;銷售'!$F:$AL,25,0)</f>
        <v>0</v>
      </c>
      <c r="BI58" s="29">
        <f>VLOOKUP(E58,'[3]Y2604-Y2608_庫存&amp;銷售'!$F:$AN,30,0)</f>
        <v>0</v>
      </c>
      <c r="BJ58" s="81">
        <f t="shared" si="26"/>
        <v>0</v>
      </c>
      <c r="BK58" s="81">
        <f t="shared" si="27"/>
        <v>0</v>
      </c>
      <c r="BL58" s="81">
        <f t="shared" si="28"/>
        <v>1386000</v>
      </c>
      <c r="BM58" s="81">
        <f t="shared" si="42"/>
        <v>0</v>
      </c>
      <c r="BN58" s="81">
        <f t="shared" si="43"/>
        <v>0</v>
      </c>
      <c r="BO58" s="81">
        <f t="shared" si="44"/>
        <v>0</v>
      </c>
      <c r="BP58" s="81">
        <f t="shared" si="32"/>
        <v>860706</v>
      </c>
      <c r="BQ58" s="81">
        <f t="shared" si="33"/>
        <v>729675</v>
      </c>
      <c r="BR58" s="81">
        <f t="shared" si="34"/>
        <v>842733.63899999997</v>
      </c>
      <c r="BS58" s="199">
        <f t="shared" si="17"/>
        <v>831600</v>
      </c>
      <c r="BT58" s="199">
        <f t="shared" si="10"/>
        <v>705000</v>
      </c>
      <c r="BU58" s="199">
        <f t="shared" si="11"/>
        <v>814235.4</v>
      </c>
      <c r="BV58" s="112">
        <f>VLOOKUP(E58,'[4]Y2604-Y2608_庫存&amp;銷售'!$F:$AB,17,0)</f>
        <v>303</v>
      </c>
      <c r="BW58" s="112">
        <f>VLOOKUP(D58,'[7]supply check '!$G:$I,3,0)</f>
        <v>1500</v>
      </c>
      <c r="BX58" s="112"/>
    </row>
    <row r="59" spans="1:76" ht="15" x14ac:dyDescent="0.35">
      <c r="A59" s="2">
        <v>435649261846530</v>
      </c>
      <c r="B59" s="19" t="s">
        <v>56</v>
      </c>
      <c r="C59" s="1" t="s">
        <v>57</v>
      </c>
      <c r="D59" s="2">
        <v>80838271</v>
      </c>
      <c r="E59" s="3">
        <v>14987176232899</v>
      </c>
      <c r="F59" s="3">
        <v>4987176232892</v>
      </c>
      <c r="G59" s="172" t="s">
        <v>62</v>
      </c>
      <c r="H59" s="1">
        <v>1175</v>
      </c>
      <c r="I59" s="106" t="s">
        <v>288</v>
      </c>
      <c r="J59" s="5">
        <v>1</v>
      </c>
      <c r="K59" s="5">
        <v>1386</v>
      </c>
      <c r="L59" s="5">
        <v>1330.45</v>
      </c>
      <c r="M59" s="115">
        <v>0</v>
      </c>
      <c r="N59" s="21"/>
      <c r="O59" s="23">
        <v>2900</v>
      </c>
      <c r="P59" s="24">
        <f t="shared" si="39"/>
        <v>0</v>
      </c>
      <c r="Q59" s="24">
        <f t="shared" si="40"/>
        <v>0</v>
      </c>
      <c r="R59" s="24">
        <f t="shared" si="41"/>
        <v>2900</v>
      </c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>
        <f t="shared" si="12"/>
        <v>0</v>
      </c>
      <c r="AD59" s="31"/>
      <c r="AE59" s="31"/>
      <c r="AF59" s="31"/>
      <c r="AG59" s="173">
        <v>1534</v>
      </c>
      <c r="AH59" s="31"/>
      <c r="AI59" s="31"/>
      <c r="AJ59" s="31"/>
      <c r="AK59" s="31"/>
      <c r="AL59" s="31">
        <v>196</v>
      </c>
      <c r="AM59" s="31">
        <v>276</v>
      </c>
      <c r="AN59" s="31">
        <f t="shared" si="13"/>
        <v>2006</v>
      </c>
      <c r="AO59" s="31">
        <v>254</v>
      </c>
      <c r="AP59" s="31">
        <v>162</v>
      </c>
      <c r="AQ59" s="31">
        <v>162</v>
      </c>
      <c r="AR59" s="31">
        <v>1140</v>
      </c>
      <c r="AS59" s="31">
        <v>513</v>
      </c>
      <c r="AT59" s="31">
        <v>10</v>
      </c>
      <c r="AU59" s="31">
        <v>81</v>
      </c>
      <c r="AV59" s="31"/>
      <c r="AW59" s="31"/>
      <c r="AX59" s="31"/>
      <c r="AY59" s="31"/>
      <c r="AZ59" s="31"/>
      <c r="BA59" s="31"/>
      <c r="BB59" s="31"/>
      <c r="BC59" s="31"/>
      <c r="BD59" s="31">
        <f t="shared" si="14"/>
        <v>2322</v>
      </c>
      <c r="BE59" s="29">
        <f t="shared" si="45"/>
        <v>578</v>
      </c>
      <c r="BF59" s="29">
        <f t="shared" si="16"/>
        <v>2322</v>
      </c>
      <c r="BG59" s="29">
        <f>VLOOKUP(E59,'[3]Y2604-Y2608_庫存&amp;銷售'!$F:$AJ,23,0)</f>
        <v>300</v>
      </c>
      <c r="BH59" s="29">
        <f>VLOOKUP(E59,'[3]Y2604-Y2608_庫存&amp;銷售'!$F:$AL,25,0)</f>
        <v>0</v>
      </c>
      <c r="BI59" s="29">
        <f>VLOOKUP(E59,'[3]Y2604-Y2608_庫存&amp;銷售'!$F:$AN,30,0)</f>
        <v>0</v>
      </c>
      <c r="BJ59" s="81">
        <f t="shared" si="26"/>
        <v>0</v>
      </c>
      <c r="BK59" s="81">
        <f t="shared" si="27"/>
        <v>0</v>
      </c>
      <c r="BL59" s="81">
        <f t="shared" si="28"/>
        <v>4019400</v>
      </c>
      <c r="BM59" s="81">
        <f t="shared" si="42"/>
        <v>0</v>
      </c>
      <c r="BN59" s="81">
        <f t="shared" si="43"/>
        <v>0</v>
      </c>
      <c r="BO59" s="81">
        <f t="shared" si="44"/>
        <v>0</v>
      </c>
      <c r="BP59" s="81">
        <f t="shared" si="32"/>
        <v>2780316</v>
      </c>
      <c r="BQ59" s="81">
        <f t="shared" si="33"/>
        <v>2357050</v>
      </c>
      <c r="BR59" s="81">
        <f t="shared" si="34"/>
        <v>2722260.3539999998</v>
      </c>
      <c r="BS59" s="199">
        <f t="shared" si="17"/>
        <v>3218292</v>
      </c>
      <c r="BT59" s="199">
        <f t="shared" si="10"/>
        <v>2728350</v>
      </c>
      <c r="BU59" s="199">
        <f t="shared" si="11"/>
        <v>3151090.9980000001</v>
      </c>
      <c r="BV59" s="112">
        <f>VLOOKUP(E59,'[4]Y2604-Y2608_庫存&amp;銷售'!$F:$AB,17,0)</f>
        <v>1673</v>
      </c>
      <c r="BW59" s="112">
        <f>VLOOKUP(D59,'[7]supply check '!$G:$I,3,0)</f>
        <v>4300</v>
      </c>
      <c r="BX59" s="112"/>
    </row>
    <row r="60" spans="1:76" ht="15" x14ac:dyDescent="0.35">
      <c r="A60" s="135">
        <v>522244896444615</v>
      </c>
      <c r="B60" s="19" t="s">
        <v>56</v>
      </c>
      <c r="C60" s="1" t="s">
        <v>57</v>
      </c>
      <c r="D60" s="2">
        <v>83902258</v>
      </c>
      <c r="E60" s="2">
        <v>4987176386762</v>
      </c>
      <c r="F60" s="3">
        <v>4987176386762</v>
      </c>
      <c r="G60" s="4" t="s">
        <v>192</v>
      </c>
      <c r="H60" s="1">
        <v>1232</v>
      </c>
      <c r="I60" s="253" t="s">
        <v>409</v>
      </c>
      <c r="J60" s="5">
        <v>1</v>
      </c>
      <c r="K60" s="5">
        <v>1168</v>
      </c>
      <c r="L60" s="5">
        <v>1117.3397</v>
      </c>
      <c r="M60" s="255">
        <v>1120</v>
      </c>
      <c r="N60" s="21"/>
      <c r="O60" s="247">
        <v>200</v>
      </c>
      <c r="P60" s="24">
        <f t="shared" si="39"/>
        <v>1120</v>
      </c>
      <c r="Q60" s="24"/>
      <c r="R60" s="24">
        <f t="shared" si="41"/>
        <v>200</v>
      </c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>
        <f t="shared" si="12"/>
        <v>0</v>
      </c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>
        <f t="shared" si="13"/>
        <v>0</v>
      </c>
      <c r="AO60" s="31">
        <v>200</v>
      </c>
      <c r="AP60" s="31">
        <v>0</v>
      </c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266"/>
      <c r="BC60" s="31"/>
      <c r="BD60" s="31">
        <f t="shared" si="14"/>
        <v>200</v>
      </c>
      <c r="BE60" s="29">
        <f t="shared" si="45"/>
        <v>0</v>
      </c>
      <c r="BF60" s="29">
        <f t="shared" si="16"/>
        <v>200</v>
      </c>
      <c r="BG60" s="29">
        <f>VLOOKUP(E60,'[3]Y2604-Y2608_庫存&amp;銷售'!$F:$AJ,23,0)</f>
        <v>5</v>
      </c>
      <c r="BH60" s="29">
        <f>VLOOKUP(E60,'[3]Y2604-Y2608_庫存&amp;銷售'!$F:$AL,25,0)</f>
        <v>0</v>
      </c>
      <c r="BI60" s="29">
        <f>VLOOKUP(E60,'[3]Y2604-Y2608_庫存&amp;銷售'!$F:$AN,30,0)</f>
        <v>0</v>
      </c>
      <c r="BJ60" s="81">
        <f t="shared" si="26"/>
        <v>1308160</v>
      </c>
      <c r="BK60" s="81">
        <f t="shared" si="27"/>
        <v>0</v>
      </c>
      <c r="BL60" s="81">
        <f t="shared" si="28"/>
        <v>233600</v>
      </c>
      <c r="BM60" s="81">
        <f t="shared" si="42"/>
        <v>0</v>
      </c>
      <c r="BN60" s="81">
        <f t="shared" si="43"/>
        <v>0</v>
      </c>
      <c r="BO60" s="81">
        <f t="shared" si="44"/>
        <v>0</v>
      </c>
      <c r="BP60" s="81">
        <f t="shared" si="32"/>
        <v>0</v>
      </c>
      <c r="BQ60" s="81">
        <f t="shared" si="33"/>
        <v>0</v>
      </c>
      <c r="BR60" s="81">
        <f t="shared" si="34"/>
        <v>0</v>
      </c>
      <c r="BS60" s="199">
        <f t="shared" si="17"/>
        <v>233600</v>
      </c>
      <c r="BT60" s="199">
        <f t="shared" si="10"/>
        <v>246400</v>
      </c>
      <c r="BU60" s="199">
        <f t="shared" si="11"/>
        <v>227937.29880000002</v>
      </c>
      <c r="BV60" s="112">
        <f>VLOOKUP(E60,'[4]Y2604-Y2608_庫存&amp;銷售'!$F:$AB,17,0)</f>
        <v>0</v>
      </c>
      <c r="BW60" s="112">
        <f>VLOOKUP(D60,'[7]supply check '!$G:$I,3,0)</f>
        <v>200</v>
      </c>
      <c r="BX60" s="112"/>
    </row>
    <row r="61" spans="1:76" ht="15" x14ac:dyDescent="0.35">
      <c r="A61" s="135">
        <v>522244896444617</v>
      </c>
      <c r="B61" s="19" t="s">
        <v>56</v>
      </c>
      <c r="C61" s="1" t="s">
        <v>57</v>
      </c>
      <c r="D61" s="2">
        <v>83902254</v>
      </c>
      <c r="E61" s="2">
        <v>4987176386724</v>
      </c>
      <c r="F61" s="3">
        <v>4987176386724</v>
      </c>
      <c r="G61" s="4" t="s">
        <v>193</v>
      </c>
      <c r="H61" s="1">
        <v>1232</v>
      </c>
      <c r="I61" s="253" t="s">
        <v>409</v>
      </c>
      <c r="J61" s="5">
        <v>1</v>
      </c>
      <c r="K61" s="5">
        <v>1168</v>
      </c>
      <c r="L61" s="5">
        <v>1117.3397</v>
      </c>
      <c r="M61" s="255">
        <v>2400</v>
      </c>
      <c r="N61" s="21"/>
      <c r="O61" s="247">
        <v>600</v>
      </c>
      <c r="P61" s="24"/>
      <c r="Q61" s="24"/>
      <c r="R61" s="24">
        <f t="shared" si="41"/>
        <v>600</v>
      </c>
      <c r="S61" s="31"/>
      <c r="T61" s="32"/>
      <c r="U61" s="32">
        <v>1200</v>
      </c>
      <c r="V61" s="31"/>
      <c r="W61" s="31"/>
      <c r="X61" s="31"/>
      <c r="Y61" s="31"/>
      <c r="Z61" s="31"/>
      <c r="AA61" s="31"/>
      <c r="AB61" s="31"/>
      <c r="AC61" s="31">
        <f t="shared" si="12"/>
        <v>0</v>
      </c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>
        <f t="shared" si="13"/>
        <v>0</v>
      </c>
      <c r="AO61" s="31">
        <v>300</v>
      </c>
      <c r="AP61" s="31">
        <v>0</v>
      </c>
      <c r="AQ61" s="31"/>
      <c r="AR61" s="31"/>
      <c r="AS61" s="31">
        <v>0</v>
      </c>
      <c r="AT61" s="31">
        <v>0</v>
      </c>
      <c r="AU61" s="31"/>
      <c r="AV61" s="31"/>
      <c r="AW61" s="31"/>
      <c r="AX61" s="31"/>
      <c r="AY61" s="31"/>
      <c r="AZ61" s="31"/>
      <c r="BA61" s="31"/>
      <c r="BB61" s="266"/>
      <c r="BC61" s="31"/>
      <c r="BD61" s="31">
        <f t="shared" si="14"/>
        <v>300</v>
      </c>
      <c r="BE61" s="29">
        <f t="shared" si="45"/>
        <v>300</v>
      </c>
      <c r="BF61" s="29">
        <f t="shared" si="16"/>
        <v>300</v>
      </c>
      <c r="BG61" s="29">
        <f>VLOOKUP(E61,'[3]Y2604-Y2608_庫存&amp;銷售'!$F:$AJ,23,0)</f>
        <v>16</v>
      </c>
      <c r="BH61" s="29">
        <f>VLOOKUP(E61,'[3]Y2604-Y2608_庫存&amp;銷售'!$F:$AL,25,0)</f>
        <v>0</v>
      </c>
      <c r="BI61" s="29">
        <f>VLOOKUP(E61,'[3]Y2604-Y2608_庫存&amp;銷售'!$F:$AN,30,0)</f>
        <v>0</v>
      </c>
      <c r="BJ61" s="81">
        <f t="shared" si="26"/>
        <v>2803200</v>
      </c>
      <c r="BK61" s="81">
        <f t="shared" si="27"/>
        <v>0</v>
      </c>
      <c r="BL61" s="81">
        <f t="shared" si="28"/>
        <v>700800</v>
      </c>
      <c r="BM61" s="81">
        <f t="shared" si="42"/>
        <v>0</v>
      </c>
      <c r="BN61" s="81">
        <f t="shared" si="43"/>
        <v>0</v>
      </c>
      <c r="BO61" s="81">
        <f t="shared" si="44"/>
        <v>0</v>
      </c>
      <c r="BP61" s="81">
        <f t="shared" si="32"/>
        <v>0</v>
      </c>
      <c r="BQ61" s="81">
        <f t="shared" si="33"/>
        <v>0</v>
      </c>
      <c r="BR61" s="81">
        <f t="shared" si="34"/>
        <v>0</v>
      </c>
      <c r="BS61" s="199">
        <f t="shared" si="17"/>
        <v>350400</v>
      </c>
      <c r="BT61" s="199">
        <f t="shared" si="10"/>
        <v>369600</v>
      </c>
      <c r="BU61" s="199">
        <f t="shared" si="11"/>
        <v>341905.94819999998</v>
      </c>
      <c r="BV61" s="112">
        <f>VLOOKUP(E61,'[4]Y2604-Y2608_庫存&amp;銷售'!$F:$AB,17,0)</f>
        <v>0</v>
      </c>
      <c r="BW61" s="112">
        <f>VLOOKUP(D61,'[7]supply check '!$G:$I,3,0)</f>
        <v>314</v>
      </c>
      <c r="BX61" s="112"/>
    </row>
    <row r="62" spans="1:76" ht="15" x14ac:dyDescent="0.35">
      <c r="A62" s="135">
        <v>522244896444618</v>
      </c>
      <c r="B62" s="19" t="s">
        <v>56</v>
      </c>
      <c r="C62" s="1" t="s">
        <v>57</v>
      </c>
      <c r="D62" s="2">
        <v>83902251</v>
      </c>
      <c r="E62" s="2">
        <v>4987176386694</v>
      </c>
      <c r="F62" s="3">
        <v>4987176386694</v>
      </c>
      <c r="G62" s="4" t="s">
        <v>194</v>
      </c>
      <c r="H62" s="1">
        <v>1232</v>
      </c>
      <c r="I62" s="253" t="s">
        <v>409</v>
      </c>
      <c r="J62" s="5">
        <v>1</v>
      </c>
      <c r="K62" s="5">
        <v>1168</v>
      </c>
      <c r="L62" s="5">
        <v>1117.3397</v>
      </c>
      <c r="M62" s="115">
        <v>0</v>
      </c>
      <c r="N62" s="21"/>
      <c r="O62" s="247">
        <v>2000</v>
      </c>
      <c r="P62" s="24"/>
      <c r="Q62" s="24"/>
      <c r="R62" s="24"/>
      <c r="S62" s="31"/>
      <c r="T62" s="32"/>
      <c r="U62" s="32">
        <v>2000</v>
      </c>
      <c r="V62" s="31"/>
      <c r="W62" s="31"/>
      <c r="X62" s="31"/>
      <c r="Y62" s="31"/>
      <c r="Z62" s="31"/>
      <c r="AA62" s="31"/>
      <c r="AB62" s="31"/>
      <c r="AC62" s="31">
        <f t="shared" si="12"/>
        <v>0</v>
      </c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>
        <f t="shared" si="13"/>
        <v>0</v>
      </c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>
        <f t="shared" si="14"/>
        <v>0</v>
      </c>
      <c r="BE62" s="29">
        <f t="shared" si="45"/>
        <v>2000</v>
      </c>
      <c r="BF62" s="29">
        <f t="shared" si="16"/>
        <v>0</v>
      </c>
      <c r="BG62" s="29">
        <f>VLOOKUP(E62,'[3]Y2604-Y2608_庫存&amp;銷售'!$F:$AJ,23,0)</f>
        <v>0</v>
      </c>
      <c r="BH62" s="29">
        <f>VLOOKUP(E62,'[3]Y2604-Y2608_庫存&amp;銷售'!$F:$AL,25,0)</f>
        <v>0</v>
      </c>
      <c r="BI62" s="29">
        <f>VLOOKUP(E62,'[3]Y2604-Y2608_庫存&amp;銷售'!$F:$AN,30,0)</f>
        <v>0</v>
      </c>
      <c r="BJ62" s="81">
        <f t="shared" si="26"/>
        <v>0</v>
      </c>
      <c r="BK62" s="81">
        <f t="shared" si="27"/>
        <v>0</v>
      </c>
      <c r="BL62" s="81">
        <f t="shared" si="28"/>
        <v>2336000</v>
      </c>
      <c r="BM62" s="81">
        <f t="shared" si="42"/>
        <v>0</v>
      </c>
      <c r="BN62" s="81">
        <f t="shared" si="43"/>
        <v>0</v>
      </c>
      <c r="BO62" s="81">
        <f t="shared" si="44"/>
        <v>0</v>
      </c>
      <c r="BP62" s="81">
        <f t="shared" si="32"/>
        <v>0</v>
      </c>
      <c r="BQ62" s="81">
        <f t="shared" si="33"/>
        <v>0</v>
      </c>
      <c r="BR62" s="81">
        <f t="shared" si="34"/>
        <v>0</v>
      </c>
      <c r="BS62" s="199">
        <f t="shared" si="17"/>
        <v>0</v>
      </c>
      <c r="BT62" s="199">
        <f t="shared" si="10"/>
        <v>0</v>
      </c>
      <c r="BU62" s="199">
        <f t="shared" si="11"/>
        <v>0</v>
      </c>
      <c r="BV62" s="112">
        <f>VLOOKUP(E62,'[4]Y2604-Y2608_庫存&amp;銷售'!$F:$AB,17,0)</f>
        <v>0</v>
      </c>
      <c r="BW62" s="112" t="e">
        <f>VLOOKUP(D62,'[7]supply check '!$G:$I,3,0)</f>
        <v>#N/A</v>
      </c>
      <c r="BX62" s="112"/>
    </row>
    <row r="63" spans="1:76" ht="15" x14ac:dyDescent="0.35">
      <c r="A63" s="135">
        <v>522244896444616</v>
      </c>
      <c r="B63" s="19" t="s">
        <v>56</v>
      </c>
      <c r="C63" s="1" t="s">
        <v>57</v>
      </c>
      <c r="D63" s="2">
        <v>83902261</v>
      </c>
      <c r="E63" s="2">
        <v>4987176386793</v>
      </c>
      <c r="F63" s="3">
        <v>4987176386793</v>
      </c>
      <c r="G63" s="4" t="s">
        <v>195</v>
      </c>
      <c r="H63" s="1">
        <v>1232</v>
      </c>
      <c r="I63" s="253" t="s">
        <v>409</v>
      </c>
      <c r="J63" s="5">
        <v>1</v>
      </c>
      <c r="K63" s="5">
        <v>1168</v>
      </c>
      <c r="L63" s="5">
        <v>1117.3397</v>
      </c>
      <c r="M63" s="115">
        <v>0</v>
      </c>
      <c r="N63" s="21"/>
      <c r="O63" s="23">
        <v>0</v>
      </c>
      <c r="P63" s="24"/>
      <c r="Q63" s="24"/>
      <c r="R63" s="24"/>
      <c r="S63" s="31"/>
      <c r="T63" s="32">
        <v>600</v>
      </c>
      <c r="U63" s="32"/>
      <c r="V63" s="31"/>
      <c r="W63" s="31"/>
      <c r="X63" s="31"/>
      <c r="Y63" s="31"/>
      <c r="Z63" s="31"/>
      <c r="AA63" s="31"/>
      <c r="AB63" s="31"/>
      <c r="AC63" s="31">
        <f t="shared" si="12"/>
        <v>0</v>
      </c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>
        <f t="shared" si="13"/>
        <v>0</v>
      </c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>
        <f t="shared" si="14"/>
        <v>0</v>
      </c>
      <c r="BE63" s="29">
        <f t="shared" si="45"/>
        <v>0</v>
      </c>
      <c r="BF63" s="29">
        <f t="shared" si="16"/>
        <v>0</v>
      </c>
      <c r="BG63" s="29">
        <f>VLOOKUP(E63,'[3]Y2604-Y2608_庫存&amp;銷售'!$F:$AJ,23,0)</f>
        <v>0</v>
      </c>
      <c r="BH63" s="29">
        <f>VLOOKUP(E63,'[3]Y2604-Y2608_庫存&amp;銷售'!$F:$AL,25,0)</f>
        <v>0</v>
      </c>
      <c r="BI63" s="29">
        <f>VLOOKUP(E63,'[3]Y2604-Y2608_庫存&amp;銷售'!$F:$AN,30,0)</f>
        <v>0</v>
      </c>
      <c r="BJ63" s="81">
        <f t="shared" si="26"/>
        <v>0</v>
      </c>
      <c r="BK63" s="81">
        <f t="shared" si="27"/>
        <v>0</v>
      </c>
      <c r="BL63" s="81">
        <f t="shared" si="28"/>
        <v>0</v>
      </c>
      <c r="BM63" s="81">
        <f t="shared" si="42"/>
        <v>0</v>
      </c>
      <c r="BN63" s="81">
        <f t="shared" si="43"/>
        <v>0</v>
      </c>
      <c r="BO63" s="81">
        <f t="shared" si="44"/>
        <v>0</v>
      </c>
      <c r="BP63" s="81">
        <f t="shared" si="32"/>
        <v>0</v>
      </c>
      <c r="BQ63" s="81">
        <f t="shared" si="33"/>
        <v>0</v>
      </c>
      <c r="BR63" s="81">
        <f t="shared" si="34"/>
        <v>0</v>
      </c>
      <c r="BS63" s="199">
        <f t="shared" si="17"/>
        <v>0</v>
      </c>
      <c r="BT63" s="199">
        <f t="shared" si="10"/>
        <v>0</v>
      </c>
      <c r="BU63" s="199">
        <f t="shared" si="11"/>
        <v>0</v>
      </c>
      <c r="BV63" s="112">
        <f>VLOOKUP(E63,'[4]Y2604-Y2608_庫存&amp;銷售'!$F:$AB,17,0)</f>
        <v>0</v>
      </c>
      <c r="BW63" s="112" t="e">
        <f>VLOOKUP(D63,'[7]supply check '!$G:$I,3,0)</f>
        <v>#N/A</v>
      </c>
      <c r="BX63" s="112"/>
    </row>
    <row r="64" spans="1:76" s="53" customFormat="1" ht="15" x14ac:dyDescent="0.35">
      <c r="A64" s="7">
        <v>456713413001216</v>
      </c>
      <c r="B64" s="20" t="s">
        <v>56</v>
      </c>
      <c r="C64" s="6" t="s">
        <v>57</v>
      </c>
      <c r="D64" s="7">
        <v>80821867</v>
      </c>
      <c r="E64" s="8">
        <v>16903148358105</v>
      </c>
      <c r="F64" s="8"/>
      <c r="G64" s="9" t="s">
        <v>63</v>
      </c>
      <c r="H64" s="6">
        <v>1318</v>
      </c>
      <c r="I64" s="22" t="s">
        <v>169</v>
      </c>
      <c r="J64" s="10">
        <v>1</v>
      </c>
      <c r="K64" s="5">
        <v>1460</v>
      </c>
      <c r="L64" s="5">
        <v>1402.78</v>
      </c>
      <c r="M64" s="115">
        <v>0</v>
      </c>
      <c r="N64" s="21"/>
      <c r="O64" s="23">
        <v>0</v>
      </c>
      <c r="P64" s="51">
        <f t="shared" ref="P64:P90" si="46">M64*J64</f>
        <v>0</v>
      </c>
      <c r="Q64" s="51">
        <f t="shared" ref="Q64:Q90" si="47">N64*J64</f>
        <v>0</v>
      </c>
      <c r="R64" s="51">
        <f t="shared" ref="R64:R90" si="48">O64*J64</f>
        <v>0</v>
      </c>
      <c r="S64" s="52"/>
      <c r="T64" s="52"/>
      <c r="U64" s="52"/>
      <c r="V64" s="52"/>
      <c r="W64" s="52"/>
      <c r="X64" s="31"/>
      <c r="Y64" s="31"/>
      <c r="Z64" s="52"/>
      <c r="AA64" s="52"/>
      <c r="AB64" s="52"/>
      <c r="AC64" s="31">
        <f t="shared" si="12"/>
        <v>0</v>
      </c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>
        <f t="shared" si="13"/>
        <v>0</v>
      </c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>
        <f t="shared" si="14"/>
        <v>0</v>
      </c>
      <c r="BE64" s="29">
        <f t="shared" si="45"/>
        <v>0</v>
      </c>
      <c r="BF64" s="29">
        <f t="shared" si="16"/>
        <v>0</v>
      </c>
      <c r="BG64" s="29">
        <f>VLOOKUP(E64,'[3]Y2604-Y2608_庫存&amp;銷售'!$F:$AJ,23,0)</f>
        <v>0</v>
      </c>
      <c r="BH64" s="29">
        <f>VLOOKUP(E64,'[3]Y2604-Y2608_庫存&amp;銷售'!$F:$AL,25,0)</f>
        <v>0</v>
      </c>
      <c r="BI64" s="29">
        <f>VLOOKUP(E64,'[3]Y2604-Y2608_庫存&amp;銷售'!$F:$AN,30,0)</f>
        <v>0</v>
      </c>
      <c r="BJ64" s="81">
        <f t="shared" si="26"/>
        <v>0</v>
      </c>
      <c r="BK64" s="81">
        <f t="shared" si="27"/>
        <v>0</v>
      </c>
      <c r="BL64" s="81">
        <f t="shared" si="28"/>
        <v>0</v>
      </c>
      <c r="BM64" s="81">
        <f t="shared" si="42"/>
        <v>0</v>
      </c>
      <c r="BN64" s="81">
        <f t="shared" si="43"/>
        <v>0</v>
      </c>
      <c r="BO64" s="81">
        <f t="shared" si="44"/>
        <v>0</v>
      </c>
      <c r="BP64" s="81">
        <f t="shared" si="32"/>
        <v>0</v>
      </c>
      <c r="BQ64" s="81">
        <f t="shared" si="33"/>
        <v>0</v>
      </c>
      <c r="BR64" s="81">
        <f t="shared" si="34"/>
        <v>0</v>
      </c>
      <c r="BS64" s="199">
        <f t="shared" si="17"/>
        <v>0</v>
      </c>
      <c r="BT64" s="199">
        <f t="shared" si="10"/>
        <v>0</v>
      </c>
      <c r="BU64" s="199">
        <f t="shared" si="11"/>
        <v>0</v>
      </c>
      <c r="BV64" s="112">
        <f>VLOOKUP(E64,'[4]Y2604-Y2608_庫存&amp;銷售'!$F:$AB,17,0)</f>
        <v>0</v>
      </c>
      <c r="BW64" s="112" t="e">
        <f>VLOOKUP(D64,'[7]supply check '!$G:$I,3,0)</f>
        <v>#N/A</v>
      </c>
      <c r="BX64" s="112"/>
    </row>
    <row r="65" spans="1:76" s="53" customFormat="1" ht="15" x14ac:dyDescent="0.35">
      <c r="A65" s="7">
        <v>456713413017601</v>
      </c>
      <c r="B65" s="20" t="s">
        <v>56</v>
      </c>
      <c r="C65" s="6" t="s">
        <v>57</v>
      </c>
      <c r="D65" s="7">
        <v>80821862</v>
      </c>
      <c r="E65" s="8">
        <v>16903148358068</v>
      </c>
      <c r="F65" s="8"/>
      <c r="G65" s="9" t="s">
        <v>64</v>
      </c>
      <c r="H65" s="6">
        <v>1097</v>
      </c>
      <c r="I65" s="22" t="s">
        <v>169</v>
      </c>
      <c r="J65" s="10">
        <v>1</v>
      </c>
      <c r="K65" s="5">
        <v>1239</v>
      </c>
      <c r="L65" s="5">
        <v>1186.75</v>
      </c>
      <c r="M65" s="115">
        <v>0</v>
      </c>
      <c r="N65" s="21"/>
      <c r="O65" s="23">
        <v>0</v>
      </c>
      <c r="P65" s="51">
        <f t="shared" si="46"/>
        <v>0</v>
      </c>
      <c r="Q65" s="51">
        <f t="shared" si="47"/>
        <v>0</v>
      </c>
      <c r="R65" s="51">
        <f t="shared" si="48"/>
        <v>0</v>
      </c>
      <c r="S65" s="52"/>
      <c r="T65" s="52"/>
      <c r="U65" s="52"/>
      <c r="V65" s="52"/>
      <c r="W65" s="52"/>
      <c r="X65" s="31"/>
      <c r="Y65" s="31"/>
      <c r="Z65" s="52"/>
      <c r="AA65" s="52"/>
      <c r="AB65" s="52"/>
      <c r="AC65" s="31">
        <f t="shared" si="12"/>
        <v>0</v>
      </c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>
        <f t="shared" si="13"/>
        <v>0</v>
      </c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>
        <f t="shared" si="14"/>
        <v>0</v>
      </c>
      <c r="BE65" s="29">
        <f t="shared" si="45"/>
        <v>0</v>
      </c>
      <c r="BF65" s="29">
        <f t="shared" si="16"/>
        <v>0</v>
      </c>
      <c r="BG65" s="29">
        <f>VLOOKUP(E65,'[3]Y2604-Y2608_庫存&amp;銷售'!$F:$AJ,23,0)</f>
        <v>0</v>
      </c>
      <c r="BH65" s="29">
        <f>VLOOKUP(E65,'[3]Y2604-Y2608_庫存&amp;銷售'!$F:$AL,25,0)</f>
        <v>0</v>
      </c>
      <c r="BI65" s="29">
        <f>VLOOKUP(E65,'[3]Y2604-Y2608_庫存&amp;銷售'!$F:$AN,30,0)</f>
        <v>0</v>
      </c>
      <c r="BJ65" s="81">
        <f t="shared" si="26"/>
        <v>0</v>
      </c>
      <c r="BK65" s="81">
        <f t="shared" si="27"/>
        <v>0</v>
      </c>
      <c r="BL65" s="81">
        <f t="shared" si="28"/>
        <v>0</v>
      </c>
      <c r="BM65" s="81">
        <f t="shared" si="42"/>
        <v>0</v>
      </c>
      <c r="BN65" s="81">
        <f t="shared" si="43"/>
        <v>0</v>
      </c>
      <c r="BO65" s="81">
        <f t="shared" si="44"/>
        <v>0</v>
      </c>
      <c r="BP65" s="81">
        <f t="shared" si="32"/>
        <v>0</v>
      </c>
      <c r="BQ65" s="81">
        <f t="shared" si="33"/>
        <v>0</v>
      </c>
      <c r="BR65" s="81">
        <f t="shared" si="34"/>
        <v>0</v>
      </c>
      <c r="BS65" s="199">
        <f t="shared" si="17"/>
        <v>0</v>
      </c>
      <c r="BT65" s="199">
        <f t="shared" si="10"/>
        <v>0</v>
      </c>
      <c r="BU65" s="199">
        <f t="shared" si="11"/>
        <v>0</v>
      </c>
      <c r="BV65" s="112">
        <f>VLOOKUP(E65,'[4]Y2604-Y2608_庫存&amp;銷售'!$F:$AB,17,0)</f>
        <v>2</v>
      </c>
      <c r="BW65" s="112" t="e">
        <f>VLOOKUP(D65,'[7]supply check '!$G:$I,3,0)</f>
        <v>#N/A</v>
      </c>
      <c r="BX65" s="112"/>
    </row>
    <row r="66" spans="1:76" s="53" customFormat="1" ht="15" x14ac:dyDescent="0.35">
      <c r="A66" s="7">
        <v>456713417228290</v>
      </c>
      <c r="B66" s="20" t="s">
        <v>56</v>
      </c>
      <c r="C66" s="6" t="s">
        <v>57</v>
      </c>
      <c r="D66" s="7">
        <v>80821859</v>
      </c>
      <c r="E66" s="8">
        <v>16903148358006</v>
      </c>
      <c r="F66" s="8"/>
      <c r="G66" s="9" t="s">
        <v>65</v>
      </c>
      <c r="H66" s="6">
        <v>1318</v>
      </c>
      <c r="I66" s="22" t="s">
        <v>169</v>
      </c>
      <c r="J66" s="10">
        <v>1</v>
      </c>
      <c r="K66" s="5">
        <v>1460</v>
      </c>
      <c r="L66" s="5">
        <v>1402.78</v>
      </c>
      <c r="M66" s="115">
        <v>0</v>
      </c>
      <c r="N66" s="21"/>
      <c r="O66" s="23">
        <v>0</v>
      </c>
      <c r="P66" s="51">
        <f t="shared" si="46"/>
        <v>0</v>
      </c>
      <c r="Q66" s="51">
        <f t="shared" si="47"/>
        <v>0</v>
      </c>
      <c r="R66" s="51">
        <f t="shared" si="48"/>
        <v>0</v>
      </c>
      <c r="S66" s="52"/>
      <c r="T66" s="52"/>
      <c r="U66" s="52"/>
      <c r="V66" s="52"/>
      <c r="W66" s="52"/>
      <c r="X66" s="31"/>
      <c r="Y66" s="31">
        <v>0</v>
      </c>
      <c r="Z66" s="52"/>
      <c r="AA66" s="52"/>
      <c r="AB66" s="52"/>
      <c r="AC66" s="31">
        <f t="shared" si="12"/>
        <v>0</v>
      </c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>
        <f t="shared" si="13"/>
        <v>0</v>
      </c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>
        <f t="shared" si="14"/>
        <v>0</v>
      </c>
      <c r="BE66" s="29">
        <f t="shared" si="45"/>
        <v>0</v>
      </c>
      <c r="BF66" s="29">
        <f t="shared" si="16"/>
        <v>0</v>
      </c>
      <c r="BG66" s="29">
        <f>VLOOKUP(E66,'[3]Y2604-Y2608_庫存&amp;銷售'!$F:$AJ,23,0)</f>
        <v>0</v>
      </c>
      <c r="BH66" s="29">
        <f>VLOOKUP(E66,'[3]Y2604-Y2608_庫存&amp;銷售'!$F:$AL,25,0)</f>
        <v>0</v>
      </c>
      <c r="BI66" s="29">
        <f>VLOOKUP(E66,'[3]Y2604-Y2608_庫存&amp;銷售'!$F:$AN,30,0)</f>
        <v>0</v>
      </c>
      <c r="BJ66" s="81">
        <f t="shared" si="26"/>
        <v>0</v>
      </c>
      <c r="BK66" s="81">
        <f t="shared" si="27"/>
        <v>0</v>
      </c>
      <c r="BL66" s="81">
        <f t="shared" si="28"/>
        <v>0</v>
      </c>
      <c r="BM66" s="81">
        <f t="shared" si="42"/>
        <v>0</v>
      </c>
      <c r="BN66" s="81">
        <f t="shared" si="43"/>
        <v>0</v>
      </c>
      <c r="BO66" s="81">
        <f t="shared" si="44"/>
        <v>0</v>
      </c>
      <c r="BP66" s="81">
        <f t="shared" si="32"/>
        <v>0</v>
      </c>
      <c r="BQ66" s="81">
        <f t="shared" si="33"/>
        <v>0</v>
      </c>
      <c r="BR66" s="81">
        <f t="shared" si="34"/>
        <v>0</v>
      </c>
      <c r="BS66" s="199">
        <f t="shared" si="17"/>
        <v>0</v>
      </c>
      <c r="BT66" s="199">
        <f t="shared" ref="BT66:BT129" si="49">H66*J66*BD66</f>
        <v>0</v>
      </c>
      <c r="BU66" s="199">
        <f t="shared" ref="BU66:BU129" si="50">L66*1.02*BD66</f>
        <v>0</v>
      </c>
      <c r="BV66" s="112">
        <f>VLOOKUP(E66,'[4]Y2604-Y2608_庫存&amp;銷售'!$F:$AB,17,0)</f>
        <v>0</v>
      </c>
      <c r="BW66" s="112" t="e">
        <f>VLOOKUP(D66,'[7]supply check '!$G:$I,3,0)</f>
        <v>#N/A</v>
      </c>
      <c r="BX66" s="112"/>
    </row>
    <row r="67" spans="1:76" s="53" customFormat="1" ht="15" x14ac:dyDescent="0.35">
      <c r="A67" s="7">
        <v>461030761136128</v>
      </c>
      <c r="B67" s="20" t="s">
        <v>56</v>
      </c>
      <c r="C67" s="6" t="s">
        <v>57</v>
      </c>
      <c r="D67" s="7">
        <v>80824680</v>
      </c>
      <c r="E67" s="8">
        <v>14987176287011</v>
      </c>
      <c r="F67" s="8">
        <v>4987176287014</v>
      </c>
      <c r="G67" s="9" t="s">
        <v>66</v>
      </c>
      <c r="H67" s="6">
        <v>1111</v>
      </c>
      <c r="I67" s="22" t="s">
        <v>169</v>
      </c>
      <c r="J67" s="10">
        <v>1</v>
      </c>
      <c r="K67" s="5">
        <v>1169.2</v>
      </c>
      <c r="L67" s="5">
        <v>1118.51</v>
      </c>
      <c r="M67" s="115">
        <v>0</v>
      </c>
      <c r="N67" s="21"/>
      <c r="O67" s="23">
        <v>0</v>
      </c>
      <c r="P67" s="51">
        <f t="shared" si="46"/>
        <v>0</v>
      </c>
      <c r="Q67" s="51">
        <f t="shared" si="47"/>
        <v>0</v>
      </c>
      <c r="R67" s="51">
        <f t="shared" si="48"/>
        <v>0</v>
      </c>
      <c r="S67" s="52"/>
      <c r="T67" s="52"/>
      <c r="U67" s="52"/>
      <c r="V67" s="52"/>
      <c r="W67" s="52"/>
      <c r="X67" s="31"/>
      <c r="Y67" s="31"/>
      <c r="Z67" s="52"/>
      <c r="AA67" s="52"/>
      <c r="AB67" s="52"/>
      <c r="AC67" s="31">
        <f t="shared" si="12"/>
        <v>0</v>
      </c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>
        <f t="shared" ref="AN67:AN130" si="51">SUM(AD67:AM67)</f>
        <v>0</v>
      </c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>
        <f t="shared" ref="BD67:BD130" si="52">SUM(AO67:BC67)</f>
        <v>0</v>
      </c>
      <c r="BE67" s="29">
        <f t="shared" si="45"/>
        <v>0</v>
      </c>
      <c r="BF67" s="29">
        <f t="shared" ref="BF67:BF130" si="53">SUM(AO67:AW67)</f>
        <v>0</v>
      </c>
      <c r="BG67" s="29" t="e">
        <f>VLOOKUP(E67,'[3]Y2604-Y2608_庫存&amp;銷售'!$F:$AJ,23,0)</f>
        <v>#N/A</v>
      </c>
      <c r="BH67" s="29" t="e">
        <f>VLOOKUP(E67,'[3]Y2604-Y2608_庫存&amp;銷售'!$F:$AL,25,0)</f>
        <v>#N/A</v>
      </c>
      <c r="BI67" s="29" t="e">
        <f>VLOOKUP(E67,'[3]Y2604-Y2608_庫存&amp;銷售'!$F:$AN,30,0)</f>
        <v>#N/A</v>
      </c>
      <c r="BJ67" s="81">
        <f t="shared" si="26"/>
        <v>0</v>
      </c>
      <c r="BK67" s="81">
        <f t="shared" si="27"/>
        <v>0</v>
      </c>
      <c r="BL67" s="81">
        <f t="shared" si="28"/>
        <v>0</v>
      </c>
      <c r="BM67" s="81">
        <f t="shared" si="42"/>
        <v>0</v>
      </c>
      <c r="BN67" s="81">
        <f t="shared" si="43"/>
        <v>0</v>
      </c>
      <c r="BO67" s="81">
        <f t="shared" si="44"/>
        <v>0</v>
      </c>
      <c r="BP67" s="81">
        <f t="shared" si="32"/>
        <v>0</v>
      </c>
      <c r="BQ67" s="81">
        <f t="shared" si="33"/>
        <v>0</v>
      </c>
      <c r="BR67" s="81">
        <f t="shared" si="34"/>
        <v>0</v>
      </c>
      <c r="BS67" s="199">
        <f t="shared" ref="BS67:BS130" si="54">BD67*(K67-AY67)</f>
        <v>0</v>
      </c>
      <c r="BT67" s="199">
        <f t="shared" si="49"/>
        <v>0</v>
      </c>
      <c r="BU67" s="199">
        <f t="shared" si="50"/>
        <v>0</v>
      </c>
      <c r="BV67" s="112" t="e">
        <f>VLOOKUP(E67,'[4]Y2604-Y2608_庫存&amp;銷售'!$F:$AB,17,0)</f>
        <v>#N/A</v>
      </c>
      <c r="BW67" s="112" t="e">
        <f>VLOOKUP(D67,'[7]supply check '!$G:$I,3,0)</f>
        <v>#N/A</v>
      </c>
      <c r="BX67" s="112"/>
    </row>
    <row r="68" spans="1:76" s="53" customFormat="1" ht="15" x14ac:dyDescent="0.35">
      <c r="A68" s="35">
        <v>522244896442723</v>
      </c>
      <c r="B68" s="19" t="s">
        <v>56</v>
      </c>
      <c r="C68" s="34" t="s">
        <v>57</v>
      </c>
      <c r="D68" s="35">
        <v>83922647</v>
      </c>
      <c r="E68" s="36">
        <v>14987176411331</v>
      </c>
      <c r="F68" s="36">
        <v>4987176411334</v>
      </c>
      <c r="G68" s="37" t="s">
        <v>333</v>
      </c>
      <c r="H68" s="34">
        <v>1150</v>
      </c>
      <c r="I68" s="253" t="s">
        <v>409</v>
      </c>
      <c r="J68" s="39">
        <v>1</v>
      </c>
      <c r="K68" s="5">
        <v>1320.5</v>
      </c>
      <c r="L68" s="5">
        <v>1266.42</v>
      </c>
      <c r="M68" s="115">
        <v>0</v>
      </c>
      <c r="N68" s="21"/>
      <c r="O68" s="247">
        <v>1825</v>
      </c>
      <c r="P68" s="51"/>
      <c r="Q68" s="51"/>
      <c r="R68" s="51"/>
      <c r="S68" s="52"/>
      <c r="T68" s="52"/>
      <c r="U68" s="52"/>
      <c r="V68" s="52"/>
      <c r="W68" s="52"/>
      <c r="X68" s="31"/>
      <c r="Y68" s="31"/>
      <c r="Z68" s="52"/>
      <c r="AA68" s="52"/>
      <c r="AB68" s="52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>
        <f t="shared" si="51"/>
        <v>0</v>
      </c>
      <c r="AO68" s="31">
        <v>0</v>
      </c>
      <c r="AP68" s="254">
        <v>1716</v>
      </c>
      <c r="AQ68" s="31"/>
      <c r="AR68" s="31"/>
      <c r="AS68" s="31"/>
      <c r="AT68" s="31"/>
      <c r="AU68" s="31"/>
      <c r="AV68" s="31"/>
      <c r="AW68" s="31"/>
      <c r="AX68" s="31"/>
      <c r="AY68" s="31"/>
      <c r="AZ68" s="31">
        <v>119</v>
      </c>
      <c r="BA68" s="31"/>
      <c r="BB68" s="266"/>
      <c r="BC68" s="31"/>
      <c r="BD68" s="31">
        <f t="shared" si="52"/>
        <v>1835</v>
      </c>
      <c r="BE68" s="29">
        <f t="shared" si="45"/>
        <v>-10</v>
      </c>
      <c r="BF68" s="29">
        <f t="shared" si="53"/>
        <v>1716</v>
      </c>
      <c r="BG68" s="29">
        <f>VLOOKUP(E68,'[3]Y2604-Y2608_庫存&amp;銷售'!$F:$AJ,23,0)</f>
        <v>0</v>
      </c>
      <c r="BH68" s="29">
        <f>VLOOKUP(E68,'[3]Y2604-Y2608_庫存&amp;銷售'!$F:$AL,25,0)</f>
        <v>0</v>
      </c>
      <c r="BI68" s="29">
        <f>VLOOKUP(E68,'[3]Y2604-Y2608_庫存&amp;銷售'!$F:$AN,30,0)</f>
        <v>0</v>
      </c>
      <c r="BJ68" s="81"/>
      <c r="BK68" s="81"/>
      <c r="BL68" s="81"/>
      <c r="BM68" s="81">
        <f t="shared" si="42"/>
        <v>0</v>
      </c>
      <c r="BN68" s="81">
        <f t="shared" si="43"/>
        <v>0</v>
      </c>
      <c r="BO68" s="81">
        <f t="shared" si="44"/>
        <v>0</v>
      </c>
      <c r="BP68" s="81">
        <f t="shared" si="32"/>
        <v>0</v>
      </c>
      <c r="BQ68" s="81">
        <f t="shared" si="33"/>
        <v>0</v>
      </c>
      <c r="BR68" s="81">
        <f t="shared" si="34"/>
        <v>0</v>
      </c>
      <c r="BS68" s="199">
        <f t="shared" si="54"/>
        <v>2423117.5</v>
      </c>
      <c r="BT68" s="199">
        <f t="shared" si="49"/>
        <v>2110250</v>
      </c>
      <c r="BU68" s="199">
        <f t="shared" si="50"/>
        <v>2370358.3140000002</v>
      </c>
      <c r="BV68" s="112" t="e">
        <f>VLOOKUP(E68,'[4]Y2604-Y2608_庫存&amp;銷售'!$F:$AB,17,0)</f>
        <v>#N/A</v>
      </c>
      <c r="BW68" s="112">
        <f>VLOOKUP(D68,'[7]supply check '!$G:$I,3,0)</f>
        <v>1825</v>
      </c>
      <c r="BX68" s="112"/>
    </row>
    <row r="69" spans="1:76" s="145" customFormat="1" ht="15" x14ac:dyDescent="0.35">
      <c r="A69" s="136">
        <v>461030761152512</v>
      </c>
      <c r="B69" s="137" t="s">
        <v>56</v>
      </c>
      <c r="C69" s="138" t="s">
        <v>57</v>
      </c>
      <c r="D69" s="136">
        <v>80824679</v>
      </c>
      <c r="E69" s="139">
        <v>14987176287004</v>
      </c>
      <c r="F69" s="139">
        <v>4987176287007</v>
      </c>
      <c r="G69" s="140" t="s">
        <v>67</v>
      </c>
      <c r="H69" s="138">
        <v>806</v>
      </c>
      <c r="I69" s="146" t="s">
        <v>349</v>
      </c>
      <c r="J69" s="141">
        <v>1</v>
      </c>
      <c r="K69" s="197">
        <v>912.5</v>
      </c>
      <c r="L69" s="197">
        <v>867.58</v>
      </c>
      <c r="M69" s="192">
        <v>528</v>
      </c>
      <c r="N69" s="193"/>
      <c r="O69" s="194">
        <v>0</v>
      </c>
      <c r="P69" s="142">
        <f t="shared" si="46"/>
        <v>528</v>
      </c>
      <c r="Q69" s="142">
        <f t="shared" si="47"/>
        <v>0</v>
      </c>
      <c r="R69" s="142">
        <f t="shared" si="48"/>
        <v>0</v>
      </c>
      <c r="S69" s="143"/>
      <c r="T69" s="143"/>
      <c r="U69" s="143"/>
      <c r="V69" s="143"/>
      <c r="W69" s="143"/>
      <c r="X69" s="143"/>
      <c r="Y69" s="143"/>
      <c r="Z69" s="143">
        <v>528</v>
      </c>
      <c r="AA69" s="143"/>
      <c r="AB69" s="143"/>
      <c r="AC69" s="143">
        <f t="shared" si="12"/>
        <v>528</v>
      </c>
      <c r="AD69" s="143"/>
      <c r="AE69" s="143">
        <v>0</v>
      </c>
      <c r="AF69" s="143"/>
      <c r="AG69" s="143"/>
      <c r="AH69" s="143"/>
      <c r="AI69" s="143"/>
      <c r="AJ69" s="143"/>
      <c r="AK69" s="143"/>
      <c r="AL69" s="143"/>
      <c r="AM69" s="143"/>
      <c r="AN69" s="31">
        <f t="shared" si="51"/>
        <v>0</v>
      </c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143"/>
      <c r="BC69" s="31"/>
      <c r="BD69" s="31">
        <f t="shared" si="52"/>
        <v>0</v>
      </c>
      <c r="BE69" s="29">
        <f t="shared" si="45"/>
        <v>0</v>
      </c>
      <c r="BF69" s="29">
        <f t="shared" si="53"/>
        <v>0</v>
      </c>
      <c r="BG69" s="29">
        <f>VLOOKUP(E69,'[3]Y2604-Y2608_庫存&amp;銷售'!$F:$AJ,23,0)</f>
        <v>-1</v>
      </c>
      <c r="BH69" s="29">
        <f>VLOOKUP(E69,'[3]Y2604-Y2608_庫存&amp;銷售'!$F:$AL,25,0)</f>
        <v>0</v>
      </c>
      <c r="BI69" s="29">
        <f>VLOOKUP(E69,'[3]Y2604-Y2608_庫存&amp;銷售'!$F:$AN,30,0)</f>
        <v>0</v>
      </c>
      <c r="BJ69" s="144">
        <f>M69*K69</f>
        <v>481800</v>
      </c>
      <c r="BK69" s="144">
        <f>N69*K69</f>
        <v>0</v>
      </c>
      <c r="BL69" s="144">
        <f>O69*K69</f>
        <v>0</v>
      </c>
      <c r="BM69" s="144">
        <f t="shared" si="42"/>
        <v>481800</v>
      </c>
      <c r="BN69" s="144">
        <f t="shared" si="43"/>
        <v>425568</v>
      </c>
      <c r="BO69" s="144">
        <f t="shared" si="44"/>
        <v>467243.8848</v>
      </c>
      <c r="BP69" s="81">
        <f t="shared" si="32"/>
        <v>0</v>
      </c>
      <c r="BQ69" s="81">
        <f t="shared" si="33"/>
        <v>0</v>
      </c>
      <c r="BR69" s="81">
        <f t="shared" si="34"/>
        <v>0</v>
      </c>
      <c r="BS69" s="199">
        <f t="shared" si="54"/>
        <v>0</v>
      </c>
      <c r="BT69" s="199">
        <f t="shared" si="49"/>
        <v>0</v>
      </c>
      <c r="BU69" s="199">
        <f t="shared" si="50"/>
        <v>0</v>
      </c>
      <c r="BV69" s="196">
        <f>VLOOKUP(E69,'[4]Y2604-Y2608_庫存&amp;銷售'!$F:$AB,17,0)</f>
        <v>75</v>
      </c>
      <c r="BW69" s="112" t="e">
        <f>VLOOKUP(D69,'[7]supply check '!$G:$I,3,0)</f>
        <v>#N/A</v>
      </c>
      <c r="BX69" s="112"/>
    </row>
    <row r="70" spans="1:76" s="42" customFormat="1" ht="15" x14ac:dyDescent="0.35">
      <c r="A70" s="35">
        <v>522244896442068</v>
      </c>
      <c r="B70" s="19" t="s">
        <v>56</v>
      </c>
      <c r="C70" s="34" t="s">
        <v>57</v>
      </c>
      <c r="D70" s="35">
        <v>83919785</v>
      </c>
      <c r="E70" s="36">
        <v>14987176407921</v>
      </c>
      <c r="F70" s="36">
        <v>4987176407924</v>
      </c>
      <c r="G70" s="37" t="s">
        <v>348</v>
      </c>
      <c r="H70" s="34">
        <v>806</v>
      </c>
      <c r="I70" s="106" t="s">
        <v>410</v>
      </c>
      <c r="J70" s="39">
        <v>1</v>
      </c>
      <c r="K70" s="179">
        <v>880.1</v>
      </c>
      <c r="L70" s="179">
        <v>835.9</v>
      </c>
      <c r="M70" s="115"/>
      <c r="N70" s="21"/>
      <c r="O70" s="247">
        <v>300</v>
      </c>
      <c r="P70" s="40"/>
      <c r="Q70" s="40">
        <f t="shared" si="47"/>
        <v>0</v>
      </c>
      <c r="R70" s="40"/>
      <c r="S70" s="41"/>
      <c r="T70" s="41"/>
      <c r="U70" s="41"/>
      <c r="V70" s="41"/>
      <c r="W70" s="41"/>
      <c r="X70" s="31"/>
      <c r="Y70" s="31"/>
      <c r="Z70" s="41"/>
      <c r="AA70" s="41"/>
      <c r="AB70" s="41"/>
      <c r="AC70" s="31">
        <f t="shared" si="12"/>
        <v>0</v>
      </c>
      <c r="AD70" s="31"/>
      <c r="AE70" s="31"/>
      <c r="AF70" s="31"/>
      <c r="AG70" s="31"/>
      <c r="AH70" s="31"/>
      <c r="AI70" s="31"/>
      <c r="AJ70" s="31"/>
      <c r="AK70" s="31">
        <v>755</v>
      </c>
      <c r="AL70" s="31"/>
      <c r="AM70" s="31"/>
      <c r="AN70" s="31">
        <f t="shared" si="51"/>
        <v>755</v>
      </c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>
        <v>300</v>
      </c>
      <c r="BA70" s="31"/>
      <c r="BB70" s="31"/>
      <c r="BC70" s="31"/>
      <c r="BD70" s="31">
        <f t="shared" si="52"/>
        <v>300</v>
      </c>
      <c r="BE70" s="29">
        <f t="shared" si="45"/>
        <v>0</v>
      </c>
      <c r="BF70" s="29">
        <f t="shared" si="53"/>
        <v>0</v>
      </c>
      <c r="BG70" s="29">
        <f>VLOOKUP(E70,'[3]Y2604-Y2608_庫存&amp;銷售'!$F:$AJ,23,0)</f>
        <v>24</v>
      </c>
      <c r="BH70" s="29">
        <f>VLOOKUP(E70,'[3]Y2604-Y2608_庫存&amp;銷售'!$F:$AL,25,0)</f>
        <v>0</v>
      </c>
      <c r="BI70" s="29">
        <f>VLOOKUP(E70,'[3]Y2604-Y2608_庫存&amp;銷售'!$F:$AN,30,0)</f>
        <v>0</v>
      </c>
      <c r="BJ70" s="81"/>
      <c r="BK70" s="81"/>
      <c r="BL70" s="81"/>
      <c r="BM70" s="81">
        <f t="shared" si="42"/>
        <v>0</v>
      </c>
      <c r="BN70" s="81">
        <f t="shared" si="43"/>
        <v>0</v>
      </c>
      <c r="BO70" s="81">
        <f t="shared" si="44"/>
        <v>0</v>
      </c>
      <c r="BP70" s="81">
        <f t="shared" si="32"/>
        <v>664475.5</v>
      </c>
      <c r="BQ70" s="81">
        <f t="shared" si="33"/>
        <v>608530</v>
      </c>
      <c r="BR70" s="81">
        <f t="shared" si="34"/>
        <v>643726.59</v>
      </c>
      <c r="BS70" s="199">
        <f t="shared" si="54"/>
        <v>264030</v>
      </c>
      <c r="BT70" s="199">
        <f t="shared" si="49"/>
        <v>241800</v>
      </c>
      <c r="BU70" s="199">
        <f t="shared" si="50"/>
        <v>255785.4</v>
      </c>
      <c r="BV70" s="112"/>
      <c r="BW70" s="112">
        <f>VLOOKUP(D70,'[7]supply check '!$G:$I,3,0)</f>
        <v>300</v>
      </c>
      <c r="BX70" s="112"/>
    </row>
    <row r="71" spans="1:76" s="53" customFormat="1" ht="15" x14ac:dyDescent="0.35">
      <c r="A71" s="7">
        <v>461377743323136</v>
      </c>
      <c r="B71" s="20" t="s">
        <v>56</v>
      </c>
      <c r="C71" s="6" t="s">
        <v>57</v>
      </c>
      <c r="D71" s="7">
        <v>80821880</v>
      </c>
      <c r="E71" s="8">
        <v>6903148358221</v>
      </c>
      <c r="F71" s="8">
        <v>6903148358221</v>
      </c>
      <c r="G71" s="9" t="s">
        <v>68</v>
      </c>
      <c r="H71" s="6">
        <v>1056</v>
      </c>
      <c r="I71" s="22" t="s">
        <v>169</v>
      </c>
      <c r="J71" s="10">
        <v>1</v>
      </c>
      <c r="K71" s="5">
        <v>1168</v>
      </c>
      <c r="L71" s="5">
        <v>1117.3399999999999</v>
      </c>
      <c r="M71" s="115">
        <v>0</v>
      </c>
      <c r="N71" s="21"/>
      <c r="O71" s="23">
        <v>0</v>
      </c>
      <c r="P71" s="51">
        <f t="shared" si="46"/>
        <v>0</v>
      </c>
      <c r="Q71" s="51">
        <f t="shared" si="47"/>
        <v>0</v>
      </c>
      <c r="R71" s="51">
        <f t="shared" si="48"/>
        <v>0</v>
      </c>
      <c r="S71" s="52"/>
      <c r="T71" s="52"/>
      <c r="U71" s="52"/>
      <c r="V71" s="52"/>
      <c r="W71" s="52"/>
      <c r="X71" s="31"/>
      <c r="Y71" s="31"/>
      <c r="Z71" s="52"/>
      <c r="AA71" s="52"/>
      <c r="AB71" s="52"/>
      <c r="AC71" s="31">
        <f t="shared" ref="AC71:AC134" si="55">SUM(V71:AB71)</f>
        <v>0</v>
      </c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>
        <f t="shared" si="51"/>
        <v>0</v>
      </c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>
        <f t="shared" si="52"/>
        <v>0</v>
      </c>
      <c r="BE71" s="29">
        <f t="shared" si="45"/>
        <v>0</v>
      </c>
      <c r="BF71" s="29">
        <f t="shared" si="53"/>
        <v>0</v>
      </c>
      <c r="BG71" s="29">
        <f>VLOOKUP(E71,'[3]Y2604-Y2608_庫存&amp;銷售'!$F:$AJ,23,0)</f>
        <v>0</v>
      </c>
      <c r="BH71" s="29">
        <f>VLOOKUP(E71,'[3]Y2604-Y2608_庫存&amp;銷售'!$F:$AL,25,0)</f>
        <v>0</v>
      </c>
      <c r="BI71" s="29">
        <f>VLOOKUP(E71,'[3]Y2604-Y2608_庫存&amp;銷售'!$F:$AN,30,0)</f>
        <v>0</v>
      </c>
      <c r="BJ71" s="81">
        <f t="shared" ref="BJ71:BJ102" si="56">M71*K71</f>
        <v>0</v>
      </c>
      <c r="BK71" s="81">
        <f t="shared" ref="BK71:BK102" si="57">N71*K71</f>
        <v>0</v>
      </c>
      <c r="BL71" s="81">
        <f t="shared" ref="BL71:BL102" si="58">O71*K71</f>
        <v>0</v>
      </c>
      <c r="BM71" s="81">
        <f t="shared" si="42"/>
        <v>0</v>
      </c>
      <c r="BN71" s="81">
        <f t="shared" si="43"/>
        <v>0</v>
      </c>
      <c r="BO71" s="81">
        <f t="shared" si="44"/>
        <v>0</v>
      </c>
      <c r="BP71" s="81">
        <f t="shared" si="32"/>
        <v>0</v>
      </c>
      <c r="BQ71" s="81">
        <f t="shared" si="33"/>
        <v>0</v>
      </c>
      <c r="BR71" s="81">
        <f t="shared" si="34"/>
        <v>0</v>
      </c>
      <c r="BS71" s="199">
        <f t="shared" si="54"/>
        <v>0</v>
      </c>
      <c r="BT71" s="199">
        <f t="shared" si="49"/>
        <v>0</v>
      </c>
      <c r="BU71" s="199">
        <f t="shared" si="50"/>
        <v>0</v>
      </c>
      <c r="BV71" s="112">
        <f>VLOOKUP(E71,'[4]Y2604-Y2608_庫存&amp;銷售'!$F:$AB,17,0)</f>
        <v>0</v>
      </c>
      <c r="BW71" s="112" t="e">
        <f>VLOOKUP(D71,'[7]supply check '!$G:$I,3,0)</f>
        <v>#N/A</v>
      </c>
      <c r="BX71" s="112"/>
    </row>
    <row r="72" spans="1:76" s="53" customFormat="1" ht="15" x14ac:dyDescent="0.35">
      <c r="A72" s="7">
        <v>461377743339520</v>
      </c>
      <c r="B72" s="20" t="s">
        <v>56</v>
      </c>
      <c r="C72" s="6" t="s">
        <v>57</v>
      </c>
      <c r="D72" s="7">
        <v>80821873</v>
      </c>
      <c r="E72" s="8">
        <v>6903148358153</v>
      </c>
      <c r="F72" s="8">
        <v>6903148358153</v>
      </c>
      <c r="G72" s="9" t="s">
        <v>69</v>
      </c>
      <c r="H72" s="6">
        <v>1056</v>
      </c>
      <c r="I72" s="22" t="s">
        <v>169</v>
      </c>
      <c r="J72" s="10">
        <v>1</v>
      </c>
      <c r="K72" s="5">
        <v>1168</v>
      </c>
      <c r="L72" s="5">
        <v>1117.3399999999999</v>
      </c>
      <c r="M72" s="115">
        <v>0</v>
      </c>
      <c r="N72" s="21"/>
      <c r="O72" s="23">
        <v>0</v>
      </c>
      <c r="P72" s="51">
        <f t="shared" si="46"/>
        <v>0</v>
      </c>
      <c r="Q72" s="51">
        <f t="shared" si="47"/>
        <v>0</v>
      </c>
      <c r="R72" s="51">
        <f t="shared" si="48"/>
        <v>0</v>
      </c>
      <c r="S72" s="52"/>
      <c r="T72" s="52"/>
      <c r="U72" s="52"/>
      <c r="V72" s="52"/>
      <c r="W72" s="52"/>
      <c r="X72" s="31"/>
      <c r="Y72" s="31"/>
      <c r="Z72" s="52"/>
      <c r="AA72" s="52"/>
      <c r="AB72" s="52"/>
      <c r="AC72" s="31">
        <f t="shared" si="55"/>
        <v>0</v>
      </c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>
        <f t="shared" si="51"/>
        <v>0</v>
      </c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>
        <f t="shared" si="52"/>
        <v>0</v>
      </c>
      <c r="BE72" s="29">
        <f t="shared" si="45"/>
        <v>0</v>
      </c>
      <c r="BF72" s="29">
        <f t="shared" si="53"/>
        <v>0</v>
      </c>
      <c r="BG72" s="29">
        <f>VLOOKUP(E72,'[3]Y2604-Y2608_庫存&amp;銷售'!$F:$AJ,23,0)</f>
        <v>0</v>
      </c>
      <c r="BH72" s="29">
        <f>VLOOKUP(E72,'[3]Y2604-Y2608_庫存&amp;銷售'!$F:$AL,25,0)</f>
        <v>0</v>
      </c>
      <c r="BI72" s="29">
        <f>VLOOKUP(E72,'[3]Y2604-Y2608_庫存&amp;銷售'!$F:$AN,30,0)</f>
        <v>0</v>
      </c>
      <c r="BJ72" s="81">
        <f t="shared" si="56"/>
        <v>0</v>
      </c>
      <c r="BK72" s="81">
        <f t="shared" si="57"/>
        <v>0</v>
      </c>
      <c r="BL72" s="81">
        <f t="shared" si="58"/>
        <v>0</v>
      </c>
      <c r="BM72" s="81">
        <f t="shared" si="42"/>
        <v>0</v>
      </c>
      <c r="BN72" s="81">
        <f t="shared" si="43"/>
        <v>0</v>
      </c>
      <c r="BO72" s="81">
        <f t="shared" si="44"/>
        <v>0</v>
      </c>
      <c r="BP72" s="81">
        <f t="shared" si="32"/>
        <v>0</v>
      </c>
      <c r="BQ72" s="81">
        <f t="shared" si="33"/>
        <v>0</v>
      </c>
      <c r="BR72" s="81">
        <f t="shared" si="34"/>
        <v>0</v>
      </c>
      <c r="BS72" s="199">
        <f t="shared" si="54"/>
        <v>0</v>
      </c>
      <c r="BT72" s="199">
        <f t="shared" si="49"/>
        <v>0</v>
      </c>
      <c r="BU72" s="199">
        <f t="shared" si="50"/>
        <v>0</v>
      </c>
      <c r="BV72" s="112">
        <f>VLOOKUP(E72,'[4]Y2604-Y2608_庫存&amp;銷售'!$F:$AB,17,0)</f>
        <v>0</v>
      </c>
      <c r="BW72" s="112" t="e">
        <f>VLOOKUP(D72,'[7]supply check '!$G:$I,3,0)</f>
        <v>#N/A</v>
      </c>
      <c r="BX72" s="112"/>
    </row>
    <row r="73" spans="1:76" ht="15" x14ac:dyDescent="0.35">
      <c r="A73" s="2">
        <v>522244895850724</v>
      </c>
      <c r="B73" s="19" t="s">
        <v>56</v>
      </c>
      <c r="C73" s="1" t="s">
        <v>57</v>
      </c>
      <c r="D73" s="2">
        <v>80858989</v>
      </c>
      <c r="E73" s="3">
        <v>14987176337075</v>
      </c>
      <c r="F73" s="3">
        <v>4987176337078</v>
      </c>
      <c r="G73" s="4" t="s">
        <v>70</v>
      </c>
      <c r="H73" s="1">
        <v>1175</v>
      </c>
      <c r="I73" s="106" t="s">
        <v>288</v>
      </c>
      <c r="J73" s="5">
        <v>1</v>
      </c>
      <c r="K73" s="5">
        <v>1386</v>
      </c>
      <c r="L73" s="5">
        <v>1330.45</v>
      </c>
      <c r="M73" s="169">
        <f>0+45</f>
        <v>45</v>
      </c>
      <c r="N73" s="21"/>
      <c r="O73" s="23">
        <v>651</v>
      </c>
      <c r="P73" s="24">
        <f t="shared" si="46"/>
        <v>45</v>
      </c>
      <c r="Q73" s="24">
        <f t="shared" si="47"/>
        <v>0</v>
      </c>
      <c r="R73" s="24">
        <f t="shared" si="48"/>
        <v>651</v>
      </c>
      <c r="S73" s="31"/>
      <c r="T73" s="31"/>
      <c r="U73" s="31"/>
      <c r="V73" s="31"/>
      <c r="W73" s="31">
        <v>45</v>
      </c>
      <c r="X73" s="31"/>
      <c r="Y73" s="31"/>
      <c r="Z73" s="31"/>
      <c r="AA73" s="31"/>
      <c r="AB73" s="31"/>
      <c r="AC73" s="31">
        <f t="shared" si="55"/>
        <v>45</v>
      </c>
      <c r="AD73" s="31"/>
      <c r="AE73" s="31"/>
      <c r="AF73" s="31"/>
      <c r="AG73" s="31"/>
      <c r="AH73" s="31"/>
      <c r="AI73" s="31"/>
      <c r="AJ73" s="31"/>
      <c r="AK73" s="31"/>
      <c r="AL73" s="31">
        <v>156</v>
      </c>
      <c r="AM73" s="31">
        <v>17</v>
      </c>
      <c r="AN73" s="31">
        <f t="shared" si="51"/>
        <v>173</v>
      </c>
      <c r="AO73" s="31"/>
      <c r="AP73" s="31">
        <v>0</v>
      </c>
      <c r="AQ73" s="31"/>
      <c r="AR73" s="31">
        <v>173</v>
      </c>
      <c r="AS73" s="31">
        <v>468</v>
      </c>
      <c r="AT73" s="31">
        <v>10</v>
      </c>
      <c r="AU73" s="31"/>
      <c r="AV73" s="31"/>
      <c r="AW73" s="31"/>
      <c r="AX73" s="31"/>
      <c r="AY73" s="31"/>
      <c r="AZ73" s="31"/>
      <c r="BA73" s="31"/>
      <c r="BB73" s="31"/>
      <c r="BC73" s="31"/>
      <c r="BD73" s="31">
        <f t="shared" si="52"/>
        <v>651</v>
      </c>
      <c r="BE73" s="29">
        <f t="shared" si="45"/>
        <v>0</v>
      </c>
      <c r="BF73" s="29">
        <f t="shared" si="53"/>
        <v>651</v>
      </c>
      <c r="BG73" s="29">
        <f>VLOOKUP(E73,'[3]Y2604-Y2608_庫存&amp;銷售'!$F:$AJ,23,0)</f>
        <v>27</v>
      </c>
      <c r="BH73" s="29">
        <f>VLOOKUP(E73,'[3]Y2604-Y2608_庫存&amp;銷售'!$F:$AL,25,0)</f>
        <v>0</v>
      </c>
      <c r="BI73" s="29">
        <f>VLOOKUP(E73,'[3]Y2604-Y2608_庫存&amp;銷售'!$F:$AN,30,0)</f>
        <v>0</v>
      </c>
      <c r="BJ73" s="81">
        <f t="shared" si="56"/>
        <v>62370</v>
      </c>
      <c r="BK73" s="81">
        <f t="shared" si="57"/>
        <v>0</v>
      </c>
      <c r="BL73" s="81">
        <f t="shared" si="58"/>
        <v>902286</v>
      </c>
      <c r="BM73" s="81">
        <f t="shared" si="42"/>
        <v>62370</v>
      </c>
      <c r="BN73" s="81">
        <f t="shared" si="43"/>
        <v>52875</v>
      </c>
      <c r="BO73" s="81">
        <f t="shared" si="44"/>
        <v>61067.654999999999</v>
      </c>
      <c r="BP73" s="81">
        <f t="shared" si="32"/>
        <v>239778</v>
      </c>
      <c r="BQ73" s="81">
        <f t="shared" si="33"/>
        <v>203275</v>
      </c>
      <c r="BR73" s="81">
        <f t="shared" si="34"/>
        <v>234771.20699999999</v>
      </c>
      <c r="BS73" s="199">
        <f t="shared" si="54"/>
        <v>902286</v>
      </c>
      <c r="BT73" s="199">
        <f t="shared" si="49"/>
        <v>764925</v>
      </c>
      <c r="BU73" s="199">
        <f t="shared" si="50"/>
        <v>883445.40899999999</v>
      </c>
      <c r="BV73" s="112">
        <f>VLOOKUP(E73,'[4]Y2604-Y2608_庫存&amp;銷售'!$F:$AB,17,0)</f>
        <v>78</v>
      </c>
      <c r="BW73" s="112">
        <f>VLOOKUP(D73,'[7]supply check '!$G:$I,3,0)</f>
        <v>727</v>
      </c>
      <c r="BX73" s="112"/>
    </row>
    <row r="74" spans="1:76" ht="15" x14ac:dyDescent="0.35">
      <c r="A74" s="2">
        <v>522244895850725</v>
      </c>
      <c r="B74" s="19" t="s">
        <v>56</v>
      </c>
      <c r="C74" s="1" t="s">
        <v>57</v>
      </c>
      <c r="D74" s="2">
        <v>80858991</v>
      </c>
      <c r="E74" s="3">
        <v>14987176337099</v>
      </c>
      <c r="F74" s="3">
        <v>4987176337092</v>
      </c>
      <c r="G74" s="4" t="s">
        <v>71</v>
      </c>
      <c r="H74" s="1">
        <v>1231</v>
      </c>
      <c r="I74" s="106" t="s">
        <v>412</v>
      </c>
      <c r="J74" s="5">
        <v>1</v>
      </c>
      <c r="K74" s="5">
        <v>1464</v>
      </c>
      <c r="L74" s="5">
        <v>1406.69</v>
      </c>
      <c r="M74" s="115">
        <v>0</v>
      </c>
      <c r="N74" s="21"/>
      <c r="O74" s="23">
        <v>300</v>
      </c>
      <c r="P74" s="24">
        <f t="shared" si="46"/>
        <v>0</v>
      </c>
      <c r="Q74" s="24">
        <f t="shared" si="47"/>
        <v>0</v>
      </c>
      <c r="R74" s="24">
        <f t="shared" si="48"/>
        <v>300</v>
      </c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>
        <f t="shared" si="55"/>
        <v>0</v>
      </c>
      <c r="AD74" s="31"/>
      <c r="AE74" s="31"/>
      <c r="AF74" s="31"/>
      <c r="AG74" s="31"/>
      <c r="AH74" s="31"/>
      <c r="AI74" s="31"/>
      <c r="AJ74" s="31"/>
      <c r="AK74" s="31"/>
      <c r="AL74" s="31">
        <v>48</v>
      </c>
      <c r="AM74" s="31">
        <v>203</v>
      </c>
      <c r="AN74" s="31">
        <f t="shared" si="51"/>
        <v>251</v>
      </c>
      <c r="AO74" s="31"/>
      <c r="AP74" s="31">
        <v>0</v>
      </c>
      <c r="AQ74" s="31">
        <v>24</v>
      </c>
      <c r="AR74" s="254">
        <v>0</v>
      </c>
      <c r="AS74" s="254">
        <v>39</v>
      </c>
      <c r="AT74" s="31">
        <v>6</v>
      </c>
      <c r="AU74" s="31">
        <v>0</v>
      </c>
      <c r="AV74" s="31"/>
      <c r="AW74" s="31"/>
      <c r="AX74" s="31"/>
      <c r="AY74" s="31"/>
      <c r="AZ74" s="31">
        <v>137</v>
      </c>
      <c r="BA74" s="31"/>
      <c r="BB74" s="31"/>
      <c r="BC74" s="31"/>
      <c r="BD74" s="31">
        <f t="shared" si="52"/>
        <v>206</v>
      </c>
      <c r="BE74" s="29">
        <f t="shared" si="45"/>
        <v>94</v>
      </c>
      <c r="BF74" s="29">
        <f t="shared" si="53"/>
        <v>69</v>
      </c>
      <c r="BG74" s="29">
        <f>VLOOKUP(E74,'[3]Y2604-Y2608_庫存&amp;銷售'!$F:$AJ,23,0)</f>
        <v>12</v>
      </c>
      <c r="BH74" s="29">
        <f>VLOOKUP(E74,'[3]Y2604-Y2608_庫存&amp;銷售'!$F:$AL,25,0)</f>
        <v>0</v>
      </c>
      <c r="BI74" s="29">
        <f>VLOOKUP(E74,'[3]Y2604-Y2608_庫存&amp;銷售'!$F:$AN,30,0)</f>
        <v>0</v>
      </c>
      <c r="BJ74" s="81">
        <f t="shared" si="56"/>
        <v>0</v>
      </c>
      <c r="BK74" s="81">
        <f t="shared" si="57"/>
        <v>0</v>
      </c>
      <c r="BL74" s="81">
        <f t="shared" si="58"/>
        <v>439200</v>
      </c>
      <c r="BM74" s="81">
        <f t="shared" si="42"/>
        <v>0</v>
      </c>
      <c r="BN74" s="81">
        <f t="shared" si="43"/>
        <v>0</v>
      </c>
      <c r="BO74" s="81">
        <f t="shared" si="44"/>
        <v>0</v>
      </c>
      <c r="BP74" s="81">
        <f t="shared" si="32"/>
        <v>367464</v>
      </c>
      <c r="BQ74" s="81">
        <f t="shared" si="33"/>
        <v>308981</v>
      </c>
      <c r="BR74" s="81">
        <f t="shared" si="34"/>
        <v>360140.77380000002</v>
      </c>
      <c r="BS74" s="199">
        <f t="shared" si="54"/>
        <v>301584</v>
      </c>
      <c r="BT74" s="199">
        <f t="shared" si="49"/>
        <v>253586</v>
      </c>
      <c r="BU74" s="199">
        <f t="shared" si="50"/>
        <v>295573.70280000003</v>
      </c>
      <c r="BV74" s="112">
        <f>VLOOKUP(E74,'[4]Y2604-Y2608_庫存&amp;銷售'!$F:$AB,17,0)</f>
        <v>124</v>
      </c>
      <c r="BW74" s="112">
        <f>VLOOKUP(D74,'[7]supply check '!$G:$I,3,0)</f>
        <v>300</v>
      </c>
      <c r="BX74" s="112"/>
    </row>
    <row r="75" spans="1:76" ht="15" x14ac:dyDescent="0.35">
      <c r="A75" s="2">
        <v>522244895850726</v>
      </c>
      <c r="B75" s="19" t="s">
        <v>56</v>
      </c>
      <c r="C75" s="1" t="s">
        <v>57</v>
      </c>
      <c r="D75" s="2">
        <v>80858990</v>
      </c>
      <c r="E75" s="3">
        <v>14987176337082</v>
      </c>
      <c r="F75" s="3">
        <v>4987176337085</v>
      </c>
      <c r="G75" s="4" t="s">
        <v>72</v>
      </c>
      <c r="H75" s="1">
        <v>1231</v>
      </c>
      <c r="I75" s="106" t="s">
        <v>288</v>
      </c>
      <c r="J75" s="5">
        <v>1</v>
      </c>
      <c r="K75" s="5">
        <v>1464</v>
      </c>
      <c r="L75" s="5">
        <v>1406.69</v>
      </c>
      <c r="M75" s="115">
        <v>0</v>
      </c>
      <c r="N75" s="21"/>
      <c r="O75" s="23"/>
      <c r="P75" s="24">
        <f t="shared" si="46"/>
        <v>0</v>
      </c>
      <c r="Q75" s="24">
        <f t="shared" si="47"/>
        <v>0</v>
      </c>
      <c r="R75" s="24">
        <f t="shared" si="48"/>
        <v>0</v>
      </c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>
        <f t="shared" si="55"/>
        <v>0</v>
      </c>
      <c r="AD75" s="31"/>
      <c r="AE75" s="31"/>
      <c r="AF75" s="31"/>
      <c r="AG75" s="31"/>
      <c r="AH75" s="31"/>
      <c r="AI75" s="31"/>
      <c r="AJ75" s="31"/>
      <c r="AK75" s="31"/>
      <c r="AL75" s="31">
        <v>139</v>
      </c>
      <c r="AM75" s="31">
        <v>0</v>
      </c>
      <c r="AN75" s="31">
        <f t="shared" si="51"/>
        <v>139</v>
      </c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>
        <v>0</v>
      </c>
      <c r="BA75" s="31"/>
      <c r="BB75" s="31"/>
      <c r="BC75" s="31"/>
      <c r="BD75" s="31">
        <f t="shared" si="52"/>
        <v>0</v>
      </c>
      <c r="BE75" s="29">
        <f t="shared" si="45"/>
        <v>0</v>
      </c>
      <c r="BF75" s="29">
        <f t="shared" si="53"/>
        <v>0</v>
      </c>
      <c r="BG75" s="29">
        <f>VLOOKUP(E75,'[3]Y2604-Y2608_庫存&amp;銷售'!$F:$AJ,23,0)</f>
        <v>19</v>
      </c>
      <c r="BH75" s="29">
        <f>VLOOKUP(E75,'[3]Y2604-Y2608_庫存&amp;銷售'!$F:$AL,25,0)</f>
        <v>0</v>
      </c>
      <c r="BI75" s="29">
        <f>VLOOKUP(E75,'[3]Y2604-Y2608_庫存&amp;銷售'!$F:$AN,30,0)</f>
        <v>0</v>
      </c>
      <c r="BJ75" s="81">
        <f t="shared" si="56"/>
        <v>0</v>
      </c>
      <c r="BK75" s="81">
        <f t="shared" si="57"/>
        <v>0</v>
      </c>
      <c r="BL75" s="81">
        <f t="shared" si="58"/>
        <v>0</v>
      </c>
      <c r="BM75" s="81">
        <f t="shared" si="42"/>
        <v>0</v>
      </c>
      <c r="BN75" s="81">
        <f t="shared" si="43"/>
        <v>0</v>
      </c>
      <c r="BO75" s="81">
        <f t="shared" si="44"/>
        <v>0</v>
      </c>
      <c r="BP75" s="81">
        <f t="shared" si="32"/>
        <v>203496</v>
      </c>
      <c r="BQ75" s="81">
        <f t="shared" si="33"/>
        <v>171109</v>
      </c>
      <c r="BR75" s="81">
        <f t="shared" si="34"/>
        <v>199440.50820000001</v>
      </c>
      <c r="BS75" s="199">
        <f t="shared" si="54"/>
        <v>0</v>
      </c>
      <c r="BT75" s="199">
        <f t="shared" si="49"/>
        <v>0</v>
      </c>
      <c r="BU75" s="199">
        <f t="shared" si="50"/>
        <v>0</v>
      </c>
      <c r="BV75" s="112">
        <f>VLOOKUP(E75,'[4]Y2604-Y2608_庫存&amp;銷售'!$F:$AB,17,0)</f>
        <v>134</v>
      </c>
      <c r="BW75" s="112">
        <f>VLOOKUP(D75,'[7]supply check '!$G:$I,3,0)</f>
        <v>64</v>
      </c>
      <c r="BX75" s="112"/>
    </row>
    <row r="76" spans="1:76" ht="15" x14ac:dyDescent="0.35">
      <c r="A76" s="175">
        <v>522244895972651</v>
      </c>
      <c r="B76" s="19" t="s">
        <v>56</v>
      </c>
      <c r="C76" s="1" t="s">
        <v>57</v>
      </c>
      <c r="D76" s="2">
        <v>80858991</v>
      </c>
      <c r="E76" s="3">
        <v>4987176337092</v>
      </c>
      <c r="F76" s="3">
        <v>4987176337092</v>
      </c>
      <c r="G76" s="4" t="s">
        <v>73</v>
      </c>
      <c r="H76" s="1">
        <v>339</v>
      </c>
      <c r="I76" s="106" t="s">
        <v>412</v>
      </c>
      <c r="J76" s="5">
        <v>4</v>
      </c>
      <c r="K76" s="5">
        <v>1464</v>
      </c>
      <c r="L76" s="5">
        <v>1406.69</v>
      </c>
      <c r="M76" s="169">
        <f>0+78</f>
        <v>78</v>
      </c>
      <c r="N76" s="21"/>
      <c r="O76" s="23">
        <v>0</v>
      </c>
      <c r="P76" s="24">
        <f t="shared" si="46"/>
        <v>312</v>
      </c>
      <c r="Q76" s="24">
        <f t="shared" si="47"/>
        <v>0</v>
      </c>
      <c r="R76" s="24">
        <f t="shared" si="48"/>
        <v>0</v>
      </c>
      <c r="S76" s="31"/>
      <c r="T76" s="31"/>
      <c r="U76" s="31"/>
      <c r="V76" s="31"/>
      <c r="W76" s="31">
        <v>30</v>
      </c>
      <c r="X76" s="31"/>
      <c r="Y76" s="31">
        <v>48</v>
      </c>
      <c r="Z76" s="31"/>
      <c r="AA76" s="31"/>
      <c r="AB76" s="31"/>
      <c r="AC76" s="31">
        <f t="shared" si="55"/>
        <v>78</v>
      </c>
      <c r="AD76" s="31">
        <v>24</v>
      </c>
      <c r="AE76" s="31"/>
      <c r="AF76" s="31"/>
      <c r="AG76" s="31"/>
      <c r="AH76" s="31"/>
      <c r="AI76" s="111">
        <v>81</v>
      </c>
      <c r="AJ76" s="31"/>
      <c r="AK76" s="31">
        <v>100</v>
      </c>
      <c r="AL76" s="31"/>
      <c r="AM76" s="31"/>
      <c r="AN76" s="31">
        <f t="shared" si="51"/>
        <v>205</v>
      </c>
      <c r="AO76" s="31"/>
      <c r="AP76" s="31">
        <v>34</v>
      </c>
      <c r="AQ76" s="31"/>
      <c r="AR76" s="31"/>
      <c r="AS76" s="31"/>
      <c r="AT76" s="31"/>
      <c r="AU76" s="31">
        <v>60</v>
      </c>
      <c r="AV76" s="31"/>
      <c r="AW76" s="31"/>
      <c r="AX76" s="31"/>
      <c r="AY76" s="31"/>
      <c r="AZ76" s="31"/>
      <c r="BA76" s="31"/>
      <c r="BB76" s="31"/>
      <c r="BC76" s="31"/>
      <c r="BD76" s="31">
        <f t="shared" si="52"/>
        <v>94</v>
      </c>
      <c r="BE76" s="29">
        <f t="shared" si="45"/>
        <v>-94</v>
      </c>
      <c r="BF76" s="29">
        <f t="shared" si="53"/>
        <v>94</v>
      </c>
      <c r="BG76" s="29">
        <f>VLOOKUP(E76,'[3]Y2604-Y2608_庫存&amp;銷售'!$F:$AJ,23,0)</f>
        <v>11.5</v>
      </c>
      <c r="BH76" s="29">
        <f>VLOOKUP(E76,'[3]Y2604-Y2608_庫存&amp;銷售'!$F:$AL,25,0)</f>
        <v>0</v>
      </c>
      <c r="BI76" s="29">
        <f>VLOOKUP(E76,'[3]Y2604-Y2608_庫存&amp;銷售'!$F:$AN,30,0)</f>
        <v>0</v>
      </c>
      <c r="BJ76" s="81">
        <f t="shared" si="56"/>
        <v>114192</v>
      </c>
      <c r="BK76" s="81">
        <f t="shared" si="57"/>
        <v>0</v>
      </c>
      <c r="BL76" s="81">
        <f t="shared" si="58"/>
        <v>0</v>
      </c>
      <c r="BM76" s="81">
        <f t="shared" si="42"/>
        <v>114192</v>
      </c>
      <c r="BN76" s="81">
        <f t="shared" si="43"/>
        <v>105768</v>
      </c>
      <c r="BO76" s="81">
        <f t="shared" si="44"/>
        <v>111916.25640000001</v>
      </c>
      <c r="BP76" s="81">
        <f t="shared" si="32"/>
        <v>300120</v>
      </c>
      <c r="BQ76" s="81">
        <f t="shared" si="33"/>
        <v>277980</v>
      </c>
      <c r="BR76" s="81">
        <f t="shared" si="34"/>
        <v>294138.87900000002</v>
      </c>
      <c r="BS76" s="199">
        <f t="shared" si="54"/>
        <v>137616</v>
      </c>
      <c r="BT76" s="199">
        <f t="shared" si="49"/>
        <v>127464</v>
      </c>
      <c r="BU76" s="199">
        <f t="shared" si="50"/>
        <v>134873.43720000001</v>
      </c>
      <c r="BV76" s="112">
        <f>VLOOKUP(E76,'[4]Y2604-Y2608_庫存&amp;銷售'!$F:$AB,17,0)</f>
        <v>60.5</v>
      </c>
      <c r="BW76" s="112">
        <f>VLOOKUP(D76,'[7]supply check '!$G:$I,3,0)</f>
        <v>300</v>
      </c>
      <c r="BX76" s="112"/>
    </row>
    <row r="77" spans="1:76" ht="15" x14ac:dyDescent="0.35">
      <c r="A77" s="2">
        <v>522244895972652</v>
      </c>
      <c r="B77" s="19" t="s">
        <v>56</v>
      </c>
      <c r="C77" s="1" t="s">
        <v>57</v>
      </c>
      <c r="D77" s="2">
        <v>80858990</v>
      </c>
      <c r="E77" s="3">
        <v>4987176337085</v>
      </c>
      <c r="F77" s="3">
        <v>4987176337085</v>
      </c>
      <c r="G77" s="4" t="s">
        <v>74</v>
      </c>
      <c r="H77" s="1">
        <v>339</v>
      </c>
      <c r="I77" s="106" t="s">
        <v>288</v>
      </c>
      <c r="J77" s="5">
        <v>4</v>
      </c>
      <c r="K77" s="5">
        <v>1464</v>
      </c>
      <c r="L77" s="5">
        <v>1406.69</v>
      </c>
      <c r="M77" s="115">
        <v>0</v>
      </c>
      <c r="N77" s="21"/>
      <c r="O77" s="23">
        <v>64</v>
      </c>
      <c r="P77" s="24">
        <f t="shared" si="46"/>
        <v>0</v>
      </c>
      <c r="Q77" s="24">
        <f t="shared" si="47"/>
        <v>0</v>
      </c>
      <c r="R77" s="24">
        <f t="shared" si="48"/>
        <v>256</v>
      </c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>
        <f t="shared" si="55"/>
        <v>0</v>
      </c>
      <c r="AD77" s="31"/>
      <c r="AE77" s="31"/>
      <c r="AF77" s="31"/>
      <c r="AG77" s="31"/>
      <c r="AH77" s="31"/>
      <c r="AI77" s="31">
        <v>64</v>
      </c>
      <c r="AJ77" s="31">
        <v>1</v>
      </c>
      <c r="AK77" s="31">
        <v>60</v>
      </c>
      <c r="AL77" s="31"/>
      <c r="AM77" s="31"/>
      <c r="AN77" s="31">
        <f t="shared" si="51"/>
        <v>125</v>
      </c>
      <c r="AO77" s="31"/>
      <c r="AP77" s="31">
        <v>0</v>
      </c>
      <c r="AQ77" s="31"/>
      <c r="AR77" s="31"/>
      <c r="AS77" s="31"/>
      <c r="AT77" s="31"/>
      <c r="AU77" s="31">
        <v>0</v>
      </c>
      <c r="AV77" s="31"/>
      <c r="AW77" s="31"/>
      <c r="AX77" s="31"/>
      <c r="AY77" s="31"/>
      <c r="AZ77" s="31">
        <v>64</v>
      </c>
      <c r="BA77" s="31"/>
      <c r="BB77" s="31"/>
      <c r="BC77" s="31"/>
      <c r="BD77" s="31">
        <f t="shared" si="52"/>
        <v>64</v>
      </c>
      <c r="BE77" s="29">
        <f t="shared" si="45"/>
        <v>0</v>
      </c>
      <c r="BF77" s="29">
        <f t="shared" si="53"/>
        <v>0</v>
      </c>
      <c r="BG77" s="29">
        <f>VLOOKUP(E77,'[3]Y2604-Y2608_庫存&amp;銷售'!$F:$AJ,23,0)</f>
        <v>11</v>
      </c>
      <c r="BH77" s="29">
        <f>VLOOKUP(E77,'[3]Y2604-Y2608_庫存&amp;銷售'!$F:$AL,25,0)</f>
        <v>0</v>
      </c>
      <c r="BI77" s="29">
        <f>VLOOKUP(E77,'[3]Y2604-Y2608_庫存&amp;銷售'!$F:$AN,30,0)</f>
        <v>0</v>
      </c>
      <c r="BJ77" s="81">
        <f t="shared" si="56"/>
        <v>0</v>
      </c>
      <c r="BK77" s="81">
        <f t="shared" si="57"/>
        <v>0</v>
      </c>
      <c r="BL77" s="81">
        <f t="shared" si="58"/>
        <v>93696</v>
      </c>
      <c r="BM77" s="81">
        <f t="shared" si="42"/>
        <v>0</v>
      </c>
      <c r="BN77" s="81">
        <f t="shared" si="43"/>
        <v>0</v>
      </c>
      <c r="BO77" s="81">
        <f t="shared" si="44"/>
        <v>0</v>
      </c>
      <c r="BP77" s="81">
        <f t="shared" si="32"/>
        <v>183000</v>
      </c>
      <c r="BQ77" s="81">
        <f t="shared" si="33"/>
        <v>169500</v>
      </c>
      <c r="BR77" s="81">
        <f t="shared" si="34"/>
        <v>179352.97500000001</v>
      </c>
      <c r="BS77" s="199">
        <f t="shared" si="54"/>
        <v>93696</v>
      </c>
      <c r="BT77" s="199">
        <f t="shared" si="49"/>
        <v>86784</v>
      </c>
      <c r="BU77" s="199">
        <f t="shared" si="50"/>
        <v>91828.723200000008</v>
      </c>
      <c r="BV77" s="112">
        <f>VLOOKUP(E77,'[4]Y2604-Y2608_庫存&amp;銷售'!$F:$AB,17,0)</f>
        <v>38.5</v>
      </c>
      <c r="BW77" s="112">
        <f>VLOOKUP(D77,'[7]supply check '!$G:$I,3,0)</f>
        <v>64</v>
      </c>
      <c r="BX77" s="112"/>
    </row>
    <row r="78" spans="1:76" ht="15" x14ac:dyDescent="0.35">
      <c r="A78" s="2">
        <v>522244895972653</v>
      </c>
      <c r="B78" s="19" t="s">
        <v>56</v>
      </c>
      <c r="C78" s="1" t="s">
        <v>57</v>
      </c>
      <c r="D78" s="2">
        <v>80858989</v>
      </c>
      <c r="E78" s="3">
        <v>4987176337078</v>
      </c>
      <c r="F78" s="3">
        <v>4987176337078</v>
      </c>
      <c r="G78" s="4" t="s">
        <v>75</v>
      </c>
      <c r="H78" s="1">
        <v>323</v>
      </c>
      <c r="I78" s="106" t="s">
        <v>288</v>
      </c>
      <c r="J78" s="5">
        <v>4</v>
      </c>
      <c r="K78" s="5">
        <v>1386</v>
      </c>
      <c r="L78" s="5">
        <v>1330.45</v>
      </c>
      <c r="M78" s="115">
        <v>0</v>
      </c>
      <c r="N78" s="21"/>
      <c r="O78" s="23">
        <v>76</v>
      </c>
      <c r="P78" s="24">
        <f t="shared" si="46"/>
        <v>0</v>
      </c>
      <c r="Q78" s="24">
        <f t="shared" si="47"/>
        <v>0</v>
      </c>
      <c r="R78" s="24">
        <f t="shared" si="48"/>
        <v>304</v>
      </c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>
        <f t="shared" si="55"/>
        <v>0</v>
      </c>
      <c r="AD78" s="31"/>
      <c r="AE78" s="31"/>
      <c r="AF78" s="31"/>
      <c r="AG78" s="31"/>
      <c r="AH78" s="31"/>
      <c r="AI78" s="31">
        <v>33</v>
      </c>
      <c r="AJ78" s="31">
        <v>32</v>
      </c>
      <c r="AK78" s="31">
        <v>50</v>
      </c>
      <c r="AL78" s="31"/>
      <c r="AM78" s="31"/>
      <c r="AN78" s="31">
        <f t="shared" si="51"/>
        <v>115</v>
      </c>
      <c r="AO78" s="31"/>
      <c r="AP78" s="31">
        <v>76</v>
      </c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>
        <f t="shared" si="52"/>
        <v>76</v>
      </c>
      <c r="BE78" s="29">
        <f t="shared" si="45"/>
        <v>0</v>
      </c>
      <c r="BF78" s="29">
        <f t="shared" si="53"/>
        <v>76</v>
      </c>
      <c r="BG78" s="29">
        <f>VLOOKUP(E78,'[3]Y2604-Y2608_庫存&amp;銷售'!$F:$AJ,23,0)</f>
        <v>7.5</v>
      </c>
      <c r="BH78" s="29">
        <f>VLOOKUP(E78,'[3]Y2604-Y2608_庫存&amp;銷售'!$F:$AL,25,0)</f>
        <v>0</v>
      </c>
      <c r="BI78" s="29">
        <f>VLOOKUP(E78,'[3]Y2604-Y2608_庫存&amp;銷售'!$F:$AN,30,0)</f>
        <v>0</v>
      </c>
      <c r="BJ78" s="81">
        <f t="shared" si="56"/>
        <v>0</v>
      </c>
      <c r="BK78" s="81">
        <f t="shared" si="57"/>
        <v>0</v>
      </c>
      <c r="BL78" s="81">
        <f t="shared" si="58"/>
        <v>105336</v>
      </c>
      <c r="BM78" s="81">
        <f t="shared" si="42"/>
        <v>0</v>
      </c>
      <c r="BN78" s="81">
        <f t="shared" si="43"/>
        <v>0</v>
      </c>
      <c r="BO78" s="81">
        <f t="shared" si="44"/>
        <v>0</v>
      </c>
      <c r="BP78" s="81">
        <f t="shared" si="32"/>
        <v>159390</v>
      </c>
      <c r="BQ78" s="81">
        <f t="shared" si="33"/>
        <v>148580</v>
      </c>
      <c r="BR78" s="81">
        <f t="shared" si="34"/>
        <v>156061.785</v>
      </c>
      <c r="BS78" s="199">
        <f t="shared" si="54"/>
        <v>105336</v>
      </c>
      <c r="BT78" s="199">
        <f t="shared" si="49"/>
        <v>98192</v>
      </c>
      <c r="BU78" s="199">
        <f t="shared" si="50"/>
        <v>103136.484</v>
      </c>
      <c r="BV78" s="112">
        <f>VLOOKUP(E78,'[4]Y2604-Y2608_庫存&amp;銷售'!$F:$AB,17,0)</f>
        <v>27.5</v>
      </c>
      <c r="BW78" s="112">
        <f>VLOOKUP(D78,'[7]supply check '!$G:$I,3,0)</f>
        <v>727</v>
      </c>
      <c r="BX78" s="112"/>
    </row>
    <row r="79" spans="1:76" ht="15" x14ac:dyDescent="0.35">
      <c r="A79" s="175">
        <v>522244895972654</v>
      </c>
      <c r="B79" s="19" t="s">
        <v>56</v>
      </c>
      <c r="C79" s="1" t="s">
        <v>57</v>
      </c>
      <c r="D79" s="2">
        <v>80838273</v>
      </c>
      <c r="E79" s="3">
        <v>4987176232861</v>
      </c>
      <c r="F79" s="3">
        <v>4987176232861</v>
      </c>
      <c r="G79" s="263" t="s">
        <v>76</v>
      </c>
      <c r="H79" s="1">
        <v>339</v>
      </c>
      <c r="I79" s="106" t="s">
        <v>288</v>
      </c>
      <c r="J79" s="5">
        <v>4</v>
      </c>
      <c r="K79" s="5">
        <v>1464</v>
      </c>
      <c r="L79" s="5">
        <v>1406.69</v>
      </c>
      <c r="M79" s="115">
        <v>0</v>
      </c>
      <c r="N79" s="21"/>
      <c r="O79" s="23">
        <v>288</v>
      </c>
      <c r="P79" s="24">
        <f t="shared" si="46"/>
        <v>0</v>
      </c>
      <c r="Q79" s="24">
        <f t="shared" si="47"/>
        <v>0</v>
      </c>
      <c r="R79" s="24">
        <f t="shared" si="48"/>
        <v>1152</v>
      </c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>
        <f t="shared" si="55"/>
        <v>0</v>
      </c>
      <c r="AD79" s="31"/>
      <c r="AE79" s="31"/>
      <c r="AF79" s="31"/>
      <c r="AG79" s="31"/>
      <c r="AH79" s="31"/>
      <c r="AI79" s="111">
        <v>74</v>
      </c>
      <c r="AJ79" s="31">
        <v>21</v>
      </c>
      <c r="AK79" s="31">
        <v>80</v>
      </c>
      <c r="AL79" s="31"/>
      <c r="AM79" s="31"/>
      <c r="AN79" s="31">
        <f t="shared" si="51"/>
        <v>175</v>
      </c>
      <c r="AO79" s="31"/>
      <c r="AP79" s="31">
        <v>88</v>
      </c>
      <c r="AQ79" s="31"/>
      <c r="AR79" s="31"/>
      <c r="AS79" s="31"/>
      <c r="AT79" s="31"/>
      <c r="AU79" s="254">
        <v>0</v>
      </c>
      <c r="AV79" s="31"/>
      <c r="AW79" s="31"/>
      <c r="AX79" s="31"/>
      <c r="AY79" s="31"/>
      <c r="AZ79" s="31">
        <v>0</v>
      </c>
      <c r="BA79" s="31"/>
      <c r="BB79" s="31"/>
      <c r="BC79" s="31"/>
      <c r="BD79" s="31">
        <f t="shared" si="52"/>
        <v>88</v>
      </c>
      <c r="BE79" s="29">
        <f t="shared" si="45"/>
        <v>200</v>
      </c>
      <c r="BF79" s="29">
        <f t="shared" si="53"/>
        <v>88</v>
      </c>
      <c r="BG79" s="29">
        <f>VLOOKUP(E79,'[3]Y2604-Y2608_庫存&amp;銷售'!$F:$AJ,23,0)</f>
        <v>8</v>
      </c>
      <c r="BH79" s="29">
        <f>VLOOKUP(E79,'[3]Y2604-Y2608_庫存&amp;銷售'!$F:$AL,25,0)</f>
        <v>0</v>
      </c>
      <c r="BI79" s="29">
        <f>VLOOKUP(E79,'[3]Y2604-Y2608_庫存&amp;銷售'!$F:$AN,30,0)</f>
        <v>0</v>
      </c>
      <c r="BJ79" s="81">
        <f t="shared" si="56"/>
        <v>0</v>
      </c>
      <c r="BK79" s="81">
        <f t="shared" si="57"/>
        <v>0</v>
      </c>
      <c r="BL79" s="81">
        <f t="shared" si="58"/>
        <v>421632</v>
      </c>
      <c r="BM79" s="81">
        <f t="shared" si="42"/>
        <v>0</v>
      </c>
      <c r="BN79" s="81">
        <f t="shared" si="43"/>
        <v>0</v>
      </c>
      <c r="BO79" s="81">
        <f t="shared" si="44"/>
        <v>0</v>
      </c>
      <c r="BP79" s="81">
        <f t="shared" si="32"/>
        <v>256200</v>
      </c>
      <c r="BQ79" s="81">
        <f t="shared" si="33"/>
        <v>237300</v>
      </c>
      <c r="BR79" s="81">
        <f t="shared" si="34"/>
        <v>251094.16500000001</v>
      </c>
      <c r="BS79" s="199">
        <f t="shared" si="54"/>
        <v>128832</v>
      </c>
      <c r="BT79" s="199">
        <f t="shared" si="49"/>
        <v>119328</v>
      </c>
      <c r="BU79" s="199">
        <f t="shared" si="50"/>
        <v>126264.49440000001</v>
      </c>
      <c r="BV79" s="112">
        <f>VLOOKUP(E79,'[4]Y2604-Y2608_庫存&amp;銷售'!$F:$AB,17,0)</f>
        <v>49.5</v>
      </c>
      <c r="BW79" s="112">
        <f>VLOOKUP(D79,'[7]supply check '!$G:$I,3,0)</f>
        <v>1105</v>
      </c>
      <c r="BX79" s="112"/>
    </row>
    <row r="80" spans="1:76" ht="15" x14ac:dyDescent="0.35">
      <c r="A80" s="175">
        <v>522244895972655</v>
      </c>
      <c r="B80" s="19" t="s">
        <v>56</v>
      </c>
      <c r="C80" s="1" t="s">
        <v>57</v>
      </c>
      <c r="D80" s="2">
        <v>80838270</v>
      </c>
      <c r="E80" s="3">
        <v>4987176232885</v>
      </c>
      <c r="F80" s="3">
        <v>4987176232885</v>
      </c>
      <c r="G80" s="4" t="s">
        <v>77</v>
      </c>
      <c r="H80" s="1">
        <v>323</v>
      </c>
      <c r="I80" s="106" t="s">
        <v>288</v>
      </c>
      <c r="J80" s="5">
        <v>4</v>
      </c>
      <c r="K80" s="5">
        <v>1386</v>
      </c>
      <c r="L80" s="5">
        <v>1330.45</v>
      </c>
      <c r="M80" s="115">
        <v>0</v>
      </c>
      <c r="N80" s="21"/>
      <c r="O80" s="23">
        <v>181</v>
      </c>
      <c r="P80" s="24">
        <f t="shared" si="46"/>
        <v>0</v>
      </c>
      <c r="Q80" s="24">
        <f t="shared" si="47"/>
        <v>0</v>
      </c>
      <c r="R80" s="24">
        <f t="shared" si="48"/>
        <v>724</v>
      </c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>
        <f t="shared" si="55"/>
        <v>0</v>
      </c>
      <c r="AD80" s="31"/>
      <c r="AE80" s="31"/>
      <c r="AF80" s="31"/>
      <c r="AG80" s="31"/>
      <c r="AH80" s="31"/>
      <c r="AI80" s="111">
        <v>136</v>
      </c>
      <c r="AJ80" s="31">
        <v>38</v>
      </c>
      <c r="AK80" s="31">
        <v>225</v>
      </c>
      <c r="AL80" s="31"/>
      <c r="AM80" s="31"/>
      <c r="AN80" s="31">
        <f t="shared" si="51"/>
        <v>399</v>
      </c>
      <c r="AO80" s="31"/>
      <c r="AP80" s="31">
        <v>49</v>
      </c>
      <c r="AQ80" s="31"/>
      <c r="AR80" s="31"/>
      <c r="AS80" s="31"/>
      <c r="AT80" s="31"/>
      <c r="AU80" s="31">
        <v>107</v>
      </c>
      <c r="AV80" s="31">
        <v>25</v>
      </c>
      <c r="AW80" s="31"/>
      <c r="AX80" s="31"/>
      <c r="AY80" s="31"/>
      <c r="AZ80" s="31">
        <v>125</v>
      </c>
      <c r="BA80" s="31"/>
      <c r="BB80" s="31"/>
      <c r="BC80" s="31"/>
      <c r="BD80" s="31">
        <f t="shared" si="52"/>
        <v>306</v>
      </c>
      <c r="BE80" s="29">
        <f t="shared" si="45"/>
        <v>-125</v>
      </c>
      <c r="BF80" s="29">
        <f t="shared" si="53"/>
        <v>181</v>
      </c>
      <c r="BG80" s="29">
        <f>VLOOKUP(E80,'[3]Y2604-Y2608_庫存&amp;銷售'!$F:$AJ,23,0)</f>
        <v>114.75</v>
      </c>
      <c r="BH80" s="29">
        <f>VLOOKUP(E80,'[3]Y2604-Y2608_庫存&amp;銷售'!$F:$AL,25,0)</f>
        <v>0</v>
      </c>
      <c r="BI80" s="29">
        <f>VLOOKUP(E80,'[3]Y2604-Y2608_庫存&amp;銷售'!$F:$AN,30,0)</f>
        <v>500</v>
      </c>
      <c r="BJ80" s="81">
        <f t="shared" si="56"/>
        <v>0</v>
      </c>
      <c r="BK80" s="81">
        <f t="shared" si="57"/>
        <v>0</v>
      </c>
      <c r="BL80" s="81">
        <f t="shared" si="58"/>
        <v>250866</v>
      </c>
      <c r="BM80" s="81">
        <f t="shared" si="42"/>
        <v>0</v>
      </c>
      <c r="BN80" s="81">
        <f t="shared" si="43"/>
        <v>0</v>
      </c>
      <c r="BO80" s="81">
        <f t="shared" si="44"/>
        <v>0</v>
      </c>
      <c r="BP80" s="81">
        <f t="shared" si="32"/>
        <v>553014</v>
      </c>
      <c r="BQ80" s="81">
        <f t="shared" si="33"/>
        <v>515508</v>
      </c>
      <c r="BR80" s="81">
        <f t="shared" si="34"/>
        <v>541466.54099999997</v>
      </c>
      <c r="BS80" s="199">
        <f t="shared" si="54"/>
        <v>424116</v>
      </c>
      <c r="BT80" s="199">
        <f t="shared" si="49"/>
        <v>395352</v>
      </c>
      <c r="BU80" s="199">
        <f t="shared" si="50"/>
        <v>415260.054</v>
      </c>
      <c r="BV80" s="112">
        <f>VLOOKUP(E80,'[4]Y2604-Y2608_庫存&amp;銷售'!$F:$AB,17,0)</f>
        <v>73.75</v>
      </c>
      <c r="BW80" s="112">
        <f>VLOOKUP(D80,'[7]supply check '!$G:$I,3,0)</f>
        <v>1365</v>
      </c>
      <c r="BX80" s="112"/>
    </row>
    <row r="81" spans="1:76" ht="15" x14ac:dyDescent="0.35">
      <c r="A81" s="2">
        <v>522244895972656</v>
      </c>
      <c r="B81" s="19" t="s">
        <v>56</v>
      </c>
      <c r="C81" s="1" t="s">
        <v>57</v>
      </c>
      <c r="D81" s="2">
        <v>80838274</v>
      </c>
      <c r="E81" s="3">
        <v>4987176232854</v>
      </c>
      <c r="F81" s="3">
        <v>4987176232854</v>
      </c>
      <c r="G81" s="4" t="s">
        <v>78</v>
      </c>
      <c r="H81" s="1">
        <v>339</v>
      </c>
      <c r="I81" s="106" t="s">
        <v>288</v>
      </c>
      <c r="J81" s="5">
        <v>4</v>
      </c>
      <c r="K81" s="5">
        <v>1464</v>
      </c>
      <c r="L81" s="5">
        <v>1406.69</v>
      </c>
      <c r="M81" s="115">
        <v>0</v>
      </c>
      <c r="N81" s="21"/>
      <c r="O81" s="23">
        <v>105</v>
      </c>
      <c r="P81" s="24">
        <f t="shared" si="46"/>
        <v>0</v>
      </c>
      <c r="Q81" s="24">
        <f t="shared" si="47"/>
        <v>0</v>
      </c>
      <c r="R81" s="24">
        <f t="shared" si="48"/>
        <v>420</v>
      </c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>
        <f t="shared" si="55"/>
        <v>0</v>
      </c>
      <c r="AD81" s="31"/>
      <c r="AE81" s="31"/>
      <c r="AF81" s="31"/>
      <c r="AG81" s="31"/>
      <c r="AH81" s="31"/>
      <c r="AI81" s="31"/>
      <c r="AJ81" s="31">
        <v>76</v>
      </c>
      <c r="AK81" s="31">
        <v>80</v>
      </c>
      <c r="AL81" s="31"/>
      <c r="AM81" s="31"/>
      <c r="AN81" s="31">
        <f t="shared" si="51"/>
        <v>156</v>
      </c>
      <c r="AO81" s="31"/>
      <c r="AP81" s="31">
        <v>105</v>
      </c>
      <c r="AQ81" s="31"/>
      <c r="AR81" s="31"/>
      <c r="AS81" s="31"/>
      <c r="AT81" s="31"/>
      <c r="AU81" s="31"/>
      <c r="AV81" s="31"/>
      <c r="AW81" s="31"/>
      <c r="AX81" s="31"/>
      <c r="AY81" s="31"/>
      <c r="AZ81" s="31">
        <v>50</v>
      </c>
      <c r="BA81" s="31"/>
      <c r="BB81" s="31"/>
      <c r="BC81" s="31"/>
      <c r="BD81" s="31">
        <f t="shared" si="52"/>
        <v>155</v>
      </c>
      <c r="BE81" s="29">
        <f t="shared" si="45"/>
        <v>-50</v>
      </c>
      <c r="BF81" s="29">
        <f t="shared" si="53"/>
        <v>105</v>
      </c>
      <c r="BG81" s="29">
        <f>VLOOKUP(E81,'[3]Y2604-Y2608_庫存&amp;銷售'!$F:$AJ,23,0)</f>
        <v>29</v>
      </c>
      <c r="BH81" s="29">
        <f>VLOOKUP(E81,'[3]Y2604-Y2608_庫存&amp;銷售'!$F:$AL,25,0)</f>
        <v>0</v>
      </c>
      <c r="BI81" s="29">
        <f>VLOOKUP(E81,'[3]Y2604-Y2608_庫存&amp;銷售'!$F:$AN,30,0)</f>
        <v>200</v>
      </c>
      <c r="BJ81" s="81">
        <f t="shared" si="56"/>
        <v>0</v>
      </c>
      <c r="BK81" s="81">
        <f t="shared" si="57"/>
        <v>0</v>
      </c>
      <c r="BL81" s="81">
        <f t="shared" si="58"/>
        <v>153720</v>
      </c>
      <c r="BM81" s="81">
        <f t="shared" si="42"/>
        <v>0</v>
      </c>
      <c r="BN81" s="81">
        <f t="shared" si="43"/>
        <v>0</v>
      </c>
      <c r="BO81" s="81">
        <f t="shared" si="44"/>
        <v>0</v>
      </c>
      <c r="BP81" s="81">
        <f t="shared" si="32"/>
        <v>228384</v>
      </c>
      <c r="BQ81" s="81">
        <f t="shared" si="33"/>
        <v>211536</v>
      </c>
      <c r="BR81" s="81">
        <f t="shared" si="34"/>
        <v>223832.51280000003</v>
      </c>
      <c r="BS81" s="199">
        <f t="shared" si="54"/>
        <v>226920</v>
      </c>
      <c r="BT81" s="199">
        <f t="shared" si="49"/>
        <v>210180</v>
      </c>
      <c r="BU81" s="199">
        <f t="shared" si="50"/>
        <v>222397.68900000001</v>
      </c>
      <c r="BV81" s="112">
        <f>VLOOKUP(E81,'[4]Y2604-Y2608_庫存&amp;銷售'!$F:$AB,17,0)</f>
        <v>39.75</v>
      </c>
      <c r="BW81" s="112">
        <f>VLOOKUP(D81,'[7]supply check '!$G:$I,3,0)</f>
        <v>889</v>
      </c>
      <c r="BX81" s="112"/>
    </row>
    <row r="82" spans="1:76" ht="15" x14ac:dyDescent="0.35">
      <c r="A82" s="2">
        <v>522244895972657</v>
      </c>
      <c r="B82" s="19" t="s">
        <v>56</v>
      </c>
      <c r="C82" s="1" t="s">
        <v>57</v>
      </c>
      <c r="D82" s="2">
        <v>80838271</v>
      </c>
      <c r="E82" s="3">
        <v>4987176232892</v>
      </c>
      <c r="F82" s="3">
        <v>4987176232892</v>
      </c>
      <c r="G82" s="172" t="s">
        <v>79</v>
      </c>
      <c r="H82" s="1">
        <v>323</v>
      </c>
      <c r="I82" s="106" t="s">
        <v>288</v>
      </c>
      <c r="J82" s="5">
        <v>4</v>
      </c>
      <c r="K82" s="5">
        <v>1386</v>
      </c>
      <c r="L82" s="5">
        <v>1330.45</v>
      </c>
      <c r="M82" s="115">
        <v>0</v>
      </c>
      <c r="N82" s="21"/>
      <c r="O82" s="23">
        <v>1400</v>
      </c>
      <c r="P82" s="24">
        <f t="shared" si="46"/>
        <v>0</v>
      </c>
      <c r="Q82" s="24">
        <f t="shared" si="47"/>
        <v>0</v>
      </c>
      <c r="R82" s="24">
        <f t="shared" si="48"/>
        <v>5600</v>
      </c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>
        <f t="shared" si="55"/>
        <v>0</v>
      </c>
      <c r="AD82" s="31"/>
      <c r="AE82" s="31"/>
      <c r="AF82" s="31"/>
      <c r="AG82" s="31"/>
      <c r="AH82" s="31">
        <v>378</v>
      </c>
      <c r="AI82" s="173">
        <v>0</v>
      </c>
      <c r="AJ82" s="31"/>
      <c r="AK82" s="31">
        <v>300</v>
      </c>
      <c r="AL82" s="31"/>
      <c r="AM82" s="31"/>
      <c r="AN82" s="31">
        <f t="shared" si="51"/>
        <v>678</v>
      </c>
      <c r="AO82" s="31"/>
      <c r="AP82" s="31">
        <v>152</v>
      </c>
      <c r="AQ82" s="31"/>
      <c r="AR82" s="31"/>
      <c r="AS82" s="31"/>
      <c r="AT82" s="31"/>
      <c r="AU82" s="31">
        <v>322</v>
      </c>
      <c r="AV82" s="31">
        <v>158</v>
      </c>
      <c r="AW82" s="31"/>
      <c r="AX82" s="31"/>
      <c r="AY82" s="31"/>
      <c r="AZ82" s="31">
        <v>768</v>
      </c>
      <c r="BA82" s="31"/>
      <c r="BB82" s="31"/>
      <c r="BC82" s="31"/>
      <c r="BD82" s="31">
        <f t="shared" si="52"/>
        <v>1400</v>
      </c>
      <c r="BE82" s="29">
        <f t="shared" si="45"/>
        <v>0</v>
      </c>
      <c r="BF82" s="29">
        <f t="shared" si="53"/>
        <v>632</v>
      </c>
      <c r="BG82" s="29">
        <f>VLOOKUP(E82,'[3]Y2604-Y2608_庫存&amp;銷售'!$F:$AJ,23,0)</f>
        <v>29.25</v>
      </c>
      <c r="BH82" s="29">
        <f>VLOOKUP(E82,'[3]Y2604-Y2608_庫存&amp;銷售'!$F:$AL,25,0)</f>
        <v>0</v>
      </c>
      <c r="BI82" s="29">
        <f>VLOOKUP(E82,'[3]Y2604-Y2608_庫存&amp;銷售'!$F:$AN,30,0)</f>
        <v>0</v>
      </c>
      <c r="BJ82" s="81">
        <f t="shared" si="56"/>
        <v>0</v>
      </c>
      <c r="BK82" s="81">
        <f t="shared" si="57"/>
        <v>0</v>
      </c>
      <c r="BL82" s="81">
        <f t="shared" si="58"/>
        <v>1940400</v>
      </c>
      <c r="BM82" s="81">
        <f t="shared" si="42"/>
        <v>0</v>
      </c>
      <c r="BN82" s="81">
        <f t="shared" si="43"/>
        <v>0</v>
      </c>
      <c r="BO82" s="81">
        <f t="shared" si="44"/>
        <v>0</v>
      </c>
      <c r="BP82" s="81">
        <f t="shared" si="32"/>
        <v>939708</v>
      </c>
      <c r="BQ82" s="81">
        <f t="shared" si="33"/>
        <v>875976</v>
      </c>
      <c r="BR82" s="81">
        <f t="shared" si="34"/>
        <v>920086.00199999998</v>
      </c>
      <c r="BS82" s="199">
        <f t="shared" si="54"/>
        <v>1940400</v>
      </c>
      <c r="BT82" s="199">
        <f t="shared" si="49"/>
        <v>1808800</v>
      </c>
      <c r="BU82" s="199">
        <f t="shared" si="50"/>
        <v>1899882.5999999999</v>
      </c>
      <c r="BV82" s="112">
        <f>VLOOKUP(E82,'[4]Y2604-Y2608_庫存&amp;銷售'!$F:$AB,17,0)</f>
        <v>198.5</v>
      </c>
      <c r="BW82" s="112">
        <f>VLOOKUP(D82,'[7]supply check '!$G:$I,3,0)</f>
        <v>4300</v>
      </c>
      <c r="BX82" s="112"/>
    </row>
    <row r="83" spans="1:76" ht="15" x14ac:dyDescent="0.35">
      <c r="A83" s="175">
        <v>522244895972658</v>
      </c>
      <c r="B83" s="19" t="s">
        <v>56</v>
      </c>
      <c r="C83" s="1" t="s">
        <v>57</v>
      </c>
      <c r="D83" s="2">
        <v>80838275</v>
      </c>
      <c r="E83" s="3">
        <v>4987176232878</v>
      </c>
      <c r="F83" s="3">
        <v>4987176232878</v>
      </c>
      <c r="G83" s="4" t="s">
        <v>80</v>
      </c>
      <c r="H83" s="1">
        <v>323</v>
      </c>
      <c r="I83" s="106" t="s">
        <v>288</v>
      </c>
      <c r="J83" s="5">
        <v>4</v>
      </c>
      <c r="K83" s="5">
        <v>1386</v>
      </c>
      <c r="L83" s="5">
        <v>1330.45</v>
      </c>
      <c r="M83" s="169">
        <f>0+52</f>
        <v>52</v>
      </c>
      <c r="N83" s="21"/>
      <c r="O83" s="23">
        <v>423</v>
      </c>
      <c r="P83" s="24">
        <f t="shared" si="46"/>
        <v>208</v>
      </c>
      <c r="Q83" s="24">
        <f t="shared" si="47"/>
        <v>0</v>
      </c>
      <c r="R83" s="24">
        <f t="shared" si="48"/>
        <v>1692</v>
      </c>
      <c r="S83" s="31"/>
      <c r="T83" s="31"/>
      <c r="U83" s="31"/>
      <c r="V83" s="31"/>
      <c r="W83" s="31"/>
      <c r="X83" s="31"/>
      <c r="Y83" s="31"/>
      <c r="Z83" s="31"/>
      <c r="AA83" s="31"/>
      <c r="AB83" s="31">
        <v>52</v>
      </c>
      <c r="AC83" s="31">
        <f t="shared" si="55"/>
        <v>52</v>
      </c>
      <c r="AD83" s="31"/>
      <c r="AE83" s="31"/>
      <c r="AF83" s="31"/>
      <c r="AG83" s="31"/>
      <c r="AH83" s="31">
        <v>32</v>
      </c>
      <c r="AI83" s="111">
        <v>0</v>
      </c>
      <c r="AJ83" s="31"/>
      <c r="AK83" s="31"/>
      <c r="AL83" s="31"/>
      <c r="AM83" s="31"/>
      <c r="AN83" s="31">
        <f t="shared" si="51"/>
        <v>32</v>
      </c>
      <c r="AO83" s="31"/>
      <c r="AP83" s="31"/>
      <c r="AQ83" s="31"/>
      <c r="AR83" s="31"/>
      <c r="AS83" s="31"/>
      <c r="AT83" s="31"/>
      <c r="AU83" s="31">
        <v>237</v>
      </c>
      <c r="AV83" s="31"/>
      <c r="AW83" s="254">
        <v>180</v>
      </c>
      <c r="AX83" s="31"/>
      <c r="AY83" s="31"/>
      <c r="AZ83" s="31">
        <v>237</v>
      </c>
      <c r="BA83" s="31"/>
      <c r="BB83" s="31"/>
      <c r="BC83" s="31"/>
      <c r="BD83" s="31">
        <f t="shared" si="52"/>
        <v>654</v>
      </c>
      <c r="BE83" s="29">
        <f t="shared" si="45"/>
        <v>-231</v>
      </c>
      <c r="BF83" s="29">
        <f t="shared" si="53"/>
        <v>417</v>
      </c>
      <c r="BG83" s="29">
        <f>VLOOKUP(E83,'[3]Y2604-Y2608_庫存&amp;銷售'!$F:$AJ,23,0)</f>
        <v>0</v>
      </c>
      <c r="BH83" s="29">
        <f>VLOOKUP(E83,'[3]Y2604-Y2608_庫存&amp;銷售'!$F:$AL,25,0)</f>
        <v>0</v>
      </c>
      <c r="BI83" s="29">
        <f>VLOOKUP(E83,'[3]Y2604-Y2608_庫存&amp;銷售'!$F:$AN,30,0)</f>
        <v>0</v>
      </c>
      <c r="BJ83" s="81">
        <f t="shared" si="56"/>
        <v>72072</v>
      </c>
      <c r="BK83" s="81">
        <f t="shared" si="57"/>
        <v>0</v>
      </c>
      <c r="BL83" s="81">
        <f t="shared" si="58"/>
        <v>586278</v>
      </c>
      <c r="BM83" s="81">
        <f t="shared" si="42"/>
        <v>72072</v>
      </c>
      <c r="BN83" s="81">
        <f t="shared" si="43"/>
        <v>67184</v>
      </c>
      <c r="BO83" s="81">
        <f t="shared" si="44"/>
        <v>70567.067999999999</v>
      </c>
      <c r="BP83" s="81">
        <f t="shared" si="32"/>
        <v>44352</v>
      </c>
      <c r="BQ83" s="81">
        <f t="shared" si="33"/>
        <v>41344</v>
      </c>
      <c r="BR83" s="81">
        <f t="shared" si="34"/>
        <v>43425.887999999999</v>
      </c>
      <c r="BS83" s="199">
        <f t="shared" si="54"/>
        <v>906444</v>
      </c>
      <c r="BT83" s="199">
        <f t="shared" si="49"/>
        <v>844968</v>
      </c>
      <c r="BU83" s="199">
        <f t="shared" si="50"/>
        <v>887516.58600000001</v>
      </c>
      <c r="BV83" s="112">
        <f>VLOOKUP(E83,'[4]Y2604-Y2608_庫存&amp;銷售'!$F:$AB,17,0)</f>
        <v>97.5</v>
      </c>
      <c r="BW83" s="112">
        <f>VLOOKUP(D83,'[7]supply check '!$G:$I,3,0)</f>
        <v>4423</v>
      </c>
      <c r="BX83" s="112"/>
    </row>
    <row r="84" spans="1:76" ht="15" x14ac:dyDescent="0.35">
      <c r="A84" s="175">
        <v>522244895972659</v>
      </c>
      <c r="B84" s="19" t="s">
        <v>56</v>
      </c>
      <c r="C84" s="1" t="s">
        <v>57</v>
      </c>
      <c r="D84" s="2">
        <v>80838272</v>
      </c>
      <c r="E84" s="3">
        <v>4987176232847</v>
      </c>
      <c r="F84" s="3">
        <v>4987176232847</v>
      </c>
      <c r="G84" s="4" t="s">
        <v>81</v>
      </c>
      <c r="H84" s="1">
        <v>323</v>
      </c>
      <c r="I84" s="106" t="s">
        <v>288</v>
      </c>
      <c r="J84" s="5">
        <v>4</v>
      </c>
      <c r="K84" s="5">
        <v>1386</v>
      </c>
      <c r="L84" s="5">
        <v>1330.45</v>
      </c>
      <c r="M84" s="169">
        <f>0+18</f>
        <v>18</v>
      </c>
      <c r="N84" s="21"/>
      <c r="O84" s="23">
        <v>500</v>
      </c>
      <c r="P84" s="24">
        <f t="shared" si="46"/>
        <v>72</v>
      </c>
      <c r="Q84" s="24">
        <f t="shared" si="47"/>
        <v>0</v>
      </c>
      <c r="R84" s="24">
        <f t="shared" si="48"/>
        <v>2000</v>
      </c>
      <c r="S84" s="31"/>
      <c r="T84" s="31"/>
      <c r="U84" s="31"/>
      <c r="V84" s="31"/>
      <c r="W84" s="31"/>
      <c r="X84" s="31"/>
      <c r="Y84" s="31"/>
      <c r="Z84" s="31"/>
      <c r="AA84" s="31"/>
      <c r="AB84" s="31">
        <v>18</v>
      </c>
      <c r="AC84" s="31">
        <f t="shared" si="55"/>
        <v>18</v>
      </c>
      <c r="AD84" s="31"/>
      <c r="AE84" s="31"/>
      <c r="AF84" s="31"/>
      <c r="AG84" s="31"/>
      <c r="AH84" s="31"/>
      <c r="AI84" s="31"/>
      <c r="AJ84" s="31">
        <v>9</v>
      </c>
      <c r="AK84" s="31"/>
      <c r="AL84" s="31"/>
      <c r="AM84" s="31"/>
      <c r="AN84" s="31">
        <f t="shared" si="51"/>
        <v>9</v>
      </c>
      <c r="AO84" s="31"/>
      <c r="AP84" s="31"/>
      <c r="AQ84" s="31"/>
      <c r="AR84" s="31"/>
      <c r="AS84" s="31"/>
      <c r="AT84" s="31"/>
      <c r="AU84" s="31"/>
      <c r="AV84" s="31"/>
      <c r="AW84" s="31">
        <v>60</v>
      </c>
      <c r="AX84" s="31"/>
      <c r="AY84" s="31"/>
      <c r="AZ84" s="31">
        <v>50</v>
      </c>
      <c r="BA84" s="31"/>
      <c r="BB84" s="31"/>
      <c r="BC84" s="31"/>
      <c r="BD84" s="31">
        <f t="shared" si="52"/>
        <v>110</v>
      </c>
      <c r="BE84" s="29">
        <f t="shared" si="45"/>
        <v>390</v>
      </c>
      <c r="BF84" s="29">
        <f t="shared" si="53"/>
        <v>60</v>
      </c>
      <c r="BG84" s="29">
        <f>VLOOKUP(E84,'[3]Y2604-Y2608_庫存&amp;銷售'!$F:$AJ,23,0)</f>
        <v>0</v>
      </c>
      <c r="BH84" s="29">
        <f>VLOOKUP(E84,'[3]Y2604-Y2608_庫存&amp;銷售'!$F:$AL,25,0)</f>
        <v>0</v>
      </c>
      <c r="BI84" s="29">
        <f>VLOOKUP(E84,'[3]Y2604-Y2608_庫存&amp;銷售'!$F:$AN,30,0)</f>
        <v>0</v>
      </c>
      <c r="BJ84" s="81">
        <f t="shared" si="56"/>
        <v>24948</v>
      </c>
      <c r="BK84" s="81">
        <f t="shared" si="57"/>
        <v>0</v>
      </c>
      <c r="BL84" s="81">
        <f t="shared" si="58"/>
        <v>693000</v>
      </c>
      <c r="BM84" s="81">
        <f t="shared" si="42"/>
        <v>24948</v>
      </c>
      <c r="BN84" s="81">
        <f t="shared" si="43"/>
        <v>23256</v>
      </c>
      <c r="BO84" s="81">
        <f t="shared" si="44"/>
        <v>24427.061999999998</v>
      </c>
      <c r="BP84" s="81">
        <f t="shared" si="32"/>
        <v>12474</v>
      </c>
      <c r="BQ84" s="81">
        <f t="shared" si="33"/>
        <v>11628</v>
      </c>
      <c r="BR84" s="81">
        <f t="shared" si="34"/>
        <v>12213.530999999999</v>
      </c>
      <c r="BS84" s="199">
        <f t="shared" si="54"/>
        <v>152460</v>
      </c>
      <c r="BT84" s="199">
        <f t="shared" si="49"/>
        <v>142120</v>
      </c>
      <c r="BU84" s="199">
        <f t="shared" si="50"/>
        <v>149276.49</v>
      </c>
      <c r="BV84" s="112">
        <f>VLOOKUP(E84,'[4]Y2604-Y2608_庫存&amp;銷售'!$F:$AB,17,0)</f>
        <v>13.25</v>
      </c>
      <c r="BW84" s="112">
        <f>VLOOKUP(D84,'[7]supply check '!$G:$I,3,0)</f>
        <v>1500</v>
      </c>
      <c r="BX84" s="112"/>
    </row>
    <row r="85" spans="1:76" s="53" customFormat="1" ht="15" x14ac:dyDescent="0.35">
      <c r="A85" s="7">
        <v>522244896318703</v>
      </c>
      <c r="B85" s="20" t="s">
        <v>56</v>
      </c>
      <c r="C85" s="6" t="s">
        <v>82</v>
      </c>
      <c r="D85" s="7">
        <v>80821861</v>
      </c>
      <c r="E85" s="8">
        <v>6903148358023</v>
      </c>
      <c r="F85" s="8">
        <v>6903148358023</v>
      </c>
      <c r="G85" s="9" t="s">
        <v>83</v>
      </c>
      <c r="H85" s="6">
        <v>1079</v>
      </c>
      <c r="I85" s="43" t="s">
        <v>199</v>
      </c>
      <c r="J85" s="10">
        <v>1</v>
      </c>
      <c r="K85" s="5">
        <v>1200</v>
      </c>
      <c r="L85" s="5">
        <v>1117.3399999999999</v>
      </c>
      <c r="M85" s="115">
        <v>0</v>
      </c>
      <c r="N85" s="21"/>
      <c r="O85" s="23">
        <v>0</v>
      </c>
      <c r="P85" s="51">
        <f t="shared" si="46"/>
        <v>0</v>
      </c>
      <c r="Q85" s="51">
        <f t="shared" si="47"/>
        <v>0</v>
      </c>
      <c r="R85" s="51">
        <f t="shared" si="48"/>
        <v>0</v>
      </c>
      <c r="S85" s="52"/>
      <c r="T85" s="52"/>
      <c r="U85" s="52"/>
      <c r="V85" s="52"/>
      <c r="W85" s="52"/>
      <c r="X85" s="31"/>
      <c r="Y85" s="31"/>
      <c r="Z85" s="52"/>
      <c r="AA85" s="52"/>
      <c r="AB85" s="52"/>
      <c r="AC85" s="31">
        <f t="shared" si="55"/>
        <v>0</v>
      </c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>
        <f t="shared" si="51"/>
        <v>0</v>
      </c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>
        <f t="shared" si="52"/>
        <v>0</v>
      </c>
      <c r="BE85" s="29">
        <f t="shared" si="45"/>
        <v>0</v>
      </c>
      <c r="BF85" s="29">
        <f t="shared" si="53"/>
        <v>0</v>
      </c>
      <c r="BG85" s="29" t="e">
        <f>VLOOKUP(E85,'[3]Y2604-Y2608_庫存&amp;銷售'!$F:$AJ,23,0)</f>
        <v>#N/A</v>
      </c>
      <c r="BH85" s="29" t="e">
        <f>VLOOKUP(E85,'[3]Y2604-Y2608_庫存&amp;銷售'!$F:$AL,25,0)</f>
        <v>#N/A</v>
      </c>
      <c r="BI85" s="29" t="e">
        <f>VLOOKUP(E85,'[3]Y2604-Y2608_庫存&amp;銷售'!$F:$AN,30,0)</f>
        <v>#N/A</v>
      </c>
      <c r="BJ85" s="81">
        <f t="shared" si="56"/>
        <v>0</v>
      </c>
      <c r="BK85" s="81">
        <f t="shared" si="57"/>
        <v>0</v>
      </c>
      <c r="BL85" s="81">
        <f t="shared" si="58"/>
        <v>0</v>
      </c>
      <c r="BM85" s="81">
        <f t="shared" si="42"/>
        <v>0</v>
      </c>
      <c r="BN85" s="81">
        <f t="shared" si="43"/>
        <v>0</v>
      </c>
      <c r="BO85" s="81">
        <f t="shared" si="44"/>
        <v>0</v>
      </c>
      <c r="BP85" s="81">
        <f t="shared" si="32"/>
        <v>0</v>
      </c>
      <c r="BQ85" s="81">
        <f t="shared" si="33"/>
        <v>0</v>
      </c>
      <c r="BR85" s="81">
        <f t="shared" si="34"/>
        <v>0</v>
      </c>
      <c r="BS85" s="199">
        <f t="shared" si="54"/>
        <v>0</v>
      </c>
      <c r="BT85" s="199">
        <f t="shared" si="49"/>
        <v>0</v>
      </c>
      <c r="BU85" s="199">
        <f t="shared" si="50"/>
        <v>0</v>
      </c>
      <c r="BV85" s="112" t="e">
        <f>VLOOKUP(E85,'[4]Y2604-Y2608_庫存&amp;銷售'!$F:$AB,17,0)</f>
        <v>#N/A</v>
      </c>
      <c r="BW85" s="112" t="e">
        <f>VLOOKUP(D85,'[7]supply check '!$G:$I,3,0)</f>
        <v>#N/A</v>
      </c>
      <c r="BX85" s="112"/>
    </row>
    <row r="86" spans="1:76" s="53" customFormat="1" ht="15" x14ac:dyDescent="0.35">
      <c r="A86" s="7">
        <v>522244896318704</v>
      </c>
      <c r="B86" s="20" t="s">
        <v>56</v>
      </c>
      <c r="C86" s="6" t="s">
        <v>82</v>
      </c>
      <c r="D86" s="7">
        <v>80821866</v>
      </c>
      <c r="E86" s="8">
        <v>6903148358085</v>
      </c>
      <c r="F86" s="8">
        <v>6903148358085</v>
      </c>
      <c r="G86" s="9" t="s">
        <v>84</v>
      </c>
      <c r="H86" s="6">
        <v>1079</v>
      </c>
      <c r="I86" s="43" t="s">
        <v>199</v>
      </c>
      <c r="J86" s="10">
        <v>1</v>
      </c>
      <c r="K86" s="5">
        <v>1200</v>
      </c>
      <c r="L86" s="5">
        <v>1117.3399999999999</v>
      </c>
      <c r="M86" s="115">
        <v>0</v>
      </c>
      <c r="N86" s="21"/>
      <c r="O86" s="23">
        <v>0</v>
      </c>
      <c r="P86" s="51">
        <f t="shared" si="46"/>
        <v>0</v>
      </c>
      <c r="Q86" s="51">
        <f t="shared" si="47"/>
        <v>0</v>
      </c>
      <c r="R86" s="51">
        <f t="shared" si="48"/>
        <v>0</v>
      </c>
      <c r="S86" s="52"/>
      <c r="T86" s="52"/>
      <c r="U86" s="52"/>
      <c r="V86" s="52"/>
      <c r="W86" s="52"/>
      <c r="X86" s="31"/>
      <c r="Y86" s="31"/>
      <c r="Z86" s="52"/>
      <c r="AA86" s="52"/>
      <c r="AB86" s="52"/>
      <c r="AC86" s="31">
        <f t="shared" si="55"/>
        <v>0</v>
      </c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>
        <f t="shared" si="51"/>
        <v>0</v>
      </c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>
        <f t="shared" si="52"/>
        <v>0</v>
      </c>
      <c r="BE86" s="29">
        <f t="shared" si="45"/>
        <v>0</v>
      </c>
      <c r="BF86" s="29">
        <f t="shared" si="53"/>
        <v>0</v>
      </c>
      <c r="BG86" s="29" t="e">
        <f>VLOOKUP(E86,'[3]Y2604-Y2608_庫存&amp;銷售'!$F:$AJ,23,0)</f>
        <v>#N/A</v>
      </c>
      <c r="BH86" s="29" t="e">
        <f>VLOOKUP(E86,'[3]Y2604-Y2608_庫存&amp;銷售'!$F:$AL,25,0)</f>
        <v>#N/A</v>
      </c>
      <c r="BI86" s="29" t="e">
        <f>VLOOKUP(E86,'[3]Y2604-Y2608_庫存&amp;銷售'!$F:$AN,30,0)</f>
        <v>#N/A</v>
      </c>
      <c r="BJ86" s="81">
        <f t="shared" si="56"/>
        <v>0</v>
      </c>
      <c r="BK86" s="81">
        <f t="shared" si="57"/>
        <v>0</v>
      </c>
      <c r="BL86" s="81">
        <f t="shared" si="58"/>
        <v>0</v>
      </c>
      <c r="BM86" s="81">
        <f t="shared" ref="BM86:BM117" si="59">AC86*K86</f>
        <v>0</v>
      </c>
      <c r="BN86" s="81">
        <f t="shared" ref="BN86:BN117" si="60">AC86*H86*J86</f>
        <v>0</v>
      </c>
      <c r="BO86" s="81">
        <f t="shared" ref="BO86:BO117" si="61">L86*1.02*AC86</f>
        <v>0</v>
      </c>
      <c r="BP86" s="81">
        <f t="shared" ref="BP86:BP149" si="62">AN86*K86</f>
        <v>0</v>
      </c>
      <c r="BQ86" s="81">
        <f t="shared" ref="BQ86:BQ149" si="63">AN86*H86*J86</f>
        <v>0</v>
      </c>
      <c r="BR86" s="81">
        <f t="shared" ref="BR86:BR149" si="64">L86*1.02*AN86</f>
        <v>0</v>
      </c>
      <c r="BS86" s="199">
        <f t="shared" si="54"/>
        <v>0</v>
      </c>
      <c r="BT86" s="199">
        <f t="shared" si="49"/>
        <v>0</v>
      </c>
      <c r="BU86" s="199">
        <f t="shared" si="50"/>
        <v>0</v>
      </c>
      <c r="BV86" s="112" t="e">
        <f>VLOOKUP(E86,'[4]Y2604-Y2608_庫存&amp;銷售'!$F:$AB,17,0)</f>
        <v>#N/A</v>
      </c>
      <c r="BW86" s="112" t="e">
        <f>VLOOKUP(D86,'[7]supply check '!$G:$I,3,0)</f>
        <v>#N/A</v>
      </c>
      <c r="BX86" s="112"/>
    </row>
    <row r="87" spans="1:76" s="53" customFormat="1" ht="15" x14ac:dyDescent="0.35">
      <c r="A87" s="7">
        <v>522244896318705</v>
      </c>
      <c r="B87" s="20" t="s">
        <v>56</v>
      </c>
      <c r="C87" s="6" t="s">
        <v>82</v>
      </c>
      <c r="D87" s="7">
        <v>80821888</v>
      </c>
      <c r="E87" s="8">
        <v>6903148358306</v>
      </c>
      <c r="F87" s="8">
        <v>6903148358306</v>
      </c>
      <c r="G87" s="9" t="s">
        <v>85</v>
      </c>
      <c r="H87" s="6">
        <v>1056</v>
      </c>
      <c r="I87" s="43" t="s">
        <v>199</v>
      </c>
      <c r="J87" s="10">
        <v>1</v>
      </c>
      <c r="K87" s="5">
        <v>1168</v>
      </c>
      <c r="L87" s="5">
        <v>1117.3399999999999</v>
      </c>
      <c r="M87" s="115">
        <v>0</v>
      </c>
      <c r="N87" s="21"/>
      <c r="O87" s="23">
        <v>0</v>
      </c>
      <c r="P87" s="51">
        <f t="shared" si="46"/>
        <v>0</v>
      </c>
      <c r="Q87" s="51">
        <f t="shared" si="47"/>
        <v>0</v>
      </c>
      <c r="R87" s="51">
        <f t="shared" si="48"/>
        <v>0</v>
      </c>
      <c r="S87" s="52"/>
      <c r="T87" s="52"/>
      <c r="U87" s="52"/>
      <c r="V87" s="52"/>
      <c r="W87" s="52"/>
      <c r="X87" s="31"/>
      <c r="Y87" s="31"/>
      <c r="Z87" s="52"/>
      <c r="AA87" s="52"/>
      <c r="AB87" s="52"/>
      <c r="AC87" s="31">
        <f t="shared" si="55"/>
        <v>0</v>
      </c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>
        <f t="shared" si="51"/>
        <v>0</v>
      </c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>
        <f t="shared" si="52"/>
        <v>0</v>
      </c>
      <c r="BE87" s="29">
        <f t="shared" si="45"/>
        <v>0</v>
      </c>
      <c r="BF87" s="29">
        <f t="shared" si="53"/>
        <v>0</v>
      </c>
      <c r="BG87" s="29" t="e">
        <f>VLOOKUP(E87,'[3]Y2604-Y2608_庫存&amp;銷售'!$F:$AJ,23,0)</f>
        <v>#N/A</v>
      </c>
      <c r="BH87" s="29" t="e">
        <f>VLOOKUP(E87,'[3]Y2604-Y2608_庫存&amp;銷售'!$F:$AL,25,0)</f>
        <v>#N/A</v>
      </c>
      <c r="BI87" s="29" t="e">
        <f>VLOOKUP(E87,'[3]Y2604-Y2608_庫存&amp;銷售'!$F:$AN,30,0)</f>
        <v>#N/A</v>
      </c>
      <c r="BJ87" s="81">
        <f t="shared" si="56"/>
        <v>0</v>
      </c>
      <c r="BK87" s="81">
        <f t="shared" si="57"/>
        <v>0</v>
      </c>
      <c r="BL87" s="81">
        <f t="shared" si="58"/>
        <v>0</v>
      </c>
      <c r="BM87" s="81">
        <f t="shared" si="59"/>
        <v>0</v>
      </c>
      <c r="BN87" s="81">
        <f t="shared" si="60"/>
        <v>0</v>
      </c>
      <c r="BO87" s="81">
        <f t="shared" si="61"/>
        <v>0</v>
      </c>
      <c r="BP87" s="81">
        <f t="shared" si="62"/>
        <v>0</v>
      </c>
      <c r="BQ87" s="81">
        <f t="shared" si="63"/>
        <v>0</v>
      </c>
      <c r="BR87" s="81">
        <f t="shared" si="64"/>
        <v>0</v>
      </c>
      <c r="BS87" s="199">
        <f t="shared" si="54"/>
        <v>0</v>
      </c>
      <c r="BT87" s="199">
        <f t="shared" si="49"/>
        <v>0</v>
      </c>
      <c r="BU87" s="199">
        <f t="shared" si="50"/>
        <v>0</v>
      </c>
      <c r="BV87" s="112" t="e">
        <f>VLOOKUP(E87,'[4]Y2604-Y2608_庫存&amp;銷售'!$F:$AB,17,0)</f>
        <v>#N/A</v>
      </c>
      <c r="BW87" s="112" t="e">
        <f>VLOOKUP(D87,'[7]supply check '!$G:$I,3,0)</f>
        <v>#N/A</v>
      </c>
      <c r="BX87" s="112"/>
    </row>
    <row r="88" spans="1:76" s="53" customFormat="1" ht="15" x14ac:dyDescent="0.35">
      <c r="A88" s="7">
        <v>522244896318706</v>
      </c>
      <c r="B88" s="20" t="s">
        <v>56</v>
      </c>
      <c r="C88" s="6" t="s">
        <v>82</v>
      </c>
      <c r="D88" s="7" t="e">
        <v>#N/A</v>
      </c>
      <c r="E88" s="8">
        <v>6903148358078</v>
      </c>
      <c r="F88" s="8">
        <v>6903148358078</v>
      </c>
      <c r="G88" s="9" t="s">
        <v>86</v>
      </c>
      <c r="H88" s="6">
        <v>1079</v>
      </c>
      <c r="I88" s="43" t="s">
        <v>199</v>
      </c>
      <c r="J88" s="10">
        <v>1</v>
      </c>
      <c r="K88" s="5">
        <v>1200</v>
      </c>
      <c r="L88" s="5">
        <v>1117.3399999999999</v>
      </c>
      <c r="M88" s="115">
        <v>0</v>
      </c>
      <c r="N88" s="21"/>
      <c r="O88" s="23">
        <v>0</v>
      </c>
      <c r="P88" s="51">
        <f t="shared" si="46"/>
        <v>0</v>
      </c>
      <c r="Q88" s="51">
        <f t="shared" si="47"/>
        <v>0</v>
      </c>
      <c r="R88" s="51">
        <f t="shared" si="48"/>
        <v>0</v>
      </c>
      <c r="S88" s="52"/>
      <c r="T88" s="52"/>
      <c r="U88" s="52"/>
      <c r="V88" s="52"/>
      <c r="W88" s="52"/>
      <c r="X88" s="31"/>
      <c r="Y88" s="31"/>
      <c r="Z88" s="52"/>
      <c r="AA88" s="52"/>
      <c r="AB88" s="52"/>
      <c r="AC88" s="31">
        <f t="shared" si="55"/>
        <v>0</v>
      </c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>
        <f t="shared" si="51"/>
        <v>0</v>
      </c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>
        <f t="shared" si="52"/>
        <v>0</v>
      </c>
      <c r="BE88" s="29">
        <f t="shared" si="45"/>
        <v>0</v>
      </c>
      <c r="BF88" s="29">
        <f t="shared" si="53"/>
        <v>0</v>
      </c>
      <c r="BG88" s="29" t="e">
        <f>VLOOKUP(E88,'[3]Y2604-Y2608_庫存&amp;銷售'!$F:$AJ,23,0)</f>
        <v>#N/A</v>
      </c>
      <c r="BH88" s="29" t="e">
        <f>VLOOKUP(E88,'[3]Y2604-Y2608_庫存&amp;銷售'!$F:$AL,25,0)</f>
        <v>#N/A</v>
      </c>
      <c r="BI88" s="29" t="e">
        <f>VLOOKUP(E88,'[3]Y2604-Y2608_庫存&amp;銷售'!$F:$AN,30,0)</f>
        <v>#N/A</v>
      </c>
      <c r="BJ88" s="81">
        <f t="shared" si="56"/>
        <v>0</v>
      </c>
      <c r="BK88" s="81">
        <f t="shared" si="57"/>
        <v>0</v>
      </c>
      <c r="BL88" s="81">
        <f t="shared" si="58"/>
        <v>0</v>
      </c>
      <c r="BM88" s="81">
        <f t="shared" si="59"/>
        <v>0</v>
      </c>
      <c r="BN88" s="81">
        <f t="shared" si="60"/>
        <v>0</v>
      </c>
      <c r="BO88" s="81">
        <f t="shared" si="61"/>
        <v>0</v>
      </c>
      <c r="BP88" s="81">
        <f t="shared" si="62"/>
        <v>0</v>
      </c>
      <c r="BQ88" s="81">
        <f t="shared" si="63"/>
        <v>0</v>
      </c>
      <c r="BR88" s="81">
        <f t="shared" si="64"/>
        <v>0</v>
      </c>
      <c r="BS88" s="199">
        <f t="shared" si="54"/>
        <v>0</v>
      </c>
      <c r="BT88" s="199">
        <f t="shared" si="49"/>
        <v>0</v>
      </c>
      <c r="BU88" s="199">
        <f t="shared" si="50"/>
        <v>0</v>
      </c>
      <c r="BV88" s="112" t="e">
        <f>VLOOKUP(E88,'[4]Y2604-Y2608_庫存&amp;銷售'!$F:$AB,17,0)</f>
        <v>#N/A</v>
      </c>
      <c r="BW88" s="112" t="e">
        <f>VLOOKUP(D88,'[7]supply check '!$G:$I,3,0)</f>
        <v>#N/A</v>
      </c>
      <c r="BX88" s="112"/>
    </row>
    <row r="89" spans="1:76" s="53" customFormat="1" ht="15" x14ac:dyDescent="0.35">
      <c r="A89" s="7">
        <v>522244896318707</v>
      </c>
      <c r="B89" s="20" t="s">
        <v>56</v>
      </c>
      <c r="C89" s="6" t="s">
        <v>82</v>
      </c>
      <c r="D89" s="7" t="e">
        <v>#N/A</v>
      </c>
      <c r="E89" s="8">
        <v>6903148358276</v>
      </c>
      <c r="F89" s="8">
        <v>6903148358276</v>
      </c>
      <c r="G89" s="9" t="s">
        <v>87</v>
      </c>
      <c r="H89" s="6">
        <v>1056</v>
      </c>
      <c r="I89" s="43" t="s">
        <v>199</v>
      </c>
      <c r="J89" s="10">
        <v>1</v>
      </c>
      <c r="K89" s="5">
        <v>1168</v>
      </c>
      <c r="L89" s="5">
        <v>1117.3399999999999</v>
      </c>
      <c r="M89" s="115">
        <v>0</v>
      </c>
      <c r="N89" s="21"/>
      <c r="O89" s="23">
        <v>0</v>
      </c>
      <c r="P89" s="51">
        <f t="shared" si="46"/>
        <v>0</v>
      </c>
      <c r="Q89" s="51">
        <f t="shared" si="47"/>
        <v>0</v>
      </c>
      <c r="R89" s="51">
        <f t="shared" si="48"/>
        <v>0</v>
      </c>
      <c r="S89" s="52"/>
      <c r="T89" s="52"/>
      <c r="U89" s="52"/>
      <c r="V89" s="52"/>
      <c r="W89" s="52"/>
      <c r="X89" s="31"/>
      <c r="Y89" s="31"/>
      <c r="Z89" s="52"/>
      <c r="AA89" s="52"/>
      <c r="AB89" s="52"/>
      <c r="AC89" s="31">
        <f t="shared" si="55"/>
        <v>0</v>
      </c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>
        <f t="shared" si="51"/>
        <v>0</v>
      </c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>
        <f t="shared" si="52"/>
        <v>0</v>
      </c>
      <c r="BE89" s="29">
        <f t="shared" si="45"/>
        <v>0</v>
      </c>
      <c r="BF89" s="29">
        <f t="shared" si="53"/>
        <v>0</v>
      </c>
      <c r="BG89" s="29" t="e">
        <f>VLOOKUP(E89,'[3]Y2604-Y2608_庫存&amp;銷售'!$F:$AJ,23,0)</f>
        <v>#N/A</v>
      </c>
      <c r="BH89" s="29" t="e">
        <f>VLOOKUP(E89,'[3]Y2604-Y2608_庫存&amp;銷售'!$F:$AL,25,0)</f>
        <v>#N/A</v>
      </c>
      <c r="BI89" s="29" t="e">
        <f>VLOOKUP(E89,'[3]Y2604-Y2608_庫存&amp;銷售'!$F:$AN,30,0)</f>
        <v>#N/A</v>
      </c>
      <c r="BJ89" s="81">
        <f t="shared" si="56"/>
        <v>0</v>
      </c>
      <c r="BK89" s="81">
        <f t="shared" si="57"/>
        <v>0</v>
      </c>
      <c r="BL89" s="81">
        <f t="shared" si="58"/>
        <v>0</v>
      </c>
      <c r="BM89" s="81">
        <f t="shared" si="59"/>
        <v>0</v>
      </c>
      <c r="BN89" s="81">
        <f t="shared" si="60"/>
        <v>0</v>
      </c>
      <c r="BO89" s="81">
        <f t="shared" si="61"/>
        <v>0</v>
      </c>
      <c r="BP89" s="81">
        <f t="shared" si="62"/>
        <v>0</v>
      </c>
      <c r="BQ89" s="81">
        <f t="shared" si="63"/>
        <v>0</v>
      </c>
      <c r="BR89" s="81">
        <f t="shared" si="64"/>
        <v>0</v>
      </c>
      <c r="BS89" s="199">
        <f t="shared" si="54"/>
        <v>0</v>
      </c>
      <c r="BT89" s="199">
        <f t="shared" si="49"/>
        <v>0</v>
      </c>
      <c r="BU89" s="199">
        <f t="shared" si="50"/>
        <v>0</v>
      </c>
      <c r="BV89" s="112" t="e">
        <f>VLOOKUP(E89,'[4]Y2604-Y2608_庫存&amp;銷售'!$F:$AB,17,0)</f>
        <v>#N/A</v>
      </c>
      <c r="BW89" s="112" t="e">
        <f>VLOOKUP(D89,'[7]supply check '!$G:$I,3,0)</f>
        <v>#N/A</v>
      </c>
      <c r="BX89" s="112"/>
    </row>
    <row r="90" spans="1:76" s="53" customFormat="1" ht="15" x14ac:dyDescent="0.35">
      <c r="A90" s="7">
        <v>522244896318708</v>
      </c>
      <c r="B90" s="20" t="s">
        <v>56</v>
      </c>
      <c r="C90" s="6" t="s">
        <v>82</v>
      </c>
      <c r="D90" s="7" t="e">
        <v>#N/A</v>
      </c>
      <c r="E90" s="8">
        <v>6903148358290</v>
      </c>
      <c r="F90" s="8">
        <v>6903148358290</v>
      </c>
      <c r="G90" s="9" t="s">
        <v>88</v>
      </c>
      <c r="H90" s="6">
        <v>1056</v>
      </c>
      <c r="I90" s="43" t="s">
        <v>199</v>
      </c>
      <c r="J90" s="10">
        <v>1</v>
      </c>
      <c r="K90" s="5">
        <v>1168</v>
      </c>
      <c r="L90" s="5">
        <v>1117.3399999999999</v>
      </c>
      <c r="M90" s="115">
        <v>0</v>
      </c>
      <c r="N90" s="21"/>
      <c r="O90" s="23">
        <v>0</v>
      </c>
      <c r="P90" s="51">
        <f t="shared" si="46"/>
        <v>0</v>
      </c>
      <c r="Q90" s="51">
        <f t="shared" si="47"/>
        <v>0</v>
      </c>
      <c r="R90" s="51">
        <f t="shared" si="48"/>
        <v>0</v>
      </c>
      <c r="S90" s="52"/>
      <c r="T90" s="52"/>
      <c r="U90" s="52"/>
      <c r="V90" s="52"/>
      <c r="W90" s="52"/>
      <c r="X90" s="31"/>
      <c r="Y90" s="31"/>
      <c r="Z90" s="52"/>
      <c r="AA90" s="52"/>
      <c r="AB90" s="52"/>
      <c r="AC90" s="31">
        <f t="shared" si="55"/>
        <v>0</v>
      </c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>
        <f t="shared" si="51"/>
        <v>0</v>
      </c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>
        <f t="shared" si="52"/>
        <v>0</v>
      </c>
      <c r="BE90" s="29">
        <f t="shared" si="45"/>
        <v>0</v>
      </c>
      <c r="BF90" s="29">
        <f t="shared" si="53"/>
        <v>0</v>
      </c>
      <c r="BG90" s="29" t="e">
        <f>VLOOKUP(E90,'[3]Y2604-Y2608_庫存&amp;銷售'!$F:$AJ,23,0)</f>
        <v>#N/A</v>
      </c>
      <c r="BH90" s="29" t="e">
        <f>VLOOKUP(E90,'[3]Y2604-Y2608_庫存&amp;銷售'!$F:$AL,25,0)</f>
        <v>#N/A</v>
      </c>
      <c r="BI90" s="29" t="e">
        <f>VLOOKUP(E90,'[3]Y2604-Y2608_庫存&amp;銷售'!$F:$AN,30,0)</f>
        <v>#N/A</v>
      </c>
      <c r="BJ90" s="81">
        <f t="shared" si="56"/>
        <v>0</v>
      </c>
      <c r="BK90" s="81">
        <f t="shared" si="57"/>
        <v>0</v>
      </c>
      <c r="BL90" s="81">
        <f t="shared" si="58"/>
        <v>0</v>
      </c>
      <c r="BM90" s="81">
        <f t="shared" si="59"/>
        <v>0</v>
      </c>
      <c r="BN90" s="81">
        <f t="shared" si="60"/>
        <v>0</v>
      </c>
      <c r="BO90" s="81">
        <f t="shared" si="61"/>
        <v>0</v>
      </c>
      <c r="BP90" s="81">
        <f t="shared" si="62"/>
        <v>0</v>
      </c>
      <c r="BQ90" s="81">
        <f t="shared" si="63"/>
        <v>0</v>
      </c>
      <c r="BR90" s="81">
        <f t="shared" si="64"/>
        <v>0</v>
      </c>
      <c r="BS90" s="199">
        <f t="shared" si="54"/>
        <v>0</v>
      </c>
      <c r="BT90" s="199">
        <f t="shared" si="49"/>
        <v>0</v>
      </c>
      <c r="BU90" s="199">
        <f t="shared" si="50"/>
        <v>0</v>
      </c>
      <c r="BV90" s="112" t="e">
        <f>VLOOKUP(E90,'[4]Y2604-Y2608_庫存&amp;銷售'!$F:$AB,17,0)</f>
        <v>#N/A</v>
      </c>
      <c r="BW90" s="112" t="e">
        <f>VLOOKUP(D90,'[7]supply check '!$G:$I,3,0)</f>
        <v>#N/A</v>
      </c>
      <c r="BX90" s="112"/>
    </row>
    <row r="91" spans="1:76" s="42" customFormat="1" ht="15" x14ac:dyDescent="0.35">
      <c r="A91" s="128">
        <v>522244896404694</v>
      </c>
      <c r="B91" s="19" t="s">
        <v>9</v>
      </c>
      <c r="C91" s="34" t="s">
        <v>200</v>
      </c>
      <c r="D91" s="35">
        <v>83901803</v>
      </c>
      <c r="E91" s="36">
        <v>4987176393326</v>
      </c>
      <c r="F91" s="3">
        <v>4987176393326</v>
      </c>
      <c r="G91" s="37" t="s">
        <v>201</v>
      </c>
      <c r="H91" s="34">
        <v>564</v>
      </c>
      <c r="I91" s="44" t="s">
        <v>173</v>
      </c>
      <c r="J91" s="39">
        <v>4</v>
      </c>
      <c r="K91" s="5">
        <v>2376.48</v>
      </c>
      <c r="L91" s="5">
        <v>2311.4</v>
      </c>
      <c r="M91" s="115">
        <v>96</v>
      </c>
      <c r="N91" s="21">
        <v>96</v>
      </c>
      <c r="O91" s="251">
        <v>189</v>
      </c>
      <c r="P91" s="40"/>
      <c r="Q91" s="40"/>
      <c r="R91" s="40"/>
      <c r="S91" s="41"/>
      <c r="T91" s="41"/>
      <c r="U91" s="41"/>
      <c r="V91" s="31"/>
      <c r="W91" s="31"/>
      <c r="X91" s="31"/>
      <c r="Y91" s="31"/>
      <c r="Z91" s="31"/>
      <c r="AA91" s="31"/>
      <c r="AB91" s="31"/>
      <c r="AC91" s="31">
        <f t="shared" si="55"/>
        <v>0</v>
      </c>
      <c r="AD91" s="31"/>
      <c r="AE91" s="31"/>
      <c r="AF91" s="31">
        <v>3</v>
      </c>
      <c r="AG91" s="31"/>
      <c r="AH91" s="31"/>
      <c r="AI91" s="31">
        <v>52</v>
      </c>
      <c r="AJ91" s="31">
        <v>44</v>
      </c>
      <c r="AK91" s="31"/>
      <c r="AL91" s="31">
        <v>8</v>
      </c>
      <c r="AM91" s="31"/>
      <c r="AN91" s="31">
        <f t="shared" si="51"/>
        <v>107</v>
      </c>
      <c r="AO91" s="31"/>
      <c r="AP91" s="31">
        <v>107</v>
      </c>
      <c r="AQ91" s="31">
        <v>0</v>
      </c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>
        <f t="shared" si="52"/>
        <v>107</v>
      </c>
      <c r="BE91" s="29">
        <f>M91+N91+O91-AC91-AN91-BD91</f>
        <v>167</v>
      </c>
      <c r="BF91" s="29">
        <f t="shared" si="53"/>
        <v>107</v>
      </c>
      <c r="BG91" s="29">
        <f>VLOOKUP(E91,'[3]Y2604-Y2608_庫存&amp;銷售'!$F:$AJ,23,0)</f>
        <v>7.5</v>
      </c>
      <c r="BH91" s="29">
        <f>VLOOKUP(E91,'[3]Y2604-Y2608_庫存&amp;銷售'!$F:$AL,25,0)</f>
        <v>0</v>
      </c>
      <c r="BI91" s="29">
        <f>VLOOKUP(E91,'[3]Y2604-Y2608_庫存&amp;銷售'!$F:$AN,30,0)</f>
        <v>0</v>
      </c>
      <c r="BJ91" s="81">
        <f t="shared" si="56"/>
        <v>228142.08000000002</v>
      </c>
      <c r="BK91" s="81">
        <f t="shared" si="57"/>
        <v>228142.08000000002</v>
      </c>
      <c r="BL91" s="81">
        <f t="shared" si="58"/>
        <v>449154.72000000003</v>
      </c>
      <c r="BM91" s="81">
        <f t="shared" si="59"/>
        <v>0</v>
      </c>
      <c r="BN91" s="81">
        <f t="shared" si="60"/>
        <v>0</v>
      </c>
      <c r="BO91" s="81">
        <f t="shared" si="61"/>
        <v>0</v>
      </c>
      <c r="BP91" s="81">
        <f t="shared" si="62"/>
        <v>254283.36000000002</v>
      </c>
      <c r="BQ91" s="81">
        <f t="shared" si="63"/>
        <v>241392</v>
      </c>
      <c r="BR91" s="81">
        <f t="shared" si="64"/>
        <v>252266.19600000003</v>
      </c>
      <c r="BS91" s="199">
        <f t="shared" si="54"/>
        <v>254283.36000000002</v>
      </c>
      <c r="BT91" s="199">
        <f t="shared" si="49"/>
        <v>241392</v>
      </c>
      <c r="BU91" s="199">
        <f t="shared" si="50"/>
        <v>252266.19600000003</v>
      </c>
      <c r="BV91" s="112">
        <f>VLOOKUP(E91,'[4]Y2604-Y2608_庫存&amp;銷售'!$F:$AB,17,0)</f>
        <v>0</v>
      </c>
      <c r="BW91" s="112">
        <f>VLOOKUP(A91,'[5]Demand inbond in Sep'!$B:$M,12,0)</f>
        <v>189</v>
      </c>
      <c r="BX91" s="112"/>
    </row>
    <row r="92" spans="1:76" s="53" customFormat="1" ht="15" x14ac:dyDescent="0.35">
      <c r="A92" s="7">
        <v>466766199193604</v>
      </c>
      <c r="B92" s="20" t="s">
        <v>9</v>
      </c>
      <c r="C92" s="6" t="s">
        <v>89</v>
      </c>
      <c r="D92" s="7">
        <v>80822281</v>
      </c>
      <c r="E92" s="8">
        <v>30772121009</v>
      </c>
      <c r="F92" s="8">
        <v>30772121009</v>
      </c>
      <c r="G92" s="9" t="s">
        <v>90</v>
      </c>
      <c r="H92" s="6">
        <v>564</v>
      </c>
      <c r="I92" s="43" t="s">
        <v>199</v>
      </c>
      <c r="J92" s="10">
        <v>4</v>
      </c>
      <c r="K92" s="5">
        <v>2376.48</v>
      </c>
      <c r="L92" s="5">
        <v>2311.4</v>
      </c>
      <c r="M92" s="115">
        <v>0</v>
      </c>
      <c r="N92" s="21">
        <f>VLOOKUP(E92,'[1]Demand inbond in Aug'!$C:$J,8,0)</f>
        <v>0</v>
      </c>
      <c r="O92" s="23"/>
      <c r="P92" s="51">
        <f>M92*J92</f>
        <v>0</v>
      </c>
      <c r="Q92" s="51">
        <f>N92*J92</f>
        <v>0</v>
      </c>
      <c r="R92" s="51">
        <f>O92*J92</f>
        <v>0</v>
      </c>
      <c r="S92" s="52"/>
      <c r="T92" s="52"/>
      <c r="U92" s="52"/>
      <c r="V92" s="52"/>
      <c r="W92" s="52"/>
      <c r="X92" s="31"/>
      <c r="Y92" s="31">
        <v>0</v>
      </c>
      <c r="Z92" s="52"/>
      <c r="AA92" s="52"/>
      <c r="AB92" s="52"/>
      <c r="AC92" s="31">
        <f t="shared" si="55"/>
        <v>0</v>
      </c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>
        <f t="shared" si="51"/>
        <v>0</v>
      </c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>
        <f t="shared" si="52"/>
        <v>0</v>
      </c>
      <c r="BE92" s="29">
        <f t="shared" si="45"/>
        <v>0</v>
      </c>
      <c r="BF92" s="29">
        <f t="shared" si="53"/>
        <v>0</v>
      </c>
      <c r="BG92" s="29">
        <f>VLOOKUP(E92,'[3]Y2604-Y2608_庫存&amp;銷售'!$F:$AJ,23,0)</f>
        <v>0</v>
      </c>
      <c r="BH92" s="29">
        <f>VLOOKUP(E92,'[3]Y2604-Y2608_庫存&amp;銷售'!$F:$AL,25,0)</f>
        <v>0</v>
      </c>
      <c r="BI92" s="29">
        <f>VLOOKUP(E92,'[3]Y2604-Y2608_庫存&amp;銷售'!$F:$AN,30,0)</f>
        <v>0</v>
      </c>
      <c r="BJ92" s="81">
        <f t="shared" si="56"/>
        <v>0</v>
      </c>
      <c r="BK92" s="81">
        <f t="shared" si="57"/>
        <v>0</v>
      </c>
      <c r="BL92" s="81">
        <f t="shared" si="58"/>
        <v>0</v>
      </c>
      <c r="BM92" s="81">
        <f t="shared" si="59"/>
        <v>0</v>
      </c>
      <c r="BN92" s="81">
        <f t="shared" si="60"/>
        <v>0</v>
      </c>
      <c r="BO92" s="81">
        <f t="shared" si="61"/>
        <v>0</v>
      </c>
      <c r="BP92" s="81">
        <f t="shared" si="62"/>
        <v>0</v>
      </c>
      <c r="BQ92" s="81">
        <f t="shared" si="63"/>
        <v>0</v>
      </c>
      <c r="BR92" s="81">
        <f t="shared" si="64"/>
        <v>0</v>
      </c>
      <c r="BS92" s="199">
        <f t="shared" si="54"/>
        <v>0</v>
      </c>
      <c r="BT92" s="199">
        <f t="shared" si="49"/>
        <v>0</v>
      </c>
      <c r="BU92" s="199">
        <f t="shared" si="50"/>
        <v>0</v>
      </c>
      <c r="BV92" s="112">
        <f>VLOOKUP(E92,'[4]Y2604-Y2608_庫存&amp;銷售'!$F:$AB,17,0)</f>
        <v>2</v>
      </c>
      <c r="BW92" s="112" t="e">
        <f>VLOOKUP(A92,'[5]Demand inbond in Sep'!$B:$M,12,0)</f>
        <v>#N/A</v>
      </c>
      <c r="BX92" s="112"/>
    </row>
    <row r="93" spans="1:76" ht="15" x14ac:dyDescent="0.35">
      <c r="A93" s="2">
        <v>149768240054272</v>
      </c>
      <c r="B93" s="19" t="s">
        <v>91</v>
      </c>
      <c r="C93" s="1" t="s">
        <v>92</v>
      </c>
      <c r="D93" s="2">
        <v>82294318</v>
      </c>
      <c r="E93" s="3">
        <v>6903148182383</v>
      </c>
      <c r="F93" s="3">
        <v>6903148182383</v>
      </c>
      <c r="G93" s="4" t="s">
        <v>93</v>
      </c>
      <c r="H93" s="1">
        <v>40</v>
      </c>
      <c r="I93" s="1"/>
      <c r="J93" s="5">
        <v>24</v>
      </c>
      <c r="K93" s="5">
        <v>1194</v>
      </c>
      <c r="L93" s="5">
        <v>1142.75595</v>
      </c>
      <c r="M93" s="115">
        <v>13.418981481481481</v>
      </c>
      <c r="N93" s="21">
        <f>VLOOKUP(E93,'[8]Demand inbond in Aug'!$C:$T,18,0)</f>
        <v>20</v>
      </c>
      <c r="O93" s="23">
        <f>VLOOKUP(E93,'[5]Demand inbond in Sep'!$C:$M,11,0)</f>
        <v>16</v>
      </c>
      <c r="P93" s="24">
        <f>24*13</f>
        <v>312</v>
      </c>
      <c r="Q93" s="24">
        <v>312</v>
      </c>
      <c r="R93" s="24">
        <v>312</v>
      </c>
      <c r="S93" s="31"/>
      <c r="T93" s="31"/>
      <c r="U93" s="31"/>
      <c r="V93" s="31"/>
      <c r="W93" s="31">
        <v>12</v>
      </c>
      <c r="X93" s="31"/>
      <c r="Y93" s="31"/>
      <c r="Z93" s="31"/>
      <c r="AA93" s="31"/>
      <c r="AB93" s="31"/>
      <c r="AC93" s="31">
        <f t="shared" si="55"/>
        <v>12</v>
      </c>
      <c r="AD93" s="31"/>
      <c r="AE93" s="31"/>
      <c r="AF93" s="31">
        <v>14</v>
      </c>
      <c r="AG93" s="31"/>
      <c r="AH93" s="31">
        <v>5</v>
      </c>
      <c r="AI93" s="31">
        <v>1</v>
      </c>
      <c r="AJ93" s="31"/>
      <c r="AK93" s="31"/>
      <c r="AL93" s="31"/>
      <c r="AM93" s="31"/>
      <c r="AN93" s="31">
        <f t="shared" si="51"/>
        <v>20</v>
      </c>
      <c r="AO93" s="31"/>
      <c r="AP93" s="31">
        <v>14</v>
      </c>
      <c r="AQ93" s="31"/>
      <c r="AR93" s="31"/>
      <c r="AS93" s="31"/>
      <c r="AT93" s="31">
        <v>2</v>
      </c>
      <c r="AU93" s="31"/>
      <c r="AV93" s="31"/>
      <c r="AW93" s="31"/>
      <c r="AX93" s="31"/>
      <c r="AY93" s="31"/>
      <c r="AZ93" s="31"/>
      <c r="BA93" s="31"/>
      <c r="BB93" s="31"/>
      <c r="BC93" s="31"/>
      <c r="BD93" s="31">
        <f t="shared" si="52"/>
        <v>16</v>
      </c>
      <c r="BE93" s="29">
        <f t="shared" ref="BE93:BE122" si="65">O93-BD93</f>
        <v>0</v>
      </c>
      <c r="BF93" s="29">
        <f t="shared" si="53"/>
        <v>16</v>
      </c>
      <c r="BG93" s="29">
        <f>VLOOKUP(E93,'[3]Y2604-Y2608_庫存&amp;銷售'!$F:$AJ,23,0)</f>
        <v>1.5</v>
      </c>
      <c r="BH93" s="29">
        <f>VLOOKUP(E93,'[3]Y2604-Y2608_庫存&amp;銷售'!$F:$AL,25,0)</f>
        <v>0</v>
      </c>
      <c r="BI93" s="29">
        <f>VLOOKUP(E93,'[3]Y2604-Y2608_庫存&amp;銷售'!$F:$AN,30,0)</f>
        <v>0</v>
      </c>
      <c r="BJ93" s="81">
        <f t="shared" si="56"/>
        <v>16022.263888888889</v>
      </c>
      <c r="BK93" s="81">
        <f t="shared" si="57"/>
        <v>23880</v>
      </c>
      <c r="BL93" s="81">
        <f t="shared" si="58"/>
        <v>19104</v>
      </c>
      <c r="BM93" s="81">
        <f t="shared" si="59"/>
        <v>14328</v>
      </c>
      <c r="BN93" s="81">
        <f t="shared" si="60"/>
        <v>11520</v>
      </c>
      <c r="BO93" s="81">
        <f t="shared" si="61"/>
        <v>13987.332828000001</v>
      </c>
      <c r="BP93" s="81">
        <f t="shared" si="62"/>
        <v>23880</v>
      </c>
      <c r="BQ93" s="81">
        <f t="shared" si="63"/>
        <v>19200</v>
      </c>
      <c r="BR93" s="81">
        <f t="shared" si="64"/>
        <v>23312.221380000003</v>
      </c>
      <c r="BS93" s="199">
        <f t="shared" si="54"/>
        <v>19104</v>
      </c>
      <c r="BT93" s="199">
        <f t="shared" si="49"/>
        <v>15360</v>
      </c>
      <c r="BU93" s="199">
        <f t="shared" si="50"/>
        <v>18649.777104000001</v>
      </c>
      <c r="BV93" s="112">
        <f>VLOOKUP(E93,'[4]Y2604-Y2608_庫存&amp;銷售'!$F:$AB,17,0)</f>
        <v>8.375</v>
      </c>
      <c r="BW93" s="112">
        <f>VLOOKUP(A93,'[5]Demand inbond in Sep'!$B:$M,12,0)</f>
        <v>16</v>
      </c>
      <c r="BX93" s="112"/>
    </row>
    <row r="94" spans="1:76" ht="15" x14ac:dyDescent="0.35">
      <c r="A94" s="2">
        <v>149768592408576</v>
      </c>
      <c r="B94" s="19" t="s">
        <v>91</v>
      </c>
      <c r="C94" s="1" t="s">
        <v>92</v>
      </c>
      <c r="D94" s="2">
        <v>82294320</v>
      </c>
      <c r="E94" s="3">
        <v>6903148182680</v>
      </c>
      <c r="F94" s="3">
        <v>6903148182680</v>
      </c>
      <c r="G94" s="4" t="s">
        <v>94</v>
      </c>
      <c r="H94" s="1">
        <v>40</v>
      </c>
      <c r="I94" s="1"/>
      <c r="J94" s="5">
        <v>24</v>
      </c>
      <c r="K94" s="5">
        <v>1194</v>
      </c>
      <c r="L94" s="5">
        <v>1142.75595</v>
      </c>
      <c r="M94" s="115">
        <v>7.4055555555555559</v>
      </c>
      <c r="N94" s="21">
        <f>VLOOKUP(E94,'[8]Demand inbond in Aug'!$C:$T,18,0)</f>
        <v>9</v>
      </c>
      <c r="O94" s="23">
        <f>VLOOKUP(E94,'[5]Demand inbond in Sep'!$C:$M,11,0)</f>
        <v>7</v>
      </c>
      <c r="P94" s="24">
        <f>24*7</f>
        <v>168</v>
      </c>
      <c r="Q94" s="24">
        <f t="shared" ref="Q94:R94" si="66">24*7</f>
        <v>168</v>
      </c>
      <c r="R94" s="24">
        <f t="shared" si="66"/>
        <v>168</v>
      </c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>
        <f t="shared" si="55"/>
        <v>0</v>
      </c>
      <c r="AD94" s="31"/>
      <c r="AE94" s="31"/>
      <c r="AF94" s="31">
        <v>9</v>
      </c>
      <c r="AG94" s="31"/>
      <c r="AH94" s="31"/>
      <c r="AI94" s="31"/>
      <c r="AJ94" s="31">
        <v>0</v>
      </c>
      <c r="AK94" s="31"/>
      <c r="AL94" s="31"/>
      <c r="AM94" s="31"/>
      <c r="AN94" s="31">
        <f t="shared" si="51"/>
        <v>9</v>
      </c>
      <c r="AO94" s="31"/>
      <c r="AP94" s="31">
        <v>7</v>
      </c>
      <c r="AQ94" s="31"/>
      <c r="AR94" s="31"/>
      <c r="AS94" s="31"/>
      <c r="AT94" s="31">
        <v>0</v>
      </c>
      <c r="AU94" s="31"/>
      <c r="AV94" s="31"/>
      <c r="AW94" s="31"/>
      <c r="AX94" s="31"/>
      <c r="AY94" s="31"/>
      <c r="AZ94" s="31"/>
      <c r="BA94" s="31"/>
      <c r="BB94" s="31"/>
      <c r="BC94" s="31"/>
      <c r="BD94" s="31">
        <f t="shared" si="52"/>
        <v>7</v>
      </c>
      <c r="BE94" s="29">
        <f t="shared" si="65"/>
        <v>0</v>
      </c>
      <c r="BF94" s="29">
        <f t="shared" si="53"/>
        <v>7</v>
      </c>
      <c r="BG94" s="29">
        <f>VLOOKUP(E94,'[3]Y2604-Y2608_庫存&amp;銷售'!$F:$AJ,23,0)</f>
        <v>1.2916666666666667</v>
      </c>
      <c r="BH94" s="29">
        <f>VLOOKUP(E94,'[3]Y2604-Y2608_庫存&amp;銷售'!$F:$AL,25,0)</f>
        <v>0</v>
      </c>
      <c r="BI94" s="29">
        <f>VLOOKUP(E94,'[3]Y2604-Y2608_庫存&amp;銷售'!$F:$AN,30,0)</f>
        <v>0</v>
      </c>
      <c r="BJ94" s="81">
        <f t="shared" si="56"/>
        <v>8842.2333333333336</v>
      </c>
      <c r="BK94" s="81">
        <f t="shared" si="57"/>
        <v>10746</v>
      </c>
      <c r="BL94" s="81">
        <f t="shared" si="58"/>
        <v>8358</v>
      </c>
      <c r="BM94" s="81">
        <f t="shared" si="59"/>
        <v>0</v>
      </c>
      <c r="BN94" s="81">
        <f t="shared" si="60"/>
        <v>0</v>
      </c>
      <c r="BO94" s="81">
        <f t="shared" si="61"/>
        <v>0</v>
      </c>
      <c r="BP94" s="81">
        <f t="shared" si="62"/>
        <v>10746</v>
      </c>
      <c r="BQ94" s="81">
        <f t="shared" si="63"/>
        <v>8640</v>
      </c>
      <c r="BR94" s="81">
        <f t="shared" si="64"/>
        <v>10490.499621000001</v>
      </c>
      <c r="BS94" s="199">
        <f t="shared" si="54"/>
        <v>8358</v>
      </c>
      <c r="BT94" s="199">
        <f t="shared" si="49"/>
        <v>6720</v>
      </c>
      <c r="BU94" s="199">
        <f t="shared" si="50"/>
        <v>8159.2774829999998</v>
      </c>
      <c r="BV94" s="112">
        <f>VLOOKUP(E94,'[4]Y2604-Y2608_庫存&amp;銷售'!$F:$AB,17,0)</f>
        <v>4.5833333333333339</v>
      </c>
      <c r="BW94" s="112">
        <f>VLOOKUP(A94,'[5]Demand inbond in Sep'!$B:$M,12,0)</f>
        <v>7</v>
      </c>
      <c r="BX94" s="112"/>
    </row>
    <row r="95" spans="1:76" ht="15" x14ac:dyDescent="0.35">
      <c r="A95" s="2">
        <v>149768982462464</v>
      </c>
      <c r="B95" s="19" t="s">
        <v>91</v>
      </c>
      <c r="C95" s="1" t="s">
        <v>92</v>
      </c>
      <c r="D95" s="2">
        <v>82294323</v>
      </c>
      <c r="E95" s="3">
        <v>6903148182406</v>
      </c>
      <c r="F95" s="3">
        <v>6903148182406</v>
      </c>
      <c r="G95" s="4" t="s">
        <v>95</v>
      </c>
      <c r="H95" s="1">
        <v>40</v>
      </c>
      <c r="I95" s="1"/>
      <c r="J95" s="5">
        <v>24</v>
      </c>
      <c r="K95" s="5">
        <v>1194</v>
      </c>
      <c r="L95" s="5">
        <v>1142.75595</v>
      </c>
      <c r="M95" s="115">
        <v>8.71875</v>
      </c>
      <c r="N95" s="21">
        <f>VLOOKUP(E95,'[8]Demand inbond in Aug'!$C:$T,18,0)</f>
        <v>20</v>
      </c>
      <c r="O95" s="23">
        <f>VLOOKUP(E95,'[5]Demand inbond in Sep'!$C:$M,11,0)</f>
        <v>8</v>
      </c>
      <c r="P95" s="24">
        <f>24*9</f>
        <v>216</v>
      </c>
      <c r="Q95" s="24">
        <f>24*9</f>
        <v>216</v>
      </c>
      <c r="R95" s="24">
        <f>24*8</f>
        <v>192</v>
      </c>
      <c r="S95" s="31"/>
      <c r="T95" s="31"/>
      <c r="U95" s="31"/>
      <c r="V95" s="31"/>
      <c r="W95" s="31"/>
      <c r="X95" s="31"/>
      <c r="Y95" s="31">
        <v>6</v>
      </c>
      <c r="Z95" s="31"/>
      <c r="AA95" s="31"/>
      <c r="AB95" s="31">
        <v>2</v>
      </c>
      <c r="AC95" s="31">
        <f t="shared" si="55"/>
        <v>8</v>
      </c>
      <c r="AD95" s="31"/>
      <c r="AE95" s="31">
        <v>9</v>
      </c>
      <c r="AF95" s="31"/>
      <c r="AG95" s="31"/>
      <c r="AH95" s="31">
        <v>6</v>
      </c>
      <c r="AI95" s="31">
        <v>5</v>
      </c>
      <c r="AJ95" s="31"/>
      <c r="AK95" s="31"/>
      <c r="AL95" s="31"/>
      <c r="AM95" s="31"/>
      <c r="AN95" s="31">
        <f t="shared" si="51"/>
        <v>20</v>
      </c>
      <c r="AO95" s="31"/>
      <c r="AP95" s="31">
        <v>8</v>
      </c>
      <c r="AQ95" s="31"/>
      <c r="AR95" s="31"/>
      <c r="AS95" s="31"/>
      <c r="AT95" s="31">
        <v>0</v>
      </c>
      <c r="AU95" s="31"/>
      <c r="AV95" s="31"/>
      <c r="AW95" s="31"/>
      <c r="AX95" s="31"/>
      <c r="AY95" s="31"/>
      <c r="AZ95" s="31"/>
      <c r="BA95" s="31"/>
      <c r="BB95" s="31"/>
      <c r="BC95" s="31"/>
      <c r="BD95" s="31">
        <f t="shared" si="52"/>
        <v>8</v>
      </c>
      <c r="BE95" s="29">
        <f t="shared" si="65"/>
        <v>0</v>
      </c>
      <c r="BF95" s="29">
        <f t="shared" si="53"/>
        <v>8</v>
      </c>
      <c r="BG95" s="29">
        <f>VLOOKUP(E95,'[3]Y2604-Y2608_庫存&amp;銷售'!$F:$AJ,23,0)</f>
        <v>1.5</v>
      </c>
      <c r="BH95" s="29">
        <f>VLOOKUP(E95,'[3]Y2604-Y2608_庫存&amp;銷售'!$F:$AL,25,0)</f>
        <v>0</v>
      </c>
      <c r="BI95" s="29">
        <f>VLOOKUP(E95,'[3]Y2604-Y2608_庫存&amp;銷售'!$F:$AN,30,0)</f>
        <v>0</v>
      </c>
      <c r="BJ95" s="81">
        <f t="shared" si="56"/>
        <v>10410.1875</v>
      </c>
      <c r="BK95" s="81">
        <f t="shared" si="57"/>
        <v>23880</v>
      </c>
      <c r="BL95" s="81">
        <f t="shared" si="58"/>
        <v>9552</v>
      </c>
      <c r="BM95" s="81">
        <f t="shared" si="59"/>
        <v>9552</v>
      </c>
      <c r="BN95" s="81">
        <f t="shared" si="60"/>
        <v>7680</v>
      </c>
      <c r="BO95" s="81">
        <f t="shared" si="61"/>
        <v>9324.8885520000003</v>
      </c>
      <c r="BP95" s="81">
        <f t="shared" si="62"/>
        <v>23880</v>
      </c>
      <c r="BQ95" s="81">
        <f t="shared" si="63"/>
        <v>19200</v>
      </c>
      <c r="BR95" s="81">
        <f t="shared" si="64"/>
        <v>23312.221380000003</v>
      </c>
      <c r="BS95" s="199">
        <f t="shared" si="54"/>
        <v>9552</v>
      </c>
      <c r="BT95" s="199">
        <f t="shared" si="49"/>
        <v>7680</v>
      </c>
      <c r="BU95" s="199">
        <f t="shared" si="50"/>
        <v>9324.8885520000003</v>
      </c>
      <c r="BV95" s="112">
        <f>VLOOKUP(E95,'[4]Y2604-Y2608_庫存&amp;銷售'!$F:$AB,17,0)</f>
        <v>8.125</v>
      </c>
      <c r="BW95" s="112">
        <f>VLOOKUP(A95,'[5]Demand inbond in Sep'!$B:$M,12,0)</f>
        <v>8</v>
      </c>
      <c r="BX95" s="112"/>
    </row>
    <row r="96" spans="1:76" ht="15" x14ac:dyDescent="0.35">
      <c r="A96" s="2">
        <v>253364545765379</v>
      </c>
      <c r="B96" s="19" t="s">
        <v>91</v>
      </c>
      <c r="C96" s="1" t="s">
        <v>92</v>
      </c>
      <c r="D96" s="2">
        <v>80701798</v>
      </c>
      <c r="E96" s="3">
        <v>4987176122919</v>
      </c>
      <c r="F96" s="3">
        <v>4987176122919</v>
      </c>
      <c r="G96" s="4" t="s">
        <v>96</v>
      </c>
      <c r="H96" s="1">
        <v>115</v>
      </c>
      <c r="I96" s="1"/>
      <c r="J96" s="5">
        <v>12</v>
      </c>
      <c r="K96" s="5">
        <v>1592.16</v>
      </c>
      <c r="L96" s="5">
        <v>1531.9772580000001</v>
      </c>
      <c r="M96" s="115">
        <v>20.37962962962963</v>
      </c>
      <c r="N96" s="21">
        <f>VLOOKUP(E96,'[8]Demand inbond in Aug'!$C:$T,18,0)</f>
        <v>24</v>
      </c>
      <c r="O96" s="23">
        <f>VLOOKUP(E96,'[5]Demand inbond in Sep'!$C:$M,11,0)</f>
        <v>12</v>
      </c>
      <c r="P96" s="24">
        <f>12*20</f>
        <v>240</v>
      </c>
      <c r="Q96" s="24">
        <f t="shared" ref="Q96:R96" si="67">12*20</f>
        <v>240</v>
      </c>
      <c r="R96" s="24">
        <f t="shared" si="67"/>
        <v>240</v>
      </c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>
        <f t="shared" si="55"/>
        <v>0</v>
      </c>
      <c r="AD96" s="31">
        <v>0</v>
      </c>
      <c r="AE96" s="31">
        <v>25</v>
      </c>
      <c r="AF96" s="31"/>
      <c r="AG96" s="31"/>
      <c r="AH96" s="31"/>
      <c r="AI96" s="31">
        <v>0</v>
      </c>
      <c r="AJ96" s="31"/>
      <c r="AK96" s="31"/>
      <c r="AL96" s="31"/>
      <c r="AM96" s="31"/>
      <c r="AN96" s="31">
        <f t="shared" si="51"/>
        <v>25</v>
      </c>
      <c r="AO96" s="31"/>
      <c r="AP96" s="31">
        <v>12</v>
      </c>
      <c r="AQ96" s="31"/>
      <c r="AR96" s="31"/>
      <c r="AS96" s="31"/>
      <c r="AT96" s="31">
        <v>0</v>
      </c>
      <c r="AU96" s="31"/>
      <c r="AV96" s="31"/>
      <c r="AW96" s="31"/>
      <c r="AX96" s="31"/>
      <c r="AY96" s="31"/>
      <c r="AZ96" s="31"/>
      <c r="BA96" s="31"/>
      <c r="BB96" s="31"/>
      <c r="BC96" s="31"/>
      <c r="BD96" s="31">
        <f t="shared" si="52"/>
        <v>12</v>
      </c>
      <c r="BE96" s="29">
        <f t="shared" si="65"/>
        <v>0</v>
      </c>
      <c r="BF96" s="29">
        <f t="shared" si="53"/>
        <v>12</v>
      </c>
      <c r="BG96" s="29">
        <f>VLOOKUP(E96,'[3]Y2604-Y2608_庫存&amp;銷售'!$F:$AJ,23,0)</f>
        <v>0.25</v>
      </c>
      <c r="BH96" s="29">
        <f>VLOOKUP(E96,'[3]Y2604-Y2608_庫存&amp;銷售'!$F:$AL,25,0)</f>
        <v>0</v>
      </c>
      <c r="BI96" s="29">
        <f>VLOOKUP(E96,'[3]Y2604-Y2608_庫存&amp;銷售'!$F:$AN,30,0)</f>
        <v>0</v>
      </c>
      <c r="BJ96" s="81">
        <f t="shared" si="56"/>
        <v>32447.631111111114</v>
      </c>
      <c r="BK96" s="81">
        <f t="shared" si="57"/>
        <v>38211.840000000004</v>
      </c>
      <c r="BL96" s="81">
        <f t="shared" si="58"/>
        <v>19105.920000000002</v>
      </c>
      <c r="BM96" s="81">
        <f t="shared" si="59"/>
        <v>0</v>
      </c>
      <c r="BN96" s="81">
        <f t="shared" si="60"/>
        <v>0</v>
      </c>
      <c r="BO96" s="81">
        <f t="shared" si="61"/>
        <v>0</v>
      </c>
      <c r="BP96" s="81">
        <f t="shared" si="62"/>
        <v>39804</v>
      </c>
      <c r="BQ96" s="81">
        <f t="shared" si="63"/>
        <v>34500</v>
      </c>
      <c r="BR96" s="81">
        <f t="shared" si="64"/>
        <v>39065.420079000003</v>
      </c>
      <c r="BS96" s="199">
        <f t="shared" si="54"/>
        <v>19105.920000000002</v>
      </c>
      <c r="BT96" s="199">
        <f t="shared" si="49"/>
        <v>16560</v>
      </c>
      <c r="BU96" s="199">
        <f t="shared" si="50"/>
        <v>18751.401637920004</v>
      </c>
      <c r="BV96" s="112">
        <f>VLOOKUP(E96,'[4]Y2604-Y2608_庫存&amp;銷售'!$F:$AB,17,0)</f>
        <v>4.75</v>
      </c>
      <c r="BW96" s="112">
        <f>VLOOKUP(A96,'[5]Demand inbond in Sep'!$B:$M,12,0)</f>
        <v>12</v>
      </c>
      <c r="BX96" s="112"/>
    </row>
    <row r="97" spans="1:76" ht="15" x14ac:dyDescent="0.35">
      <c r="A97" s="2">
        <v>254097055760384</v>
      </c>
      <c r="B97" s="19" t="s">
        <v>91</v>
      </c>
      <c r="C97" s="1" t="s">
        <v>92</v>
      </c>
      <c r="D97" s="2">
        <v>80701800</v>
      </c>
      <c r="E97" s="3">
        <v>4987176122933</v>
      </c>
      <c r="F97" s="3">
        <v>4987176122933</v>
      </c>
      <c r="G97" s="4" t="s">
        <v>97</v>
      </c>
      <c r="H97" s="1">
        <v>120</v>
      </c>
      <c r="I97" s="1"/>
      <c r="J97" s="5">
        <v>12</v>
      </c>
      <c r="K97" s="5">
        <v>1592.16</v>
      </c>
      <c r="L97" s="5">
        <v>1531.9772580000001</v>
      </c>
      <c r="M97" s="169">
        <f>44+50</f>
        <v>94</v>
      </c>
      <c r="N97" s="21">
        <f>VLOOKUP(E97,'[8]Demand inbond in Aug'!$C:$T,18,0)</f>
        <v>59</v>
      </c>
      <c r="O97" s="23">
        <f>VLOOKUP(E97,'[5]Demand inbond in Sep'!$C:$M,11,0)</f>
        <v>88</v>
      </c>
      <c r="P97" s="24">
        <f>12*44</f>
        <v>528</v>
      </c>
      <c r="Q97" s="24">
        <f>12*44</f>
        <v>528</v>
      </c>
      <c r="R97" s="24">
        <f>12*42</f>
        <v>504</v>
      </c>
      <c r="S97" s="31"/>
      <c r="T97" s="31"/>
      <c r="U97" s="31"/>
      <c r="V97" s="31"/>
      <c r="W97" s="31">
        <v>50</v>
      </c>
      <c r="X97" s="31"/>
      <c r="Y97" s="31">
        <v>44</v>
      </c>
      <c r="Z97" s="31"/>
      <c r="AA97" s="31"/>
      <c r="AB97" s="31"/>
      <c r="AC97" s="31">
        <f t="shared" si="55"/>
        <v>94</v>
      </c>
      <c r="AD97" s="31"/>
      <c r="AE97" s="31"/>
      <c r="AF97" s="31">
        <v>44</v>
      </c>
      <c r="AG97" s="31"/>
      <c r="AH97" s="31">
        <v>15</v>
      </c>
      <c r="AI97" s="31">
        <v>0</v>
      </c>
      <c r="AJ97" s="31"/>
      <c r="AK97" s="31"/>
      <c r="AL97" s="31"/>
      <c r="AM97" s="31"/>
      <c r="AN97" s="31">
        <f t="shared" si="51"/>
        <v>59</v>
      </c>
      <c r="AO97" s="31"/>
      <c r="AP97" s="31">
        <v>42</v>
      </c>
      <c r="AQ97" s="31">
        <v>0</v>
      </c>
      <c r="AR97" s="31"/>
      <c r="AS97" s="31"/>
      <c r="AT97" s="31"/>
      <c r="AU97" s="31"/>
      <c r="AV97" s="31">
        <v>75</v>
      </c>
      <c r="AW97" s="31"/>
      <c r="AX97" s="31"/>
      <c r="AY97" s="31"/>
      <c r="AZ97" s="31"/>
      <c r="BA97" s="31"/>
      <c r="BB97" s="31"/>
      <c r="BC97" s="31"/>
      <c r="BD97" s="31">
        <f t="shared" si="52"/>
        <v>117</v>
      </c>
      <c r="BE97" s="239">
        <f t="shared" si="65"/>
        <v>-29</v>
      </c>
      <c r="BF97" s="29">
        <f t="shared" si="53"/>
        <v>117</v>
      </c>
      <c r="BG97" s="29">
        <f>VLOOKUP(E97,'[3]Y2604-Y2608_庫存&amp;銷售'!$F:$AJ,23,0)</f>
        <v>11.083333333333334</v>
      </c>
      <c r="BH97" s="29">
        <f>VLOOKUP(E97,'[3]Y2604-Y2608_庫存&amp;銷售'!$F:$AL,25,0)</f>
        <v>0</v>
      </c>
      <c r="BI97" s="29">
        <f>VLOOKUP(E97,'[3]Y2604-Y2608_庫存&amp;銷售'!$F:$AN,30,0)</f>
        <v>0</v>
      </c>
      <c r="BJ97" s="81">
        <f t="shared" si="56"/>
        <v>149663.04000000001</v>
      </c>
      <c r="BK97" s="81">
        <f t="shared" si="57"/>
        <v>93937.44</v>
      </c>
      <c r="BL97" s="81">
        <f t="shared" si="58"/>
        <v>140110.08000000002</v>
      </c>
      <c r="BM97" s="81">
        <f t="shared" si="59"/>
        <v>149663.04000000001</v>
      </c>
      <c r="BN97" s="81">
        <f t="shared" si="60"/>
        <v>135360</v>
      </c>
      <c r="BO97" s="81">
        <f t="shared" si="61"/>
        <v>146885.97949704001</v>
      </c>
      <c r="BP97" s="81">
        <f t="shared" si="62"/>
        <v>93937.44</v>
      </c>
      <c r="BQ97" s="81">
        <f t="shared" si="63"/>
        <v>84960</v>
      </c>
      <c r="BR97" s="81">
        <f t="shared" si="64"/>
        <v>92194.391386440009</v>
      </c>
      <c r="BS97" s="199">
        <f t="shared" si="54"/>
        <v>186282.72</v>
      </c>
      <c r="BT97" s="199">
        <f t="shared" si="49"/>
        <v>168480</v>
      </c>
      <c r="BU97" s="199">
        <f t="shared" si="50"/>
        <v>182826.16596972002</v>
      </c>
      <c r="BV97" s="112">
        <f>VLOOKUP(E97,'[4]Y2604-Y2608_庫存&amp;銷售'!$F:$AB,17,0)</f>
        <v>58.499999999999993</v>
      </c>
      <c r="BW97" s="112">
        <f>VLOOKUP(A97,'[5]Demand inbond in Sep'!$B:$M,12,0)</f>
        <v>88</v>
      </c>
      <c r="BX97" s="112"/>
    </row>
    <row r="98" spans="1:76" ht="15" x14ac:dyDescent="0.35">
      <c r="A98" s="2">
        <v>254098020483075</v>
      </c>
      <c r="B98" s="19" t="s">
        <v>91</v>
      </c>
      <c r="C98" s="1" t="s">
        <v>92</v>
      </c>
      <c r="D98" s="2">
        <v>80701659</v>
      </c>
      <c r="E98" s="3">
        <v>4987176122865</v>
      </c>
      <c r="F98" s="3">
        <v>4987176122865</v>
      </c>
      <c r="G98" s="176" t="s">
        <v>98</v>
      </c>
      <c r="H98" s="1">
        <v>60</v>
      </c>
      <c r="I98" s="177" t="s">
        <v>341</v>
      </c>
      <c r="J98" s="5">
        <v>12</v>
      </c>
      <c r="K98" s="5">
        <v>827.88</v>
      </c>
      <c r="L98" s="5">
        <v>784.85534399999995</v>
      </c>
      <c r="M98" s="115">
        <v>66.797619047619051</v>
      </c>
      <c r="N98" s="21">
        <f>VLOOKUP(E98,'[8]Demand inbond in Aug'!$C:$T,18,0)</f>
        <v>23</v>
      </c>
      <c r="O98" s="23">
        <f>VLOOKUP(E98,'[5]Demand inbond in Sep'!$C:$M,11,0)</f>
        <v>0</v>
      </c>
      <c r="P98" s="24">
        <f>12*67</f>
        <v>804</v>
      </c>
      <c r="Q98" s="24">
        <f>12*67</f>
        <v>804</v>
      </c>
      <c r="R98" s="24">
        <f>12*65</f>
        <v>780</v>
      </c>
      <c r="S98" s="31"/>
      <c r="T98" s="31"/>
      <c r="U98" s="31"/>
      <c r="V98" s="31">
        <v>20</v>
      </c>
      <c r="W98" s="31"/>
      <c r="X98" s="31"/>
      <c r="Y98" s="31">
        <v>5</v>
      </c>
      <c r="Z98" s="31"/>
      <c r="AA98" s="31"/>
      <c r="AB98" s="31">
        <v>6</v>
      </c>
      <c r="AC98" s="31">
        <f t="shared" si="55"/>
        <v>31</v>
      </c>
      <c r="AD98" s="31">
        <v>12</v>
      </c>
      <c r="AE98" s="31">
        <v>11</v>
      </c>
      <c r="AF98" s="31"/>
      <c r="AG98" s="31"/>
      <c r="AH98" s="31"/>
      <c r="AI98" s="31"/>
      <c r="AJ98" s="31">
        <v>0</v>
      </c>
      <c r="AK98" s="31"/>
      <c r="AL98" s="31"/>
      <c r="AM98" s="31"/>
      <c r="AN98" s="31">
        <f t="shared" si="51"/>
        <v>23</v>
      </c>
      <c r="AO98" s="31"/>
      <c r="AP98" s="31">
        <v>0</v>
      </c>
      <c r="AQ98" s="31"/>
      <c r="AR98" s="31"/>
      <c r="AS98" s="31"/>
      <c r="AT98" s="31"/>
      <c r="AU98" s="31"/>
      <c r="AV98" s="31"/>
      <c r="AW98" s="31"/>
      <c r="AX98" s="31">
        <v>29</v>
      </c>
      <c r="AY98" s="31"/>
      <c r="AZ98" s="31"/>
      <c r="BA98" s="31"/>
      <c r="BB98" s="31"/>
      <c r="BC98" s="31"/>
      <c r="BD98" s="31">
        <f t="shared" si="52"/>
        <v>29</v>
      </c>
      <c r="BE98" s="29">
        <f t="shared" si="65"/>
        <v>-29</v>
      </c>
      <c r="BF98" s="29">
        <f t="shared" si="53"/>
        <v>0</v>
      </c>
      <c r="BG98" s="29">
        <f>VLOOKUP(E98,'[3]Y2604-Y2608_庫存&amp;銷售'!$F:$AJ,23,0)</f>
        <v>4.25</v>
      </c>
      <c r="BH98" s="29">
        <f>VLOOKUP(E98,'[3]Y2604-Y2608_庫存&amp;銷售'!$F:$AL,25,0)</f>
        <v>0</v>
      </c>
      <c r="BI98" s="29">
        <f>VLOOKUP(E98,'[3]Y2604-Y2608_庫存&amp;銷售'!$F:$AN,30,0)</f>
        <v>0</v>
      </c>
      <c r="BJ98" s="81">
        <f t="shared" si="56"/>
        <v>55300.412857142859</v>
      </c>
      <c r="BK98" s="81">
        <f t="shared" si="57"/>
        <v>19041.240000000002</v>
      </c>
      <c r="BL98" s="81">
        <f t="shared" si="58"/>
        <v>0</v>
      </c>
      <c r="BM98" s="81">
        <f t="shared" si="59"/>
        <v>25664.28</v>
      </c>
      <c r="BN98" s="81">
        <f t="shared" si="60"/>
        <v>22320</v>
      </c>
      <c r="BO98" s="81">
        <f t="shared" si="61"/>
        <v>24817.125977279997</v>
      </c>
      <c r="BP98" s="81">
        <f t="shared" si="62"/>
        <v>19041.240000000002</v>
      </c>
      <c r="BQ98" s="81">
        <f t="shared" si="63"/>
        <v>16560</v>
      </c>
      <c r="BR98" s="81">
        <f t="shared" si="64"/>
        <v>18412.706370239997</v>
      </c>
      <c r="BS98" s="199">
        <f t="shared" si="54"/>
        <v>24008.52</v>
      </c>
      <c r="BT98" s="199">
        <f t="shared" si="49"/>
        <v>20880</v>
      </c>
      <c r="BU98" s="199">
        <f t="shared" si="50"/>
        <v>23216.021075519999</v>
      </c>
      <c r="BV98" s="112">
        <f>VLOOKUP(E98,'[4]Y2604-Y2608_庫存&amp;銷售'!$F:$AB,17,0)</f>
        <v>13.333333333333332</v>
      </c>
      <c r="BW98" s="112">
        <f>VLOOKUP(A98,'[5]Demand inbond in Sep'!$B:$M,12,0)</f>
        <v>0</v>
      </c>
      <c r="BX98" s="112"/>
    </row>
    <row r="99" spans="1:76" ht="15" x14ac:dyDescent="0.35">
      <c r="A99" s="2">
        <v>254098880299011</v>
      </c>
      <c r="B99" s="19" t="s">
        <v>91</v>
      </c>
      <c r="C99" s="1" t="s">
        <v>92</v>
      </c>
      <c r="D99" s="2">
        <v>80701658</v>
      </c>
      <c r="E99" s="3">
        <v>4987176122858</v>
      </c>
      <c r="F99" s="3">
        <v>4987176122858</v>
      </c>
      <c r="G99" s="176" t="s">
        <v>99</v>
      </c>
      <c r="H99" s="1">
        <v>60</v>
      </c>
      <c r="I99" s="177" t="s">
        <v>341</v>
      </c>
      <c r="J99" s="5">
        <v>12</v>
      </c>
      <c r="K99" s="5">
        <v>827.88</v>
      </c>
      <c r="L99" s="5">
        <v>784.85534399999995</v>
      </c>
      <c r="M99" s="169">
        <f>20+18</f>
        <v>38</v>
      </c>
      <c r="N99" s="21">
        <f>VLOOKUP(E99,'[8]Demand inbond in Aug'!$C:$T,18,0)</f>
        <v>16</v>
      </c>
      <c r="O99" s="23">
        <f>VLOOKUP(E99,'[5]Demand inbond in Sep'!$C:$M,11,0)</f>
        <v>0</v>
      </c>
      <c r="P99" s="24">
        <f>12*20</f>
        <v>240</v>
      </c>
      <c r="Q99" s="24">
        <f>12*20</f>
        <v>240</v>
      </c>
      <c r="R99" s="24">
        <f>12*20</f>
        <v>240</v>
      </c>
      <c r="S99" s="31"/>
      <c r="T99" s="31"/>
      <c r="U99" s="31"/>
      <c r="V99" s="31">
        <v>20</v>
      </c>
      <c r="W99" s="31"/>
      <c r="X99" s="31"/>
      <c r="Y99" s="31">
        <v>12</v>
      </c>
      <c r="Z99" s="31"/>
      <c r="AA99" s="31"/>
      <c r="AB99" s="31">
        <v>6</v>
      </c>
      <c r="AC99" s="31">
        <f t="shared" si="55"/>
        <v>38</v>
      </c>
      <c r="AD99" s="31"/>
      <c r="AE99" s="31">
        <v>16</v>
      </c>
      <c r="AF99" s="31"/>
      <c r="AG99" s="31"/>
      <c r="AH99" s="31"/>
      <c r="AI99" s="31"/>
      <c r="AJ99" s="31">
        <v>0</v>
      </c>
      <c r="AK99" s="31"/>
      <c r="AL99" s="31"/>
      <c r="AM99" s="31"/>
      <c r="AN99" s="31">
        <f t="shared" si="51"/>
        <v>16</v>
      </c>
      <c r="AO99" s="31"/>
      <c r="AP99" s="31">
        <v>0</v>
      </c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>
        <f t="shared" si="52"/>
        <v>0</v>
      </c>
      <c r="BE99" s="29">
        <f t="shared" si="65"/>
        <v>0</v>
      </c>
      <c r="BF99" s="29">
        <f t="shared" si="53"/>
        <v>0</v>
      </c>
      <c r="BG99" s="29">
        <f>VLOOKUP(E99,'[3]Y2604-Y2608_庫存&amp;銷售'!$F:$AJ,23,0)</f>
        <v>1.8333333333333335</v>
      </c>
      <c r="BH99" s="29">
        <f>VLOOKUP(E99,'[3]Y2604-Y2608_庫存&amp;銷售'!$F:$AL,25,0)</f>
        <v>0</v>
      </c>
      <c r="BI99" s="29">
        <f>VLOOKUP(E99,'[3]Y2604-Y2608_庫存&amp;銷售'!$F:$AN,30,0)</f>
        <v>0</v>
      </c>
      <c r="BJ99" s="81">
        <f t="shared" si="56"/>
        <v>31459.439999999999</v>
      </c>
      <c r="BK99" s="81">
        <f t="shared" si="57"/>
        <v>13246.08</v>
      </c>
      <c r="BL99" s="81">
        <f t="shared" si="58"/>
        <v>0</v>
      </c>
      <c r="BM99" s="81">
        <f t="shared" si="59"/>
        <v>31459.439999999999</v>
      </c>
      <c r="BN99" s="81">
        <f t="shared" si="60"/>
        <v>27360</v>
      </c>
      <c r="BO99" s="81">
        <f t="shared" si="61"/>
        <v>30420.993133439995</v>
      </c>
      <c r="BP99" s="81">
        <f t="shared" si="62"/>
        <v>13246.08</v>
      </c>
      <c r="BQ99" s="81">
        <f t="shared" si="63"/>
        <v>11520</v>
      </c>
      <c r="BR99" s="81">
        <f t="shared" si="64"/>
        <v>12808.839214079999</v>
      </c>
      <c r="BS99" s="199">
        <f t="shared" si="54"/>
        <v>0</v>
      </c>
      <c r="BT99" s="199">
        <f t="shared" si="49"/>
        <v>0</v>
      </c>
      <c r="BU99" s="199">
        <f t="shared" si="50"/>
        <v>0</v>
      </c>
      <c r="BV99" s="112">
        <f>VLOOKUP(E99,'[4]Y2604-Y2608_庫存&amp;銷售'!$F:$AB,17,0)</f>
        <v>15.583333333333334</v>
      </c>
      <c r="BW99" s="112">
        <f>VLOOKUP(A99,'[5]Demand inbond in Sep'!$B:$M,12,0)</f>
        <v>0</v>
      </c>
      <c r="BX99" s="112"/>
    </row>
    <row r="100" spans="1:76" s="53" customFormat="1" x14ac:dyDescent="0.3">
      <c r="A100" s="7">
        <v>268227443638287</v>
      </c>
      <c r="B100" s="20" t="s">
        <v>91</v>
      </c>
      <c r="C100" s="6" t="s">
        <v>100</v>
      </c>
      <c r="D100" s="7">
        <v>80803310</v>
      </c>
      <c r="E100" s="8">
        <v>6903148302712</v>
      </c>
      <c r="F100" s="8">
        <v>6903148302712</v>
      </c>
      <c r="G100" s="9" t="s">
        <v>101</v>
      </c>
      <c r="H100" s="10"/>
      <c r="I100" s="22" t="s">
        <v>169</v>
      </c>
      <c r="J100" s="10"/>
      <c r="K100" s="5">
        <v>1556.4</v>
      </c>
      <c r="L100" s="5">
        <v>1497.02</v>
      </c>
      <c r="M100" s="115">
        <v>0</v>
      </c>
      <c r="N100" s="21">
        <f>VLOOKUP(E100,'[8]Demand inbond in Aug'!$C:$T,18,0)</f>
        <v>0</v>
      </c>
      <c r="O100" s="23">
        <f>VLOOKUP(E100,'[5]Demand inbond in Sep'!$C:$M,11,0)</f>
        <v>0</v>
      </c>
      <c r="P100" s="51">
        <f>M100*J100</f>
        <v>0</v>
      </c>
      <c r="Q100" s="51">
        <f>N100*J100</f>
        <v>0</v>
      </c>
      <c r="R100" s="51">
        <f>O100*J100</f>
        <v>0</v>
      </c>
      <c r="S100" s="52"/>
      <c r="T100" s="52"/>
      <c r="U100" s="52"/>
      <c r="V100" s="52"/>
      <c r="W100" s="52"/>
      <c r="X100" s="31"/>
      <c r="Y100" s="31"/>
      <c r="Z100" s="52"/>
      <c r="AA100" s="52"/>
      <c r="AB100" s="52"/>
      <c r="AC100" s="31">
        <f t="shared" si="55"/>
        <v>0</v>
      </c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>
        <f t="shared" si="51"/>
        <v>0</v>
      </c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>
        <f t="shared" si="52"/>
        <v>0</v>
      </c>
      <c r="BE100" s="29">
        <f t="shared" si="65"/>
        <v>0</v>
      </c>
      <c r="BF100" s="29">
        <f t="shared" si="53"/>
        <v>0</v>
      </c>
      <c r="BG100" s="29" t="e">
        <f>VLOOKUP(E100,'[3]Y2604-Y2608_庫存&amp;銷售'!$F:$AJ,23,0)</f>
        <v>#N/A</v>
      </c>
      <c r="BH100" s="29" t="e">
        <f>VLOOKUP(E100,'[3]Y2604-Y2608_庫存&amp;銷售'!$F:$AL,25,0)</f>
        <v>#N/A</v>
      </c>
      <c r="BI100" s="29" t="e">
        <f>VLOOKUP(E100,'[3]Y2604-Y2608_庫存&amp;銷售'!$F:$AN,30,0)</f>
        <v>#N/A</v>
      </c>
      <c r="BJ100" s="81">
        <f t="shared" si="56"/>
        <v>0</v>
      </c>
      <c r="BK100" s="81">
        <f t="shared" si="57"/>
        <v>0</v>
      </c>
      <c r="BL100" s="81">
        <f t="shared" si="58"/>
        <v>0</v>
      </c>
      <c r="BM100" s="81">
        <f t="shared" si="59"/>
        <v>0</v>
      </c>
      <c r="BN100" s="81">
        <f t="shared" si="60"/>
        <v>0</v>
      </c>
      <c r="BO100" s="81">
        <f t="shared" si="61"/>
        <v>0</v>
      </c>
      <c r="BP100" s="81">
        <f t="shared" si="62"/>
        <v>0</v>
      </c>
      <c r="BQ100" s="81">
        <f t="shared" si="63"/>
        <v>0</v>
      </c>
      <c r="BR100" s="81">
        <f t="shared" si="64"/>
        <v>0</v>
      </c>
      <c r="BS100" s="199">
        <f t="shared" si="54"/>
        <v>0</v>
      </c>
      <c r="BT100" s="199">
        <f t="shared" si="49"/>
        <v>0</v>
      </c>
      <c r="BU100" s="199">
        <f t="shared" si="50"/>
        <v>0</v>
      </c>
      <c r="BV100" s="112" t="e">
        <f>VLOOKUP(E100,'[4]Y2604-Y2608_庫存&amp;銷售'!$F:$AB,17,0)</f>
        <v>#N/A</v>
      </c>
      <c r="BW100" s="112">
        <f>VLOOKUP(A100,'[5]Demand inbond in Sep'!$B:$M,12,0)</f>
        <v>0</v>
      </c>
      <c r="BX100" s="112"/>
    </row>
    <row r="101" spans="1:76" ht="15" x14ac:dyDescent="0.35">
      <c r="A101" s="2">
        <v>324773687001088</v>
      </c>
      <c r="B101" s="19" t="s">
        <v>91</v>
      </c>
      <c r="C101" s="1" t="s">
        <v>92</v>
      </c>
      <c r="D101" s="265">
        <v>80874439</v>
      </c>
      <c r="E101" s="3">
        <v>4987176179258</v>
      </c>
      <c r="F101" s="3">
        <v>4987176179258</v>
      </c>
      <c r="G101" s="4" t="s">
        <v>102</v>
      </c>
      <c r="H101" s="1">
        <v>82</v>
      </c>
      <c r="I101" s="1"/>
      <c r="J101" s="5">
        <v>12</v>
      </c>
      <c r="K101" s="5">
        <v>1208.8800000000001</v>
      </c>
      <c r="L101" s="5">
        <v>1157.3018940000002</v>
      </c>
      <c r="M101" s="115">
        <v>357.01666666666665</v>
      </c>
      <c r="N101" s="170">
        <f>VLOOKUP(E101,'[8]Demand inbond in Aug'!$C:$T,18,0)+38</f>
        <v>188</v>
      </c>
      <c r="O101" s="23">
        <f>VLOOKUP(E101,'[5]Demand inbond in Sep'!$C:$M,11,0)</f>
        <v>219</v>
      </c>
      <c r="P101" s="24">
        <f>12*357</f>
        <v>4284</v>
      </c>
      <c r="Q101" s="24">
        <f>12*357</f>
        <v>4284</v>
      </c>
      <c r="R101" s="24">
        <f>12*346</f>
        <v>4152</v>
      </c>
      <c r="S101" s="31"/>
      <c r="T101" s="31"/>
      <c r="U101" s="31"/>
      <c r="V101" s="31">
        <v>357</v>
      </c>
      <c r="W101" s="31"/>
      <c r="X101" s="31"/>
      <c r="Y101" s="31">
        <v>0</v>
      </c>
      <c r="Z101" s="31"/>
      <c r="AA101" s="31"/>
      <c r="AB101" s="31">
        <v>0</v>
      </c>
      <c r="AC101" s="31">
        <f t="shared" si="55"/>
        <v>357</v>
      </c>
      <c r="AD101" s="31">
        <v>188</v>
      </c>
      <c r="AE101" s="31">
        <v>0</v>
      </c>
      <c r="AF101" s="31">
        <v>0</v>
      </c>
      <c r="AG101" s="31"/>
      <c r="AH101" s="31"/>
      <c r="AI101" s="31"/>
      <c r="AJ101" s="31">
        <v>0</v>
      </c>
      <c r="AK101" s="31"/>
      <c r="AL101" s="31"/>
      <c r="AM101" s="31"/>
      <c r="AN101" s="31">
        <f t="shared" si="51"/>
        <v>188</v>
      </c>
      <c r="AO101" s="31"/>
      <c r="AP101" s="31">
        <v>219</v>
      </c>
      <c r="AQ101" s="31"/>
      <c r="AR101" s="31"/>
      <c r="AS101" s="31">
        <v>0</v>
      </c>
      <c r="AT101" s="31"/>
      <c r="AU101" s="31"/>
      <c r="AV101" s="31"/>
      <c r="AW101" s="31"/>
      <c r="AX101" s="31">
        <v>55</v>
      </c>
      <c r="AY101" s="31"/>
      <c r="AZ101" s="31"/>
      <c r="BA101" s="31"/>
      <c r="BB101" s="31"/>
      <c r="BC101" s="31"/>
      <c r="BD101" s="31">
        <f t="shared" si="52"/>
        <v>274</v>
      </c>
      <c r="BE101" s="29">
        <f t="shared" si="65"/>
        <v>-55</v>
      </c>
      <c r="BF101" s="29">
        <f t="shared" si="53"/>
        <v>219</v>
      </c>
      <c r="BG101" s="29">
        <f>VLOOKUP(E101,'[3]Y2604-Y2608_庫存&amp;銷售'!$F:$AJ,23,0)</f>
        <v>47.083333333333336</v>
      </c>
      <c r="BH101" s="29">
        <f>VLOOKUP(E101,'[3]Y2604-Y2608_庫存&amp;銷售'!$F:$AL,25,0)</f>
        <v>0</v>
      </c>
      <c r="BI101" s="29">
        <f>VLOOKUP(E101,'[3]Y2604-Y2608_庫存&amp;銷售'!$F:$AN,30,0)</f>
        <v>0</v>
      </c>
      <c r="BJ101" s="81">
        <f t="shared" si="56"/>
        <v>431590.30800000002</v>
      </c>
      <c r="BK101" s="81">
        <f t="shared" si="57"/>
        <v>227269.44000000003</v>
      </c>
      <c r="BL101" s="81">
        <f t="shared" si="58"/>
        <v>264744.72000000003</v>
      </c>
      <c r="BM101" s="81">
        <f t="shared" si="59"/>
        <v>431570.16000000003</v>
      </c>
      <c r="BN101" s="81">
        <f t="shared" si="60"/>
        <v>351288</v>
      </c>
      <c r="BO101" s="81">
        <f t="shared" si="61"/>
        <v>421419.91168116004</v>
      </c>
      <c r="BP101" s="81">
        <f t="shared" si="62"/>
        <v>227269.44000000003</v>
      </c>
      <c r="BQ101" s="81">
        <f t="shared" si="63"/>
        <v>184992</v>
      </c>
      <c r="BR101" s="81">
        <f t="shared" si="64"/>
        <v>221924.21119344005</v>
      </c>
      <c r="BS101" s="199">
        <f t="shared" si="54"/>
        <v>331233.12000000005</v>
      </c>
      <c r="BT101" s="199">
        <f t="shared" si="49"/>
        <v>269616</v>
      </c>
      <c r="BU101" s="199">
        <f t="shared" si="50"/>
        <v>323442.73333512002</v>
      </c>
      <c r="BV101" s="112">
        <f>VLOOKUP(E101,'[4]Y2604-Y2608_庫存&amp;銷售'!$F:$AB,17,0)</f>
        <v>121.08333333333333</v>
      </c>
      <c r="BW101" s="112">
        <f>VLOOKUP(A101,'[5]Demand inbond in Sep'!$B:$M,12,0)</f>
        <v>219</v>
      </c>
      <c r="BX101" s="112"/>
    </row>
    <row r="102" spans="1:76" ht="15" x14ac:dyDescent="0.35">
      <c r="A102" s="2">
        <v>324773687050240</v>
      </c>
      <c r="B102" s="19" t="s">
        <v>91</v>
      </c>
      <c r="C102" s="1" t="s">
        <v>92</v>
      </c>
      <c r="D102" s="2">
        <v>80724056</v>
      </c>
      <c r="E102" s="3">
        <v>4987176177858</v>
      </c>
      <c r="F102" s="3">
        <v>4987176177858</v>
      </c>
      <c r="G102" s="4" t="s">
        <v>103</v>
      </c>
      <c r="H102" s="1">
        <v>89</v>
      </c>
      <c r="I102" s="1"/>
      <c r="J102" s="5">
        <v>12</v>
      </c>
      <c r="K102" s="5">
        <v>1208.8800000000001</v>
      </c>
      <c r="L102" s="5">
        <v>1157.3018940000002</v>
      </c>
      <c r="M102" s="115">
        <v>251.405303030303</v>
      </c>
      <c r="N102" s="21">
        <f>VLOOKUP(E102,'[8]Demand inbond in Aug'!$C:$T,18,0)</f>
        <v>0</v>
      </c>
      <c r="O102" s="23">
        <f>VLOOKUP(E102,'[5]Demand inbond in Sep'!$C:$M,11,0)</f>
        <v>258</v>
      </c>
      <c r="P102" s="24">
        <f>12*251</f>
        <v>3012</v>
      </c>
      <c r="Q102" s="24">
        <f>12*251</f>
        <v>3012</v>
      </c>
      <c r="R102" s="24">
        <f>12*243</f>
        <v>2916</v>
      </c>
      <c r="S102" s="31"/>
      <c r="T102" s="31"/>
      <c r="U102" s="31"/>
      <c r="V102" s="31"/>
      <c r="W102" s="31"/>
      <c r="X102" s="31"/>
      <c r="Y102" s="31">
        <v>61</v>
      </c>
      <c r="Z102" s="31"/>
      <c r="AA102" s="31"/>
      <c r="AB102" s="31">
        <v>25</v>
      </c>
      <c r="AC102" s="31">
        <f t="shared" si="55"/>
        <v>86</v>
      </c>
      <c r="AD102" s="31"/>
      <c r="AE102" s="31"/>
      <c r="AF102" s="31">
        <v>0</v>
      </c>
      <c r="AG102" s="31"/>
      <c r="AH102" s="31">
        <v>0</v>
      </c>
      <c r="AI102" s="31"/>
      <c r="AJ102" s="31"/>
      <c r="AK102" s="31"/>
      <c r="AL102" s="31"/>
      <c r="AM102" s="31"/>
      <c r="AN102" s="31">
        <f t="shared" si="51"/>
        <v>0</v>
      </c>
      <c r="AO102" s="31"/>
      <c r="AP102" s="31">
        <v>258</v>
      </c>
      <c r="AQ102" s="31"/>
      <c r="AR102" s="31"/>
      <c r="AS102" s="31">
        <v>0</v>
      </c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>
        <f t="shared" si="52"/>
        <v>258</v>
      </c>
      <c r="BE102" s="29">
        <f t="shared" si="65"/>
        <v>0</v>
      </c>
      <c r="BF102" s="29">
        <f t="shared" si="53"/>
        <v>258</v>
      </c>
      <c r="BG102" s="29">
        <f>VLOOKUP(E102,'[3]Y2604-Y2608_庫存&amp;銷售'!$F:$AJ,23,0)</f>
        <v>88.083333333333329</v>
      </c>
      <c r="BH102" s="29">
        <f>VLOOKUP(E102,'[3]Y2604-Y2608_庫存&amp;銷售'!$F:$AL,25,0)</f>
        <v>0</v>
      </c>
      <c r="BI102" s="29">
        <f>VLOOKUP(E102,'[3]Y2604-Y2608_庫存&amp;銷售'!$F:$AN,30,0)</f>
        <v>0</v>
      </c>
      <c r="BJ102" s="81">
        <f t="shared" si="56"/>
        <v>303918.84272727271</v>
      </c>
      <c r="BK102" s="81">
        <f t="shared" si="57"/>
        <v>0</v>
      </c>
      <c r="BL102" s="81">
        <f t="shared" si="58"/>
        <v>311891.04000000004</v>
      </c>
      <c r="BM102" s="81">
        <f t="shared" si="59"/>
        <v>103963.68000000001</v>
      </c>
      <c r="BN102" s="81">
        <f t="shared" si="60"/>
        <v>91848</v>
      </c>
      <c r="BO102" s="81">
        <f t="shared" si="61"/>
        <v>101518.52214168002</v>
      </c>
      <c r="BP102" s="81">
        <f t="shared" si="62"/>
        <v>0</v>
      </c>
      <c r="BQ102" s="81">
        <f t="shared" si="63"/>
        <v>0</v>
      </c>
      <c r="BR102" s="81">
        <f t="shared" si="64"/>
        <v>0</v>
      </c>
      <c r="BS102" s="199">
        <f t="shared" si="54"/>
        <v>311891.04000000004</v>
      </c>
      <c r="BT102" s="199">
        <f t="shared" si="49"/>
        <v>275544</v>
      </c>
      <c r="BU102" s="199">
        <f t="shared" si="50"/>
        <v>304555.56642504002</v>
      </c>
      <c r="BV102" s="112">
        <f>VLOOKUP(E102,'[4]Y2604-Y2608_庫存&amp;銷售'!$F:$AB,17,0)</f>
        <v>137.08333333333334</v>
      </c>
      <c r="BW102" s="112">
        <f>VLOOKUP(A102,'[5]Demand inbond in Sep'!$B:$M,12,0)</f>
        <v>258</v>
      </c>
      <c r="BX102" s="112"/>
    </row>
    <row r="103" spans="1:76" ht="15" x14ac:dyDescent="0.35">
      <c r="A103" s="2">
        <v>328409334923264</v>
      </c>
      <c r="B103" s="19" t="s">
        <v>91</v>
      </c>
      <c r="C103" s="1" t="s">
        <v>92</v>
      </c>
      <c r="D103" s="2">
        <v>80724057</v>
      </c>
      <c r="E103" s="3">
        <v>4987176177865</v>
      </c>
      <c r="F103" s="3">
        <v>4987176177865</v>
      </c>
      <c r="G103" s="4" t="s">
        <v>104</v>
      </c>
      <c r="H103" s="1">
        <v>89</v>
      </c>
      <c r="I103" s="1"/>
      <c r="J103" s="5">
        <v>12</v>
      </c>
      <c r="K103" s="5">
        <v>1208.8800000000001</v>
      </c>
      <c r="L103" s="5">
        <v>1157.3004000000001</v>
      </c>
      <c r="M103" s="115">
        <v>142.47083333333333</v>
      </c>
      <c r="N103" s="21">
        <f>VLOOKUP(E103,'[8]Demand inbond in Aug'!$C:$T,18,0)</f>
        <v>157</v>
      </c>
      <c r="O103" s="23">
        <f>VLOOKUP(E103,'[5]Demand inbond in Sep'!$C:$M,11,0)</f>
        <v>0</v>
      </c>
      <c r="P103" s="24">
        <f>12*142</f>
        <v>1704</v>
      </c>
      <c r="Q103" s="24">
        <f>12*142</f>
        <v>1704</v>
      </c>
      <c r="R103" s="24">
        <f>12*138</f>
        <v>1656</v>
      </c>
      <c r="S103" s="31"/>
      <c r="T103" s="31"/>
      <c r="U103" s="31"/>
      <c r="V103" s="31"/>
      <c r="W103" s="31"/>
      <c r="X103" s="31"/>
      <c r="Y103" s="31">
        <v>132</v>
      </c>
      <c r="Z103" s="31"/>
      <c r="AA103" s="31"/>
      <c r="AB103" s="31"/>
      <c r="AC103" s="31">
        <f t="shared" si="55"/>
        <v>132</v>
      </c>
      <c r="AD103" s="31"/>
      <c r="AE103" s="31"/>
      <c r="AF103" s="31">
        <v>152</v>
      </c>
      <c r="AG103" s="31"/>
      <c r="AH103" s="31"/>
      <c r="AI103" s="31">
        <v>5</v>
      </c>
      <c r="AJ103" s="31">
        <v>0</v>
      </c>
      <c r="AK103" s="31"/>
      <c r="AL103" s="31"/>
      <c r="AM103" s="31"/>
      <c r="AN103" s="31">
        <f t="shared" si="51"/>
        <v>157</v>
      </c>
      <c r="AO103" s="31"/>
      <c r="AP103" s="31">
        <v>0</v>
      </c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>
        <f t="shared" si="52"/>
        <v>0</v>
      </c>
      <c r="BE103" s="29">
        <f t="shared" si="65"/>
        <v>0</v>
      </c>
      <c r="BF103" s="29">
        <f t="shared" si="53"/>
        <v>0</v>
      </c>
      <c r="BG103" s="29">
        <f>VLOOKUP(E103,'[3]Y2604-Y2608_庫存&amp;銷售'!$F:$AJ,23,0)</f>
        <v>35.166666666666664</v>
      </c>
      <c r="BH103" s="29">
        <f>VLOOKUP(E103,'[3]Y2604-Y2608_庫存&amp;銷售'!$F:$AL,25,0)</f>
        <v>0</v>
      </c>
      <c r="BI103" s="29">
        <f>VLOOKUP(E103,'[3]Y2604-Y2608_庫存&amp;銷售'!$F:$AN,30,0)</f>
        <v>0</v>
      </c>
      <c r="BJ103" s="81">
        <f t="shared" ref="BJ103:BJ134" si="68">M103*K103</f>
        <v>172230.141</v>
      </c>
      <c r="BK103" s="81">
        <f t="shared" ref="BK103:BK134" si="69">N103*K103</f>
        <v>189794.16</v>
      </c>
      <c r="BL103" s="81">
        <f t="shared" ref="BL103:BL134" si="70">O103*K103</f>
        <v>0</v>
      </c>
      <c r="BM103" s="81">
        <f t="shared" si="59"/>
        <v>159572.16</v>
      </c>
      <c r="BN103" s="81">
        <f t="shared" si="60"/>
        <v>140976</v>
      </c>
      <c r="BO103" s="81">
        <f t="shared" si="61"/>
        <v>155818.92585600002</v>
      </c>
      <c r="BP103" s="81">
        <f t="shared" si="62"/>
        <v>189794.16</v>
      </c>
      <c r="BQ103" s="81">
        <f t="shared" si="63"/>
        <v>167676</v>
      </c>
      <c r="BR103" s="81">
        <f t="shared" si="64"/>
        <v>185330.086056</v>
      </c>
      <c r="BS103" s="199">
        <f t="shared" si="54"/>
        <v>0</v>
      </c>
      <c r="BT103" s="199">
        <f t="shared" si="49"/>
        <v>0</v>
      </c>
      <c r="BU103" s="199">
        <f t="shared" si="50"/>
        <v>0</v>
      </c>
      <c r="BV103" s="112">
        <f>VLOOKUP(E103,'[4]Y2604-Y2608_庫存&amp;銷售'!$F:$AB,17,0)</f>
        <v>72</v>
      </c>
      <c r="BW103" s="112">
        <f>VLOOKUP(A103,'[5]Demand inbond in Sep'!$B:$M,12,0)</f>
        <v>0</v>
      </c>
      <c r="BX103" s="112"/>
    </row>
    <row r="104" spans="1:76" ht="15" x14ac:dyDescent="0.35">
      <c r="A104" s="2">
        <v>328775300513792</v>
      </c>
      <c r="B104" s="19" t="s">
        <v>91</v>
      </c>
      <c r="C104" s="1" t="s">
        <v>92</v>
      </c>
      <c r="D104" s="2">
        <v>80724055</v>
      </c>
      <c r="E104" s="3">
        <v>4987176177841</v>
      </c>
      <c r="F104" s="3">
        <v>4987176177841</v>
      </c>
      <c r="G104" s="4" t="s">
        <v>105</v>
      </c>
      <c r="H104" s="1">
        <v>89</v>
      </c>
      <c r="I104" s="1"/>
      <c r="J104" s="5">
        <v>12</v>
      </c>
      <c r="K104" s="5">
        <v>1208.8800000000001</v>
      </c>
      <c r="L104" s="5">
        <v>1157.3004000000001</v>
      </c>
      <c r="M104" s="115">
        <v>182.94696969696966</v>
      </c>
      <c r="N104" s="21">
        <f>VLOOKUP(E104,'[8]Demand inbond in Aug'!$C:$T,18,0)</f>
        <v>226</v>
      </c>
      <c r="O104" s="23">
        <f>VLOOKUP(E104,'[5]Demand inbond in Sep'!$C:$M,11,0)</f>
        <v>210</v>
      </c>
      <c r="P104" s="24">
        <f>12*183</f>
        <v>2196</v>
      </c>
      <c r="Q104" s="24">
        <f>12*183</f>
        <v>2196</v>
      </c>
      <c r="R104" s="24">
        <f>12*177</f>
        <v>2124</v>
      </c>
      <c r="S104" s="31"/>
      <c r="T104" s="31"/>
      <c r="U104" s="31"/>
      <c r="V104" s="31"/>
      <c r="W104" s="31">
        <v>50</v>
      </c>
      <c r="X104" s="31"/>
      <c r="Y104" s="31">
        <v>36</v>
      </c>
      <c r="Z104" s="31"/>
      <c r="AA104" s="31"/>
      <c r="AB104" s="31"/>
      <c r="AC104" s="31">
        <f t="shared" si="55"/>
        <v>86</v>
      </c>
      <c r="AD104" s="31"/>
      <c r="AE104" s="31">
        <v>63</v>
      </c>
      <c r="AF104" s="31">
        <v>134</v>
      </c>
      <c r="AG104" s="31"/>
      <c r="AH104" s="31">
        <v>29</v>
      </c>
      <c r="AI104" s="31"/>
      <c r="AJ104" s="31">
        <v>0</v>
      </c>
      <c r="AK104" s="31"/>
      <c r="AL104" s="31"/>
      <c r="AM104" s="31"/>
      <c r="AN104" s="31">
        <f t="shared" si="51"/>
        <v>226</v>
      </c>
      <c r="AO104" s="31"/>
      <c r="AP104" s="31">
        <v>210</v>
      </c>
      <c r="AQ104" s="31"/>
      <c r="AR104" s="31"/>
      <c r="AS104" s="31">
        <v>0</v>
      </c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>
        <f t="shared" si="52"/>
        <v>210</v>
      </c>
      <c r="BE104" s="29">
        <f t="shared" si="65"/>
        <v>0</v>
      </c>
      <c r="BF104" s="29">
        <f t="shared" si="53"/>
        <v>210</v>
      </c>
      <c r="BG104" s="29">
        <f>VLOOKUP(E104,'[3]Y2604-Y2608_庫存&amp;銷售'!$F:$AJ,23,0)</f>
        <v>25.666666666666664</v>
      </c>
      <c r="BH104" s="29">
        <f>VLOOKUP(E104,'[3]Y2604-Y2608_庫存&amp;銷售'!$F:$AL,25,0)</f>
        <v>0</v>
      </c>
      <c r="BI104" s="29">
        <f>VLOOKUP(E104,'[3]Y2604-Y2608_庫存&amp;銷售'!$F:$AN,30,0)</f>
        <v>0</v>
      </c>
      <c r="BJ104" s="81">
        <f t="shared" si="68"/>
        <v>221160.93272727271</v>
      </c>
      <c r="BK104" s="81">
        <f t="shared" si="69"/>
        <v>273206.88</v>
      </c>
      <c r="BL104" s="81">
        <f t="shared" si="70"/>
        <v>253864.80000000002</v>
      </c>
      <c r="BM104" s="81">
        <f t="shared" si="59"/>
        <v>103963.68000000001</v>
      </c>
      <c r="BN104" s="81">
        <f t="shared" si="60"/>
        <v>91848</v>
      </c>
      <c r="BO104" s="81">
        <f t="shared" si="61"/>
        <v>101518.391088</v>
      </c>
      <c r="BP104" s="81">
        <f t="shared" si="62"/>
        <v>273206.88</v>
      </c>
      <c r="BQ104" s="81">
        <f t="shared" si="63"/>
        <v>241368</v>
      </c>
      <c r="BR104" s="81">
        <f t="shared" si="64"/>
        <v>266780.88820799999</v>
      </c>
      <c r="BS104" s="199">
        <f t="shared" si="54"/>
        <v>253864.80000000002</v>
      </c>
      <c r="BT104" s="199">
        <f t="shared" si="49"/>
        <v>224280</v>
      </c>
      <c r="BU104" s="199">
        <f t="shared" si="50"/>
        <v>247893.74567999999</v>
      </c>
      <c r="BV104" s="112">
        <f>VLOOKUP(E104,'[4]Y2604-Y2608_庫存&amp;銷售'!$F:$AB,17,0)</f>
        <v>155.75</v>
      </c>
      <c r="BW104" s="112">
        <f>VLOOKUP(A104,'[5]Demand inbond in Sep'!$B:$M,12,0)</f>
        <v>210</v>
      </c>
      <c r="BX104" s="112"/>
    </row>
    <row r="105" spans="1:76" s="53" customFormat="1" x14ac:dyDescent="0.3">
      <c r="A105" s="7">
        <v>346144055951364</v>
      </c>
      <c r="B105" s="20" t="s">
        <v>91</v>
      </c>
      <c r="C105" s="6" t="s">
        <v>100</v>
      </c>
      <c r="D105" s="7" t="e">
        <v>#N/A</v>
      </c>
      <c r="E105" s="8">
        <v>4987176219985</v>
      </c>
      <c r="F105" s="8">
        <v>4987176219985</v>
      </c>
      <c r="G105" s="9" t="s">
        <v>106</v>
      </c>
      <c r="H105" s="22">
        <f>VLOOKUP(E105,[6]工作表1!$E:$J,6,0)</f>
        <v>41</v>
      </c>
      <c r="I105" s="22" t="s">
        <v>169</v>
      </c>
      <c r="J105" s="10"/>
      <c r="K105" s="5"/>
      <c r="L105" s="5"/>
      <c r="M105" s="115">
        <v>0</v>
      </c>
      <c r="N105" s="21" t="str">
        <f>VLOOKUP(E105,'[8]Demand inbond in Aug'!$C:$T,18,0)</f>
        <v/>
      </c>
      <c r="O105" s="23">
        <f>VLOOKUP(E105,'[5]Demand inbond in Sep'!$C:$M,11,0)</f>
        <v>0</v>
      </c>
      <c r="P105" s="51">
        <f>M105*J105</f>
        <v>0</v>
      </c>
      <c r="Q105" s="51" t="e">
        <f>N105*J105</f>
        <v>#VALUE!</v>
      </c>
      <c r="R105" s="51">
        <f>O105*J105</f>
        <v>0</v>
      </c>
      <c r="S105" s="52"/>
      <c r="T105" s="52"/>
      <c r="U105" s="52"/>
      <c r="V105" s="52"/>
      <c r="W105" s="52"/>
      <c r="X105" s="31"/>
      <c r="Y105" s="31"/>
      <c r="Z105" s="52"/>
      <c r="AA105" s="52"/>
      <c r="AB105" s="52"/>
      <c r="AC105" s="31">
        <f t="shared" si="55"/>
        <v>0</v>
      </c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>
        <f t="shared" si="51"/>
        <v>0</v>
      </c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>
        <f t="shared" si="52"/>
        <v>0</v>
      </c>
      <c r="BE105" s="29">
        <f t="shared" si="65"/>
        <v>0</v>
      </c>
      <c r="BF105" s="29">
        <f t="shared" si="53"/>
        <v>0</v>
      </c>
      <c r="BG105" s="29">
        <f>VLOOKUP(E105,'[3]Y2604-Y2608_庫存&amp;銷售'!$F:$AJ,23,0)</f>
        <v>0</v>
      </c>
      <c r="BH105" s="29">
        <f>VLOOKUP(E105,'[3]Y2604-Y2608_庫存&amp;銷售'!$F:$AL,25,0)</f>
        <v>0</v>
      </c>
      <c r="BI105" s="29">
        <f>VLOOKUP(E105,'[3]Y2604-Y2608_庫存&amp;銷售'!$F:$AN,30,0)</f>
        <v>0</v>
      </c>
      <c r="BJ105" s="81">
        <f t="shared" si="68"/>
        <v>0</v>
      </c>
      <c r="BK105" s="81" t="e">
        <f t="shared" si="69"/>
        <v>#VALUE!</v>
      </c>
      <c r="BL105" s="81">
        <f t="shared" si="70"/>
        <v>0</v>
      </c>
      <c r="BM105" s="81">
        <f t="shared" si="59"/>
        <v>0</v>
      </c>
      <c r="BN105" s="81">
        <f t="shared" si="60"/>
        <v>0</v>
      </c>
      <c r="BO105" s="81">
        <f t="shared" si="61"/>
        <v>0</v>
      </c>
      <c r="BP105" s="81">
        <f t="shared" si="62"/>
        <v>0</v>
      </c>
      <c r="BQ105" s="81">
        <f t="shared" si="63"/>
        <v>0</v>
      </c>
      <c r="BR105" s="81">
        <f t="shared" si="64"/>
        <v>0</v>
      </c>
      <c r="BS105" s="199">
        <f t="shared" si="54"/>
        <v>0</v>
      </c>
      <c r="BT105" s="199">
        <f t="shared" si="49"/>
        <v>0</v>
      </c>
      <c r="BU105" s="199">
        <f t="shared" si="50"/>
        <v>0</v>
      </c>
      <c r="BV105" s="112">
        <f>VLOOKUP(E105,'[4]Y2604-Y2608_庫存&amp;銷售'!$F:$AB,17,0)</f>
        <v>0</v>
      </c>
      <c r="BW105" s="112">
        <f>VLOOKUP(A105,'[5]Demand inbond in Sep'!$B:$M,12,0)</f>
        <v>0</v>
      </c>
      <c r="BX105" s="112"/>
    </row>
    <row r="106" spans="1:76" ht="15" x14ac:dyDescent="0.35">
      <c r="A106" s="2">
        <v>518994700173312</v>
      </c>
      <c r="B106" s="19" t="s">
        <v>91</v>
      </c>
      <c r="C106" s="1" t="s">
        <v>92</v>
      </c>
      <c r="D106" s="2">
        <v>80817374</v>
      </c>
      <c r="E106" s="3">
        <v>6903148356999</v>
      </c>
      <c r="F106" s="3">
        <v>6903148356999</v>
      </c>
      <c r="G106" s="4" t="s">
        <v>107</v>
      </c>
      <c r="H106" s="1">
        <v>54</v>
      </c>
      <c r="I106" s="208"/>
      <c r="J106" s="5">
        <v>24</v>
      </c>
      <c r="K106" s="5">
        <v>1366.48</v>
      </c>
      <c r="L106" s="5">
        <v>1311.36</v>
      </c>
      <c r="M106" s="115">
        <v>7.5512820512820511</v>
      </c>
      <c r="N106" s="21">
        <f>VLOOKUP(E106,'[8]Demand inbond in Aug'!$C:$T,18,0)</f>
        <v>18</v>
      </c>
      <c r="O106" s="23">
        <f>VLOOKUP(E106,'[5]Demand inbond in Sep'!$C:$M,11,0)</f>
        <v>18</v>
      </c>
      <c r="P106" s="24">
        <f>24*8</f>
        <v>192</v>
      </c>
      <c r="Q106" s="24">
        <f>24*8</f>
        <v>192</v>
      </c>
      <c r="R106" s="24">
        <f>24*7</f>
        <v>168</v>
      </c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>
        <f t="shared" si="55"/>
        <v>0</v>
      </c>
      <c r="AD106" s="31">
        <v>8</v>
      </c>
      <c r="AE106" s="31"/>
      <c r="AF106" s="31"/>
      <c r="AG106" s="31"/>
      <c r="AH106" s="31">
        <v>1</v>
      </c>
      <c r="AI106" s="31">
        <v>9</v>
      </c>
      <c r="AJ106" s="31"/>
      <c r="AK106" s="31"/>
      <c r="AL106" s="31"/>
      <c r="AM106" s="31"/>
      <c r="AN106" s="31">
        <f t="shared" si="51"/>
        <v>18</v>
      </c>
      <c r="AO106" s="31"/>
      <c r="AP106" s="31">
        <v>15</v>
      </c>
      <c r="AQ106" s="31"/>
      <c r="AR106" s="31"/>
      <c r="AS106" s="31"/>
      <c r="AT106" s="31">
        <v>14</v>
      </c>
      <c r="AU106" s="31"/>
      <c r="AV106" s="31"/>
      <c r="AW106" s="31">
        <v>0</v>
      </c>
      <c r="AX106" s="31"/>
      <c r="AY106" s="31"/>
      <c r="AZ106" s="31"/>
      <c r="BA106" s="31"/>
      <c r="BB106" s="31"/>
      <c r="BC106" s="31"/>
      <c r="BD106" s="31">
        <f t="shared" si="52"/>
        <v>29</v>
      </c>
      <c r="BE106" s="29">
        <f t="shared" si="65"/>
        <v>-11</v>
      </c>
      <c r="BF106" s="29">
        <f t="shared" si="53"/>
        <v>29</v>
      </c>
      <c r="BG106" s="29">
        <f>VLOOKUP(E106,'[3]Y2604-Y2608_庫存&amp;銷售'!$F:$AJ,23,0)</f>
        <v>2.6666666666666665</v>
      </c>
      <c r="BH106" s="29">
        <f>VLOOKUP(E106,'[3]Y2604-Y2608_庫存&amp;銷售'!$F:$AL,25,0)</f>
        <v>0</v>
      </c>
      <c r="BI106" s="29">
        <f>VLOOKUP(E106,'[3]Y2604-Y2608_庫存&amp;銷售'!$F:$AN,30,0)</f>
        <v>0</v>
      </c>
      <c r="BJ106" s="81">
        <f t="shared" si="68"/>
        <v>10318.675897435898</v>
      </c>
      <c r="BK106" s="81">
        <f t="shared" si="69"/>
        <v>24596.639999999999</v>
      </c>
      <c r="BL106" s="81">
        <f t="shared" si="70"/>
        <v>24596.639999999999</v>
      </c>
      <c r="BM106" s="81">
        <f t="shared" si="59"/>
        <v>0</v>
      </c>
      <c r="BN106" s="81">
        <f t="shared" si="60"/>
        <v>0</v>
      </c>
      <c r="BO106" s="81">
        <f t="shared" si="61"/>
        <v>0</v>
      </c>
      <c r="BP106" s="81">
        <f t="shared" si="62"/>
        <v>24596.639999999999</v>
      </c>
      <c r="BQ106" s="81">
        <f t="shared" si="63"/>
        <v>23328</v>
      </c>
      <c r="BR106" s="81">
        <f t="shared" si="64"/>
        <v>24076.569599999999</v>
      </c>
      <c r="BS106" s="199">
        <f t="shared" si="54"/>
        <v>39627.919999999998</v>
      </c>
      <c r="BT106" s="199">
        <f t="shared" si="49"/>
        <v>37584</v>
      </c>
      <c r="BU106" s="199">
        <f t="shared" si="50"/>
        <v>38790.0288</v>
      </c>
      <c r="BV106" s="112">
        <f>VLOOKUP(E106,'[4]Y2604-Y2608_庫存&amp;銷售'!$F:$AB,17,0)</f>
        <v>5.666666666666667</v>
      </c>
      <c r="BW106" s="112">
        <f>VLOOKUP(A106,'[5]Demand inbond in Sep'!$B:$M,12,0)</f>
        <v>18</v>
      </c>
      <c r="BX106" s="112"/>
    </row>
    <row r="107" spans="1:76" ht="15" x14ac:dyDescent="0.35">
      <c r="A107" s="2">
        <v>518994700238848</v>
      </c>
      <c r="B107" s="19" t="s">
        <v>91</v>
      </c>
      <c r="C107" s="1" t="s">
        <v>92</v>
      </c>
      <c r="D107" s="2">
        <v>80817375</v>
      </c>
      <c r="E107" s="3">
        <v>6903148138182</v>
      </c>
      <c r="F107" s="3">
        <v>6903148138182</v>
      </c>
      <c r="G107" s="4" t="s">
        <v>108</v>
      </c>
      <c r="H107" s="1">
        <v>54</v>
      </c>
      <c r="I107" s="208"/>
      <c r="J107" s="5">
        <v>24</v>
      </c>
      <c r="K107" s="5">
        <v>1366.48</v>
      </c>
      <c r="L107" s="5">
        <v>1311.36</v>
      </c>
      <c r="M107" s="115">
        <v>0</v>
      </c>
      <c r="N107" s="21">
        <f>VLOOKUP(E107,'[8]Demand inbond in Aug'!$C:$T,18,0)</f>
        <v>0</v>
      </c>
      <c r="O107" s="23">
        <f>VLOOKUP(E107,'[5]Demand inbond in Sep'!$C:$M,11,0)</f>
        <v>15</v>
      </c>
      <c r="P107" s="24">
        <f>M107*J107</f>
        <v>0</v>
      </c>
      <c r="Q107" s="24">
        <f>N107*J107</f>
        <v>0</v>
      </c>
      <c r="R107" s="24">
        <f>O107*J107</f>
        <v>360</v>
      </c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>
        <f t="shared" si="55"/>
        <v>0</v>
      </c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>
        <f t="shared" si="51"/>
        <v>0</v>
      </c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>
        <f t="shared" si="52"/>
        <v>0</v>
      </c>
      <c r="BE107" s="29">
        <f t="shared" si="65"/>
        <v>15</v>
      </c>
      <c r="BF107" s="29">
        <f t="shared" si="53"/>
        <v>0</v>
      </c>
      <c r="BG107" s="29">
        <f>VLOOKUP(E107,'[3]Y2604-Y2608_庫存&amp;銷售'!$F:$AJ,23,0)</f>
        <v>0</v>
      </c>
      <c r="BH107" s="29">
        <f>VLOOKUP(E107,'[3]Y2604-Y2608_庫存&amp;銷售'!$F:$AL,25,0)</f>
        <v>0</v>
      </c>
      <c r="BI107" s="29">
        <f>VLOOKUP(E107,'[3]Y2604-Y2608_庫存&amp;銷售'!$F:$AN,30,0)</f>
        <v>0</v>
      </c>
      <c r="BJ107" s="81">
        <f t="shared" si="68"/>
        <v>0</v>
      </c>
      <c r="BK107" s="81">
        <f t="shared" si="69"/>
        <v>0</v>
      </c>
      <c r="BL107" s="81">
        <f t="shared" si="70"/>
        <v>20497.2</v>
      </c>
      <c r="BM107" s="81">
        <f t="shared" si="59"/>
        <v>0</v>
      </c>
      <c r="BN107" s="81">
        <f t="shared" si="60"/>
        <v>0</v>
      </c>
      <c r="BO107" s="81">
        <f t="shared" si="61"/>
        <v>0</v>
      </c>
      <c r="BP107" s="81">
        <f t="shared" si="62"/>
        <v>0</v>
      </c>
      <c r="BQ107" s="81">
        <f t="shared" si="63"/>
        <v>0</v>
      </c>
      <c r="BR107" s="81">
        <f t="shared" si="64"/>
        <v>0</v>
      </c>
      <c r="BS107" s="199">
        <f t="shared" si="54"/>
        <v>0</v>
      </c>
      <c r="BT107" s="199">
        <f t="shared" si="49"/>
        <v>0</v>
      </c>
      <c r="BU107" s="199">
        <f t="shared" si="50"/>
        <v>0</v>
      </c>
      <c r="BV107" s="112">
        <f>VLOOKUP(E107,'[4]Y2604-Y2608_庫存&amp;銷售'!$F:$AB,17,0)</f>
        <v>0</v>
      </c>
      <c r="BW107" s="112">
        <f>VLOOKUP(A107,'[5]Demand inbond in Sep'!$B:$M,12,0)</f>
        <v>15</v>
      </c>
      <c r="BX107" s="112"/>
    </row>
    <row r="108" spans="1:76" ht="15" x14ac:dyDescent="0.35">
      <c r="A108" s="175">
        <v>518994700255233</v>
      </c>
      <c r="B108" s="19" t="s">
        <v>91</v>
      </c>
      <c r="C108" s="1" t="s">
        <v>92</v>
      </c>
      <c r="D108" s="2">
        <v>80817377</v>
      </c>
      <c r="E108" s="3">
        <v>6903148308752</v>
      </c>
      <c r="F108" s="3">
        <v>6903148308752</v>
      </c>
      <c r="G108" s="4" t="s">
        <v>109</v>
      </c>
      <c r="H108" s="1">
        <v>47</v>
      </c>
      <c r="I108" s="208"/>
      <c r="J108" s="5">
        <v>24</v>
      </c>
      <c r="K108" s="5">
        <v>1156.25</v>
      </c>
      <c r="L108" s="5">
        <v>1105.8499999999999</v>
      </c>
      <c r="M108" s="115">
        <v>40.393939393939398</v>
      </c>
      <c r="N108" s="21">
        <f>VLOOKUP(E108,'[8]Demand inbond in Aug'!$C:$T,18,0)</f>
        <v>63</v>
      </c>
      <c r="O108" s="23">
        <f>VLOOKUP(E108,'[5]Demand inbond in Sep'!$C:$M,11,0)</f>
        <v>63</v>
      </c>
      <c r="P108" s="24">
        <f>24*40</f>
        <v>960</v>
      </c>
      <c r="Q108" s="24">
        <f>24*40</f>
        <v>960</v>
      </c>
      <c r="R108" s="24">
        <f>24*39</f>
        <v>936</v>
      </c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>
        <f t="shared" si="55"/>
        <v>0</v>
      </c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>
        <f t="shared" si="51"/>
        <v>0</v>
      </c>
      <c r="AO108" s="31"/>
      <c r="AP108" s="31">
        <v>63</v>
      </c>
      <c r="AQ108" s="31">
        <v>13</v>
      </c>
      <c r="AR108" s="31"/>
      <c r="AS108" s="31"/>
      <c r="AT108" s="31"/>
      <c r="AU108" s="31"/>
      <c r="AV108" s="31"/>
      <c r="AW108" s="31"/>
      <c r="AX108" s="31"/>
      <c r="AY108" s="31"/>
      <c r="AZ108" s="31">
        <v>0</v>
      </c>
      <c r="BA108" s="31"/>
      <c r="BB108" s="31"/>
      <c r="BC108" s="31"/>
      <c r="BD108" s="31">
        <f t="shared" si="52"/>
        <v>76</v>
      </c>
      <c r="BE108" s="29">
        <f t="shared" si="65"/>
        <v>-13</v>
      </c>
      <c r="BF108" s="29">
        <f t="shared" si="53"/>
        <v>76</v>
      </c>
      <c r="BG108" s="29">
        <f>VLOOKUP(E108,'[3]Y2604-Y2608_庫存&amp;銷售'!$F:$AJ,23,0)</f>
        <v>0.91666666666666674</v>
      </c>
      <c r="BH108" s="29">
        <f>VLOOKUP(E108,'[3]Y2604-Y2608_庫存&amp;銷售'!$F:$AL,25,0)</f>
        <v>0</v>
      </c>
      <c r="BI108" s="29">
        <f>VLOOKUP(E108,'[3]Y2604-Y2608_庫存&amp;銷售'!$F:$AN,30,0)</f>
        <v>0</v>
      </c>
      <c r="BJ108" s="81">
        <f t="shared" si="68"/>
        <v>46705.492424242431</v>
      </c>
      <c r="BK108" s="81">
        <f t="shared" si="69"/>
        <v>72843.75</v>
      </c>
      <c r="BL108" s="81">
        <f t="shared" si="70"/>
        <v>72843.75</v>
      </c>
      <c r="BM108" s="81">
        <f t="shared" si="59"/>
        <v>0</v>
      </c>
      <c r="BN108" s="81">
        <f t="shared" si="60"/>
        <v>0</v>
      </c>
      <c r="BO108" s="81">
        <f t="shared" si="61"/>
        <v>0</v>
      </c>
      <c r="BP108" s="81">
        <f t="shared" si="62"/>
        <v>0</v>
      </c>
      <c r="BQ108" s="81">
        <f t="shared" si="63"/>
        <v>0</v>
      </c>
      <c r="BR108" s="81">
        <f t="shared" si="64"/>
        <v>0</v>
      </c>
      <c r="BS108" s="199">
        <f t="shared" si="54"/>
        <v>87875</v>
      </c>
      <c r="BT108" s="199">
        <f t="shared" si="49"/>
        <v>85728</v>
      </c>
      <c r="BU108" s="199">
        <f t="shared" si="50"/>
        <v>85725.491999999984</v>
      </c>
      <c r="BV108" s="112">
        <f>VLOOKUP(E108,'[4]Y2604-Y2608_庫存&amp;銷售'!$F:$AB,17,0)</f>
        <v>20.625</v>
      </c>
      <c r="BW108" s="112">
        <f>VLOOKUP(A108,'[5]Demand inbond in Sep'!$B:$M,12,0)</f>
        <v>63</v>
      </c>
      <c r="BX108" s="112"/>
    </row>
    <row r="109" spans="1:76" s="145" customFormat="1" ht="15" x14ac:dyDescent="0.35">
      <c r="A109" s="136">
        <v>518994700255234</v>
      </c>
      <c r="B109" s="137" t="s">
        <v>91</v>
      </c>
      <c r="C109" s="138" t="s">
        <v>92</v>
      </c>
      <c r="D109" s="136">
        <v>80817371</v>
      </c>
      <c r="E109" s="139">
        <v>6903148356982</v>
      </c>
      <c r="F109" s="139">
        <v>6903148356982</v>
      </c>
      <c r="G109" s="140" t="s">
        <v>110</v>
      </c>
      <c r="H109" s="138">
        <v>54</v>
      </c>
      <c r="I109" s="22" t="s">
        <v>169</v>
      </c>
      <c r="J109" s="141">
        <v>24</v>
      </c>
      <c r="K109" s="141">
        <v>1366.48</v>
      </c>
      <c r="L109" s="141">
        <v>1311.36</v>
      </c>
      <c r="M109" s="115">
        <v>0</v>
      </c>
      <c r="N109" s="21"/>
      <c r="O109" s="23">
        <f>VLOOKUP(E109,'[5]Demand inbond in Sep'!$C:$M,11,0)</f>
        <v>0</v>
      </c>
      <c r="P109" s="142">
        <f>M109*J109</f>
        <v>0</v>
      </c>
      <c r="Q109" s="142">
        <f>N109*J109</f>
        <v>0</v>
      </c>
      <c r="R109" s="142">
        <f>O109*J109</f>
        <v>0</v>
      </c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>
        <f t="shared" si="55"/>
        <v>0</v>
      </c>
      <c r="AD109" s="143"/>
      <c r="AE109" s="31"/>
      <c r="AF109" s="31"/>
      <c r="AG109" s="143"/>
      <c r="AH109" s="31"/>
      <c r="AI109" s="31">
        <v>0</v>
      </c>
      <c r="AJ109" s="31"/>
      <c r="AK109" s="31"/>
      <c r="AL109" s="31"/>
      <c r="AM109" s="143"/>
      <c r="AN109" s="31">
        <f t="shared" si="51"/>
        <v>0</v>
      </c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>
        <f t="shared" si="52"/>
        <v>0</v>
      </c>
      <c r="BE109" s="29">
        <f t="shared" si="65"/>
        <v>0</v>
      </c>
      <c r="BF109" s="29">
        <f t="shared" si="53"/>
        <v>0</v>
      </c>
      <c r="BG109" s="29">
        <f>VLOOKUP(E109,'[3]Y2604-Y2608_庫存&amp;銷售'!$F:$AJ,23,0)</f>
        <v>0</v>
      </c>
      <c r="BH109" s="29">
        <f>VLOOKUP(E109,'[3]Y2604-Y2608_庫存&amp;銷售'!$F:$AL,25,0)</f>
        <v>0</v>
      </c>
      <c r="BI109" s="29">
        <f>VLOOKUP(E109,'[3]Y2604-Y2608_庫存&amp;銷售'!$F:$AN,30,0)</f>
        <v>0</v>
      </c>
      <c r="BJ109" s="144">
        <f t="shared" si="68"/>
        <v>0</v>
      </c>
      <c r="BK109" s="144">
        <f t="shared" si="69"/>
        <v>0</v>
      </c>
      <c r="BL109" s="144">
        <f t="shared" si="70"/>
        <v>0</v>
      </c>
      <c r="BM109" s="144">
        <f t="shared" si="59"/>
        <v>0</v>
      </c>
      <c r="BN109" s="144">
        <f t="shared" si="60"/>
        <v>0</v>
      </c>
      <c r="BO109" s="144">
        <f t="shared" si="61"/>
        <v>0</v>
      </c>
      <c r="BP109" s="81">
        <f t="shared" si="62"/>
        <v>0</v>
      </c>
      <c r="BQ109" s="81">
        <f t="shared" si="63"/>
        <v>0</v>
      </c>
      <c r="BR109" s="81">
        <f t="shared" si="64"/>
        <v>0</v>
      </c>
      <c r="BS109" s="199">
        <f t="shared" si="54"/>
        <v>0</v>
      </c>
      <c r="BT109" s="199">
        <f t="shared" si="49"/>
        <v>0</v>
      </c>
      <c r="BU109" s="199">
        <f t="shared" si="50"/>
        <v>0</v>
      </c>
      <c r="BV109" s="112">
        <f>VLOOKUP(E109,'[4]Y2604-Y2608_庫存&amp;銷售'!$F:$AB,17,0)</f>
        <v>0</v>
      </c>
      <c r="BW109" s="112">
        <f>VLOOKUP(A109,'[5]Demand inbond in Sep'!$B:$M,12,0)</f>
        <v>0</v>
      </c>
      <c r="BX109" s="112"/>
    </row>
    <row r="110" spans="1:76" ht="15" x14ac:dyDescent="0.35">
      <c r="A110" s="2">
        <v>518994704367619</v>
      </c>
      <c r="B110" s="19" t="s">
        <v>91</v>
      </c>
      <c r="C110" s="1" t="s">
        <v>92</v>
      </c>
      <c r="D110" s="2">
        <v>80841910</v>
      </c>
      <c r="E110" s="3">
        <v>6903148357033</v>
      </c>
      <c r="F110" s="3">
        <v>6903148357033</v>
      </c>
      <c r="G110" s="176" t="s">
        <v>111</v>
      </c>
      <c r="H110" s="269">
        <v>54</v>
      </c>
      <c r="I110" s="252" t="s">
        <v>419</v>
      </c>
      <c r="J110" s="5">
        <v>24</v>
      </c>
      <c r="K110" s="5">
        <v>1366.48</v>
      </c>
      <c r="L110" s="5">
        <v>1311.36</v>
      </c>
      <c r="M110" s="115"/>
      <c r="N110" s="21">
        <v>2</v>
      </c>
      <c r="O110" s="23">
        <f>VLOOKUP(E110,'[5]Demand inbond in Sep'!$C:$M,11,0)</f>
        <v>0</v>
      </c>
      <c r="P110" s="24">
        <f>M110*J110</f>
        <v>0</v>
      </c>
      <c r="Q110" s="24">
        <f>N110*J110</f>
        <v>48</v>
      </c>
      <c r="R110" s="24">
        <f>O110*J110</f>
        <v>0</v>
      </c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>
        <f t="shared" si="55"/>
        <v>0</v>
      </c>
      <c r="AD110" s="31"/>
      <c r="AE110" s="31"/>
      <c r="AF110" s="31"/>
      <c r="AG110" s="31"/>
      <c r="AH110" s="31"/>
      <c r="AI110" s="31"/>
      <c r="AJ110" s="31"/>
      <c r="AK110" s="31"/>
      <c r="AL110" s="31">
        <v>2</v>
      </c>
      <c r="AM110" s="31"/>
      <c r="AN110" s="31">
        <f t="shared" si="51"/>
        <v>2</v>
      </c>
      <c r="AO110" s="31"/>
      <c r="AP110" s="31">
        <v>0</v>
      </c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>
        <f t="shared" si="52"/>
        <v>0</v>
      </c>
      <c r="BE110" s="29">
        <f t="shared" si="65"/>
        <v>0</v>
      </c>
      <c r="BF110" s="29">
        <f t="shared" si="53"/>
        <v>0</v>
      </c>
      <c r="BG110" s="29">
        <f>VLOOKUP(E110,'[3]Y2604-Y2608_庫存&amp;銷售'!$F:$AJ,23,0)</f>
        <v>0.29166666666666663</v>
      </c>
      <c r="BH110" s="29">
        <f>VLOOKUP(E110,'[3]Y2604-Y2608_庫存&amp;銷售'!$F:$AL,25,0)</f>
        <v>0</v>
      </c>
      <c r="BI110" s="29">
        <f>VLOOKUP(E110,'[3]Y2604-Y2608_庫存&amp;銷售'!$F:$AN,30,0)</f>
        <v>0</v>
      </c>
      <c r="BJ110" s="81">
        <f t="shared" si="68"/>
        <v>0</v>
      </c>
      <c r="BK110" s="81">
        <f t="shared" si="69"/>
        <v>2732.96</v>
      </c>
      <c r="BL110" s="81">
        <f t="shared" si="70"/>
        <v>0</v>
      </c>
      <c r="BM110" s="81">
        <f t="shared" si="59"/>
        <v>0</v>
      </c>
      <c r="BN110" s="81">
        <f t="shared" si="60"/>
        <v>0</v>
      </c>
      <c r="BO110" s="81">
        <f t="shared" si="61"/>
        <v>0</v>
      </c>
      <c r="BP110" s="81">
        <f t="shared" si="62"/>
        <v>2732.96</v>
      </c>
      <c r="BQ110" s="81">
        <f t="shared" si="63"/>
        <v>2592</v>
      </c>
      <c r="BR110" s="81">
        <f t="shared" si="64"/>
        <v>2675.1743999999999</v>
      </c>
      <c r="BS110" s="199">
        <f t="shared" si="54"/>
        <v>0</v>
      </c>
      <c r="BT110" s="199">
        <f t="shared" si="49"/>
        <v>0</v>
      </c>
      <c r="BU110" s="199">
        <f t="shared" si="50"/>
        <v>0</v>
      </c>
      <c r="BV110" s="112">
        <f>VLOOKUP(E110,'[4]Y2604-Y2608_庫存&amp;銷售'!$F:$AB,17,0)</f>
        <v>1.625</v>
      </c>
      <c r="BW110" s="112">
        <f>VLOOKUP(A110,'[5]Demand inbond in Sep'!$B:$M,12,0)</f>
        <v>0</v>
      </c>
      <c r="BX110" s="112"/>
    </row>
    <row r="111" spans="1:76" ht="15" x14ac:dyDescent="0.35">
      <c r="A111" s="2">
        <v>518994704384003</v>
      </c>
      <c r="B111" s="19" t="s">
        <v>91</v>
      </c>
      <c r="C111" s="1" t="s">
        <v>92</v>
      </c>
      <c r="D111" s="2">
        <v>80841911</v>
      </c>
      <c r="E111" s="3">
        <v>6903148357026</v>
      </c>
      <c r="F111" s="3">
        <v>6903148357026</v>
      </c>
      <c r="G111" s="176" t="s">
        <v>112</v>
      </c>
      <c r="H111" s="269">
        <v>54</v>
      </c>
      <c r="I111" s="252" t="s">
        <v>419</v>
      </c>
      <c r="J111" s="5">
        <v>24</v>
      </c>
      <c r="K111" s="5">
        <v>1366.48</v>
      </c>
      <c r="L111" s="5">
        <v>1311.36</v>
      </c>
      <c r="M111" s="115"/>
      <c r="N111" s="21">
        <f>VLOOKUP(E111,'[8]Demand inbond in Aug'!$C:$T,18,0)</f>
        <v>10</v>
      </c>
      <c r="O111" s="23">
        <f>VLOOKUP(E111,'[5]Demand inbond in Sep'!$C:$M,11,0)</f>
        <v>41</v>
      </c>
      <c r="P111" s="24">
        <f>M111*J111</f>
        <v>0</v>
      </c>
      <c r="Q111" s="24">
        <f>N111*J111</f>
        <v>240</v>
      </c>
      <c r="R111" s="24">
        <f>O111*J111</f>
        <v>984</v>
      </c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>
        <f t="shared" si="55"/>
        <v>0</v>
      </c>
      <c r="AD111" s="31"/>
      <c r="AE111" s="31"/>
      <c r="AF111" s="31"/>
      <c r="AG111" s="31"/>
      <c r="AH111" s="31"/>
      <c r="AI111" s="31">
        <v>10</v>
      </c>
      <c r="AJ111" s="31"/>
      <c r="AK111" s="31"/>
      <c r="AL111" s="31"/>
      <c r="AM111" s="31"/>
      <c r="AN111" s="31">
        <f t="shared" si="51"/>
        <v>10</v>
      </c>
      <c r="AO111" s="31"/>
      <c r="AP111" s="31">
        <v>0</v>
      </c>
      <c r="AQ111" s="31"/>
      <c r="AR111" s="31"/>
      <c r="AS111" s="31">
        <v>0</v>
      </c>
      <c r="AT111" s="31"/>
      <c r="AU111" s="31"/>
      <c r="AV111" s="31"/>
      <c r="AW111" s="31"/>
      <c r="AX111" s="31">
        <v>0</v>
      </c>
      <c r="AY111" s="31">
        <v>41.291666666666664</v>
      </c>
      <c r="AZ111" s="31"/>
      <c r="BA111" s="31"/>
      <c r="BB111" s="31"/>
      <c r="BC111" s="31"/>
      <c r="BD111" s="31">
        <f t="shared" si="52"/>
        <v>41.291666666666664</v>
      </c>
      <c r="BE111" s="29">
        <f t="shared" si="65"/>
        <v>-0.2916666666666643</v>
      </c>
      <c r="BF111" s="29">
        <f t="shared" si="53"/>
        <v>0</v>
      </c>
      <c r="BG111" s="29">
        <f>VLOOKUP(E111,'[3]Y2604-Y2608_庫存&amp;銷售'!$F:$AJ,23,0)</f>
        <v>0.5</v>
      </c>
      <c r="BH111" s="29">
        <f>VLOOKUP(E111,'[3]Y2604-Y2608_庫存&amp;銷售'!$F:$AL,25,0)</f>
        <v>0</v>
      </c>
      <c r="BI111" s="29">
        <f>VLOOKUP(E111,'[3]Y2604-Y2608_庫存&amp;銷售'!$F:$AN,30,0)</f>
        <v>0</v>
      </c>
      <c r="BJ111" s="81">
        <f t="shared" si="68"/>
        <v>0</v>
      </c>
      <c r="BK111" s="81">
        <f t="shared" si="69"/>
        <v>13664.8</v>
      </c>
      <c r="BL111" s="81">
        <f t="shared" si="70"/>
        <v>56025.68</v>
      </c>
      <c r="BM111" s="81">
        <f t="shared" si="59"/>
        <v>0</v>
      </c>
      <c r="BN111" s="81">
        <f t="shared" si="60"/>
        <v>0</v>
      </c>
      <c r="BO111" s="81">
        <f t="shared" si="61"/>
        <v>0</v>
      </c>
      <c r="BP111" s="81">
        <f t="shared" si="62"/>
        <v>13664.8</v>
      </c>
      <c r="BQ111" s="81">
        <f t="shared" si="63"/>
        <v>12960</v>
      </c>
      <c r="BR111" s="81">
        <f t="shared" si="64"/>
        <v>13375.871999999999</v>
      </c>
      <c r="BS111" s="199">
        <f t="shared" si="54"/>
        <v>54719.234930555547</v>
      </c>
      <c r="BT111" s="199">
        <f t="shared" si="49"/>
        <v>53514</v>
      </c>
      <c r="BU111" s="199">
        <f t="shared" si="50"/>
        <v>55231.204799999992</v>
      </c>
      <c r="BV111" s="112">
        <f>VLOOKUP(E111,'[4]Y2604-Y2608_庫存&amp;銷售'!$F:$AB,17,0)</f>
        <v>1.9583333333333335</v>
      </c>
      <c r="BW111" s="112">
        <f>VLOOKUP(A111,'[5]Demand inbond in Sep'!$B:$M,12,0)</f>
        <v>41</v>
      </c>
      <c r="BX111" s="112"/>
    </row>
    <row r="112" spans="1:76" ht="15" x14ac:dyDescent="0.35">
      <c r="A112" s="2">
        <v>518994704433154</v>
      </c>
      <c r="B112" s="19" t="s">
        <v>91</v>
      </c>
      <c r="C112" s="1" t="s">
        <v>92</v>
      </c>
      <c r="D112" s="2">
        <v>80841912</v>
      </c>
      <c r="E112" s="3">
        <v>6903148357019</v>
      </c>
      <c r="F112" s="3">
        <v>6903148357019</v>
      </c>
      <c r="G112" s="4" t="s">
        <v>113</v>
      </c>
      <c r="H112" s="1">
        <v>54</v>
      </c>
      <c r="I112" s="208" t="s">
        <v>361</v>
      </c>
      <c r="J112" s="5">
        <v>24</v>
      </c>
      <c r="K112" s="5">
        <v>1366.48</v>
      </c>
      <c r="L112" s="5">
        <v>1311.36</v>
      </c>
      <c r="M112" s="115">
        <v>0</v>
      </c>
      <c r="N112" s="21">
        <f>VLOOKUP(E112,'[8]Demand inbond in Aug'!$C:$T,18,0)</f>
        <v>0</v>
      </c>
      <c r="O112" s="23">
        <f>VLOOKUP(E112,'[5]Demand inbond in Sep'!$C:$M,11,0)</f>
        <v>0</v>
      </c>
      <c r="P112" s="24">
        <f>M112*J112</f>
        <v>0</v>
      </c>
      <c r="Q112" s="24">
        <f>N112*J112</f>
        <v>0</v>
      </c>
      <c r="R112" s="24">
        <f>O112*J112</f>
        <v>0</v>
      </c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>
        <f t="shared" si="55"/>
        <v>0</v>
      </c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>
        <f t="shared" si="51"/>
        <v>0</v>
      </c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>
        <f t="shared" si="52"/>
        <v>0</v>
      </c>
      <c r="BE112" s="29">
        <f t="shared" si="65"/>
        <v>0</v>
      </c>
      <c r="BF112" s="29">
        <f t="shared" si="53"/>
        <v>0</v>
      </c>
      <c r="BG112" s="29">
        <f>VLOOKUP(E112,'[3]Y2604-Y2608_庫存&amp;銷售'!$F:$AJ,23,0)</f>
        <v>0</v>
      </c>
      <c r="BH112" s="29">
        <f>VLOOKUP(E112,'[3]Y2604-Y2608_庫存&amp;銷售'!$F:$AL,25,0)</f>
        <v>0</v>
      </c>
      <c r="BI112" s="29">
        <f>VLOOKUP(E112,'[3]Y2604-Y2608_庫存&amp;銷售'!$F:$AN,30,0)</f>
        <v>0</v>
      </c>
      <c r="BJ112" s="81">
        <f t="shared" si="68"/>
        <v>0</v>
      </c>
      <c r="BK112" s="81">
        <f t="shared" si="69"/>
        <v>0</v>
      </c>
      <c r="BL112" s="81">
        <f t="shared" si="70"/>
        <v>0</v>
      </c>
      <c r="BM112" s="81">
        <f t="shared" si="59"/>
        <v>0</v>
      </c>
      <c r="BN112" s="81">
        <f t="shared" si="60"/>
        <v>0</v>
      </c>
      <c r="BO112" s="81">
        <f t="shared" si="61"/>
        <v>0</v>
      </c>
      <c r="BP112" s="81">
        <f t="shared" si="62"/>
        <v>0</v>
      </c>
      <c r="BQ112" s="81">
        <f t="shared" si="63"/>
        <v>0</v>
      </c>
      <c r="BR112" s="81">
        <f t="shared" si="64"/>
        <v>0</v>
      </c>
      <c r="BS112" s="199">
        <f t="shared" si="54"/>
        <v>0</v>
      </c>
      <c r="BT112" s="199">
        <f t="shared" si="49"/>
        <v>0</v>
      </c>
      <c r="BU112" s="199">
        <f t="shared" si="50"/>
        <v>0</v>
      </c>
      <c r="BV112" s="112">
        <f>VLOOKUP(E112,'[4]Y2604-Y2608_庫存&amp;銷售'!$F:$AB,17,0)</f>
        <v>0</v>
      </c>
      <c r="BW112" s="112">
        <f>VLOOKUP(A112,'[5]Demand inbond in Sep'!$B:$M,12,0)</f>
        <v>0</v>
      </c>
      <c r="BX112" s="112"/>
    </row>
    <row r="113" spans="1:76" ht="15" x14ac:dyDescent="0.35">
      <c r="A113" s="2">
        <v>518994704433155</v>
      </c>
      <c r="B113" s="19" t="s">
        <v>91</v>
      </c>
      <c r="C113" s="1" t="s">
        <v>92</v>
      </c>
      <c r="D113" s="2">
        <v>80817372</v>
      </c>
      <c r="E113" s="3">
        <v>6903148300770</v>
      </c>
      <c r="F113" s="3">
        <v>6903148300770</v>
      </c>
      <c r="G113" s="4" t="s">
        <v>114</v>
      </c>
      <c r="H113" s="1">
        <v>47</v>
      </c>
      <c r="I113" s="208" t="s">
        <v>361</v>
      </c>
      <c r="J113" s="5">
        <v>24</v>
      </c>
      <c r="K113" s="5">
        <v>1156.25</v>
      </c>
      <c r="L113" s="5">
        <v>1105.8499999999999</v>
      </c>
      <c r="M113" s="115">
        <v>0</v>
      </c>
      <c r="N113" s="21"/>
      <c r="O113" s="23">
        <f>VLOOKUP(E113,'[5]Demand inbond in Sep'!$C:$M,11,0)</f>
        <v>0</v>
      </c>
      <c r="P113" s="24">
        <f>M113*J113</f>
        <v>0</v>
      </c>
      <c r="Q113" s="24">
        <f>N113*J113</f>
        <v>0</v>
      </c>
      <c r="R113" s="24">
        <f>O113*J113</f>
        <v>0</v>
      </c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>
        <f t="shared" si="55"/>
        <v>0</v>
      </c>
      <c r="AD113" s="31"/>
      <c r="AE113" s="31"/>
      <c r="AF113" s="31"/>
      <c r="AG113" s="31"/>
      <c r="AH113" s="31"/>
      <c r="AI113" s="31"/>
      <c r="AJ113" s="31"/>
      <c r="AK113" s="31"/>
      <c r="AL113" s="31">
        <v>0</v>
      </c>
      <c r="AM113" s="31"/>
      <c r="AN113" s="31">
        <f t="shared" si="51"/>
        <v>0</v>
      </c>
      <c r="AO113" s="31"/>
      <c r="AP113" s="31">
        <v>0</v>
      </c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>
        <f t="shared" si="52"/>
        <v>0</v>
      </c>
      <c r="BE113" s="29">
        <f t="shared" si="65"/>
        <v>0</v>
      </c>
      <c r="BF113" s="29">
        <f t="shared" si="53"/>
        <v>0</v>
      </c>
      <c r="BG113" s="29">
        <f>VLOOKUP(E113,'[3]Y2604-Y2608_庫存&amp;銷售'!$F:$AJ,23,0)</f>
        <v>0</v>
      </c>
      <c r="BH113" s="29">
        <f>VLOOKUP(E113,'[3]Y2604-Y2608_庫存&amp;銷售'!$F:$AL,25,0)</f>
        <v>0</v>
      </c>
      <c r="BI113" s="29">
        <f>VLOOKUP(E113,'[3]Y2604-Y2608_庫存&amp;銷售'!$F:$AN,30,0)</f>
        <v>0</v>
      </c>
      <c r="BJ113" s="81">
        <f t="shared" si="68"/>
        <v>0</v>
      </c>
      <c r="BK113" s="81">
        <f t="shared" si="69"/>
        <v>0</v>
      </c>
      <c r="BL113" s="81">
        <f t="shared" si="70"/>
        <v>0</v>
      </c>
      <c r="BM113" s="81">
        <f t="shared" si="59"/>
        <v>0</v>
      </c>
      <c r="BN113" s="81">
        <f t="shared" si="60"/>
        <v>0</v>
      </c>
      <c r="BO113" s="81">
        <f t="shared" si="61"/>
        <v>0</v>
      </c>
      <c r="BP113" s="81">
        <f t="shared" si="62"/>
        <v>0</v>
      </c>
      <c r="BQ113" s="81">
        <f t="shared" si="63"/>
        <v>0</v>
      </c>
      <c r="BR113" s="81">
        <f t="shared" si="64"/>
        <v>0</v>
      </c>
      <c r="BS113" s="199">
        <f t="shared" si="54"/>
        <v>0</v>
      </c>
      <c r="BT113" s="199">
        <f t="shared" si="49"/>
        <v>0</v>
      </c>
      <c r="BU113" s="199">
        <f t="shared" si="50"/>
        <v>0</v>
      </c>
      <c r="BV113" s="112">
        <f>VLOOKUP(E113,'[4]Y2604-Y2608_庫存&amp;銷售'!$F:$AB,17,0)</f>
        <v>0.5</v>
      </c>
      <c r="BW113" s="112">
        <f>VLOOKUP(A113,'[5]Demand inbond in Sep'!$B:$M,12,0)</f>
        <v>0</v>
      </c>
      <c r="BX113" s="112"/>
    </row>
    <row r="114" spans="1:76" s="164" customFormat="1" ht="15" x14ac:dyDescent="0.35">
      <c r="A114" s="165">
        <v>518995950075905</v>
      </c>
      <c r="B114" s="166" t="s">
        <v>91</v>
      </c>
      <c r="C114" s="167" t="s">
        <v>92</v>
      </c>
      <c r="D114" s="165">
        <v>80834591</v>
      </c>
      <c r="E114" s="157">
        <v>4987176301017</v>
      </c>
      <c r="F114" s="157">
        <v>4987176301017</v>
      </c>
      <c r="G114" s="168" t="s">
        <v>115</v>
      </c>
      <c r="H114" s="167">
        <v>95</v>
      </c>
      <c r="I114" s="22" t="s">
        <v>169</v>
      </c>
      <c r="J114" s="160">
        <v>12</v>
      </c>
      <c r="K114" s="160">
        <v>1208.81</v>
      </c>
      <c r="L114" s="160">
        <v>1157.23</v>
      </c>
      <c r="M114" s="115">
        <v>0</v>
      </c>
      <c r="N114" s="21"/>
      <c r="O114" s="23">
        <f>VLOOKUP(E114,'[5]Demand inbond in Sep'!$C:$M,11,0)</f>
        <v>0</v>
      </c>
      <c r="P114" s="161">
        <f>12*19</f>
        <v>228</v>
      </c>
      <c r="Q114" s="161">
        <f>12*19</f>
        <v>228</v>
      </c>
      <c r="R114" s="161">
        <f>12*19</f>
        <v>228</v>
      </c>
      <c r="S114" s="162"/>
      <c r="T114" s="162"/>
      <c r="U114" s="162"/>
      <c r="V114" s="162">
        <v>0</v>
      </c>
      <c r="W114" s="162"/>
      <c r="X114" s="162"/>
      <c r="Y114" s="162">
        <v>0</v>
      </c>
      <c r="Z114" s="162"/>
      <c r="AA114" s="162">
        <v>0</v>
      </c>
      <c r="AB114" s="162"/>
      <c r="AC114" s="162">
        <f t="shared" si="55"/>
        <v>0</v>
      </c>
      <c r="AD114" s="162">
        <v>0</v>
      </c>
      <c r="AE114" s="31"/>
      <c r="AF114" s="31"/>
      <c r="AG114" s="162"/>
      <c r="AH114" s="31"/>
      <c r="AI114" s="31">
        <v>0</v>
      </c>
      <c r="AJ114" s="31"/>
      <c r="AK114" s="31"/>
      <c r="AL114" s="31"/>
      <c r="AM114" s="162"/>
      <c r="AN114" s="31">
        <f t="shared" si="51"/>
        <v>0</v>
      </c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>
        <f t="shared" si="52"/>
        <v>0</v>
      </c>
      <c r="BE114" s="29">
        <f t="shared" si="65"/>
        <v>0</v>
      </c>
      <c r="BF114" s="29">
        <f t="shared" si="53"/>
        <v>0</v>
      </c>
      <c r="BG114" s="29">
        <f>VLOOKUP(E114,'[3]Y2604-Y2608_庫存&amp;銷售'!$F:$AJ,23,0)</f>
        <v>0</v>
      </c>
      <c r="BH114" s="29">
        <f>VLOOKUP(E114,'[3]Y2604-Y2608_庫存&amp;銷售'!$F:$AL,25,0)</f>
        <v>0</v>
      </c>
      <c r="BI114" s="29">
        <f>VLOOKUP(E114,'[3]Y2604-Y2608_庫存&amp;銷售'!$F:$AN,30,0)</f>
        <v>0</v>
      </c>
      <c r="BJ114" s="163">
        <f t="shared" si="68"/>
        <v>0</v>
      </c>
      <c r="BK114" s="163">
        <f t="shared" si="69"/>
        <v>0</v>
      </c>
      <c r="BL114" s="163">
        <f t="shared" si="70"/>
        <v>0</v>
      </c>
      <c r="BM114" s="163">
        <f t="shared" si="59"/>
        <v>0</v>
      </c>
      <c r="BN114" s="163">
        <f t="shared" si="60"/>
        <v>0</v>
      </c>
      <c r="BO114" s="163">
        <f t="shared" si="61"/>
        <v>0</v>
      </c>
      <c r="BP114" s="81">
        <f t="shared" si="62"/>
        <v>0</v>
      </c>
      <c r="BQ114" s="81">
        <f t="shared" si="63"/>
        <v>0</v>
      </c>
      <c r="BR114" s="81">
        <f t="shared" si="64"/>
        <v>0</v>
      </c>
      <c r="BS114" s="199">
        <f t="shared" si="54"/>
        <v>0</v>
      </c>
      <c r="BT114" s="199">
        <f t="shared" si="49"/>
        <v>0</v>
      </c>
      <c r="BU114" s="199">
        <f t="shared" si="50"/>
        <v>0</v>
      </c>
      <c r="BV114" s="112">
        <f>VLOOKUP(E114,'[4]Y2604-Y2608_庫存&amp;銷售'!$F:$AB,17,0)</f>
        <v>0</v>
      </c>
      <c r="BW114" s="112">
        <f>VLOOKUP(A114,'[5]Demand inbond in Sep'!$B:$M,12,0)</f>
        <v>0</v>
      </c>
      <c r="BX114" s="112"/>
    </row>
    <row r="115" spans="1:76" ht="15" x14ac:dyDescent="0.35">
      <c r="A115" s="2">
        <v>518995950092290</v>
      </c>
      <c r="B115" s="19" t="s">
        <v>91</v>
      </c>
      <c r="C115" s="1" t="s">
        <v>92</v>
      </c>
      <c r="D115" s="2">
        <v>80817373</v>
      </c>
      <c r="E115" s="3">
        <v>6903148304761</v>
      </c>
      <c r="F115" s="3">
        <v>6903148304761</v>
      </c>
      <c r="G115" s="4" t="s">
        <v>116</v>
      </c>
      <c r="H115" s="1">
        <v>95</v>
      </c>
      <c r="I115" s="1"/>
      <c r="J115" s="5">
        <v>12</v>
      </c>
      <c r="K115" s="5">
        <v>1208.81</v>
      </c>
      <c r="L115" s="5">
        <v>1157.23</v>
      </c>
      <c r="M115" s="115">
        <v>62</v>
      </c>
      <c r="N115" s="21">
        <f>VLOOKUP(E115,'[8]Demand inbond in Aug'!$C:$T,18,0)</f>
        <v>101</v>
      </c>
      <c r="O115" s="23">
        <f>VLOOKUP(E115,'[5]Demand inbond in Sep'!$C:$M,11,0)</f>
        <v>101</v>
      </c>
      <c r="P115" s="24">
        <f>12*62</f>
        <v>744</v>
      </c>
      <c r="Q115" s="24">
        <f>12*62</f>
        <v>744</v>
      </c>
      <c r="R115" s="24">
        <f>O115*J115</f>
        <v>1212</v>
      </c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>
        <f t="shared" si="55"/>
        <v>0</v>
      </c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>
        <f t="shared" si="51"/>
        <v>0</v>
      </c>
      <c r="AO115" s="31"/>
      <c r="AP115" s="31">
        <v>101</v>
      </c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>
        <f t="shared" si="52"/>
        <v>101</v>
      </c>
      <c r="BE115" s="29">
        <f t="shared" si="65"/>
        <v>0</v>
      </c>
      <c r="BF115" s="29">
        <f t="shared" si="53"/>
        <v>101</v>
      </c>
      <c r="BG115" s="29">
        <f>VLOOKUP(E115,'[3]Y2604-Y2608_庫存&amp;銷售'!$F:$AJ,23,0)</f>
        <v>3.25</v>
      </c>
      <c r="BH115" s="29">
        <f>VLOOKUP(E115,'[3]Y2604-Y2608_庫存&amp;銷售'!$F:$AL,25,0)</f>
        <v>0</v>
      </c>
      <c r="BI115" s="29">
        <f>VLOOKUP(E115,'[3]Y2604-Y2608_庫存&amp;銷售'!$F:$AN,30,0)</f>
        <v>0</v>
      </c>
      <c r="BJ115" s="81">
        <f t="shared" si="68"/>
        <v>74946.22</v>
      </c>
      <c r="BK115" s="81">
        <f t="shared" si="69"/>
        <v>122089.81</v>
      </c>
      <c r="BL115" s="81">
        <f t="shared" si="70"/>
        <v>122089.81</v>
      </c>
      <c r="BM115" s="81">
        <f t="shared" si="59"/>
        <v>0</v>
      </c>
      <c r="BN115" s="81">
        <f t="shared" si="60"/>
        <v>0</v>
      </c>
      <c r="BO115" s="81">
        <f t="shared" si="61"/>
        <v>0</v>
      </c>
      <c r="BP115" s="81">
        <f t="shared" si="62"/>
        <v>0</v>
      </c>
      <c r="BQ115" s="81">
        <f t="shared" si="63"/>
        <v>0</v>
      </c>
      <c r="BR115" s="81">
        <f t="shared" si="64"/>
        <v>0</v>
      </c>
      <c r="BS115" s="199">
        <f t="shared" si="54"/>
        <v>122089.81</v>
      </c>
      <c r="BT115" s="199">
        <f t="shared" si="49"/>
        <v>115140</v>
      </c>
      <c r="BU115" s="199">
        <f t="shared" si="50"/>
        <v>119217.83460000002</v>
      </c>
      <c r="BV115" s="112">
        <f>VLOOKUP(E115,'[4]Y2604-Y2608_庫存&amp;銷售'!$F:$AB,17,0)</f>
        <v>49</v>
      </c>
      <c r="BW115" s="112">
        <f>VLOOKUP(A115,'[5]Demand inbond in Sep'!$B:$M,12,0)</f>
        <v>101</v>
      </c>
      <c r="BX115" s="112"/>
    </row>
    <row r="116" spans="1:76" s="164" customFormat="1" ht="15" x14ac:dyDescent="0.35">
      <c r="A116" s="165">
        <v>518995950141441</v>
      </c>
      <c r="B116" s="166" t="s">
        <v>91</v>
      </c>
      <c r="C116" s="167" t="s">
        <v>92</v>
      </c>
      <c r="D116" s="165">
        <v>80841909</v>
      </c>
      <c r="E116" s="157">
        <v>6903148357002</v>
      </c>
      <c r="F116" s="157">
        <v>6903148357002</v>
      </c>
      <c r="G116" s="168" t="s">
        <v>117</v>
      </c>
      <c r="H116" s="167">
        <v>95</v>
      </c>
      <c r="I116" s="167"/>
      <c r="J116" s="160">
        <v>12</v>
      </c>
      <c r="K116" s="160">
        <v>1208.81</v>
      </c>
      <c r="L116" s="160">
        <v>1157.23</v>
      </c>
      <c r="M116" s="203">
        <v>0</v>
      </c>
      <c r="N116" s="204">
        <v>5</v>
      </c>
      <c r="O116" s="23">
        <f>VLOOKUP(E116,'[5]Demand inbond in Sep'!$C:$M,11,0)</f>
        <v>0</v>
      </c>
      <c r="P116" s="161">
        <f>M116*J116</f>
        <v>0</v>
      </c>
      <c r="Q116" s="161">
        <f>N116*J116</f>
        <v>60</v>
      </c>
      <c r="R116" s="161">
        <f>O116*J116</f>
        <v>0</v>
      </c>
      <c r="S116" s="162"/>
      <c r="T116" s="162"/>
      <c r="U116" s="162"/>
      <c r="V116" s="162"/>
      <c r="W116" s="162"/>
      <c r="X116" s="162"/>
      <c r="Y116" s="162"/>
      <c r="Z116" s="162"/>
      <c r="AA116" s="162"/>
      <c r="AB116" s="162"/>
      <c r="AC116" s="162">
        <f t="shared" si="55"/>
        <v>0</v>
      </c>
      <c r="AD116" s="162"/>
      <c r="AE116" s="162"/>
      <c r="AF116" s="162"/>
      <c r="AG116" s="162"/>
      <c r="AH116" s="162">
        <v>5</v>
      </c>
      <c r="AI116" s="162"/>
      <c r="AJ116" s="162">
        <v>0</v>
      </c>
      <c r="AK116" s="162"/>
      <c r="AL116" s="162"/>
      <c r="AM116" s="162"/>
      <c r="AN116" s="31">
        <f t="shared" si="51"/>
        <v>5</v>
      </c>
      <c r="AO116" s="31"/>
      <c r="AP116" s="31">
        <v>0</v>
      </c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162"/>
      <c r="BC116" s="31"/>
      <c r="BD116" s="31">
        <f t="shared" si="52"/>
        <v>0</v>
      </c>
      <c r="BE116" s="29">
        <f t="shared" si="65"/>
        <v>0</v>
      </c>
      <c r="BF116" s="29">
        <f t="shared" si="53"/>
        <v>0</v>
      </c>
      <c r="BG116" s="29">
        <f>VLOOKUP(E116,'[3]Y2604-Y2608_庫存&amp;銷售'!$F:$AJ,23,0)</f>
        <v>0.5</v>
      </c>
      <c r="BH116" s="29">
        <f>VLOOKUP(E116,'[3]Y2604-Y2608_庫存&amp;銷售'!$F:$AL,25,0)</f>
        <v>0</v>
      </c>
      <c r="BI116" s="29">
        <f>VLOOKUP(E116,'[3]Y2604-Y2608_庫存&amp;銷售'!$F:$AN,30,0)</f>
        <v>0</v>
      </c>
      <c r="BJ116" s="163">
        <f t="shared" si="68"/>
        <v>0</v>
      </c>
      <c r="BK116" s="163">
        <f t="shared" si="69"/>
        <v>6044.0499999999993</v>
      </c>
      <c r="BL116" s="163">
        <f t="shared" si="70"/>
        <v>0</v>
      </c>
      <c r="BM116" s="163">
        <f t="shared" si="59"/>
        <v>0</v>
      </c>
      <c r="BN116" s="163">
        <f t="shared" si="60"/>
        <v>0</v>
      </c>
      <c r="BO116" s="163">
        <f t="shared" si="61"/>
        <v>0</v>
      </c>
      <c r="BP116" s="163">
        <f t="shared" si="62"/>
        <v>6044.0499999999993</v>
      </c>
      <c r="BQ116" s="163">
        <f t="shared" si="63"/>
        <v>5700</v>
      </c>
      <c r="BR116" s="163">
        <f t="shared" si="64"/>
        <v>5901.8730000000005</v>
      </c>
      <c r="BS116" s="199">
        <f t="shared" si="54"/>
        <v>0</v>
      </c>
      <c r="BT116" s="199">
        <f t="shared" si="49"/>
        <v>0</v>
      </c>
      <c r="BU116" s="199">
        <f t="shared" si="50"/>
        <v>0</v>
      </c>
      <c r="BV116" s="207">
        <f>VLOOKUP(E116,'[4]Y2604-Y2608_庫存&amp;銷售'!$F:$AB,17,0)</f>
        <v>16.25</v>
      </c>
      <c r="BW116" s="112">
        <f>VLOOKUP(A116,'[5]Demand inbond in Sep'!$B:$M,12,0)</f>
        <v>0</v>
      </c>
      <c r="BX116" s="112"/>
    </row>
    <row r="117" spans="1:76" ht="15" x14ac:dyDescent="0.35">
      <c r="A117" s="2">
        <v>518995950157827</v>
      </c>
      <c r="B117" s="19" t="s">
        <v>91</v>
      </c>
      <c r="C117" s="1" t="s">
        <v>92</v>
      </c>
      <c r="D117" s="2">
        <v>80841913</v>
      </c>
      <c r="E117" s="3">
        <v>4987176301024</v>
      </c>
      <c r="F117" s="3">
        <v>4987176301024</v>
      </c>
      <c r="G117" s="176" t="s">
        <v>118</v>
      </c>
      <c r="H117" s="1">
        <v>95</v>
      </c>
      <c r="I117" s="252" t="s">
        <v>419</v>
      </c>
      <c r="J117" s="5">
        <v>12</v>
      </c>
      <c r="K117" s="5">
        <v>1208.81</v>
      </c>
      <c r="L117" s="5">
        <v>1157.23</v>
      </c>
      <c r="M117" s="115"/>
      <c r="N117" s="21"/>
      <c r="O117" s="23">
        <f>VLOOKUP(E117,'[5]Demand inbond in Sep'!$C:$M,11,0)</f>
        <v>90</v>
      </c>
      <c r="P117" s="24">
        <f>M117*J117</f>
        <v>0</v>
      </c>
      <c r="Q117" s="24">
        <f>N117*J117</f>
        <v>0</v>
      </c>
      <c r="R117" s="24">
        <f>O117*J117</f>
        <v>1080</v>
      </c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>
        <f t="shared" si="55"/>
        <v>0</v>
      </c>
      <c r="AD117" s="31"/>
      <c r="AE117" s="31">
        <v>0</v>
      </c>
      <c r="AF117" s="31"/>
      <c r="AG117" s="31"/>
      <c r="AH117" s="31"/>
      <c r="AI117" s="31"/>
      <c r="AJ117" s="31">
        <v>0</v>
      </c>
      <c r="AK117" s="31"/>
      <c r="AL117" s="31"/>
      <c r="AM117" s="31"/>
      <c r="AN117" s="31">
        <f t="shared" si="51"/>
        <v>0</v>
      </c>
      <c r="AO117" s="31"/>
      <c r="AP117" s="31">
        <v>0</v>
      </c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>
        <f t="shared" si="52"/>
        <v>0</v>
      </c>
      <c r="BE117" s="29">
        <f t="shared" si="65"/>
        <v>90</v>
      </c>
      <c r="BF117" s="29">
        <f t="shared" si="53"/>
        <v>0</v>
      </c>
      <c r="BG117" s="29">
        <f>VLOOKUP(E117,'[3]Y2604-Y2608_庫存&amp;銷售'!$F:$AJ,23,0)</f>
        <v>0.5</v>
      </c>
      <c r="BH117" s="29">
        <f>VLOOKUP(E117,'[3]Y2604-Y2608_庫存&amp;銷售'!$F:$AL,25,0)</f>
        <v>0</v>
      </c>
      <c r="BI117" s="29">
        <f>VLOOKUP(E117,'[3]Y2604-Y2608_庫存&amp;銷售'!$F:$AN,30,0)</f>
        <v>0</v>
      </c>
      <c r="BJ117" s="81">
        <f t="shared" si="68"/>
        <v>0</v>
      </c>
      <c r="BK117" s="81">
        <f t="shared" si="69"/>
        <v>0</v>
      </c>
      <c r="BL117" s="81">
        <f t="shared" si="70"/>
        <v>108792.9</v>
      </c>
      <c r="BM117" s="81">
        <f t="shared" si="59"/>
        <v>0</v>
      </c>
      <c r="BN117" s="81">
        <f t="shared" si="60"/>
        <v>0</v>
      </c>
      <c r="BO117" s="81">
        <f t="shared" si="61"/>
        <v>0</v>
      </c>
      <c r="BP117" s="81">
        <f t="shared" si="62"/>
        <v>0</v>
      </c>
      <c r="BQ117" s="81">
        <f t="shared" si="63"/>
        <v>0</v>
      </c>
      <c r="BR117" s="81">
        <f t="shared" si="64"/>
        <v>0</v>
      </c>
      <c r="BS117" s="199">
        <f t="shared" si="54"/>
        <v>0</v>
      </c>
      <c r="BT117" s="199">
        <f t="shared" si="49"/>
        <v>0</v>
      </c>
      <c r="BU117" s="199">
        <f t="shared" si="50"/>
        <v>0</v>
      </c>
      <c r="BV117" s="112">
        <f>VLOOKUP(E117,'[4]Y2604-Y2608_庫存&amp;銷售'!$F:$AB,17,0)</f>
        <v>1.9166666666666667</v>
      </c>
      <c r="BW117" s="112">
        <f>VLOOKUP(A117,'[5]Demand inbond in Sep'!$B:$M,12,0)</f>
        <v>90</v>
      </c>
      <c r="BX117" s="112"/>
    </row>
    <row r="118" spans="1:76" ht="15" x14ac:dyDescent="0.35">
      <c r="A118" s="2">
        <v>518995954335745</v>
      </c>
      <c r="B118" s="19" t="s">
        <v>91</v>
      </c>
      <c r="C118" s="1" t="s">
        <v>92</v>
      </c>
      <c r="D118" s="2">
        <v>80817378</v>
      </c>
      <c r="E118" s="3">
        <v>6903148354582</v>
      </c>
      <c r="F118" s="3">
        <v>6903148354582</v>
      </c>
      <c r="G118" s="4" t="s">
        <v>119</v>
      </c>
      <c r="H118" s="1">
        <v>95</v>
      </c>
      <c r="I118" s="1"/>
      <c r="J118" s="5">
        <v>12</v>
      </c>
      <c r="K118" s="5">
        <v>1208.81</v>
      </c>
      <c r="L118" s="5">
        <v>1157.23</v>
      </c>
      <c r="M118" s="115">
        <v>64.818181818181813</v>
      </c>
      <c r="N118" s="21">
        <f>VLOOKUP(E118,'[8]Demand inbond in Aug'!$C:$T,18,0)</f>
        <v>104</v>
      </c>
      <c r="O118" s="23">
        <f>VLOOKUP(E118,'[5]Demand inbond in Sep'!$C:$M,11,0)</f>
        <v>104</v>
      </c>
      <c r="P118" s="24">
        <f>12*65</f>
        <v>780</v>
      </c>
      <c r="Q118" s="24">
        <f>12*65</f>
        <v>780</v>
      </c>
      <c r="R118" s="24">
        <f>12*63</f>
        <v>756</v>
      </c>
      <c r="S118" s="31"/>
      <c r="T118" s="31"/>
      <c r="U118" s="31"/>
      <c r="V118" s="31"/>
      <c r="W118" s="31"/>
      <c r="X118" s="31"/>
      <c r="Y118" s="31">
        <v>49</v>
      </c>
      <c r="Z118" s="31"/>
      <c r="AA118" s="31"/>
      <c r="AB118" s="31"/>
      <c r="AC118" s="31">
        <f t="shared" si="55"/>
        <v>49</v>
      </c>
      <c r="AD118" s="31"/>
      <c r="AE118" s="31"/>
      <c r="AF118" s="31"/>
      <c r="AG118" s="31"/>
      <c r="AH118" s="31"/>
      <c r="AI118" s="31"/>
      <c r="AJ118" s="31"/>
      <c r="AK118" s="31"/>
      <c r="AL118" s="31">
        <v>104</v>
      </c>
      <c r="AM118" s="31"/>
      <c r="AN118" s="31">
        <f t="shared" si="51"/>
        <v>104</v>
      </c>
      <c r="AO118" s="31"/>
      <c r="AP118" s="31">
        <v>104</v>
      </c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>
        <f t="shared" si="52"/>
        <v>104</v>
      </c>
      <c r="BE118" s="29">
        <f t="shared" si="65"/>
        <v>0</v>
      </c>
      <c r="BF118" s="29">
        <f t="shared" si="53"/>
        <v>104</v>
      </c>
      <c r="BG118" s="29">
        <f>VLOOKUP(E118,'[3]Y2604-Y2608_庫存&amp;銷售'!$F:$AJ,23,0)</f>
        <v>12.166666666666668</v>
      </c>
      <c r="BH118" s="29">
        <f>VLOOKUP(E118,'[3]Y2604-Y2608_庫存&amp;銷售'!$F:$AL,25,0)</f>
        <v>0</v>
      </c>
      <c r="BI118" s="29">
        <f>VLOOKUP(E118,'[3]Y2604-Y2608_庫存&amp;銷售'!$F:$AN,30,0)</f>
        <v>0</v>
      </c>
      <c r="BJ118" s="81">
        <f t="shared" si="68"/>
        <v>78352.866363636349</v>
      </c>
      <c r="BK118" s="81">
        <f t="shared" si="69"/>
        <v>125716.23999999999</v>
      </c>
      <c r="BL118" s="81">
        <f t="shared" si="70"/>
        <v>125716.23999999999</v>
      </c>
      <c r="BM118" s="81">
        <f t="shared" ref="BM118:BM149" si="71">AC118*K118</f>
        <v>59231.689999999995</v>
      </c>
      <c r="BN118" s="81">
        <f t="shared" ref="BN118:BN149" si="72">AC118*H118*J118</f>
        <v>55860</v>
      </c>
      <c r="BO118" s="81">
        <f t="shared" ref="BO118:BO149" si="73">L118*1.02*AC118</f>
        <v>57838.355400000008</v>
      </c>
      <c r="BP118" s="81">
        <f t="shared" si="62"/>
        <v>125716.23999999999</v>
      </c>
      <c r="BQ118" s="81">
        <f t="shared" si="63"/>
        <v>118560</v>
      </c>
      <c r="BR118" s="81">
        <f t="shared" si="64"/>
        <v>122758.9584</v>
      </c>
      <c r="BS118" s="199">
        <f t="shared" si="54"/>
        <v>125716.23999999999</v>
      </c>
      <c r="BT118" s="199">
        <f t="shared" si="49"/>
        <v>118560</v>
      </c>
      <c r="BU118" s="199">
        <f t="shared" si="50"/>
        <v>122758.9584</v>
      </c>
      <c r="BV118" s="112">
        <f>VLOOKUP(E118,'[4]Y2604-Y2608_庫存&amp;銷售'!$F:$AB,17,0)</f>
        <v>57.333333333333336</v>
      </c>
      <c r="BW118" s="112">
        <f>VLOOKUP(A118,'[5]Demand inbond in Sep'!$B:$M,12,0)</f>
        <v>104</v>
      </c>
      <c r="BX118" s="112"/>
    </row>
    <row r="119" spans="1:76" ht="15" x14ac:dyDescent="0.35">
      <c r="A119" s="2">
        <v>518995954335746</v>
      </c>
      <c r="B119" s="19" t="s">
        <v>91</v>
      </c>
      <c r="C119" s="1" t="s">
        <v>92</v>
      </c>
      <c r="D119" s="2">
        <v>80841908</v>
      </c>
      <c r="E119" s="3">
        <v>6903148357040</v>
      </c>
      <c r="F119" s="3">
        <v>6903148357040</v>
      </c>
      <c r="G119" s="4" t="s">
        <v>120</v>
      </c>
      <c r="H119" s="1">
        <v>95</v>
      </c>
      <c r="I119" s="208" t="s">
        <v>361</v>
      </c>
      <c r="J119" s="5">
        <v>12</v>
      </c>
      <c r="K119" s="5">
        <v>1208.81</v>
      </c>
      <c r="L119" s="5">
        <v>1157.23</v>
      </c>
      <c r="M119" s="115"/>
      <c r="N119" s="21"/>
      <c r="O119" s="23">
        <f>VLOOKUP(E119,'[5]Demand inbond in Sep'!$C:$M,11,0)</f>
        <v>0</v>
      </c>
      <c r="P119" s="24">
        <f>12*18</f>
        <v>216</v>
      </c>
      <c r="Q119" s="24">
        <f>12*18</f>
        <v>216</v>
      </c>
      <c r="R119" s="24">
        <f>12*18</f>
        <v>216</v>
      </c>
      <c r="S119" s="31"/>
      <c r="T119" s="31"/>
      <c r="U119" s="31"/>
      <c r="V119" s="31"/>
      <c r="W119" s="31"/>
      <c r="X119" s="31"/>
      <c r="Y119" s="31">
        <v>0</v>
      </c>
      <c r="Z119" s="31"/>
      <c r="AA119" s="31"/>
      <c r="AB119" s="31">
        <v>0</v>
      </c>
      <c r="AC119" s="31">
        <f t="shared" si="55"/>
        <v>0</v>
      </c>
      <c r="AD119" s="31"/>
      <c r="AE119" s="31"/>
      <c r="AF119" s="31"/>
      <c r="AG119" s="31"/>
      <c r="AH119" s="31"/>
      <c r="AI119" s="31"/>
      <c r="AJ119" s="31"/>
      <c r="AK119" s="31"/>
      <c r="AL119" s="31">
        <v>0</v>
      </c>
      <c r="AM119" s="31"/>
      <c r="AN119" s="31">
        <f t="shared" si="51"/>
        <v>0</v>
      </c>
      <c r="AO119" s="31"/>
      <c r="AP119" s="31">
        <v>0</v>
      </c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>
        <f t="shared" si="52"/>
        <v>0</v>
      </c>
      <c r="BE119" s="29">
        <f t="shared" si="65"/>
        <v>0</v>
      </c>
      <c r="BF119" s="29">
        <f t="shared" si="53"/>
        <v>0</v>
      </c>
      <c r="BG119" s="29">
        <f>VLOOKUP(E119,'[3]Y2604-Y2608_庫存&amp;銷售'!$F:$AJ,23,0)</f>
        <v>0</v>
      </c>
      <c r="BH119" s="29">
        <f>VLOOKUP(E119,'[3]Y2604-Y2608_庫存&amp;銷售'!$F:$AL,25,0)</f>
        <v>0</v>
      </c>
      <c r="BI119" s="29">
        <f>VLOOKUP(E119,'[3]Y2604-Y2608_庫存&amp;銷售'!$F:$AN,30,0)</f>
        <v>0</v>
      </c>
      <c r="BJ119" s="81">
        <f t="shared" si="68"/>
        <v>0</v>
      </c>
      <c r="BK119" s="81">
        <f t="shared" si="69"/>
        <v>0</v>
      </c>
      <c r="BL119" s="81">
        <f t="shared" si="70"/>
        <v>0</v>
      </c>
      <c r="BM119" s="81">
        <f t="shared" si="71"/>
        <v>0</v>
      </c>
      <c r="BN119" s="81">
        <f t="shared" si="72"/>
        <v>0</v>
      </c>
      <c r="BO119" s="81">
        <f t="shared" si="73"/>
        <v>0</v>
      </c>
      <c r="BP119" s="81">
        <f t="shared" si="62"/>
        <v>0</v>
      </c>
      <c r="BQ119" s="81">
        <f t="shared" si="63"/>
        <v>0</v>
      </c>
      <c r="BR119" s="81">
        <f t="shared" si="64"/>
        <v>0</v>
      </c>
      <c r="BS119" s="199">
        <f t="shared" si="54"/>
        <v>0</v>
      </c>
      <c r="BT119" s="199">
        <f t="shared" si="49"/>
        <v>0</v>
      </c>
      <c r="BU119" s="199">
        <f t="shared" si="50"/>
        <v>0</v>
      </c>
      <c r="BV119" s="112">
        <f>VLOOKUP(E119,'[4]Y2604-Y2608_庫存&amp;銷售'!$F:$AB,17,0)</f>
        <v>0</v>
      </c>
      <c r="BW119" s="112">
        <f>VLOOKUP(A119,'[5]Demand inbond in Sep'!$B:$M,12,0)</f>
        <v>0</v>
      </c>
      <c r="BX119" s="112"/>
    </row>
    <row r="120" spans="1:76" ht="15" x14ac:dyDescent="0.35">
      <c r="A120" s="2">
        <v>522244896205152</v>
      </c>
      <c r="B120" s="19" t="s">
        <v>91</v>
      </c>
      <c r="C120" s="1" t="s">
        <v>92</v>
      </c>
      <c r="D120" s="2">
        <v>80852649</v>
      </c>
      <c r="E120" s="3">
        <v>6903148345023</v>
      </c>
      <c r="F120" s="3">
        <v>6903148345023</v>
      </c>
      <c r="G120" s="4" t="s">
        <v>121</v>
      </c>
      <c r="H120" s="1">
        <v>74</v>
      </c>
      <c r="I120" s="1"/>
      <c r="J120" s="5">
        <v>12</v>
      </c>
      <c r="K120" s="5">
        <v>1208.8800000000001</v>
      </c>
      <c r="L120" s="5">
        <v>1157.3</v>
      </c>
      <c r="M120" s="169">
        <f>30+30</f>
        <v>60</v>
      </c>
      <c r="N120" s="21">
        <f>VLOOKUP(E120,'[8]Demand inbond in Aug'!$C:$T,18,0)</f>
        <v>0</v>
      </c>
      <c r="O120" s="23">
        <f>VLOOKUP(E120,'[5]Demand inbond in Sep'!$C:$M,11,0)</f>
        <v>106</v>
      </c>
      <c r="P120" s="24">
        <f t="shared" ref="P120:P125" si="74">M120*J120</f>
        <v>720</v>
      </c>
      <c r="Q120" s="24">
        <f t="shared" ref="Q120:Q125" si="75">N120*J120</f>
        <v>0</v>
      </c>
      <c r="R120" s="24">
        <f t="shared" ref="R120:R125" si="76">O120*J120</f>
        <v>1272</v>
      </c>
      <c r="S120" s="31"/>
      <c r="T120" s="31"/>
      <c r="U120" s="31"/>
      <c r="V120" s="31">
        <v>5</v>
      </c>
      <c r="W120" s="31"/>
      <c r="X120" s="31"/>
      <c r="Y120" s="31">
        <v>25</v>
      </c>
      <c r="Z120" s="31"/>
      <c r="AA120" s="31">
        <v>0</v>
      </c>
      <c r="AB120" s="31">
        <v>30</v>
      </c>
      <c r="AC120" s="31">
        <f t="shared" si="55"/>
        <v>60</v>
      </c>
      <c r="AD120" s="31"/>
      <c r="AE120" s="31">
        <v>0</v>
      </c>
      <c r="AF120" s="31"/>
      <c r="AG120" s="31"/>
      <c r="AH120" s="31">
        <v>0</v>
      </c>
      <c r="AI120" s="31"/>
      <c r="AJ120" s="31"/>
      <c r="AK120" s="31"/>
      <c r="AL120" s="31"/>
      <c r="AM120" s="31"/>
      <c r="AN120" s="31">
        <f t="shared" si="51"/>
        <v>0</v>
      </c>
      <c r="AO120" s="31"/>
      <c r="AP120" s="31">
        <v>30</v>
      </c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>
        <f t="shared" si="52"/>
        <v>30</v>
      </c>
      <c r="BE120" s="29">
        <f t="shared" si="65"/>
        <v>76</v>
      </c>
      <c r="BF120" s="29">
        <f t="shared" si="53"/>
        <v>30</v>
      </c>
      <c r="BG120" s="29">
        <f>VLOOKUP(E120,'[3]Y2604-Y2608_庫存&amp;銷售'!$F:$AJ,23,0)</f>
        <v>12.25</v>
      </c>
      <c r="BH120" s="29">
        <f>VLOOKUP(E120,'[3]Y2604-Y2608_庫存&amp;銷售'!$F:$AL,25,0)</f>
        <v>0</v>
      </c>
      <c r="BI120" s="29">
        <f>VLOOKUP(E120,'[3]Y2604-Y2608_庫存&amp;銷售'!$F:$AN,30,0)</f>
        <v>0</v>
      </c>
      <c r="BJ120" s="81">
        <f t="shared" si="68"/>
        <v>72532.800000000003</v>
      </c>
      <c r="BK120" s="81">
        <f t="shared" si="69"/>
        <v>0</v>
      </c>
      <c r="BL120" s="81">
        <f t="shared" si="70"/>
        <v>128141.28000000001</v>
      </c>
      <c r="BM120" s="81">
        <f t="shared" si="71"/>
        <v>72532.800000000003</v>
      </c>
      <c r="BN120" s="81">
        <f t="shared" si="72"/>
        <v>53280</v>
      </c>
      <c r="BO120" s="81">
        <f t="shared" si="73"/>
        <v>70826.759999999995</v>
      </c>
      <c r="BP120" s="81">
        <f t="shared" si="62"/>
        <v>0</v>
      </c>
      <c r="BQ120" s="81">
        <f t="shared" si="63"/>
        <v>0</v>
      </c>
      <c r="BR120" s="81">
        <f t="shared" si="64"/>
        <v>0</v>
      </c>
      <c r="BS120" s="199">
        <f t="shared" si="54"/>
        <v>36266.400000000001</v>
      </c>
      <c r="BT120" s="199">
        <f t="shared" si="49"/>
        <v>26640</v>
      </c>
      <c r="BU120" s="199">
        <f t="shared" si="50"/>
        <v>35413.379999999997</v>
      </c>
      <c r="BV120" s="112">
        <f>VLOOKUP(E120,'[4]Y2604-Y2608_庫存&amp;銷售'!$F:$AB,17,0)</f>
        <v>34.333333333333329</v>
      </c>
      <c r="BW120" s="112">
        <f>VLOOKUP(A120,'[5]Demand inbond in Sep'!$B:$M,12,0)</f>
        <v>106</v>
      </c>
      <c r="BX120" s="112"/>
    </row>
    <row r="121" spans="1:76" ht="15" x14ac:dyDescent="0.35">
      <c r="A121" s="2">
        <v>522244896205153</v>
      </c>
      <c r="B121" s="19" t="s">
        <v>91</v>
      </c>
      <c r="C121" s="1" t="s">
        <v>92</v>
      </c>
      <c r="D121" s="2">
        <v>80888194</v>
      </c>
      <c r="E121" s="3">
        <v>4987176084378</v>
      </c>
      <c r="F121" s="3">
        <v>4987176084378</v>
      </c>
      <c r="G121" s="4" t="s">
        <v>122</v>
      </c>
      <c r="H121" s="1">
        <v>177</v>
      </c>
      <c r="I121" s="1"/>
      <c r="J121" s="5">
        <v>6</v>
      </c>
      <c r="K121" s="5">
        <v>1226.47</v>
      </c>
      <c r="L121" s="5">
        <v>1174.5</v>
      </c>
      <c r="M121" s="115">
        <v>200</v>
      </c>
      <c r="N121" s="21">
        <f>VLOOKUP(E121,'[8]Demand inbond in Aug'!$C:$T,18,0)</f>
        <v>0</v>
      </c>
      <c r="O121" s="23">
        <f>VLOOKUP(E121,'[5]Demand inbond in Sep'!$C:$M,11,0)</f>
        <v>38</v>
      </c>
      <c r="P121" s="24">
        <f t="shared" si="74"/>
        <v>1200</v>
      </c>
      <c r="Q121" s="24">
        <f t="shared" si="75"/>
        <v>0</v>
      </c>
      <c r="R121" s="24">
        <f t="shared" si="76"/>
        <v>228</v>
      </c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>
        <f t="shared" si="55"/>
        <v>0</v>
      </c>
      <c r="AD121" s="31"/>
      <c r="AE121" s="31">
        <v>0</v>
      </c>
      <c r="AF121" s="31"/>
      <c r="AG121" s="31"/>
      <c r="AH121" s="31"/>
      <c r="AI121" s="31"/>
      <c r="AJ121" s="31"/>
      <c r="AK121" s="31"/>
      <c r="AL121" s="31"/>
      <c r="AM121" s="31"/>
      <c r="AN121" s="31">
        <f t="shared" si="51"/>
        <v>0</v>
      </c>
      <c r="AO121" s="31"/>
      <c r="AP121" s="31">
        <v>38</v>
      </c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>
        <f t="shared" si="52"/>
        <v>38</v>
      </c>
      <c r="BE121" s="29">
        <f t="shared" si="65"/>
        <v>0</v>
      </c>
      <c r="BF121" s="29">
        <f t="shared" si="53"/>
        <v>38</v>
      </c>
      <c r="BG121" s="29">
        <f>VLOOKUP(E121,'[3]Y2604-Y2608_庫存&amp;銷售'!$F:$AJ,23,0)</f>
        <v>3.6666666666666665</v>
      </c>
      <c r="BH121" s="29">
        <f>VLOOKUP(E121,'[3]Y2604-Y2608_庫存&amp;銷售'!$F:$AL,25,0)</f>
        <v>0</v>
      </c>
      <c r="BI121" s="29">
        <f>VLOOKUP(E121,'[3]Y2604-Y2608_庫存&amp;銷售'!$F:$AN,30,0)</f>
        <v>0</v>
      </c>
      <c r="BJ121" s="81">
        <f t="shared" si="68"/>
        <v>245294</v>
      </c>
      <c r="BK121" s="81">
        <f t="shared" si="69"/>
        <v>0</v>
      </c>
      <c r="BL121" s="81">
        <f t="shared" si="70"/>
        <v>46605.86</v>
      </c>
      <c r="BM121" s="81">
        <f t="shared" si="71"/>
        <v>0</v>
      </c>
      <c r="BN121" s="81">
        <f t="shared" si="72"/>
        <v>0</v>
      </c>
      <c r="BO121" s="81">
        <f t="shared" si="73"/>
        <v>0</v>
      </c>
      <c r="BP121" s="81">
        <f t="shared" si="62"/>
        <v>0</v>
      </c>
      <c r="BQ121" s="81">
        <f t="shared" si="63"/>
        <v>0</v>
      </c>
      <c r="BR121" s="81">
        <f t="shared" si="64"/>
        <v>0</v>
      </c>
      <c r="BS121" s="199">
        <f t="shared" si="54"/>
        <v>46605.86</v>
      </c>
      <c r="BT121" s="199">
        <f t="shared" si="49"/>
        <v>40356</v>
      </c>
      <c r="BU121" s="199">
        <f t="shared" si="50"/>
        <v>45523.62</v>
      </c>
      <c r="BV121" s="112">
        <f>VLOOKUP(E121,'[4]Y2604-Y2608_庫存&amp;銷售'!$F:$AB,17,0)</f>
        <v>14.666666666666668</v>
      </c>
      <c r="BW121" s="112">
        <f>VLOOKUP(A121,'[5]Demand inbond in Sep'!$B:$M,12,0)</f>
        <v>38</v>
      </c>
      <c r="BX121" s="112"/>
    </row>
    <row r="122" spans="1:76" ht="15" x14ac:dyDescent="0.35">
      <c r="A122" s="2">
        <v>522244896205154</v>
      </c>
      <c r="B122" s="19" t="s">
        <v>91</v>
      </c>
      <c r="C122" s="1" t="s">
        <v>92</v>
      </c>
      <c r="D122" s="2">
        <v>80845894</v>
      </c>
      <c r="E122" s="3">
        <v>4987176166739</v>
      </c>
      <c r="F122" s="3">
        <v>4987176166739</v>
      </c>
      <c r="G122" s="4" t="s">
        <v>123</v>
      </c>
      <c r="H122" s="1">
        <v>177</v>
      </c>
      <c r="I122" s="1"/>
      <c r="J122" s="5">
        <v>6</v>
      </c>
      <c r="K122" s="5">
        <v>1226.47</v>
      </c>
      <c r="L122" s="5">
        <v>1174.5</v>
      </c>
      <c r="M122" s="115">
        <v>100</v>
      </c>
      <c r="N122" s="21">
        <f>VLOOKUP(E122,'[8]Demand inbond in Aug'!$C:$T,18,0)</f>
        <v>0</v>
      </c>
      <c r="O122" s="23">
        <f>VLOOKUP(E122,'[5]Demand inbond in Sep'!$C:$M,11,0)</f>
        <v>76</v>
      </c>
      <c r="P122" s="24">
        <f t="shared" si="74"/>
        <v>600</v>
      </c>
      <c r="Q122" s="24">
        <f t="shared" si="75"/>
        <v>0</v>
      </c>
      <c r="R122" s="24">
        <f t="shared" si="76"/>
        <v>456</v>
      </c>
      <c r="S122" s="31"/>
      <c r="T122" s="31"/>
      <c r="U122" s="31"/>
      <c r="V122" s="31">
        <v>80</v>
      </c>
      <c r="W122" s="31"/>
      <c r="X122" s="31"/>
      <c r="Y122" s="31"/>
      <c r="Z122" s="31"/>
      <c r="AA122" s="31"/>
      <c r="AB122" s="31"/>
      <c r="AC122" s="31">
        <f t="shared" si="55"/>
        <v>80</v>
      </c>
      <c r="AD122" s="31"/>
      <c r="AE122" s="31">
        <v>0</v>
      </c>
      <c r="AF122" s="31"/>
      <c r="AG122" s="31"/>
      <c r="AH122" s="31">
        <v>0</v>
      </c>
      <c r="AI122" s="31"/>
      <c r="AJ122" s="31"/>
      <c r="AK122" s="31"/>
      <c r="AL122" s="31"/>
      <c r="AM122" s="31"/>
      <c r="AN122" s="31">
        <f t="shared" si="51"/>
        <v>0</v>
      </c>
      <c r="AO122" s="31"/>
      <c r="AP122" s="31">
        <v>75</v>
      </c>
      <c r="AQ122" s="31">
        <v>0</v>
      </c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>
        <f t="shared" si="52"/>
        <v>75</v>
      </c>
      <c r="BE122" s="29">
        <f t="shared" si="65"/>
        <v>1</v>
      </c>
      <c r="BF122" s="29">
        <f t="shared" si="53"/>
        <v>75</v>
      </c>
      <c r="BG122" s="29">
        <f>VLOOKUP(E122,'[3]Y2604-Y2608_庫存&amp;銷售'!$F:$AJ,23,0)</f>
        <v>6.833333333333333</v>
      </c>
      <c r="BH122" s="29">
        <f>VLOOKUP(E122,'[3]Y2604-Y2608_庫存&amp;銷售'!$F:$AL,25,0)</f>
        <v>0</v>
      </c>
      <c r="BI122" s="29">
        <f>VLOOKUP(E122,'[3]Y2604-Y2608_庫存&amp;銷售'!$F:$AN,30,0)</f>
        <v>0</v>
      </c>
      <c r="BJ122" s="81">
        <f t="shared" si="68"/>
        <v>122647</v>
      </c>
      <c r="BK122" s="81">
        <f t="shared" si="69"/>
        <v>0</v>
      </c>
      <c r="BL122" s="81">
        <f t="shared" si="70"/>
        <v>93211.72</v>
      </c>
      <c r="BM122" s="81">
        <f t="shared" si="71"/>
        <v>98117.6</v>
      </c>
      <c r="BN122" s="81">
        <f t="shared" si="72"/>
        <v>84960</v>
      </c>
      <c r="BO122" s="81">
        <f t="shared" si="73"/>
        <v>95839.2</v>
      </c>
      <c r="BP122" s="81">
        <f t="shared" si="62"/>
        <v>0</v>
      </c>
      <c r="BQ122" s="81">
        <f t="shared" si="63"/>
        <v>0</v>
      </c>
      <c r="BR122" s="81">
        <f t="shared" si="64"/>
        <v>0</v>
      </c>
      <c r="BS122" s="199">
        <f t="shared" si="54"/>
        <v>91985.25</v>
      </c>
      <c r="BT122" s="199">
        <f t="shared" si="49"/>
        <v>79650</v>
      </c>
      <c r="BU122" s="199">
        <f t="shared" si="50"/>
        <v>89849.25</v>
      </c>
      <c r="BV122" s="112">
        <f>VLOOKUP(E122,'[4]Y2604-Y2608_庫存&amp;銷售'!$F:$AB,17,0)</f>
        <v>27.666666666666664</v>
      </c>
      <c r="BW122" s="112">
        <f>VLOOKUP(A122,'[5]Demand inbond in Sep'!$B:$M,12,0)</f>
        <v>76</v>
      </c>
      <c r="BX122" s="112"/>
    </row>
    <row r="123" spans="1:76" ht="15" x14ac:dyDescent="0.35">
      <c r="A123" s="2">
        <v>522244896205155</v>
      </c>
      <c r="B123" s="19" t="s">
        <v>91</v>
      </c>
      <c r="C123" s="1" t="s">
        <v>92</v>
      </c>
      <c r="D123" s="2">
        <v>80845897</v>
      </c>
      <c r="E123" s="3">
        <v>4987176214720</v>
      </c>
      <c r="F123" s="3">
        <v>4987176214720</v>
      </c>
      <c r="G123" s="4" t="s">
        <v>124</v>
      </c>
      <c r="H123" s="1">
        <v>177</v>
      </c>
      <c r="I123" s="1"/>
      <c r="J123" s="5">
        <v>6</v>
      </c>
      <c r="K123" s="5">
        <v>1226.47</v>
      </c>
      <c r="L123" s="5">
        <v>1174.5</v>
      </c>
      <c r="M123" s="169">
        <f>200+108</f>
        <v>308</v>
      </c>
      <c r="N123" s="170">
        <f>VLOOKUP(E123,'[8]Demand inbond in Aug'!$C:$T,18,0)+368</f>
        <v>368</v>
      </c>
      <c r="O123" s="23">
        <f>VLOOKUP(E123,'[5]Demand inbond in Sep'!$C:$M,11,0)</f>
        <v>611</v>
      </c>
      <c r="P123" s="24">
        <f t="shared" si="74"/>
        <v>1848</v>
      </c>
      <c r="Q123" s="24">
        <f t="shared" si="75"/>
        <v>2208</v>
      </c>
      <c r="R123" s="24">
        <f t="shared" si="76"/>
        <v>3666</v>
      </c>
      <c r="S123" s="31"/>
      <c r="T123" s="31"/>
      <c r="U123" s="31"/>
      <c r="V123" s="31"/>
      <c r="W123" s="31"/>
      <c r="X123" s="31">
        <v>200</v>
      </c>
      <c r="Y123" s="31">
        <v>100</v>
      </c>
      <c r="Z123" s="31"/>
      <c r="AA123" s="111">
        <v>8</v>
      </c>
      <c r="AB123" s="31"/>
      <c r="AC123" s="31">
        <f t="shared" si="55"/>
        <v>308</v>
      </c>
      <c r="AD123" s="31">
        <v>368</v>
      </c>
      <c r="AE123" s="31"/>
      <c r="AF123" s="31"/>
      <c r="AG123" s="31"/>
      <c r="AH123" s="31"/>
      <c r="AI123" s="31"/>
      <c r="AJ123" s="31"/>
      <c r="AK123" s="31"/>
      <c r="AL123" s="31"/>
      <c r="AM123" s="31"/>
      <c r="AN123" s="31">
        <f t="shared" si="51"/>
        <v>368</v>
      </c>
      <c r="AO123" s="31"/>
      <c r="AP123" s="31">
        <v>200</v>
      </c>
      <c r="AQ123" s="31"/>
      <c r="AR123" s="31"/>
      <c r="AS123" s="31"/>
      <c r="AT123" s="31">
        <v>0</v>
      </c>
      <c r="AU123" s="31"/>
      <c r="AV123" s="31">
        <v>0</v>
      </c>
      <c r="AW123" s="31"/>
      <c r="AX123" s="31"/>
      <c r="AY123" s="31"/>
      <c r="AZ123" s="31"/>
      <c r="BA123" s="31"/>
      <c r="BB123" s="31"/>
      <c r="BC123" s="31"/>
      <c r="BD123" s="31">
        <f t="shared" si="52"/>
        <v>200</v>
      </c>
      <c r="BE123" s="29">
        <f t="shared" ref="BE123:BE154" si="77">O123-BD123</f>
        <v>411</v>
      </c>
      <c r="BF123" s="29">
        <f t="shared" si="53"/>
        <v>200</v>
      </c>
      <c r="BG123" s="29">
        <f>VLOOKUP(E123,'[3]Y2604-Y2608_庫存&amp;銷售'!$F:$AJ,23,0)</f>
        <v>75.666666666666671</v>
      </c>
      <c r="BH123" s="29">
        <f>VLOOKUP(E123,'[3]Y2604-Y2608_庫存&amp;銷售'!$F:$AL,25,0)</f>
        <v>0</v>
      </c>
      <c r="BI123" s="29">
        <f>VLOOKUP(E123,'[3]Y2604-Y2608_庫存&amp;銷售'!$F:$AN,30,0)</f>
        <v>0</v>
      </c>
      <c r="BJ123" s="81">
        <f t="shared" si="68"/>
        <v>377752.76</v>
      </c>
      <c r="BK123" s="81">
        <f t="shared" si="69"/>
        <v>451340.96</v>
      </c>
      <c r="BL123" s="81">
        <f t="shared" si="70"/>
        <v>749373.17</v>
      </c>
      <c r="BM123" s="81">
        <f t="shared" si="71"/>
        <v>377752.76</v>
      </c>
      <c r="BN123" s="81">
        <f t="shared" si="72"/>
        <v>327096</v>
      </c>
      <c r="BO123" s="81">
        <f t="shared" si="73"/>
        <v>368980.92</v>
      </c>
      <c r="BP123" s="81">
        <f t="shared" si="62"/>
        <v>451340.96</v>
      </c>
      <c r="BQ123" s="81">
        <f t="shared" si="63"/>
        <v>390816</v>
      </c>
      <c r="BR123" s="81">
        <f t="shared" si="64"/>
        <v>440860.32</v>
      </c>
      <c r="BS123" s="199">
        <f t="shared" si="54"/>
        <v>245294</v>
      </c>
      <c r="BT123" s="199">
        <f t="shared" si="49"/>
        <v>212400</v>
      </c>
      <c r="BU123" s="199">
        <f t="shared" si="50"/>
        <v>239598</v>
      </c>
      <c r="BV123" s="112">
        <f>VLOOKUP(E123,'[4]Y2604-Y2608_庫存&amp;銷售'!$F:$AB,17,0)</f>
        <v>66.5</v>
      </c>
      <c r="BW123" s="112">
        <f>VLOOKUP(A123,'[5]Demand inbond in Sep'!$B:$M,12,0)</f>
        <v>611</v>
      </c>
      <c r="BX123" s="112"/>
    </row>
    <row r="124" spans="1:76" ht="15" x14ac:dyDescent="0.35">
      <c r="A124" s="2">
        <v>522244896205156</v>
      </c>
      <c r="B124" s="19" t="s">
        <v>91</v>
      </c>
      <c r="C124" s="1" t="s">
        <v>92</v>
      </c>
      <c r="D124" s="135">
        <v>83900130</v>
      </c>
      <c r="E124" s="3">
        <v>6903148224090</v>
      </c>
      <c r="F124" s="3">
        <v>6903148224090</v>
      </c>
      <c r="G124" s="4" t="s">
        <v>125</v>
      </c>
      <c r="H124" s="1">
        <v>131</v>
      </c>
      <c r="I124" s="1"/>
      <c r="J124" s="5">
        <v>12</v>
      </c>
      <c r="K124" s="5">
        <v>1853.54</v>
      </c>
      <c r="L124" s="5">
        <v>1787.49</v>
      </c>
      <c r="M124" s="115">
        <v>250</v>
      </c>
      <c r="N124" s="21">
        <f>VLOOKUP(E124,'[8]Demand inbond in Aug'!$C:$T,18,0)</f>
        <v>100</v>
      </c>
      <c r="O124" s="23">
        <f>VLOOKUP(E124,'[5]Demand inbond in Sep'!$C:$M,11,0)</f>
        <v>278</v>
      </c>
      <c r="P124" s="24">
        <f t="shared" si="74"/>
        <v>3000</v>
      </c>
      <c r="Q124" s="24">
        <f t="shared" si="75"/>
        <v>1200</v>
      </c>
      <c r="R124" s="24">
        <f t="shared" si="76"/>
        <v>3336</v>
      </c>
      <c r="S124" s="31"/>
      <c r="T124" s="31"/>
      <c r="U124" s="31"/>
      <c r="V124" s="31"/>
      <c r="W124" s="31">
        <v>0</v>
      </c>
      <c r="X124" s="31"/>
      <c r="Y124" s="31">
        <v>0</v>
      </c>
      <c r="Z124" s="31"/>
      <c r="AA124" s="31"/>
      <c r="AB124" s="31">
        <v>0</v>
      </c>
      <c r="AC124" s="31">
        <f t="shared" si="55"/>
        <v>0</v>
      </c>
      <c r="AD124" s="31">
        <v>250</v>
      </c>
      <c r="AE124" s="31">
        <v>0</v>
      </c>
      <c r="AF124" s="31">
        <v>0</v>
      </c>
      <c r="AG124" s="31"/>
      <c r="AH124" s="31">
        <v>0</v>
      </c>
      <c r="AI124" s="41">
        <v>0</v>
      </c>
      <c r="AJ124" s="31"/>
      <c r="AK124" s="31"/>
      <c r="AL124" s="31"/>
      <c r="AM124" s="31"/>
      <c r="AN124" s="31">
        <f t="shared" si="51"/>
        <v>250</v>
      </c>
      <c r="AO124" s="31"/>
      <c r="AP124" s="31">
        <v>277</v>
      </c>
      <c r="AQ124" s="31">
        <v>0</v>
      </c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>
        <f t="shared" si="52"/>
        <v>277</v>
      </c>
      <c r="BE124" s="29">
        <f t="shared" si="77"/>
        <v>1</v>
      </c>
      <c r="BF124" s="29">
        <f t="shared" si="53"/>
        <v>277</v>
      </c>
      <c r="BG124" s="29">
        <f>VLOOKUP(E124,'[3]Y2604-Y2608_庫存&amp;銷售'!$F:$AJ,23,0)</f>
        <v>28.666666666666664</v>
      </c>
      <c r="BH124" s="29">
        <f>VLOOKUP(E124,'[3]Y2604-Y2608_庫存&amp;銷售'!$F:$AL,25,0)</f>
        <v>0</v>
      </c>
      <c r="BI124" s="29">
        <f>VLOOKUP(E124,'[3]Y2604-Y2608_庫存&amp;銷售'!$F:$AN,30,0)</f>
        <v>0</v>
      </c>
      <c r="BJ124" s="81">
        <f t="shared" si="68"/>
        <v>463385</v>
      </c>
      <c r="BK124" s="81">
        <f t="shared" si="69"/>
        <v>185354</v>
      </c>
      <c r="BL124" s="81">
        <f t="shared" si="70"/>
        <v>515284.12</v>
      </c>
      <c r="BM124" s="81">
        <f t="shared" si="71"/>
        <v>0</v>
      </c>
      <c r="BN124" s="81">
        <f t="shared" si="72"/>
        <v>0</v>
      </c>
      <c r="BO124" s="81">
        <f t="shared" si="73"/>
        <v>0</v>
      </c>
      <c r="BP124" s="81">
        <f t="shared" si="62"/>
        <v>463385</v>
      </c>
      <c r="BQ124" s="81">
        <f t="shared" si="63"/>
        <v>393000</v>
      </c>
      <c r="BR124" s="81">
        <f t="shared" si="64"/>
        <v>455809.95</v>
      </c>
      <c r="BS124" s="199">
        <f t="shared" si="54"/>
        <v>513430.58</v>
      </c>
      <c r="BT124" s="199">
        <f t="shared" si="49"/>
        <v>435444</v>
      </c>
      <c r="BU124" s="199">
        <f t="shared" si="50"/>
        <v>505037.42460000003</v>
      </c>
      <c r="BV124" s="112">
        <f>VLOOKUP(E124,'[4]Y2604-Y2608_庫存&amp;銷售'!$F:$AB,17,0)</f>
        <v>103.83333333333334</v>
      </c>
      <c r="BW124" s="112">
        <f>VLOOKUP(A124,'[5]Demand inbond in Sep'!$B:$M,12,0)</f>
        <v>278</v>
      </c>
      <c r="BX124" s="112"/>
    </row>
    <row r="125" spans="1:76" ht="15" x14ac:dyDescent="0.35">
      <c r="A125" s="2">
        <v>522244896205157</v>
      </c>
      <c r="B125" s="19" t="s">
        <v>91</v>
      </c>
      <c r="C125" s="1" t="s">
        <v>92</v>
      </c>
      <c r="D125" s="2">
        <v>80852632</v>
      </c>
      <c r="E125" s="3">
        <v>6903148224106</v>
      </c>
      <c r="F125" s="3">
        <v>6903148224106</v>
      </c>
      <c r="G125" s="4" t="s">
        <v>126</v>
      </c>
      <c r="H125" s="1">
        <v>147</v>
      </c>
      <c r="I125" s="1"/>
      <c r="J125" s="5">
        <v>12</v>
      </c>
      <c r="K125" s="5">
        <v>2039.83</v>
      </c>
      <c r="L125" s="5">
        <v>1969.6</v>
      </c>
      <c r="M125" s="115">
        <v>0</v>
      </c>
      <c r="N125" s="21">
        <f>VLOOKUP(E125,'[8]Demand inbond in Aug'!$C:$T,18,0)</f>
        <v>0</v>
      </c>
      <c r="O125" s="23">
        <f>VLOOKUP(E125,'[5]Demand inbond in Sep'!$C:$M,11,0)</f>
        <v>0</v>
      </c>
      <c r="P125" s="24">
        <f t="shared" si="74"/>
        <v>0</v>
      </c>
      <c r="Q125" s="24">
        <f t="shared" si="75"/>
        <v>0</v>
      </c>
      <c r="R125" s="24">
        <f t="shared" si="76"/>
        <v>0</v>
      </c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>
        <f t="shared" si="55"/>
        <v>0</v>
      </c>
      <c r="AD125" s="31"/>
      <c r="AE125" s="31"/>
      <c r="AF125" s="31"/>
      <c r="AG125" s="31"/>
      <c r="AH125" s="31">
        <v>0</v>
      </c>
      <c r="AI125" s="31"/>
      <c r="AJ125" s="31"/>
      <c r="AK125" s="31"/>
      <c r="AL125" s="31"/>
      <c r="AM125" s="31"/>
      <c r="AN125" s="31">
        <f t="shared" si="51"/>
        <v>0</v>
      </c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>
        <f t="shared" si="52"/>
        <v>0</v>
      </c>
      <c r="BE125" s="29">
        <f t="shared" si="77"/>
        <v>0</v>
      </c>
      <c r="BF125" s="29">
        <f t="shared" si="53"/>
        <v>0</v>
      </c>
      <c r="BG125" s="29">
        <f>VLOOKUP(E125,'[3]Y2604-Y2608_庫存&amp;銷售'!$F:$AJ,23,0)</f>
        <v>0</v>
      </c>
      <c r="BH125" s="29">
        <f>VLOOKUP(E125,'[3]Y2604-Y2608_庫存&amp;銷售'!$F:$AL,25,0)</f>
        <v>0</v>
      </c>
      <c r="BI125" s="29">
        <f>VLOOKUP(E125,'[3]Y2604-Y2608_庫存&amp;銷售'!$F:$AN,30,0)</f>
        <v>0</v>
      </c>
      <c r="BJ125" s="81">
        <f t="shared" si="68"/>
        <v>0</v>
      </c>
      <c r="BK125" s="81">
        <f t="shared" si="69"/>
        <v>0</v>
      </c>
      <c r="BL125" s="81">
        <f t="shared" si="70"/>
        <v>0</v>
      </c>
      <c r="BM125" s="81">
        <f t="shared" si="71"/>
        <v>0</v>
      </c>
      <c r="BN125" s="81">
        <f t="shared" si="72"/>
        <v>0</v>
      </c>
      <c r="BO125" s="81">
        <f t="shared" si="73"/>
        <v>0</v>
      </c>
      <c r="BP125" s="81">
        <f t="shared" si="62"/>
        <v>0</v>
      </c>
      <c r="BQ125" s="81">
        <f t="shared" si="63"/>
        <v>0</v>
      </c>
      <c r="BR125" s="81">
        <f t="shared" si="64"/>
        <v>0</v>
      </c>
      <c r="BS125" s="199">
        <f t="shared" si="54"/>
        <v>0</v>
      </c>
      <c r="BT125" s="199">
        <f t="shared" si="49"/>
        <v>0</v>
      </c>
      <c r="BU125" s="199">
        <f t="shared" si="50"/>
        <v>0</v>
      </c>
      <c r="BV125" s="112">
        <f>VLOOKUP(E125,'[4]Y2604-Y2608_庫存&amp;銷售'!$F:$AB,17,0)</f>
        <v>0</v>
      </c>
      <c r="BW125" s="112">
        <f>VLOOKUP(A125,'[5]Demand inbond in Sep'!$B:$M,12,0)</f>
        <v>0</v>
      </c>
      <c r="BX125" s="112"/>
    </row>
    <row r="126" spans="1:76" ht="15" x14ac:dyDescent="0.35">
      <c r="A126" s="2">
        <v>522244896294063</v>
      </c>
      <c r="B126" s="19" t="s">
        <v>91</v>
      </c>
      <c r="C126" s="1" t="s">
        <v>92</v>
      </c>
      <c r="D126" s="2">
        <v>80882675</v>
      </c>
      <c r="E126" s="3">
        <v>6903148352700</v>
      </c>
      <c r="F126" s="3">
        <v>6903148352700</v>
      </c>
      <c r="G126" s="4" t="s">
        <v>127</v>
      </c>
      <c r="H126" s="1">
        <v>78</v>
      </c>
      <c r="I126" s="1"/>
      <c r="J126" s="5">
        <v>16</v>
      </c>
      <c r="K126" s="5">
        <v>1431.63</v>
      </c>
      <c r="L126" s="5">
        <v>1375.05</v>
      </c>
      <c r="M126" s="169">
        <f>5+14</f>
        <v>19</v>
      </c>
      <c r="N126" s="170">
        <f>VLOOKUP(E126,'[8]Demand inbond in Aug'!$C:$T,18,0)+26</f>
        <v>26</v>
      </c>
      <c r="O126" s="23">
        <f>VLOOKUP(E126,'[5]Demand inbond in Sep'!$C:$M,11,0)</f>
        <v>19</v>
      </c>
      <c r="P126" s="24">
        <f t="shared" ref="P126:R127" si="78">16*5</f>
        <v>80</v>
      </c>
      <c r="Q126" s="24">
        <f t="shared" si="78"/>
        <v>80</v>
      </c>
      <c r="R126" s="24">
        <f t="shared" si="78"/>
        <v>80</v>
      </c>
      <c r="S126" s="31"/>
      <c r="T126" s="31"/>
      <c r="U126" s="31"/>
      <c r="V126" s="31">
        <v>3</v>
      </c>
      <c r="W126" s="31"/>
      <c r="X126" s="31">
        <v>5</v>
      </c>
      <c r="Y126" s="31">
        <v>6</v>
      </c>
      <c r="Z126" s="31"/>
      <c r="AA126" s="31"/>
      <c r="AB126" s="111">
        <v>5</v>
      </c>
      <c r="AC126" s="31">
        <f t="shared" si="55"/>
        <v>19</v>
      </c>
      <c r="AD126" s="31">
        <v>26</v>
      </c>
      <c r="AE126" s="31"/>
      <c r="AF126" s="31"/>
      <c r="AG126" s="31"/>
      <c r="AH126" s="31"/>
      <c r="AI126" s="31"/>
      <c r="AJ126" s="31"/>
      <c r="AK126" s="31"/>
      <c r="AL126" s="31"/>
      <c r="AM126" s="31"/>
      <c r="AN126" s="31">
        <f t="shared" si="51"/>
        <v>26</v>
      </c>
      <c r="AO126" s="31"/>
      <c r="AP126" s="31">
        <v>5</v>
      </c>
      <c r="AQ126" s="31">
        <v>14</v>
      </c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>
        <f t="shared" si="52"/>
        <v>19</v>
      </c>
      <c r="BE126" s="29">
        <f t="shared" si="77"/>
        <v>0</v>
      </c>
      <c r="BF126" s="29">
        <f t="shared" si="53"/>
        <v>19</v>
      </c>
      <c r="BG126" s="29">
        <f>VLOOKUP(E126,'[3]Y2604-Y2608_庫存&amp;銷售'!$F:$AJ,23,0)</f>
        <v>2.875</v>
      </c>
      <c r="BH126" s="29">
        <f>VLOOKUP(E126,'[3]Y2604-Y2608_庫存&amp;銷售'!$F:$AL,25,0)</f>
        <v>0</v>
      </c>
      <c r="BI126" s="29">
        <f>VLOOKUP(E126,'[3]Y2604-Y2608_庫存&amp;銷售'!$F:$AN,30,0)</f>
        <v>0</v>
      </c>
      <c r="BJ126" s="81">
        <f t="shared" si="68"/>
        <v>27200.97</v>
      </c>
      <c r="BK126" s="81">
        <f t="shared" si="69"/>
        <v>37222.380000000005</v>
      </c>
      <c r="BL126" s="81">
        <f t="shared" si="70"/>
        <v>27200.97</v>
      </c>
      <c r="BM126" s="81">
        <f t="shared" si="71"/>
        <v>27200.97</v>
      </c>
      <c r="BN126" s="81">
        <f t="shared" si="72"/>
        <v>23712</v>
      </c>
      <c r="BO126" s="81">
        <f t="shared" si="73"/>
        <v>26648.468999999997</v>
      </c>
      <c r="BP126" s="81">
        <f t="shared" si="62"/>
        <v>37222.380000000005</v>
      </c>
      <c r="BQ126" s="81">
        <f t="shared" si="63"/>
        <v>32448</v>
      </c>
      <c r="BR126" s="81">
        <f t="shared" si="64"/>
        <v>36466.326000000001</v>
      </c>
      <c r="BS126" s="199">
        <f t="shared" si="54"/>
        <v>27200.97</v>
      </c>
      <c r="BT126" s="199">
        <f t="shared" si="49"/>
        <v>23712</v>
      </c>
      <c r="BU126" s="199">
        <f t="shared" si="50"/>
        <v>26648.468999999997</v>
      </c>
      <c r="BV126" s="112">
        <f>VLOOKUP(E126,'[4]Y2604-Y2608_庫存&amp;銷售'!$F:$AB,17,0)</f>
        <v>7.625</v>
      </c>
      <c r="BW126" s="112">
        <f>VLOOKUP(A126,'[5]Demand inbond in Sep'!$B:$M,12,0)</f>
        <v>19</v>
      </c>
      <c r="BX126" s="112"/>
    </row>
    <row r="127" spans="1:76" ht="15" x14ac:dyDescent="0.35">
      <c r="A127" s="2">
        <v>522244896294064</v>
      </c>
      <c r="B127" s="19" t="s">
        <v>91</v>
      </c>
      <c r="C127" s="1" t="s">
        <v>92</v>
      </c>
      <c r="D127" s="2">
        <v>80884855</v>
      </c>
      <c r="E127" s="3">
        <v>6903148355947</v>
      </c>
      <c r="F127" s="3">
        <v>6903148355947</v>
      </c>
      <c r="G127" s="4" t="s">
        <v>128</v>
      </c>
      <c r="H127" s="1">
        <v>78</v>
      </c>
      <c r="I127" s="1"/>
      <c r="J127" s="5">
        <v>16</v>
      </c>
      <c r="K127" s="5">
        <v>1431.63</v>
      </c>
      <c r="L127" s="5">
        <v>1375.05</v>
      </c>
      <c r="M127" s="169">
        <f>5+18</f>
        <v>23</v>
      </c>
      <c r="N127" s="170">
        <f>VLOOKUP(E127,'[8]Demand inbond in Aug'!$C:$T,18,0)+46</f>
        <v>46</v>
      </c>
      <c r="O127" s="23">
        <f>VLOOKUP(E127,'[5]Demand inbond in Sep'!$C:$M,11,0)</f>
        <v>16</v>
      </c>
      <c r="P127" s="24">
        <f t="shared" si="78"/>
        <v>80</v>
      </c>
      <c r="Q127" s="24">
        <f t="shared" si="78"/>
        <v>80</v>
      </c>
      <c r="R127" s="24">
        <f t="shared" si="78"/>
        <v>80</v>
      </c>
      <c r="S127" s="31"/>
      <c r="T127" s="31"/>
      <c r="U127" s="31"/>
      <c r="V127" s="31">
        <v>3</v>
      </c>
      <c r="W127" s="31"/>
      <c r="X127" s="31">
        <v>11</v>
      </c>
      <c r="Y127" s="31">
        <v>6</v>
      </c>
      <c r="Z127" s="31"/>
      <c r="AA127" s="111">
        <v>3</v>
      </c>
      <c r="AB127" s="31"/>
      <c r="AC127" s="31">
        <f t="shared" si="55"/>
        <v>23</v>
      </c>
      <c r="AD127" s="31">
        <v>46</v>
      </c>
      <c r="AE127" s="31"/>
      <c r="AF127" s="31"/>
      <c r="AG127" s="31"/>
      <c r="AH127" s="31"/>
      <c r="AI127" s="31"/>
      <c r="AJ127" s="31"/>
      <c r="AK127" s="31"/>
      <c r="AL127" s="31"/>
      <c r="AM127" s="31"/>
      <c r="AN127" s="31">
        <f t="shared" si="51"/>
        <v>46</v>
      </c>
      <c r="AO127" s="31"/>
      <c r="AP127" s="31">
        <v>5</v>
      </c>
      <c r="AQ127" s="31">
        <v>11</v>
      </c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>
        <f t="shared" si="52"/>
        <v>16</v>
      </c>
      <c r="BE127" s="29">
        <f t="shared" si="77"/>
        <v>0</v>
      </c>
      <c r="BF127" s="29">
        <f t="shared" si="53"/>
        <v>16</v>
      </c>
      <c r="BG127" s="29">
        <f>VLOOKUP(E127,'[3]Y2604-Y2608_庫存&amp;銷售'!$F:$AJ,23,0)</f>
        <v>11.25</v>
      </c>
      <c r="BH127" s="29">
        <f>VLOOKUP(E127,'[3]Y2604-Y2608_庫存&amp;銷售'!$F:$AL,25,0)</f>
        <v>0</v>
      </c>
      <c r="BI127" s="29">
        <f>VLOOKUP(E127,'[3]Y2604-Y2608_庫存&amp;銷售'!$F:$AN,30,0)</f>
        <v>0</v>
      </c>
      <c r="BJ127" s="81">
        <f t="shared" si="68"/>
        <v>32927.490000000005</v>
      </c>
      <c r="BK127" s="81">
        <f t="shared" si="69"/>
        <v>65854.98000000001</v>
      </c>
      <c r="BL127" s="81">
        <f t="shared" si="70"/>
        <v>22906.080000000002</v>
      </c>
      <c r="BM127" s="81">
        <f t="shared" si="71"/>
        <v>32927.490000000005</v>
      </c>
      <c r="BN127" s="81">
        <f t="shared" si="72"/>
        <v>28704</v>
      </c>
      <c r="BO127" s="81">
        <f t="shared" si="73"/>
        <v>32258.672999999999</v>
      </c>
      <c r="BP127" s="81">
        <f t="shared" si="62"/>
        <v>65854.98000000001</v>
      </c>
      <c r="BQ127" s="81">
        <f t="shared" si="63"/>
        <v>57408</v>
      </c>
      <c r="BR127" s="81">
        <f t="shared" si="64"/>
        <v>64517.345999999998</v>
      </c>
      <c r="BS127" s="199">
        <f t="shared" si="54"/>
        <v>22906.080000000002</v>
      </c>
      <c r="BT127" s="199">
        <f t="shared" si="49"/>
        <v>19968</v>
      </c>
      <c r="BU127" s="199">
        <f t="shared" si="50"/>
        <v>22440.815999999999</v>
      </c>
      <c r="BV127" s="112">
        <f>VLOOKUP(E127,'[4]Y2604-Y2608_庫存&amp;銷售'!$F:$AB,17,0)</f>
        <v>10.0625</v>
      </c>
      <c r="BW127" s="112">
        <f>VLOOKUP(A127,'[5]Demand inbond in Sep'!$B:$M,12,0)</f>
        <v>16</v>
      </c>
      <c r="BX127" s="112"/>
    </row>
    <row r="128" spans="1:76" ht="15" x14ac:dyDescent="0.35">
      <c r="A128" s="2">
        <v>522244896294093</v>
      </c>
      <c r="B128" s="19" t="s">
        <v>91</v>
      </c>
      <c r="C128" s="1" t="s">
        <v>92</v>
      </c>
      <c r="D128" s="2">
        <v>80878164</v>
      </c>
      <c r="E128" s="3">
        <v>6903148355954</v>
      </c>
      <c r="F128" s="3">
        <v>6903148355954</v>
      </c>
      <c r="G128" s="4" t="s">
        <v>129</v>
      </c>
      <c r="H128" s="1">
        <v>78</v>
      </c>
      <c r="I128" s="1"/>
      <c r="J128" s="5">
        <v>16</v>
      </c>
      <c r="K128" s="5">
        <v>1431.63</v>
      </c>
      <c r="L128" s="5">
        <v>1375.05</v>
      </c>
      <c r="M128" s="169">
        <f>4+22</f>
        <v>26</v>
      </c>
      <c r="N128" s="170">
        <f>VLOOKUP(E128,'[8]Demand inbond in Aug'!$C:$T,18,0)+12</f>
        <v>12</v>
      </c>
      <c r="O128" s="23">
        <f>VLOOKUP(E128,'[5]Demand inbond in Sep'!$C:$M,11,0)</f>
        <v>23</v>
      </c>
      <c r="P128" s="24">
        <f>16*4</f>
        <v>64</v>
      </c>
      <c r="Q128" s="24">
        <f t="shared" ref="Q128:R129" si="79">16*4</f>
        <v>64</v>
      </c>
      <c r="R128" s="24">
        <f t="shared" si="79"/>
        <v>64</v>
      </c>
      <c r="S128" s="31"/>
      <c r="T128" s="31"/>
      <c r="U128" s="31"/>
      <c r="V128" s="31">
        <v>2</v>
      </c>
      <c r="W128" s="31"/>
      <c r="X128" s="31">
        <v>20</v>
      </c>
      <c r="Y128" s="31">
        <v>4</v>
      </c>
      <c r="Z128" s="31"/>
      <c r="AA128" s="31"/>
      <c r="AB128" s="31">
        <v>0</v>
      </c>
      <c r="AC128" s="31">
        <f t="shared" si="55"/>
        <v>26</v>
      </c>
      <c r="AD128" s="31">
        <v>12</v>
      </c>
      <c r="AE128" s="31">
        <v>0</v>
      </c>
      <c r="AF128" s="31"/>
      <c r="AG128" s="31"/>
      <c r="AH128" s="31">
        <v>0</v>
      </c>
      <c r="AI128" s="31"/>
      <c r="AJ128" s="31"/>
      <c r="AK128" s="31"/>
      <c r="AL128" s="31"/>
      <c r="AM128" s="31"/>
      <c r="AN128" s="31">
        <f t="shared" si="51"/>
        <v>12</v>
      </c>
      <c r="AO128" s="31"/>
      <c r="AP128" s="31">
        <v>4</v>
      </c>
      <c r="AQ128" s="31">
        <v>17</v>
      </c>
      <c r="AR128" s="31"/>
      <c r="AS128" s="31"/>
      <c r="AT128" s="31"/>
      <c r="AU128" s="31"/>
      <c r="AV128" s="31">
        <v>1</v>
      </c>
      <c r="AW128" s="31"/>
      <c r="AX128" s="31"/>
      <c r="AY128" s="31"/>
      <c r="AZ128" s="31"/>
      <c r="BA128" s="31"/>
      <c r="BB128" s="31"/>
      <c r="BC128" s="31"/>
      <c r="BD128" s="31">
        <f t="shared" si="52"/>
        <v>22</v>
      </c>
      <c r="BE128" s="29">
        <f t="shared" si="77"/>
        <v>1</v>
      </c>
      <c r="BF128" s="29">
        <f t="shared" si="53"/>
        <v>22</v>
      </c>
      <c r="BG128" s="29">
        <f>VLOOKUP(E128,'[3]Y2604-Y2608_庫存&amp;銷售'!$F:$AJ,23,0)</f>
        <v>4.5625</v>
      </c>
      <c r="BH128" s="29">
        <f>VLOOKUP(E128,'[3]Y2604-Y2608_庫存&amp;銷售'!$F:$AL,25,0)</f>
        <v>0</v>
      </c>
      <c r="BI128" s="29">
        <f>VLOOKUP(E128,'[3]Y2604-Y2608_庫存&amp;銷售'!$F:$AN,30,0)</f>
        <v>0</v>
      </c>
      <c r="BJ128" s="81">
        <f t="shared" si="68"/>
        <v>37222.380000000005</v>
      </c>
      <c r="BK128" s="81">
        <f t="shared" si="69"/>
        <v>17179.560000000001</v>
      </c>
      <c r="BL128" s="81">
        <f t="shared" si="70"/>
        <v>32927.490000000005</v>
      </c>
      <c r="BM128" s="81">
        <f t="shared" si="71"/>
        <v>37222.380000000005</v>
      </c>
      <c r="BN128" s="81">
        <f t="shared" si="72"/>
        <v>32448</v>
      </c>
      <c r="BO128" s="81">
        <f t="shared" si="73"/>
        <v>36466.326000000001</v>
      </c>
      <c r="BP128" s="81">
        <f t="shared" si="62"/>
        <v>17179.560000000001</v>
      </c>
      <c r="BQ128" s="81">
        <f t="shared" si="63"/>
        <v>14976</v>
      </c>
      <c r="BR128" s="81">
        <f t="shared" si="64"/>
        <v>16830.612000000001</v>
      </c>
      <c r="BS128" s="199">
        <f t="shared" si="54"/>
        <v>31495.86</v>
      </c>
      <c r="BT128" s="199">
        <f t="shared" si="49"/>
        <v>27456</v>
      </c>
      <c r="BU128" s="199">
        <f t="shared" si="50"/>
        <v>30856.121999999999</v>
      </c>
      <c r="BV128" s="112">
        <f>VLOOKUP(E128,'[4]Y2604-Y2608_庫存&amp;銷售'!$F:$AB,17,0)</f>
        <v>11.1875</v>
      </c>
      <c r="BW128" s="112">
        <f>VLOOKUP(A128,'[5]Demand inbond in Sep'!$B:$M,12,0)</f>
        <v>23</v>
      </c>
      <c r="BX128" s="112"/>
    </row>
    <row r="129" spans="1:76" ht="15" x14ac:dyDescent="0.35">
      <c r="A129" s="2">
        <v>522244896373892</v>
      </c>
      <c r="B129" s="19" t="s">
        <v>91</v>
      </c>
      <c r="C129" s="1" t="s">
        <v>92</v>
      </c>
      <c r="D129" s="2">
        <v>80888544</v>
      </c>
      <c r="E129" s="3">
        <v>6903148355923</v>
      </c>
      <c r="F129" s="3">
        <v>6903148355923</v>
      </c>
      <c r="G129" s="45" t="s">
        <v>202</v>
      </c>
      <c r="H129" s="1">
        <v>78</v>
      </c>
      <c r="I129" s="1" t="s">
        <v>173</v>
      </c>
      <c r="J129" s="5">
        <v>16</v>
      </c>
      <c r="K129" s="5">
        <v>1431.63</v>
      </c>
      <c r="L129" s="5">
        <v>1375.0512000000001</v>
      </c>
      <c r="M129" s="115">
        <v>3.875</v>
      </c>
      <c r="N129" s="21">
        <f>VLOOKUP(E129,'[8]Demand inbond in Aug'!$C:$T,18,0)</f>
        <v>0</v>
      </c>
      <c r="O129" s="23">
        <f>VLOOKUP(E129,'[5]Demand inbond in Sep'!$C:$M,11,0)</f>
        <v>22</v>
      </c>
      <c r="P129" s="28">
        <f>16*4</f>
        <v>64</v>
      </c>
      <c r="Q129" s="28">
        <f t="shared" si="79"/>
        <v>64</v>
      </c>
      <c r="R129" s="28">
        <f t="shared" si="79"/>
        <v>64</v>
      </c>
      <c r="S129" s="31"/>
      <c r="T129" s="31"/>
      <c r="U129" s="31"/>
      <c r="V129" s="31"/>
      <c r="W129" s="31"/>
      <c r="X129" s="31"/>
      <c r="Y129" s="31"/>
      <c r="Z129" s="31"/>
      <c r="AA129" s="31">
        <v>1</v>
      </c>
      <c r="AB129" s="31"/>
      <c r="AC129" s="31">
        <f t="shared" si="55"/>
        <v>1</v>
      </c>
      <c r="AD129" s="31"/>
      <c r="AE129" s="31">
        <v>0</v>
      </c>
      <c r="AF129" s="31"/>
      <c r="AG129" s="31"/>
      <c r="AH129" s="31">
        <v>0</v>
      </c>
      <c r="AI129" s="31"/>
      <c r="AJ129" s="31">
        <v>1</v>
      </c>
      <c r="AK129" s="31">
        <v>20</v>
      </c>
      <c r="AL129" s="31"/>
      <c r="AM129" s="31"/>
      <c r="AN129" s="31">
        <f t="shared" si="51"/>
        <v>21</v>
      </c>
      <c r="AO129" s="31"/>
      <c r="AP129" s="31"/>
      <c r="AQ129" s="31">
        <v>22</v>
      </c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>
        <f t="shared" si="52"/>
        <v>22</v>
      </c>
      <c r="BE129" s="29">
        <f t="shared" si="77"/>
        <v>0</v>
      </c>
      <c r="BF129" s="29">
        <f t="shared" si="53"/>
        <v>22</v>
      </c>
      <c r="BG129" s="29">
        <f>VLOOKUP(E129,'[3]Y2604-Y2608_庫存&amp;銷售'!$F:$AJ,23,0)</f>
        <v>3.375</v>
      </c>
      <c r="BH129" s="29">
        <f>VLOOKUP(E129,'[3]Y2604-Y2608_庫存&amp;銷售'!$F:$AL,25,0)</f>
        <v>0</v>
      </c>
      <c r="BI129" s="29">
        <f>VLOOKUP(E129,'[3]Y2604-Y2608_庫存&amp;銷售'!$F:$AN,30,0)</f>
        <v>0</v>
      </c>
      <c r="BJ129" s="81">
        <f t="shared" si="68"/>
        <v>5547.5662500000008</v>
      </c>
      <c r="BK129" s="81">
        <f t="shared" si="69"/>
        <v>0</v>
      </c>
      <c r="BL129" s="81">
        <f t="shared" si="70"/>
        <v>31495.86</v>
      </c>
      <c r="BM129" s="81">
        <f t="shared" si="71"/>
        <v>1431.63</v>
      </c>
      <c r="BN129" s="81">
        <f t="shared" si="72"/>
        <v>1248</v>
      </c>
      <c r="BO129" s="81">
        <f t="shared" si="73"/>
        <v>1402.552224</v>
      </c>
      <c r="BP129" s="81">
        <f t="shared" si="62"/>
        <v>30064.230000000003</v>
      </c>
      <c r="BQ129" s="81">
        <f t="shared" si="63"/>
        <v>26208</v>
      </c>
      <c r="BR129" s="81">
        <f t="shared" si="64"/>
        <v>29453.596704</v>
      </c>
      <c r="BS129" s="199">
        <f t="shared" si="54"/>
        <v>31495.86</v>
      </c>
      <c r="BT129" s="199">
        <f t="shared" si="49"/>
        <v>27456</v>
      </c>
      <c r="BU129" s="199">
        <f t="shared" si="50"/>
        <v>30856.148928000002</v>
      </c>
      <c r="BV129" s="112">
        <f>VLOOKUP(E129,'[4]Y2604-Y2608_庫存&amp;銷售'!$F:$AB,17,0)</f>
        <v>0</v>
      </c>
      <c r="BW129" s="112">
        <f>VLOOKUP(A129,'[5]Demand inbond in Sep'!$B:$M,12,0)</f>
        <v>22</v>
      </c>
      <c r="BX129" s="112"/>
    </row>
    <row r="130" spans="1:76" s="53" customFormat="1" ht="15" x14ac:dyDescent="0.35">
      <c r="A130" s="7">
        <v>522244896295269</v>
      </c>
      <c r="B130" s="20" t="s">
        <v>91</v>
      </c>
      <c r="C130" s="6" t="s">
        <v>92</v>
      </c>
      <c r="D130" s="7" t="e">
        <v>#N/A</v>
      </c>
      <c r="E130" s="8">
        <v>4987176372178</v>
      </c>
      <c r="F130" s="8">
        <v>4987176372178</v>
      </c>
      <c r="G130" s="9" t="s">
        <v>130</v>
      </c>
      <c r="H130" s="6">
        <v>895</v>
      </c>
      <c r="I130" s="33" t="s">
        <v>169</v>
      </c>
      <c r="J130" s="10">
        <v>1</v>
      </c>
      <c r="K130" s="5">
        <v>1015.44</v>
      </c>
      <c r="L130" s="5">
        <v>968.2</v>
      </c>
      <c r="M130" s="115">
        <v>0</v>
      </c>
      <c r="N130" s="21">
        <f>VLOOKUP(E130,'[8]Demand inbond in Aug'!$C:$T,18,0)</f>
        <v>0</v>
      </c>
      <c r="O130" s="23">
        <f>VLOOKUP(E130,'[5]Demand inbond in Sep'!$C:$M,11,0)</f>
        <v>0</v>
      </c>
      <c r="P130" s="54">
        <f>M130*J130</f>
        <v>0</v>
      </c>
      <c r="Q130" s="54">
        <f>N130*J130</f>
        <v>0</v>
      </c>
      <c r="R130" s="54">
        <f t="shared" ref="R130:R161" si="80">O130*J130</f>
        <v>0</v>
      </c>
      <c r="S130" s="52"/>
      <c r="T130" s="52"/>
      <c r="U130" s="52"/>
      <c r="V130" s="52"/>
      <c r="W130" s="52"/>
      <c r="X130" s="31"/>
      <c r="Y130" s="31"/>
      <c r="Z130" s="52"/>
      <c r="AA130" s="52"/>
      <c r="AB130" s="52"/>
      <c r="AC130" s="31">
        <f t="shared" si="55"/>
        <v>0</v>
      </c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>
        <f t="shared" si="51"/>
        <v>0</v>
      </c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>
        <f t="shared" si="52"/>
        <v>0</v>
      </c>
      <c r="BE130" s="29">
        <f t="shared" si="77"/>
        <v>0</v>
      </c>
      <c r="BF130" s="29">
        <f t="shared" si="53"/>
        <v>0</v>
      </c>
      <c r="BG130" s="29">
        <f>VLOOKUP(E130,'[3]Y2604-Y2608_庫存&amp;銷售'!$F:$AJ,23,0)</f>
        <v>0</v>
      </c>
      <c r="BH130" s="29">
        <f>VLOOKUP(E130,'[3]Y2604-Y2608_庫存&amp;銷售'!$F:$AL,25,0)</f>
        <v>0</v>
      </c>
      <c r="BI130" s="29">
        <f>VLOOKUP(E130,'[3]Y2604-Y2608_庫存&amp;銷售'!$F:$AN,30,0)</f>
        <v>0</v>
      </c>
      <c r="BJ130" s="81">
        <f t="shared" si="68"/>
        <v>0</v>
      </c>
      <c r="BK130" s="81">
        <f t="shared" si="69"/>
        <v>0</v>
      </c>
      <c r="BL130" s="81">
        <f t="shared" si="70"/>
        <v>0</v>
      </c>
      <c r="BM130" s="81">
        <f t="shared" si="71"/>
        <v>0</v>
      </c>
      <c r="BN130" s="81">
        <f t="shared" si="72"/>
        <v>0</v>
      </c>
      <c r="BO130" s="81">
        <f t="shared" si="73"/>
        <v>0</v>
      </c>
      <c r="BP130" s="81">
        <f t="shared" si="62"/>
        <v>0</v>
      </c>
      <c r="BQ130" s="81">
        <f t="shared" si="63"/>
        <v>0</v>
      </c>
      <c r="BR130" s="81">
        <f t="shared" si="64"/>
        <v>0</v>
      </c>
      <c r="BS130" s="199">
        <f t="shared" si="54"/>
        <v>0</v>
      </c>
      <c r="BT130" s="199">
        <f t="shared" ref="BT130:BT193" si="81">H130*J130*BD130</f>
        <v>0</v>
      </c>
      <c r="BU130" s="199">
        <f t="shared" ref="BU130:BU193" si="82">L130*1.02*BD130</f>
        <v>0</v>
      </c>
      <c r="BV130" s="112">
        <f>VLOOKUP(E130,'[4]Y2604-Y2608_庫存&amp;銷售'!$F:$AB,17,0)</f>
        <v>0</v>
      </c>
      <c r="BW130" s="112">
        <f>VLOOKUP(A130,'[5]Demand inbond in Sep'!$B:$M,12,0)</f>
        <v>0</v>
      </c>
      <c r="BX130" s="112"/>
    </row>
    <row r="131" spans="1:76" s="53" customFormat="1" ht="15" x14ac:dyDescent="0.35">
      <c r="A131" s="7">
        <v>522244896295287</v>
      </c>
      <c r="B131" s="20" t="s">
        <v>91</v>
      </c>
      <c r="C131" s="6" t="s">
        <v>92</v>
      </c>
      <c r="D131" s="7" t="e">
        <v>#N/A</v>
      </c>
      <c r="E131" s="8">
        <v>4987176372314</v>
      </c>
      <c r="F131" s="8">
        <v>4987176372314</v>
      </c>
      <c r="G131" s="9" t="s">
        <v>131</v>
      </c>
      <c r="H131" s="6">
        <v>853</v>
      </c>
      <c r="I131" s="33" t="s">
        <v>169</v>
      </c>
      <c r="J131" s="10">
        <v>1</v>
      </c>
      <c r="K131" s="5">
        <v>1015.44</v>
      </c>
      <c r="L131" s="5">
        <v>968.2</v>
      </c>
      <c r="M131" s="115">
        <v>0</v>
      </c>
      <c r="N131" s="21">
        <f>VLOOKUP(E131,'[8]Demand inbond in Aug'!$C:$T,18,0)</f>
        <v>0</v>
      </c>
      <c r="O131" s="23">
        <f>VLOOKUP(E131,'[5]Demand inbond in Sep'!$C:$M,11,0)</f>
        <v>0</v>
      </c>
      <c r="P131" s="54">
        <f>M131*J131</f>
        <v>0</v>
      </c>
      <c r="Q131" s="54">
        <f>N131*J131</f>
        <v>0</v>
      </c>
      <c r="R131" s="54">
        <f t="shared" si="80"/>
        <v>0</v>
      </c>
      <c r="S131" s="52"/>
      <c r="T131" s="52"/>
      <c r="U131" s="52"/>
      <c r="V131" s="52"/>
      <c r="W131" s="52"/>
      <c r="X131" s="31"/>
      <c r="Y131" s="31"/>
      <c r="Z131" s="52"/>
      <c r="AA131" s="52"/>
      <c r="AB131" s="52"/>
      <c r="AC131" s="31">
        <f t="shared" si="55"/>
        <v>0</v>
      </c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>
        <f t="shared" ref="AN131:AN194" si="83">SUM(AD131:AM131)</f>
        <v>0</v>
      </c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>
        <f t="shared" ref="BD131:BD194" si="84">SUM(AO131:BC131)</f>
        <v>0</v>
      </c>
      <c r="BE131" s="29">
        <f t="shared" si="77"/>
        <v>0</v>
      </c>
      <c r="BF131" s="29">
        <f t="shared" ref="BF131:BF194" si="85">SUM(AO131:AW131)</f>
        <v>0</v>
      </c>
      <c r="BG131" s="29">
        <f>VLOOKUP(E131,'[3]Y2604-Y2608_庫存&amp;銷售'!$F:$AJ,23,0)</f>
        <v>0</v>
      </c>
      <c r="BH131" s="29">
        <f>VLOOKUP(E131,'[3]Y2604-Y2608_庫存&amp;銷售'!$F:$AL,25,0)</f>
        <v>0</v>
      </c>
      <c r="BI131" s="29">
        <f>VLOOKUP(E131,'[3]Y2604-Y2608_庫存&amp;銷售'!$F:$AN,30,0)</f>
        <v>0</v>
      </c>
      <c r="BJ131" s="81">
        <f t="shared" si="68"/>
        <v>0</v>
      </c>
      <c r="BK131" s="81">
        <f t="shared" si="69"/>
        <v>0</v>
      </c>
      <c r="BL131" s="81">
        <f t="shared" si="70"/>
        <v>0</v>
      </c>
      <c r="BM131" s="81">
        <f t="shared" si="71"/>
        <v>0</v>
      </c>
      <c r="BN131" s="81">
        <f t="shared" si="72"/>
        <v>0</v>
      </c>
      <c r="BO131" s="81">
        <f t="shared" si="73"/>
        <v>0</v>
      </c>
      <c r="BP131" s="81">
        <f t="shared" si="62"/>
        <v>0</v>
      </c>
      <c r="BQ131" s="81">
        <f t="shared" si="63"/>
        <v>0</v>
      </c>
      <c r="BR131" s="81">
        <f t="shared" si="64"/>
        <v>0</v>
      </c>
      <c r="BS131" s="199">
        <f t="shared" ref="BS131:BS194" si="86">BD131*(K131-AY131)</f>
        <v>0</v>
      </c>
      <c r="BT131" s="199">
        <f t="shared" si="81"/>
        <v>0</v>
      </c>
      <c r="BU131" s="199">
        <f t="shared" si="82"/>
        <v>0</v>
      </c>
      <c r="BV131" s="112">
        <f>VLOOKUP(E131,'[4]Y2604-Y2608_庫存&amp;銷售'!$F:$AB,17,0)</f>
        <v>0</v>
      </c>
      <c r="BW131" s="112">
        <f>VLOOKUP(A131,'[5]Demand inbond in Sep'!$B:$M,12,0)</f>
        <v>0</v>
      </c>
      <c r="BX131" s="112"/>
    </row>
    <row r="132" spans="1:76" ht="15" x14ac:dyDescent="0.35">
      <c r="A132" s="2">
        <v>522244896295297</v>
      </c>
      <c r="B132" s="19" t="s">
        <v>91</v>
      </c>
      <c r="C132" s="1" t="s">
        <v>92</v>
      </c>
      <c r="D132" s="2" t="e">
        <v>#N/A</v>
      </c>
      <c r="E132" s="3">
        <v>4987176372222</v>
      </c>
      <c r="F132" s="3">
        <v>4987176372222</v>
      </c>
      <c r="G132" s="4" t="s">
        <v>132</v>
      </c>
      <c r="H132" s="1">
        <v>465</v>
      </c>
      <c r="I132" s="1"/>
      <c r="J132" s="5">
        <v>1</v>
      </c>
      <c r="K132" s="5">
        <v>507.72</v>
      </c>
      <c r="L132" s="5">
        <v>471.88</v>
      </c>
      <c r="M132" s="169">
        <f>62+292</f>
        <v>354</v>
      </c>
      <c r="N132" s="21"/>
      <c r="O132" s="23">
        <f>VLOOKUP(E132,'[5]Demand inbond in Sep'!$C:$M,11,0)</f>
        <v>0</v>
      </c>
      <c r="P132" s="24">
        <f>M132*J132</f>
        <v>354</v>
      </c>
      <c r="Q132" s="24">
        <f>N132*J132</f>
        <v>0</v>
      </c>
      <c r="R132" s="24">
        <f t="shared" si="80"/>
        <v>0</v>
      </c>
      <c r="S132" s="31"/>
      <c r="T132" s="31"/>
      <c r="U132" s="31"/>
      <c r="V132" s="31"/>
      <c r="W132" s="31">
        <v>6</v>
      </c>
      <c r="X132" s="31"/>
      <c r="Y132" s="31"/>
      <c r="Z132" s="31"/>
      <c r="AA132" s="31"/>
      <c r="AB132" s="31">
        <v>348</v>
      </c>
      <c r="AC132" s="31">
        <f t="shared" si="55"/>
        <v>354</v>
      </c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>
        <f t="shared" si="83"/>
        <v>0</v>
      </c>
      <c r="AO132" s="31"/>
      <c r="AP132" s="31"/>
      <c r="AQ132" s="31"/>
      <c r="AR132" s="31"/>
      <c r="AS132" s="31">
        <v>0</v>
      </c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>
        <f t="shared" si="84"/>
        <v>0</v>
      </c>
      <c r="BE132" s="29">
        <f t="shared" si="77"/>
        <v>0</v>
      </c>
      <c r="BF132" s="29">
        <f t="shared" si="85"/>
        <v>0</v>
      </c>
      <c r="BG132" s="29">
        <f>VLOOKUP(E132,'[3]Y2604-Y2608_庫存&amp;銷售'!$F:$AJ,23,0)</f>
        <v>17</v>
      </c>
      <c r="BH132" s="29">
        <f>VLOOKUP(E132,'[3]Y2604-Y2608_庫存&amp;銷售'!$F:$AL,25,0)</f>
        <v>0</v>
      </c>
      <c r="BI132" s="29">
        <f>VLOOKUP(E132,'[3]Y2604-Y2608_庫存&amp;銷售'!$F:$AN,30,0)</f>
        <v>0</v>
      </c>
      <c r="BJ132" s="81">
        <f t="shared" si="68"/>
        <v>179732.88</v>
      </c>
      <c r="BK132" s="81">
        <f t="shared" si="69"/>
        <v>0</v>
      </c>
      <c r="BL132" s="81">
        <f t="shared" si="70"/>
        <v>0</v>
      </c>
      <c r="BM132" s="81">
        <f t="shared" si="71"/>
        <v>179732.88</v>
      </c>
      <c r="BN132" s="81">
        <f t="shared" si="72"/>
        <v>164610</v>
      </c>
      <c r="BO132" s="81">
        <f t="shared" si="73"/>
        <v>170386.43040000001</v>
      </c>
      <c r="BP132" s="81">
        <f t="shared" si="62"/>
        <v>0</v>
      </c>
      <c r="BQ132" s="81">
        <f t="shared" si="63"/>
        <v>0</v>
      </c>
      <c r="BR132" s="81">
        <f t="shared" si="64"/>
        <v>0</v>
      </c>
      <c r="BS132" s="199">
        <f t="shared" si="86"/>
        <v>0</v>
      </c>
      <c r="BT132" s="199">
        <f t="shared" si="81"/>
        <v>0</v>
      </c>
      <c r="BU132" s="199">
        <f t="shared" si="82"/>
        <v>0</v>
      </c>
      <c r="BV132" s="112">
        <f>VLOOKUP(E132,'[4]Y2604-Y2608_庫存&amp;銷售'!$F:$AB,17,0)</f>
        <v>7</v>
      </c>
      <c r="BW132" s="112">
        <f>VLOOKUP(A132,'[5]Demand inbond in Sep'!$B:$M,12,0)</f>
        <v>0</v>
      </c>
      <c r="BX132" s="112"/>
    </row>
    <row r="133" spans="1:76" s="53" customFormat="1" ht="15" x14ac:dyDescent="0.35">
      <c r="A133" s="7">
        <v>522244896295305</v>
      </c>
      <c r="B133" s="20" t="s">
        <v>91</v>
      </c>
      <c r="C133" s="6" t="s">
        <v>92</v>
      </c>
      <c r="D133" s="7">
        <v>80889757</v>
      </c>
      <c r="E133" s="8">
        <v>4987176372161</v>
      </c>
      <c r="F133" s="8">
        <v>4987176372161</v>
      </c>
      <c r="G133" s="9" t="s">
        <v>133</v>
      </c>
      <c r="H133" s="6">
        <v>853</v>
      </c>
      <c r="I133" s="33" t="s">
        <v>169</v>
      </c>
      <c r="J133" s="10">
        <v>1</v>
      </c>
      <c r="K133" s="5">
        <v>1015.44</v>
      </c>
      <c r="L133" s="5"/>
      <c r="M133" s="115">
        <v>0</v>
      </c>
      <c r="N133" s="21">
        <f>VLOOKUP(E133,'[8]Demand inbond in Aug'!$C:$T,18,0)</f>
        <v>0</v>
      </c>
      <c r="O133" s="23">
        <f>VLOOKUP(E133,'[5]Demand inbond in Sep'!$C:$M,11,0)</f>
        <v>0</v>
      </c>
      <c r="P133" s="54">
        <f>M133*J133</f>
        <v>0</v>
      </c>
      <c r="Q133" s="54">
        <f>N133*J133</f>
        <v>0</v>
      </c>
      <c r="R133" s="54">
        <f t="shared" si="80"/>
        <v>0</v>
      </c>
      <c r="S133" s="52"/>
      <c r="T133" s="52"/>
      <c r="U133" s="52"/>
      <c r="V133" s="52"/>
      <c r="W133" s="52"/>
      <c r="X133" s="31"/>
      <c r="Y133" s="31"/>
      <c r="Z133" s="52"/>
      <c r="AA133" s="52"/>
      <c r="AB133" s="52"/>
      <c r="AC133" s="31">
        <f t="shared" si="55"/>
        <v>0</v>
      </c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>
        <f t="shared" si="83"/>
        <v>0</v>
      </c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>
        <f t="shared" si="84"/>
        <v>0</v>
      </c>
      <c r="BE133" s="29">
        <f t="shared" si="77"/>
        <v>0</v>
      </c>
      <c r="BF133" s="29">
        <f t="shared" si="85"/>
        <v>0</v>
      </c>
      <c r="BG133" s="29">
        <f>VLOOKUP(E133,'[3]Y2604-Y2608_庫存&amp;銷售'!$F:$AJ,23,0)</f>
        <v>0</v>
      </c>
      <c r="BH133" s="29">
        <f>VLOOKUP(E133,'[3]Y2604-Y2608_庫存&amp;銷售'!$F:$AL,25,0)</f>
        <v>0</v>
      </c>
      <c r="BI133" s="29">
        <f>VLOOKUP(E133,'[3]Y2604-Y2608_庫存&amp;銷售'!$F:$AN,30,0)</f>
        <v>0</v>
      </c>
      <c r="BJ133" s="81">
        <f t="shared" si="68"/>
        <v>0</v>
      </c>
      <c r="BK133" s="81">
        <f t="shared" si="69"/>
        <v>0</v>
      </c>
      <c r="BL133" s="81">
        <f t="shared" si="70"/>
        <v>0</v>
      </c>
      <c r="BM133" s="81">
        <f t="shared" si="71"/>
        <v>0</v>
      </c>
      <c r="BN133" s="81">
        <f t="shared" si="72"/>
        <v>0</v>
      </c>
      <c r="BO133" s="81">
        <f t="shared" si="73"/>
        <v>0</v>
      </c>
      <c r="BP133" s="81">
        <f t="shared" si="62"/>
        <v>0</v>
      </c>
      <c r="BQ133" s="81">
        <f t="shared" si="63"/>
        <v>0</v>
      </c>
      <c r="BR133" s="81">
        <f t="shared" si="64"/>
        <v>0</v>
      </c>
      <c r="BS133" s="199">
        <f t="shared" si="86"/>
        <v>0</v>
      </c>
      <c r="BT133" s="199">
        <f t="shared" si="81"/>
        <v>0</v>
      </c>
      <c r="BU133" s="199">
        <f t="shared" si="82"/>
        <v>0</v>
      </c>
      <c r="BV133" s="112">
        <f>VLOOKUP(E133,'[4]Y2604-Y2608_庫存&amp;銷售'!$F:$AB,17,0)</f>
        <v>0</v>
      </c>
      <c r="BW133" s="112">
        <f>VLOOKUP(A133,'[5]Demand inbond in Sep'!$B:$M,12,0)</f>
        <v>0</v>
      </c>
      <c r="BX133" s="112"/>
    </row>
    <row r="134" spans="1:76" ht="15" x14ac:dyDescent="0.35">
      <c r="A134" s="2">
        <v>522244896295310</v>
      </c>
      <c r="B134" s="19" t="s">
        <v>91</v>
      </c>
      <c r="C134" s="1" t="s">
        <v>92</v>
      </c>
      <c r="D134" s="2" t="e">
        <v>#N/A</v>
      </c>
      <c r="E134" s="3">
        <v>4987176372192</v>
      </c>
      <c r="F134" s="3">
        <v>4987176372192</v>
      </c>
      <c r="G134" s="4" t="s">
        <v>134</v>
      </c>
      <c r="H134" s="1">
        <v>465</v>
      </c>
      <c r="I134" s="1"/>
      <c r="J134" s="5">
        <v>1</v>
      </c>
      <c r="K134" s="5">
        <v>507.72</v>
      </c>
      <c r="L134" s="5">
        <v>471.88</v>
      </c>
      <c r="M134" s="169">
        <f>83+57</f>
        <v>140</v>
      </c>
      <c r="N134" s="21"/>
      <c r="O134" s="23">
        <f>VLOOKUP(E134,'[5]Demand inbond in Sep'!$C:$M,11,0)</f>
        <v>119</v>
      </c>
      <c r="P134" s="24">
        <v>83</v>
      </c>
      <c r="Q134" s="24">
        <v>83</v>
      </c>
      <c r="R134" s="24">
        <f t="shared" si="80"/>
        <v>119</v>
      </c>
      <c r="S134" s="31"/>
      <c r="T134" s="31"/>
      <c r="U134" s="31"/>
      <c r="V134" s="31"/>
      <c r="W134" s="31">
        <v>6</v>
      </c>
      <c r="X134" s="31"/>
      <c r="Y134" s="31">
        <v>10</v>
      </c>
      <c r="Z134" s="31"/>
      <c r="AA134" s="31"/>
      <c r="AB134" s="31">
        <v>124</v>
      </c>
      <c r="AC134" s="31">
        <f t="shared" si="55"/>
        <v>140</v>
      </c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>
        <f t="shared" si="83"/>
        <v>0</v>
      </c>
      <c r="AO134" s="31"/>
      <c r="AP134" s="31"/>
      <c r="AQ134" s="31"/>
      <c r="AR134" s="31"/>
      <c r="AS134" s="31">
        <v>80</v>
      </c>
      <c r="AT134" s="31">
        <v>39</v>
      </c>
      <c r="AU134" s="31"/>
      <c r="AV134" s="31"/>
      <c r="AW134" s="31"/>
      <c r="AX134" s="31"/>
      <c r="AY134" s="31"/>
      <c r="AZ134" s="31"/>
      <c r="BA134" s="31"/>
      <c r="BB134" s="31"/>
      <c r="BC134" s="31"/>
      <c r="BD134" s="31">
        <f t="shared" si="84"/>
        <v>119</v>
      </c>
      <c r="BE134" s="29">
        <f t="shared" si="77"/>
        <v>0</v>
      </c>
      <c r="BF134" s="29">
        <f t="shared" si="85"/>
        <v>119</v>
      </c>
      <c r="BG134" s="29">
        <f>VLOOKUP(E134,'[3]Y2604-Y2608_庫存&amp;銷售'!$F:$AJ,23,0)</f>
        <v>20</v>
      </c>
      <c r="BH134" s="29">
        <f>VLOOKUP(E134,'[3]Y2604-Y2608_庫存&amp;銷售'!$F:$AL,25,0)</f>
        <v>0</v>
      </c>
      <c r="BI134" s="29">
        <f>VLOOKUP(E134,'[3]Y2604-Y2608_庫存&amp;銷售'!$F:$AN,30,0)</f>
        <v>0</v>
      </c>
      <c r="BJ134" s="81">
        <f t="shared" si="68"/>
        <v>71080.800000000003</v>
      </c>
      <c r="BK134" s="81">
        <f t="shared" si="69"/>
        <v>0</v>
      </c>
      <c r="BL134" s="81">
        <f t="shared" si="70"/>
        <v>60418.68</v>
      </c>
      <c r="BM134" s="81">
        <f t="shared" si="71"/>
        <v>71080.800000000003</v>
      </c>
      <c r="BN134" s="81">
        <f t="shared" si="72"/>
        <v>65100</v>
      </c>
      <c r="BO134" s="81">
        <f t="shared" si="73"/>
        <v>67384.464000000007</v>
      </c>
      <c r="BP134" s="81">
        <f t="shared" si="62"/>
        <v>0</v>
      </c>
      <c r="BQ134" s="81">
        <f t="shared" si="63"/>
        <v>0</v>
      </c>
      <c r="BR134" s="81">
        <f t="shared" si="64"/>
        <v>0</v>
      </c>
      <c r="BS134" s="199">
        <f t="shared" si="86"/>
        <v>60418.68</v>
      </c>
      <c r="BT134" s="199">
        <f t="shared" si="81"/>
        <v>55335</v>
      </c>
      <c r="BU134" s="199">
        <f t="shared" si="82"/>
        <v>57276.794400000006</v>
      </c>
      <c r="BV134" s="112">
        <f>VLOOKUP(E134,'[4]Y2604-Y2608_庫存&amp;銷售'!$F:$AB,17,0)</f>
        <v>9</v>
      </c>
      <c r="BW134" s="112">
        <f>VLOOKUP(A134,'[5]Demand inbond in Sep'!$B:$M,12,0)</f>
        <v>119</v>
      </c>
      <c r="BX134" s="112"/>
    </row>
    <row r="135" spans="1:76" s="53" customFormat="1" ht="15" x14ac:dyDescent="0.35">
      <c r="A135" s="7">
        <v>522244896295318</v>
      </c>
      <c r="B135" s="20" t="s">
        <v>91</v>
      </c>
      <c r="C135" s="6" t="s">
        <v>92</v>
      </c>
      <c r="D135" s="7">
        <v>80889770</v>
      </c>
      <c r="E135" s="8">
        <v>4987176372291</v>
      </c>
      <c r="F135" s="8">
        <v>4987176372291</v>
      </c>
      <c r="G135" s="9" t="s">
        <v>135</v>
      </c>
      <c r="H135" s="6">
        <v>853</v>
      </c>
      <c r="I135" s="33" t="s">
        <v>169</v>
      </c>
      <c r="J135" s="10">
        <v>1</v>
      </c>
      <c r="K135" s="5">
        <v>1015.44</v>
      </c>
      <c r="L135" s="5"/>
      <c r="M135" s="115">
        <v>0</v>
      </c>
      <c r="N135" s="21">
        <f>VLOOKUP(E135,'[8]Demand inbond in Aug'!$C:$T,18,0)</f>
        <v>0</v>
      </c>
      <c r="O135" s="23">
        <f>VLOOKUP(E135,'[5]Demand inbond in Sep'!$C:$M,11,0)</f>
        <v>0</v>
      </c>
      <c r="P135" s="54">
        <f>M135*J135</f>
        <v>0</v>
      </c>
      <c r="Q135" s="54">
        <f>N135*J135</f>
        <v>0</v>
      </c>
      <c r="R135" s="54">
        <f t="shared" si="80"/>
        <v>0</v>
      </c>
      <c r="S135" s="52"/>
      <c r="T135" s="52"/>
      <c r="U135" s="52"/>
      <c r="V135" s="52"/>
      <c r="W135" s="52"/>
      <c r="X135" s="31"/>
      <c r="Y135" s="31"/>
      <c r="Z135" s="52"/>
      <c r="AA135" s="52"/>
      <c r="AB135" s="52"/>
      <c r="AC135" s="31">
        <f t="shared" ref="AC135:AC198" si="87">SUM(V135:AB135)</f>
        <v>0</v>
      </c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>
        <f t="shared" si="83"/>
        <v>0</v>
      </c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>
        <f t="shared" si="84"/>
        <v>0</v>
      </c>
      <c r="BE135" s="29">
        <f t="shared" si="77"/>
        <v>0</v>
      </c>
      <c r="BF135" s="29">
        <f t="shared" si="85"/>
        <v>0</v>
      </c>
      <c r="BG135" s="29">
        <f>VLOOKUP(E135,'[3]Y2604-Y2608_庫存&amp;銷售'!$F:$AJ,23,0)</f>
        <v>0</v>
      </c>
      <c r="BH135" s="29">
        <f>VLOOKUP(E135,'[3]Y2604-Y2608_庫存&amp;銷售'!$F:$AL,25,0)</f>
        <v>0</v>
      </c>
      <c r="BI135" s="29">
        <f>VLOOKUP(E135,'[3]Y2604-Y2608_庫存&amp;銷售'!$F:$AN,30,0)</f>
        <v>0</v>
      </c>
      <c r="BJ135" s="81">
        <f t="shared" ref="BJ135:BJ166" si="88">M135*K135</f>
        <v>0</v>
      </c>
      <c r="BK135" s="81">
        <f t="shared" ref="BK135:BK166" si="89">N135*K135</f>
        <v>0</v>
      </c>
      <c r="BL135" s="81">
        <f t="shared" ref="BL135:BL166" si="90">O135*K135</f>
        <v>0</v>
      </c>
      <c r="BM135" s="81">
        <f t="shared" si="71"/>
        <v>0</v>
      </c>
      <c r="BN135" s="81">
        <f t="shared" si="72"/>
        <v>0</v>
      </c>
      <c r="BO135" s="81">
        <f t="shared" si="73"/>
        <v>0</v>
      </c>
      <c r="BP135" s="81">
        <f t="shared" si="62"/>
        <v>0</v>
      </c>
      <c r="BQ135" s="81">
        <f t="shared" si="63"/>
        <v>0</v>
      </c>
      <c r="BR135" s="81">
        <f t="shared" si="64"/>
        <v>0</v>
      </c>
      <c r="BS135" s="199">
        <f t="shared" si="86"/>
        <v>0</v>
      </c>
      <c r="BT135" s="199">
        <f t="shared" si="81"/>
        <v>0</v>
      </c>
      <c r="BU135" s="199">
        <f t="shared" si="82"/>
        <v>0</v>
      </c>
      <c r="BV135" s="112">
        <f>VLOOKUP(E135,'[4]Y2604-Y2608_庫存&amp;銷售'!$F:$AB,17,0)</f>
        <v>0</v>
      </c>
      <c r="BW135" s="112">
        <f>VLOOKUP(A135,'[5]Demand inbond in Sep'!$B:$M,12,0)</f>
        <v>0</v>
      </c>
      <c r="BX135" s="112"/>
    </row>
    <row r="136" spans="1:76" ht="15" x14ac:dyDescent="0.35">
      <c r="A136" s="2">
        <v>522244896295326</v>
      </c>
      <c r="B136" s="19" t="s">
        <v>91</v>
      </c>
      <c r="C136" s="1" t="s">
        <v>92</v>
      </c>
      <c r="D136" s="2" t="e">
        <v>#N/A</v>
      </c>
      <c r="E136" s="3">
        <v>4987176372130</v>
      </c>
      <c r="F136" s="3">
        <v>4987176372130</v>
      </c>
      <c r="G136" s="4" t="s">
        <v>136</v>
      </c>
      <c r="H136" s="1">
        <v>465</v>
      </c>
      <c r="I136" s="1"/>
      <c r="J136" s="5">
        <v>1</v>
      </c>
      <c r="K136" s="5">
        <v>507.72</v>
      </c>
      <c r="L136" s="5">
        <v>471.88</v>
      </c>
      <c r="M136" s="169">
        <f>83+71</f>
        <v>154</v>
      </c>
      <c r="N136" s="21"/>
      <c r="O136" s="23">
        <v>160</v>
      </c>
      <c r="P136" s="24">
        <v>83</v>
      </c>
      <c r="Q136" s="24">
        <v>83</v>
      </c>
      <c r="R136" s="24">
        <f t="shared" si="80"/>
        <v>160</v>
      </c>
      <c r="S136" s="31"/>
      <c r="T136" s="31"/>
      <c r="U136" s="31"/>
      <c r="V136" s="31"/>
      <c r="W136" s="31">
        <v>6</v>
      </c>
      <c r="X136" s="31"/>
      <c r="Y136" s="31"/>
      <c r="Z136" s="31"/>
      <c r="AA136" s="31"/>
      <c r="AB136" s="31">
        <v>148</v>
      </c>
      <c r="AC136" s="31">
        <f t="shared" si="87"/>
        <v>154</v>
      </c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>
        <f t="shared" si="83"/>
        <v>0</v>
      </c>
      <c r="AO136" s="31"/>
      <c r="AP136" s="31">
        <v>68</v>
      </c>
      <c r="AQ136" s="31"/>
      <c r="AR136" s="31"/>
      <c r="AS136" s="31"/>
      <c r="AT136" s="31"/>
      <c r="AU136" s="31"/>
      <c r="AV136" s="31"/>
      <c r="AW136" s="31"/>
      <c r="AX136" s="31">
        <v>92</v>
      </c>
      <c r="AY136" s="31"/>
      <c r="AZ136" s="31">
        <v>0</v>
      </c>
      <c r="BA136" s="31"/>
      <c r="BB136" s="31"/>
      <c r="BC136" s="31"/>
      <c r="BD136" s="31">
        <f t="shared" si="84"/>
        <v>160</v>
      </c>
      <c r="BE136" s="29">
        <f t="shared" si="77"/>
        <v>0</v>
      </c>
      <c r="BF136" s="29">
        <f t="shared" si="85"/>
        <v>68</v>
      </c>
      <c r="BG136" s="29">
        <f>VLOOKUP(E136,'[3]Y2604-Y2608_庫存&amp;銷售'!$F:$AJ,23,0)</f>
        <v>3</v>
      </c>
      <c r="BH136" s="29">
        <f>VLOOKUP(E136,'[3]Y2604-Y2608_庫存&amp;銷售'!$F:$AL,25,0)</f>
        <v>0</v>
      </c>
      <c r="BI136" s="29">
        <f>VLOOKUP(E136,'[3]Y2604-Y2608_庫存&amp;銷售'!$F:$AN,30,0)</f>
        <v>0</v>
      </c>
      <c r="BJ136" s="81">
        <f t="shared" si="88"/>
        <v>78188.88</v>
      </c>
      <c r="BK136" s="81">
        <f t="shared" si="89"/>
        <v>0</v>
      </c>
      <c r="BL136" s="81">
        <f t="shared" si="90"/>
        <v>81235.200000000012</v>
      </c>
      <c r="BM136" s="81">
        <f t="shared" si="71"/>
        <v>78188.88</v>
      </c>
      <c r="BN136" s="81">
        <f t="shared" si="72"/>
        <v>71610</v>
      </c>
      <c r="BO136" s="81">
        <f t="shared" si="73"/>
        <v>74122.910400000008</v>
      </c>
      <c r="BP136" s="81">
        <f t="shared" si="62"/>
        <v>0</v>
      </c>
      <c r="BQ136" s="81">
        <f t="shared" si="63"/>
        <v>0</v>
      </c>
      <c r="BR136" s="81">
        <f t="shared" si="64"/>
        <v>0</v>
      </c>
      <c r="BS136" s="199">
        <f t="shared" si="86"/>
        <v>81235.200000000012</v>
      </c>
      <c r="BT136" s="199">
        <f t="shared" si="81"/>
        <v>74400</v>
      </c>
      <c r="BU136" s="199">
        <f t="shared" si="82"/>
        <v>77010.816000000006</v>
      </c>
      <c r="BV136" s="112">
        <f>VLOOKUP(E136,'[4]Y2604-Y2608_庫存&amp;銷售'!$F:$AB,17,0)</f>
        <v>9</v>
      </c>
      <c r="BW136" s="112">
        <f>VLOOKUP(A136,'[5]Demand inbond in Sep'!$B:$M,12,0)</f>
        <v>160</v>
      </c>
      <c r="BX136" s="112"/>
    </row>
    <row r="137" spans="1:76" ht="15" x14ac:dyDescent="0.35">
      <c r="A137" s="2">
        <v>522244896295333</v>
      </c>
      <c r="B137" s="19" t="s">
        <v>91</v>
      </c>
      <c r="C137" s="1" t="s">
        <v>92</v>
      </c>
      <c r="D137" s="2">
        <v>80889771</v>
      </c>
      <c r="E137" s="3">
        <v>4987176372307</v>
      </c>
      <c r="F137" s="3">
        <v>4987176372307</v>
      </c>
      <c r="G137" s="4" t="s">
        <v>137</v>
      </c>
      <c r="H137" s="1">
        <v>495</v>
      </c>
      <c r="I137" s="1"/>
      <c r="J137" s="5">
        <v>1</v>
      </c>
      <c r="K137" s="5">
        <v>507.72</v>
      </c>
      <c r="L137" s="5">
        <v>471.88</v>
      </c>
      <c r="M137" s="115">
        <v>200</v>
      </c>
      <c r="N137" s="170">
        <v>510</v>
      </c>
      <c r="O137" s="23">
        <f>VLOOKUP(E137,'[5]Demand inbond in Sep'!$C:$M,11,0)</f>
        <v>659</v>
      </c>
      <c r="P137" s="24">
        <f t="shared" ref="P137:P150" si="91">M137*J137</f>
        <v>200</v>
      </c>
      <c r="Q137" s="24">
        <f t="shared" ref="Q137:Q150" si="92">N137*J137</f>
        <v>510</v>
      </c>
      <c r="R137" s="24">
        <f t="shared" si="80"/>
        <v>659</v>
      </c>
      <c r="S137" s="31"/>
      <c r="T137" s="31"/>
      <c r="U137" s="31"/>
      <c r="V137" s="31"/>
      <c r="W137" s="31">
        <v>200</v>
      </c>
      <c r="X137" s="31">
        <v>0</v>
      </c>
      <c r="Y137" s="31">
        <v>0</v>
      </c>
      <c r="Z137" s="31"/>
      <c r="AA137" s="31"/>
      <c r="AB137" s="31">
        <v>0</v>
      </c>
      <c r="AC137" s="31">
        <f t="shared" si="87"/>
        <v>200</v>
      </c>
      <c r="AD137" s="31">
        <v>290</v>
      </c>
      <c r="AE137" s="31"/>
      <c r="AF137" s="31"/>
      <c r="AG137" s="31"/>
      <c r="AH137" s="31"/>
      <c r="AI137" s="31">
        <v>110</v>
      </c>
      <c r="AJ137" s="31">
        <v>110</v>
      </c>
      <c r="AK137" s="31"/>
      <c r="AL137" s="31"/>
      <c r="AM137" s="31"/>
      <c r="AN137" s="31">
        <f t="shared" si="83"/>
        <v>510</v>
      </c>
      <c r="AO137" s="31"/>
      <c r="AP137" s="31">
        <v>290</v>
      </c>
      <c r="AQ137" s="31"/>
      <c r="AR137" s="31"/>
      <c r="AS137" s="31"/>
      <c r="AT137" s="31">
        <v>369</v>
      </c>
      <c r="AU137" s="31"/>
      <c r="AV137" s="31"/>
      <c r="AW137" s="31"/>
      <c r="AX137" s="31"/>
      <c r="AY137" s="31"/>
      <c r="AZ137" s="31"/>
      <c r="BA137" s="31"/>
      <c r="BB137" s="31"/>
      <c r="BC137" s="31"/>
      <c r="BD137" s="31">
        <f t="shared" si="84"/>
        <v>659</v>
      </c>
      <c r="BE137" s="29">
        <f t="shared" si="77"/>
        <v>0</v>
      </c>
      <c r="BF137" s="29">
        <f t="shared" si="85"/>
        <v>659</v>
      </c>
      <c r="BG137" s="29">
        <f>VLOOKUP(E137,'[3]Y2604-Y2608_庫存&amp;銷售'!$F:$AJ,23,0)</f>
        <v>85</v>
      </c>
      <c r="BH137" s="29">
        <f>VLOOKUP(E137,'[3]Y2604-Y2608_庫存&amp;銷售'!$F:$AL,25,0)</f>
        <v>0</v>
      </c>
      <c r="BI137" s="29">
        <f>VLOOKUP(E137,'[3]Y2604-Y2608_庫存&amp;銷售'!$F:$AN,30,0)</f>
        <v>0</v>
      </c>
      <c r="BJ137" s="81">
        <f t="shared" si="88"/>
        <v>101544</v>
      </c>
      <c r="BK137" s="81">
        <f t="shared" si="89"/>
        <v>258937.2</v>
      </c>
      <c r="BL137" s="81">
        <f t="shared" si="90"/>
        <v>334587.48000000004</v>
      </c>
      <c r="BM137" s="81">
        <f t="shared" si="71"/>
        <v>101544</v>
      </c>
      <c r="BN137" s="81">
        <f t="shared" si="72"/>
        <v>99000</v>
      </c>
      <c r="BO137" s="81">
        <f t="shared" si="73"/>
        <v>96263.52</v>
      </c>
      <c r="BP137" s="81">
        <f t="shared" si="62"/>
        <v>258937.2</v>
      </c>
      <c r="BQ137" s="81">
        <f t="shared" si="63"/>
        <v>252450</v>
      </c>
      <c r="BR137" s="81">
        <f t="shared" si="64"/>
        <v>245471.97600000002</v>
      </c>
      <c r="BS137" s="199">
        <f t="shared" si="86"/>
        <v>334587.48000000004</v>
      </c>
      <c r="BT137" s="199">
        <f t="shared" si="81"/>
        <v>326205</v>
      </c>
      <c r="BU137" s="199">
        <f t="shared" si="82"/>
        <v>317188.29840000003</v>
      </c>
      <c r="BV137" s="112">
        <f>VLOOKUP(E137,'[4]Y2604-Y2608_庫存&amp;銷售'!$F:$AB,17,0)</f>
        <v>474</v>
      </c>
      <c r="BW137" s="112">
        <f>VLOOKUP(A137,'[5]Demand inbond in Sep'!$B:$M,12,0)</f>
        <v>659</v>
      </c>
      <c r="BX137" s="112"/>
    </row>
    <row r="138" spans="1:76" ht="15" x14ac:dyDescent="0.35">
      <c r="A138" s="2">
        <v>522244896295340</v>
      </c>
      <c r="B138" s="19" t="s">
        <v>91</v>
      </c>
      <c r="C138" s="1" t="s">
        <v>92</v>
      </c>
      <c r="D138" s="2">
        <v>80889747</v>
      </c>
      <c r="E138" s="3">
        <v>4987176372062</v>
      </c>
      <c r="F138" s="3">
        <v>4987176372062</v>
      </c>
      <c r="G138" s="4" t="s">
        <v>138</v>
      </c>
      <c r="H138" s="1">
        <v>495</v>
      </c>
      <c r="I138" s="1"/>
      <c r="J138" s="5">
        <v>1</v>
      </c>
      <c r="K138" s="5">
        <v>507.72</v>
      </c>
      <c r="L138" s="5">
        <v>471.88</v>
      </c>
      <c r="M138" s="115">
        <v>200</v>
      </c>
      <c r="N138" s="170">
        <f>VLOOKUP(E138,'[8]Demand inbond in Aug'!$C:$T,18,0)+27</f>
        <v>227</v>
      </c>
      <c r="O138" s="23">
        <f>VLOOKUP(E138,'[5]Demand inbond in Sep'!$C:$M,11,0)</f>
        <v>330</v>
      </c>
      <c r="P138" s="24">
        <f t="shared" si="91"/>
        <v>200</v>
      </c>
      <c r="Q138" s="24">
        <f t="shared" si="92"/>
        <v>227</v>
      </c>
      <c r="R138" s="24">
        <f t="shared" si="80"/>
        <v>330</v>
      </c>
      <c r="S138" s="31"/>
      <c r="T138" s="31"/>
      <c r="U138" s="31"/>
      <c r="V138" s="31"/>
      <c r="W138" s="31">
        <v>60</v>
      </c>
      <c r="X138" s="31"/>
      <c r="Y138" s="31">
        <v>140</v>
      </c>
      <c r="Z138" s="31"/>
      <c r="AA138" s="31"/>
      <c r="AB138" s="31">
        <v>0</v>
      </c>
      <c r="AC138" s="31">
        <f t="shared" si="87"/>
        <v>200</v>
      </c>
      <c r="AD138" s="31">
        <v>227</v>
      </c>
      <c r="AE138" s="31">
        <v>0</v>
      </c>
      <c r="AF138" s="31"/>
      <c r="AG138" s="31"/>
      <c r="AH138" s="31"/>
      <c r="AI138" s="31"/>
      <c r="AJ138" s="31"/>
      <c r="AK138" s="31"/>
      <c r="AL138" s="31"/>
      <c r="AM138" s="31"/>
      <c r="AN138" s="31">
        <f t="shared" si="83"/>
        <v>227</v>
      </c>
      <c r="AO138" s="31"/>
      <c r="AP138" s="31"/>
      <c r="AQ138" s="31"/>
      <c r="AR138" s="31"/>
      <c r="AS138" s="31">
        <v>330</v>
      </c>
      <c r="AT138" s="31">
        <v>0</v>
      </c>
      <c r="AU138" s="31"/>
      <c r="AV138" s="31"/>
      <c r="AW138" s="31"/>
      <c r="AX138" s="31"/>
      <c r="AY138" s="31"/>
      <c r="AZ138" s="31"/>
      <c r="BA138" s="31"/>
      <c r="BB138" s="31"/>
      <c r="BC138" s="31"/>
      <c r="BD138" s="31">
        <f t="shared" si="84"/>
        <v>330</v>
      </c>
      <c r="BE138" s="239">
        <f t="shared" si="77"/>
        <v>0</v>
      </c>
      <c r="BF138" s="29">
        <f t="shared" si="85"/>
        <v>330</v>
      </c>
      <c r="BG138" s="29">
        <f>VLOOKUP(E138,'[3]Y2604-Y2608_庫存&amp;銷售'!$F:$AJ,23,0)</f>
        <v>84</v>
      </c>
      <c r="BH138" s="29">
        <f>VLOOKUP(E138,'[3]Y2604-Y2608_庫存&amp;銷售'!$F:$AL,25,0)</f>
        <v>0</v>
      </c>
      <c r="BI138" s="29">
        <f>VLOOKUP(E138,'[3]Y2604-Y2608_庫存&amp;銷售'!$F:$AN,30,0)</f>
        <v>0</v>
      </c>
      <c r="BJ138" s="81">
        <f t="shared" si="88"/>
        <v>101544</v>
      </c>
      <c r="BK138" s="81">
        <f t="shared" si="89"/>
        <v>115252.44</v>
      </c>
      <c r="BL138" s="81">
        <f t="shared" si="90"/>
        <v>167547.6</v>
      </c>
      <c r="BM138" s="81">
        <f t="shared" si="71"/>
        <v>101544</v>
      </c>
      <c r="BN138" s="81">
        <f t="shared" si="72"/>
        <v>99000</v>
      </c>
      <c r="BO138" s="81">
        <f t="shared" si="73"/>
        <v>96263.52</v>
      </c>
      <c r="BP138" s="81">
        <f t="shared" si="62"/>
        <v>115252.44</v>
      </c>
      <c r="BQ138" s="81">
        <f t="shared" si="63"/>
        <v>112365</v>
      </c>
      <c r="BR138" s="81">
        <f t="shared" si="64"/>
        <v>109259.09520000001</v>
      </c>
      <c r="BS138" s="199">
        <f t="shared" si="86"/>
        <v>167547.6</v>
      </c>
      <c r="BT138" s="199">
        <f t="shared" si="81"/>
        <v>163350</v>
      </c>
      <c r="BU138" s="199">
        <f t="shared" si="82"/>
        <v>158834.80800000002</v>
      </c>
      <c r="BV138" s="112">
        <f>VLOOKUP(E138,'[4]Y2604-Y2608_庫存&amp;銷售'!$F:$AB,17,0)</f>
        <v>213</v>
      </c>
      <c r="BW138" s="112">
        <f>VLOOKUP(A138,'[5]Demand inbond in Sep'!$B:$M,12,0)</f>
        <v>330</v>
      </c>
      <c r="BX138" s="112"/>
    </row>
    <row r="139" spans="1:76" ht="15" x14ac:dyDescent="0.35">
      <c r="A139" s="2">
        <v>522244896295342</v>
      </c>
      <c r="B139" s="19" t="s">
        <v>91</v>
      </c>
      <c r="C139" s="1" t="s">
        <v>92</v>
      </c>
      <c r="D139" s="2" t="e">
        <v>#N/A</v>
      </c>
      <c r="E139" s="3">
        <v>4987176372321</v>
      </c>
      <c r="F139" s="3">
        <v>4987176372321</v>
      </c>
      <c r="G139" s="4" t="s">
        <v>139</v>
      </c>
      <c r="H139" s="1">
        <v>495</v>
      </c>
      <c r="I139" s="1"/>
      <c r="J139" s="5">
        <v>1</v>
      </c>
      <c r="K139" s="5">
        <v>507.72</v>
      </c>
      <c r="L139" s="5">
        <v>471.88</v>
      </c>
      <c r="M139" s="169">
        <f>200+84</f>
        <v>284</v>
      </c>
      <c r="N139" s="21">
        <f>VLOOKUP(E139,'[8]Demand inbond in Aug'!$C:$T,18,0)</f>
        <v>600</v>
      </c>
      <c r="O139" s="23">
        <f>VLOOKUP(E139,'[5]Demand inbond in Sep'!$C:$M,11,0)</f>
        <v>1254</v>
      </c>
      <c r="P139" s="24">
        <f t="shared" si="91"/>
        <v>284</v>
      </c>
      <c r="Q139" s="24">
        <f t="shared" si="92"/>
        <v>600</v>
      </c>
      <c r="R139" s="24">
        <f t="shared" si="80"/>
        <v>1254</v>
      </c>
      <c r="S139" s="31"/>
      <c r="T139" s="31"/>
      <c r="U139" s="31"/>
      <c r="V139" s="31"/>
      <c r="W139" s="31">
        <v>200</v>
      </c>
      <c r="X139" s="31"/>
      <c r="Y139" s="31">
        <v>0</v>
      </c>
      <c r="Z139" s="31"/>
      <c r="AA139" s="31"/>
      <c r="AB139" s="111">
        <v>84</v>
      </c>
      <c r="AC139" s="31">
        <f t="shared" si="87"/>
        <v>284</v>
      </c>
      <c r="AD139" s="31">
        <v>600</v>
      </c>
      <c r="AE139" s="31"/>
      <c r="AF139" s="31"/>
      <c r="AG139" s="31"/>
      <c r="AH139" s="31">
        <v>0</v>
      </c>
      <c r="AI139" s="31"/>
      <c r="AJ139" s="31"/>
      <c r="AK139" s="31"/>
      <c r="AL139" s="31"/>
      <c r="AM139" s="31"/>
      <c r="AN139" s="31">
        <f t="shared" si="83"/>
        <v>600</v>
      </c>
      <c r="AO139" s="31"/>
      <c r="AP139" s="31">
        <v>1150</v>
      </c>
      <c r="AQ139" s="31"/>
      <c r="AR139" s="31"/>
      <c r="AS139" s="31"/>
      <c r="AT139" s="31">
        <v>104</v>
      </c>
      <c r="AU139" s="31"/>
      <c r="AV139" s="31"/>
      <c r="AW139" s="31"/>
      <c r="AX139" s="31"/>
      <c r="AY139" s="31"/>
      <c r="AZ139" s="31"/>
      <c r="BA139" s="31"/>
      <c r="BB139" s="31"/>
      <c r="BC139" s="31"/>
      <c r="BD139" s="31">
        <f t="shared" si="84"/>
        <v>1254</v>
      </c>
      <c r="BE139" s="29">
        <f t="shared" si="77"/>
        <v>0</v>
      </c>
      <c r="BF139" s="29">
        <f t="shared" si="85"/>
        <v>1254</v>
      </c>
      <c r="BG139" s="29">
        <f>VLOOKUP(E139,'[3]Y2604-Y2608_庫存&amp;銷售'!$F:$AJ,23,0)</f>
        <v>56</v>
      </c>
      <c r="BH139" s="29">
        <f>VLOOKUP(E139,'[3]Y2604-Y2608_庫存&amp;銷售'!$F:$AL,25,0)</f>
        <v>0</v>
      </c>
      <c r="BI139" s="29">
        <f>VLOOKUP(E139,'[3]Y2604-Y2608_庫存&amp;銷售'!$F:$AN,30,0)</f>
        <v>0</v>
      </c>
      <c r="BJ139" s="81">
        <f t="shared" si="88"/>
        <v>144192.48000000001</v>
      </c>
      <c r="BK139" s="81">
        <f t="shared" si="89"/>
        <v>304632</v>
      </c>
      <c r="BL139" s="81">
        <f t="shared" si="90"/>
        <v>636680.88</v>
      </c>
      <c r="BM139" s="81">
        <f t="shared" si="71"/>
        <v>144192.48000000001</v>
      </c>
      <c r="BN139" s="81">
        <f t="shared" si="72"/>
        <v>140580</v>
      </c>
      <c r="BO139" s="81">
        <f t="shared" si="73"/>
        <v>136694.19839999999</v>
      </c>
      <c r="BP139" s="81">
        <f t="shared" si="62"/>
        <v>304632</v>
      </c>
      <c r="BQ139" s="81">
        <f t="shared" si="63"/>
        <v>297000</v>
      </c>
      <c r="BR139" s="81">
        <f t="shared" si="64"/>
        <v>288790.56</v>
      </c>
      <c r="BS139" s="199">
        <f t="shared" si="86"/>
        <v>636680.88</v>
      </c>
      <c r="BT139" s="199">
        <f t="shared" si="81"/>
        <v>620730</v>
      </c>
      <c r="BU139" s="199">
        <f t="shared" si="82"/>
        <v>603572.27040000004</v>
      </c>
      <c r="BV139" s="112">
        <f>VLOOKUP(E139,'[4]Y2604-Y2608_庫存&amp;銷售'!$F:$AB,17,0)</f>
        <v>865</v>
      </c>
      <c r="BW139" s="112">
        <f>VLOOKUP(A139,'[5]Demand inbond in Sep'!$B:$M,12,0)</f>
        <v>1254</v>
      </c>
      <c r="BX139" s="112"/>
    </row>
    <row r="140" spans="1:76" s="53" customFormat="1" ht="15" x14ac:dyDescent="0.35">
      <c r="A140" s="7">
        <v>522244896295347</v>
      </c>
      <c r="B140" s="20" t="s">
        <v>91</v>
      </c>
      <c r="C140" s="6" t="s">
        <v>92</v>
      </c>
      <c r="D140" s="7">
        <v>80889764</v>
      </c>
      <c r="E140" s="8">
        <v>4987176372239</v>
      </c>
      <c r="F140" s="8">
        <v>4987176372239</v>
      </c>
      <c r="G140" s="9" t="s">
        <v>140</v>
      </c>
      <c r="H140" s="6">
        <v>495</v>
      </c>
      <c r="I140" s="6" t="s">
        <v>362</v>
      </c>
      <c r="J140" s="10">
        <v>1</v>
      </c>
      <c r="K140" s="5">
        <v>507.72</v>
      </c>
      <c r="L140" s="5">
        <v>471.88</v>
      </c>
      <c r="M140" s="115">
        <v>0</v>
      </c>
      <c r="N140" s="21">
        <f>VLOOKUP(E140,'[8]Demand inbond in Aug'!$C:$T,18,0)</f>
        <v>0</v>
      </c>
      <c r="O140" s="23">
        <f>VLOOKUP(E140,'[5]Demand inbond in Sep'!$C:$M,11,0)</f>
        <v>0</v>
      </c>
      <c r="P140" s="51">
        <f t="shared" si="91"/>
        <v>0</v>
      </c>
      <c r="Q140" s="51">
        <f t="shared" si="92"/>
        <v>0</v>
      </c>
      <c r="R140" s="51">
        <f t="shared" si="80"/>
        <v>0</v>
      </c>
      <c r="S140" s="52"/>
      <c r="T140" s="52"/>
      <c r="U140" s="52"/>
      <c r="V140" s="52"/>
      <c r="W140" s="52"/>
      <c r="X140" s="31">
        <v>0</v>
      </c>
      <c r="Y140" s="31"/>
      <c r="Z140" s="52"/>
      <c r="AA140" s="52"/>
      <c r="AB140" s="52"/>
      <c r="AC140" s="31">
        <f t="shared" si="87"/>
        <v>0</v>
      </c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>
        <f t="shared" si="83"/>
        <v>0</v>
      </c>
      <c r="AO140" s="31"/>
      <c r="AP140" s="31"/>
      <c r="AQ140" s="31"/>
      <c r="AR140" s="31"/>
      <c r="AS140" s="31"/>
      <c r="AT140" s="31"/>
      <c r="AU140" s="31"/>
      <c r="AV140" s="31"/>
      <c r="AW140" s="31">
        <v>0</v>
      </c>
      <c r="AX140" s="31"/>
      <c r="AY140" s="31"/>
      <c r="AZ140" s="31"/>
      <c r="BA140" s="31"/>
      <c r="BB140" s="31"/>
      <c r="BC140" s="31"/>
      <c r="BD140" s="31">
        <f t="shared" si="84"/>
        <v>0</v>
      </c>
      <c r="BE140" s="29">
        <f t="shared" si="77"/>
        <v>0</v>
      </c>
      <c r="BF140" s="29">
        <f t="shared" si="85"/>
        <v>0</v>
      </c>
      <c r="BG140" s="29">
        <f>VLOOKUP(E140,'[3]Y2604-Y2608_庫存&amp;銷售'!$F:$AJ,23,0)</f>
        <v>0</v>
      </c>
      <c r="BH140" s="29">
        <f>VLOOKUP(E140,'[3]Y2604-Y2608_庫存&amp;銷售'!$F:$AL,25,0)</f>
        <v>0</v>
      </c>
      <c r="BI140" s="29">
        <f>VLOOKUP(E140,'[3]Y2604-Y2608_庫存&amp;銷售'!$F:$AN,30,0)</f>
        <v>0</v>
      </c>
      <c r="BJ140" s="81">
        <f t="shared" si="88"/>
        <v>0</v>
      </c>
      <c r="BK140" s="81">
        <f t="shared" si="89"/>
        <v>0</v>
      </c>
      <c r="BL140" s="81">
        <f t="shared" si="90"/>
        <v>0</v>
      </c>
      <c r="BM140" s="81">
        <f t="shared" si="71"/>
        <v>0</v>
      </c>
      <c r="BN140" s="81">
        <f t="shared" si="72"/>
        <v>0</v>
      </c>
      <c r="BO140" s="81">
        <f t="shared" si="73"/>
        <v>0</v>
      </c>
      <c r="BP140" s="81">
        <f t="shared" si="62"/>
        <v>0</v>
      </c>
      <c r="BQ140" s="81">
        <f t="shared" si="63"/>
        <v>0</v>
      </c>
      <c r="BR140" s="81">
        <f t="shared" si="64"/>
        <v>0</v>
      </c>
      <c r="BS140" s="199">
        <f t="shared" si="86"/>
        <v>0</v>
      </c>
      <c r="BT140" s="199">
        <f t="shared" si="81"/>
        <v>0</v>
      </c>
      <c r="BU140" s="199">
        <f t="shared" si="82"/>
        <v>0</v>
      </c>
      <c r="BV140" s="112">
        <f>VLOOKUP(E140,'[4]Y2604-Y2608_庫存&amp;銷售'!$F:$AB,17,0)</f>
        <v>12</v>
      </c>
      <c r="BW140" s="112">
        <f>VLOOKUP(A140,'[5]Demand inbond in Sep'!$B:$M,12,0)</f>
        <v>0</v>
      </c>
      <c r="BX140" s="112"/>
    </row>
    <row r="141" spans="1:76" s="53" customFormat="1" ht="15" x14ac:dyDescent="0.35">
      <c r="A141" s="7">
        <v>522244896295350</v>
      </c>
      <c r="B141" s="20" t="s">
        <v>91</v>
      </c>
      <c r="C141" s="6" t="s">
        <v>92</v>
      </c>
      <c r="D141" s="7">
        <v>80888291</v>
      </c>
      <c r="E141" s="8">
        <v>4987176369383</v>
      </c>
      <c r="F141" s="8">
        <v>4987176369383</v>
      </c>
      <c r="G141" s="9" t="s">
        <v>141</v>
      </c>
      <c r="H141" s="6">
        <v>883</v>
      </c>
      <c r="I141" s="146" t="s">
        <v>199</v>
      </c>
      <c r="J141" s="10">
        <v>1</v>
      </c>
      <c r="K141" s="5">
        <v>1015.44</v>
      </c>
      <c r="L141" s="5">
        <v>968.2</v>
      </c>
      <c r="M141" s="115">
        <v>0</v>
      </c>
      <c r="N141" s="21">
        <f>VLOOKUP(E141,'[8]Demand inbond in Aug'!$C:$T,18,0)</f>
        <v>0</v>
      </c>
      <c r="O141" s="23">
        <f>VLOOKUP(E141,'[5]Demand inbond in Sep'!$C:$M,11,0)</f>
        <v>0</v>
      </c>
      <c r="P141" s="51">
        <f t="shared" si="91"/>
        <v>0</v>
      </c>
      <c r="Q141" s="51">
        <f t="shared" si="92"/>
        <v>0</v>
      </c>
      <c r="R141" s="51">
        <f t="shared" si="80"/>
        <v>0</v>
      </c>
      <c r="S141" s="52"/>
      <c r="T141" s="52"/>
      <c r="U141" s="52"/>
      <c r="V141" s="52"/>
      <c r="W141" s="52"/>
      <c r="X141" s="31"/>
      <c r="Y141" s="31"/>
      <c r="Z141" s="52"/>
      <c r="AA141" s="52"/>
      <c r="AB141" s="52"/>
      <c r="AC141" s="31">
        <f t="shared" si="87"/>
        <v>0</v>
      </c>
      <c r="AD141" s="31">
        <v>0</v>
      </c>
      <c r="AE141" s="31"/>
      <c r="AF141" s="31"/>
      <c r="AG141" s="31"/>
      <c r="AH141" s="31"/>
      <c r="AI141" s="31"/>
      <c r="AJ141" s="31"/>
      <c r="AK141" s="31"/>
      <c r="AL141" s="31"/>
      <c r="AM141" s="31"/>
      <c r="AN141" s="31">
        <f t="shared" si="83"/>
        <v>0</v>
      </c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>
        <f t="shared" si="84"/>
        <v>0</v>
      </c>
      <c r="BE141" s="29">
        <f t="shared" si="77"/>
        <v>0</v>
      </c>
      <c r="BF141" s="29">
        <f t="shared" si="85"/>
        <v>0</v>
      </c>
      <c r="BG141" s="29">
        <f>VLOOKUP(E141,'[3]Y2604-Y2608_庫存&amp;銷售'!$F:$AJ,23,0)</f>
        <v>2</v>
      </c>
      <c r="BH141" s="29">
        <f>VLOOKUP(E141,'[3]Y2604-Y2608_庫存&amp;銷售'!$F:$AL,25,0)</f>
        <v>0</v>
      </c>
      <c r="BI141" s="29">
        <f>VLOOKUP(E141,'[3]Y2604-Y2608_庫存&amp;銷售'!$F:$AN,30,0)</f>
        <v>0</v>
      </c>
      <c r="BJ141" s="81">
        <f t="shared" si="88"/>
        <v>0</v>
      </c>
      <c r="BK141" s="81">
        <f t="shared" si="89"/>
        <v>0</v>
      </c>
      <c r="BL141" s="81">
        <f t="shared" si="90"/>
        <v>0</v>
      </c>
      <c r="BM141" s="81">
        <f t="shared" si="71"/>
        <v>0</v>
      </c>
      <c r="BN141" s="81">
        <f t="shared" si="72"/>
        <v>0</v>
      </c>
      <c r="BO141" s="81">
        <f t="shared" si="73"/>
        <v>0</v>
      </c>
      <c r="BP141" s="81">
        <f t="shared" si="62"/>
        <v>0</v>
      </c>
      <c r="BQ141" s="81">
        <f t="shared" si="63"/>
        <v>0</v>
      </c>
      <c r="BR141" s="81">
        <f t="shared" si="64"/>
        <v>0</v>
      </c>
      <c r="BS141" s="199">
        <f t="shared" si="86"/>
        <v>0</v>
      </c>
      <c r="BT141" s="199">
        <f t="shared" si="81"/>
        <v>0</v>
      </c>
      <c r="BU141" s="199">
        <f t="shared" si="82"/>
        <v>0</v>
      </c>
      <c r="BV141" s="112">
        <f>VLOOKUP(E141,'[4]Y2604-Y2608_庫存&amp;銷售'!$F:$AB,17,0)</f>
        <v>7</v>
      </c>
      <c r="BW141" s="112">
        <f>VLOOKUP(A141,'[5]Demand inbond in Sep'!$B:$M,12,0)</f>
        <v>0</v>
      </c>
      <c r="BX141" s="112"/>
    </row>
    <row r="142" spans="1:76" s="53" customFormat="1" ht="15" x14ac:dyDescent="0.35">
      <c r="A142" s="7">
        <v>522244896295361</v>
      </c>
      <c r="B142" s="20" t="s">
        <v>91</v>
      </c>
      <c r="C142" s="6" t="s">
        <v>92</v>
      </c>
      <c r="D142" s="7">
        <v>80889752</v>
      </c>
      <c r="E142" s="8">
        <v>4987176372116</v>
      </c>
      <c r="F142" s="8">
        <v>4987176372116</v>
      </c>
      <c r="G142" s="9" t="s">
        <v>142</v>
      </c>
      <c r="H142" s="6">
        <v>495</v>
      </c>
      <c r="I142" s="146" t="s">
        <v>199</v>
      </c>
      <c r="J142" s="10">
        <v>1</v>
      </c>
      <c r="K142" s="5">
        <v>507.72</v>
      </c>
      <c r="L142" s="5">
        <v>471.88</v>
      </c>
      <c r="M142" s="115">
        <v>0</v>
      </c>
      <c r="N142" s="21">
        <f>VLOOKUP(E142,'[8]Demand inbond in Aug'!$C:$T,18,0)</f>
        <v>0</v>
      </c>
      <c r="O142" s="23">
        <f>VLOOKUP(E142,'[5]Demand inbond in Sep'!$C:$M,11,0)</f>
        <v>0</v>
      </c>
      <c r="P142" s="51">
        <f t="shared" si="91"/>
        <v>0</v>
      </c>
      <c r="Q142" s="51">
        <f t="shared" si="92"/>
        <v>0</v>
      </c>
      <c r="R142" s="51">
        <f t="shared" si="80"/>
        <v>0</v>
      </c>
      <c r="S142" s="52"/>
      <c r="T142" s="52"/>
      <c r="U142" s="52"/>
      <c r="V142" s="52"/>
      <c r="W142" s="52"/>
      <c r="X142" s="31"/>
      <c r="Y142" s="31"/>
      <c r="Z142" s="52"/>
      <c r="AA142" s="52"/>
      <c r="AB142" s="52"/>
      <c r="AC142" s="31">
        <f t="shared" si="87"/>
        <v>0</v>
      </c>
      <c r="AD142" s="31"/>
      <c r="AE142" s="31"/>
      <c r="AF142" s="31"/>
      <c r="AG142" s="31">
        <v>0</v>
      </c>
      <c r="AH142" s="31"/>
      <c r="AI142" s="31"/>
      <c r="AJ142" s="31"/>
      <c r="AK142" s="31"/>
      <c r="AL142" s="31"/>
      <c r="AM142" s="31"/>
      <c r="AN142" s="31">
        <f t="shared" si="83"/>
        <v>0</v>
      </c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>
        <f t="shared" si="84"/>
        <v>0</v>
      </c>
      <c r="BE142" s="29">
        <f t="shared" si="77"/>
        <v>0</v>
      </c>
      <c r="BF142" s="29">
        <f t="shared" si="85"/>
        <v>0</v>
      </c>
      <c r="BG142" s="29">
        <f>VLOOKUP(E142,'[3]Y2604-Y2608_庫存&amp;銷售'!$F:$AJ,23,0)</f>
        <v>0</v>
      </c>
      <c r="BH142" s="29">
        <f>VLOOKUP(E142,'[3]Y2604-Y2608_庫存&amp;銷售'!$F:$AL,25,0)</f>
        <v>0</v>
      </c>
      <c r="BI142" s="29">
        <f>VLOOKUP(E142,'[3]Y2604-Y2608_庫存&amp;銷售'!$F:$AN,30,0)</f>
        <v>0</v>
      </c>
      <c r="BJ142" s="81">
        <f t="shared" si="88"/>
        <v>0</v>
      </c>
      <c r="BK142" s="81">
        <f t="shared" si="89"/>
        <v>0</v>
      </c>
      <c r="BL142" s="81">
        <f t="shared" si="90"/>
        <v>0</v>
      </c>
      <c r="BM142" s="81">
        <f t="shared" si="71"/>
        <v>0</v>
      </c>
      <c r="BN142" s="81">
        <f t="shared" si="72"/>
        <v>0</v>
      </c>
      <c r="BO142" s="81">
        <f t="shared" si="73"/>
        <v>0</v>
      </c>
      <c r="BP142" s="81">
        <f t="shared" si="62"/>
        <v>0</v>
      </c>
      <c r="BQ142" s="81">
        <f t="shared" si="63"/>
        <v>0</v>
      </c>
      <c r="BR142" s="81">
        <f t="shared" si="64"/>
        <v>0</v>
      </c>
      <c r="BS142" s="199">
        <f t="shared" si="86"/>
        <v>0</v>
      </c>
      <c r="BT142" s="199">
        <f t="shared" si="81"/>
        <v>0</v>
      </c>
      <c r="BU142" s="199">
        <f t="shared" si="82"/>
        <v>0</v>
      </c>
      <c r="BV142" s="112">
        <f>VLOOKUP(E142,'[4]Y2604-Y2608_庫存&amp;銷售'!$F:$AB,17,0)</f>
        <v>1</v>
      </c>
      <c r="BW142" s="112">
        <f>VLOOKUP(A142,'[5]Demand inbond in Sep'!$B:$M,12,0)</f>
        <v>0</v>
      </c>
      <c r="BX142" s="112"/>
    </row>
    <row r="143" spans="1:76" s="53" customFormat="1" ht="15" x14ac:dyDescent="0.35">
      <c r="A143" s="7">
        <v>522244896295362</v>
      </c>
      <c r="B143" s="20" t="s">
        <v>91</v>
      </c>
      <c r="C143" s="6" t="s">
        <v>92</v>
      </c>
      <c r="D143" s="7">
        <v>80889761</v>
      </c>
      <c r="E143" s="8">
        <v>4987176372208</v>
      </c>
      <c r="F143" s="8">
        <v>4987176372208</v>
      </c>
      <c r="G143" s="9" t="s">
        <v>143</v>
      </c>
      <c r="H143" s="6">
        <v>495</v>
      </c>
      <c r="I143" s="6" t="s">
        <v>362</v>
      </c>
      <c r="J143" s="10">
        <v>1</v>
      </c>
      <c r="K143" s="5">
        <v>507.72</v>
      </c>
      <c r="L143" s="5">
        <v>471.88</v>
      </c>
      <c r="M143" s="115">
        <v>0</v>
      </c>
      <c r="N143" s="21">
        <f>VLOOKUP(E143,'[8]Demand inbond in Aug'!$C:$T,18,0)</f>
        <v>0</v>
      </c>
      <c r="O143" s="23">
        <f>VLOOKUP(E143,'[5]Demand inbond in Sep'!$C:$M,11,0)</f>
        <v>0</v>
      </c>
      <c r="P143" s="51">
        <f t="shared" si="91"/>
        <v>0</v>
      </c>
      <c r="Q143" s="51">
        <f t="shared" si="92"/>
        <v>0</v>
      </c>
      <c r="R143" s="51">
        <f t="shared" si="80"/>
        <v>0</v>
      </c>
      <c r="S143" s="52"/>
      <c r="T143" s="52"/>
      <c r="U143" s="52"/>
      <c r="V143" s="52"/>
      <c r="W143" s="52"/>
      <c r="X143" s="31"/>
      <c r="Y143" s="31"/>
      <c r="Z143" s="52"/>
      <c r="AA143" s="52"/>
      <c r="AB143" s="52"/>
      <c r="AC143" s="31">
        <f t="shared" si="87"/>
        <v>0</v>
      </c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>
        <f t="shared" si="83"/>
        <v>0</v>
      </c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>
        <f t="shared" si="84"/>
        <v>0</v>
      </c>
      <c r="BE143" s="29">
        <f t="shared" si="77"/>
        <v>0</v>
      </c>
      <c r="BF143" s="29">
        <f t="shared" si="85"/>
        <v>0</v>
      </c>
      <c r="BG143" s="29">
        <f>VLOOKUP(E143,'[3]Y2604-Y2608_庫存&amp;銷售'!$F:$AJ,23,0)</f>
        <v>0</v>
      </c>
      <c r="BH143" s="29">
        <f>VLOOKUP(E143,'[3]Y2604-Y2608_庫存&amp;銷售'!$F:$AL,25,0)</f>
        <v>0</v>
      </c>
      <c r="BI143" s="29">
        <f>VLOOKUP(E143,'[3]Y2604-Y2608_庫存&amp;銷售'!$F:$AN,30,0)</f>
        <v>0</v>
      </c>
      <c r="BJ143" s="81">
        <f t="shared" si="88"/>
        <v>0</v>
      </c>
      <c r="BK143" s="81">
        <f t="shared" si="89"/>
        <v>0</v>
      </c>
      <c r="BL143" s="81">
        <f t="shared" si="90"/>
        <v>0</v>
      </c>
      <c r="BM143" s="81">
        <f t="shared" si="71"/>
        <v>0</v>
      </c>
      <c r="BN143" s="81">
        <f t="shared" si="72"/>
        <v>0</v>
      </c>
      <c r="BO143" s="81">
        <f t="shared" si="73"/>
        <v>0</v>
      </c>
      <c r="BP143" s="81">
        <f t="shared" si="62"/>
        <v>0</v>
      </c>
      <c r="BQ143" s="81">
        <f t="shared" si="63"/>
        <v>0</v>
      </c>
      <c r="BR143" s="81">
        <f t="shared" si="64"/>
        <v>0</v>
      </c>
      <c r="BS143" s="199">
        <f t="shared" si="86"/>
        <v>0</v>
      </c>
      <c r="BT143" s="199">
        <f t="shared" si="81"/>
        <v>0</v>
      </c>
      <c r="BU143" s="199">
        <f t="shared" si="82"/>
        <v>0</v>
      </c>
      <c r="BV143" s="112">
        <f>VLOOKUP(E143,'[4]Y2604-Y2608_庫存&amp;銷售'!$F:$AB,17,0)</f>
        <v>2</v>
      </c>
      <c r="BW143" s="112">
        <f>VLOOKUP(A143,'[5]Demand inbond in Sep'!$B:$M,12,0)</f>
        <v>0</v>
      </c>
      <c r="BX143" s="112"/>
    </row>
    <row r="144" spans="1:76" s="53" customFormat="1" ht="15" x14ac:dyDescent="0.35">
      <c r="A144" s="7">
        <v>522244896297588</v>
      </c>
      <c r="B144" s="20" t="s">
        <v>91</v>
      </c>
      <c r="C144" s="6" t="s">
        <v>92</v>
      </c>
      <c r="D144" s="7" t="e">
        <v>#N/A</v>
      </c>
      <c r="E144" s="8">
        <v>4987176372253</v>
      </c>
      <c r="F144" s="8">
        <v>4987176372253</v>
      </c>
      <c r="G144" s="9" t="s">
        <v>144</v>
      </c>
      <c r="H144" s="6">
        <v>895</v>
      </c>
      <c r="I144" s="146" t="s">
        <v>199</v>
      </c>
      <c r="J144" s="10">
        <v>1</v>
      </c>
      <c r="K144" s="5">
        <v>1015.44</v>
      </c>
      <c r="L144" s="5">
        <v>968.2</v>
      </c>
      <c r="M144" s="115">
        <v>0</v>
      </c>
      <c r="N144" s="21">
        <f>VLOOKUP(E144,'[8]Demand inbond in Aug'!$C:$T,18,0)</f>
        <v>0</v>
      </c>
      <c r="O144" s="23">
        <f>VLOOKUP(E144,'[5]Demand inbond in Sep'!$C:$M,11,0)</f>
        <v>0</v>
      </c>
      <c r="P144" s="51">
        <f t="shared" si="91"/>
        <v>0</v>
      </c>
      <c r="Q144" s="51">
        <f t="shared" si="92"/>
        <v>0</v>
      </c>
      <c r="R144" s="51">
        <f t="shared" si="80"/>
        <v>0</v>
      </c>
      <c r="S144" s="52"/>
      <c r="T144" s="52"/>
      <c r="U144" s="52"/>
      <c r="V144" s="52"/>
      <c r="W144" s="52"/>
      <c r="X144" s="31"/>
      <c r="Y144" s="31"/>
      <c r="Z144" s="52"/>
      <c r="AA144" s="52"/>
      <c r="AB144" s="52"/>
      <c r="AC144" s="31">
        <f t="shared" si="87"/>
        <v>0</v>
      </c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>
        <f t="shared" si="83"/>
        <v>0</v>
      </c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>
        <f t="shared" si="84"/>
        <v>0</v>
      </c>
      <c r="BE144" s="29">
        <f t="shared" si="77"/>
        <v>0</v>
      </c>
      <c r="BF144" s="29">
        <f t="shared" si="85"/>
        <v>0</v>
      </c>
      <c r="BG144" s="29">
        <f>VLOOKUP(E144,'[3]Y2604-Y2608_庫存&amp;銷售'!$F:$AJ,23,0)</f>
        <v>0</v>
      </c>
      <c r="BH144" s="29">
        <f>VLOOKUP(E144,'[3]Y2604-Y2608_庫存&amp;銷售'!$F:$AL,25,0)</f>
        <v>0</v>
      </c>
      <c r="BI144" s="29">
        <f>VLOOKUP(E144,'[3]Y2604-Y2608_庫存&amp;銷售'!$F:$AN,30,0)</f>
        <v>0</v>
      </c>
      <c r="BJ144" s="81">
        <f t="shared" si="88"/>
        <v>0</v>
      </c>
      <c r="BK144" s="81">
        <f t="shared" si="89"/>
        <v>0</v>
      </c>
      <c r="BL144" s="81">
        <f t="shared" si="90"/>
        <v>0</v>
      </c>
      <c r="BM144" s="81">
        <f t="shared" si="71"/>
        <v>0</v>
      </c>
      <c r="BN144" s="81">
        <f t="shared" si="72"/>
        <v>0</v>
      </c>
      <c r="BO144" s="81">
        <f t="shared" si="73"/>
        <v>0</v>
      </c>
      <c r="BP144" s="81">
        <f t="shared" si="62"/>
        <v>0</v>
      </c>
      <c r="BQ144" s="81">
        <f t="shared" si="63"/>
        <v>0</v>
      </c>
      <c r="BR144" s="81">
        <f t="shared" si="64"/>
        <v>0</v>
      </c>
      <c r="BS144" s="199">
        <f t="shared" si="86"/>
        <v>0</v>
      </c>
      <c r="BT144" s="199">
        <f t="shared" si="81"/>
        <v>0</v>
      </c>
      <c r="BU144" s="199">
        <f t="shared" si="82"/>
        <v>0</v>
      </c>
      <c r="BV144" s="112">
        <f>VLOOKUP(E144,'[4]Y2604-Y2608_庫存&amp;銷售'!$F:$AB,17,0)</f>
        <v>0</v>
      </c>
      <c r="BW144" s="112">
        <f>VLOOKUP(A144,'[5]Demand inbond in Sep'!$B:$M,12,0)</f>
        <v>0</v>
      </c>
      <c r="BX144" s="112"/>
    </row>
    <row r="145" spans="1:76" s="53" customFormat="1" ht="15" x14ac:dyDescent="0.35">
      <c r="A145" s="7">
        <v>522244896297589</v>
      </c>
      <c r="B145" s="20" t="s">
        <v>91</v>
      </c>
      <c r="C145" s="6" t="s">
        <v>92</v>
      </c>
      <c r="D145" s="7" t="e">
        <v>#N/A</v>
      </c>
      <c r="E145" s="8">
        <v>4987176372277</v>
      </c>
      <c r="F145" s="8">
        <v>4987176372277</v>
      </c>
      <c r="G145" s="9" t="s">
        <v>145</v>
      </c>
      <c r="H145" s="6">
        <v>895</v>
      </c>
      <c r="I145" s="146" t="s">
        <v>199</v>
      </c>
      <c r="J145" s="10">
        <v>1</v>
      </c>
      <c r="K145" s="5">
        <v>1015.44</v>
      </c>
      <c r="L145" s="5">
        <v>968.2</v>
      </c>
      <c r="M145" s="115">
        <v>0</v>
      </c>
      <c r="N145" s="21">
        <f>VLOOKUP(E145,'[8]Demand inbond in Aug'!$C:$T,18,0)</f>
        <v>0</v>
      </c>
      <c r="O145" s="23">
        <f>VLOOKUP(E145,'[5]Demand inbond in Sep'!$C:$M,11,0)</f>
        <v>0</v>
      </c>
      <c r="P145" s="51">
        <f t="shared" si="91"/>
        <v>0</v>
      </c>
      <c r="Q145" s="51">
        <f t="shared" si="92"/>
        <v>0</v>
      </c>
      <c r="R145" s="51">
        <f t="shared" si="80"/>
        <v>0</v>
      </c>
      <c r="S145" s="52"/>
      <c r="T145" s="52"/>
      <c r="U145" s="52"/>
      <c r="V145" s="52"/>
      <c r="W145" s="52"/>
      <c r="X145" s="31"/>
      <c r="Y145" s="31"/>
      <c r="Z145" s="52"/>
      <c r="AA145" s="52"/>
      <c r="AB145" s="52"/>
      <c r="AC145" s="31">
        <f t="shared" si="87"/>
        <v>0</v>
      </c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>
        <f t="shared" si="83"/>
        <v>0</v>
      </c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>
        <f t="shared" si="84"/>
        <v>0</v>
      </c>
      <c r="BE145" s="29">
        <f t="shared" si="77"/>
        <v>0</v>
      </c>
      <c r="BF145" s="29">
        <f t="shared" si="85"/>
        <v>0</v>
      </c>
      <c r="BG145" s="29">
        <f>VLOOKUP(E145,'[3]Y2604-Y2608_庫存&amp;銷售'!$F:$AJ,23,0)</f>
        <v>0</v>
      </c>
      <c r="BH145" s="29">
        <f>VLOOKUP(E145,'[3]Y2604-Y2608_庫存&amp;銷售'!$F:$AL,25,0)</f>
        <v>0</v>
      </c>
      <c r="BI145" s="29">
        <f>VLOOKUP(E145,'[3]Y2604-Y2608_庫存&amp;銷售'!$F:$AN,30,0)</f>
        <v>0</v>
      </c>
      <c r="BJ145" s="81">
        <f t="shared" si="88"/>
        <v>0</v>
      </c>
      <c r="BK145" s="81">
        <f t="shared" si="89"/>
        <v>0</v>
      </c>
      <c r="BL145" s="81">
        <f t="shared" si="90"/>
        <v>0</v>
      </c>
      <c r="BM145" s="81">
        <f t="shared" si="71"/>
        <v>0</v>
      </c>
      <c r="BN145" s="81">
        <f t="shared" si="72"/>
        <v>0</v>
      </c>
      <c r="BO145" s="81">
        <f t="shared" si="73"/>
        <v>0</v>
      </c>
      <c r="BP145" s="81">
        <f t="shared" si="62"/>
        <v>0</v>
      </c>
      <c r="BQ145" s="81">
        <f t="shared" si="63"/>
        <v>0</v>
      </c>
      <c r="BR145" s="81">
        <f t="shared" si="64"/>
        <v>0</v>
      </c>
      <c r="BS145" s="199">
        <f t="shared" si="86"/>
        <v>0</v>
      </c>
      <c r="BT145" s="199">
        <f t="shared" si="81"/>
        <v>0</v>
      </c>
      <c r="BU145" s="199">
        <f t="shared" si="82"/>
        <v>0</v>
      </c>
      <c r="BV145" s="112">
        <f>VLOOKUP(E145,'[4]Y2604-Y2608_庫存&amp;銷售'!$F:$AB,17,0)</f>
        <v>0</v>
      </c>
      <c r="BW145" s="112">
        <f>VLOOKUP(A145,'[5]Demand inbond in Sep'!$B:$M,12,0)</f>
        <v>0</v>
      </c>
      <c r="BX145" s="112"/>
    </row>
    <row r="146" spans="1:76" s="53" customFormat="1" ht="15" x14ac:dyDescent="0.35">
      <c r="A146" s="7">
        <v>522244896297742</v>
      </c>
      <c r="B146" s="20" t="s">
        <v>91</v>
      </c>
      <c r="C146" s="6" t="s">
        <v>92</v>
      </c>
      <c r="D146" s="7">
        <v>80889753</v>
      </c>
      <c r="E146" s="8">
        <v>4987176372123</v>
      </c>
      <c r="F146" s="8">
        <v>4987176372123</v>
      </c>
      <c r="G146" s="9" t="s">
        <v>146</v>
      </c>
      <c r="H146" s="6">
        <v>1330</v>
      </c>
      <c r="I146" s="146" t="s">
        <v>199</v>
      </c>
      <c r="J146" s="10">
        <v>1</v>
      </c>
      <c r="K146" s="5">
        <v>1508</v>
      </c>
      <c r="L146" s="5">
        <v>1449.71</v>
      </c>
      <c r="M146" s="115">
        <v>0</v>
      </c>
      <c r="N146" s="21">
        <f>VLOOKUP(E146,'[8]Demand inbond in Aug'!$C:$T,18,0)</f>
        <v>0</v>
      </c>
      <c r="O146" s="23">
        <f>VLOOKUP(E146,'[5]Demand inbond in Sep'!$C:$M,11,0)</f>
        <v>0</v>
      </c>
      <c r="P146" s="51">
        <f t="shared" si="91"/>
        <v>0</v>
      </c>
      <c r="Q146" s="51">
        <f t="shared" si="92"/>
        <v>0</v>
      </c>
      <c r="R146" s="51">
        <f t="shared" si="80"/>
        <v>0</v>
      </c>
      <c r="S146" s="52"/>
      <c r="T146" s="52"/>
      <c r="U146" s="52"/>
      <c r="V146" s="52"/>
      <c r="W146" s="52"/>
      <c r="X146" s="31"/>
      <c r="Y146" s="31"/>
      <c r="Z146" s="52"/>
      <c r="AA146" s="52"/>
      <c r="AB146" s="52"/>
      <c r="AC146" s="31">
        <f t="shared" si="87"/>
        <v>0</v>
      </c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>
        <f t="shared" si="83"/>
        <v>0</v>
      </c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>
        <f t="shared" si="84"/>
        <v>0</v>
      </c>
      <c r="BE146" s="29">
        <f t="shared" si="77"/>
        <v>0</v>
      </c>
      <c r="BF146" s="29">
        <f t="shared" si="85"/>
        <v>0</v>
      </c>
      <c r="BG146" s="29">
        <f>VLOOKUP(E146,'[3]Y2604-Y2608_庫存&amp;銷售'!$F:$AJ,23,0)</f>
        <v>0</v>
      </c>
      <c r="BH146" s="29">
        <f>VLOOKUP(E146,'[3]Y2604-Y2608_庫存&amp;銷售'!$F:$AL,25,0)</f>
        <v>0</v>
      </c>
      <c r="BI146" s="29">
        <f>VLOOKUP(E146,'[3]Y2604-Y2608_庫存&amp;銷售'!$F:$AN,30,0)</f>
        <v>0</v>
      </c>
      <c r="BJ146" s="81">
        <f t="shared" si="88"/>
        <v>0</v>
      </c>
      <c r="BK146" s="81">
        <f t="shared" si="89"/>
        <v>0</v>
      </c>
      <c r="BL146" s="81">
        <f t="shared" si="90"/>
        <v>0</v>
      </c>
      <c r="BM146" s="81">
        <f t="shared" si="71"/>
        <v>0</v>
      </c>
      <c r="BN146" s="81">
        <f t="shared" si="72"/>
        <v>0</v>
      </c>
      <c r="BO146" s="81">
        <f t="shared" si="73"/>
        <v>0</v>
      </c>
      <c r="BP146" s="81">
        <f t="shared" si="62"/>
        <v>0</v>
      </c>
      <c r="BQ146" s="81">
        <f t="shared" si="63"/>
        <v>0</v>
      </c>
      <c r="BR146" s="81">
        <f t="shared" si="64"/>
        <v>0</v>
      </c>
      <c r="BS146" s="199">
        <f t="shared" si="86"/>
        <v>0</v>
      </c>
      <c r="BT146" s="199">
        <f t="shared" si="81"/>
        <v>0</v>
      </c>
      <c r="BU146" s="199">
        <f t="shared" si="82"/>
        <v>0</v>
      </c>
      <c r="BV146" s="112">
        <f>VLOOKUP(E146,'[4]Y2604-Y2608_庫存&amp;銷售'!$F:$AB,17,0)</f>
        <v>0</v>
      </c>
      <c r="BW146" s="112">
        <f>VLOOKUP(A146,'[5]Demand inbond in Sep'!$B:$M,12,0)</f>
        <v>0</v>
      </c>
      <c r="BX146" s="112"/>
    </row>
    <row r="147" spans="1:76" s="53" customFormat="1" ht="15" x14ac:dyDescent="0.35">
      <c r="A147" s="7">
        <v>522244896297743</v>
      </c>
      <c r="B147" s="20" t="s">
        <v>91</v>
      </c>
      <c r="C147" s="6" t="s">
        <v>92</v>
      </c>
      <c r="D147" s="7" t="e">
        <v>#N/A</v>
      </c>
      <c r="E147" s="8">
        <v>4987176372246</v>
      </c>
      <c r="F147" s="8">
        <v>4987176372246</v>
      </c>
      <c r="G147" s="9" t="s">
        <v>147</v>
      </c>
      <c r="H147" s="6">
        <v>435</v>
      </c>
      <c r="I147" s="146" t="s">
        <v>199</v>
      </c>
      <c r="J147" s="10">
        <v>1</v>
      </c>
      <c r="K147" s="5">
        <v>507.72</v>
      </c>
      <c r="L147" s="5">
        <v>471.88</v>
      </c>
      <c r="M147" s="115">
        <v>0</v>
      </c>
      <c r="N147" s="21">
        <f>VLOOKUP(E147,'[8]Demand inbond in Aug'!$C:$T,18,0)</f>
        <v>0</v>
      </c>
      <c r="O147" s="23">
        <f>VLOOKUP(E147,'[5]Demand inbond in Sep'!$C:$M,11,0)</f>
        <v>16</v>
      </c>
      <c r="P147" s="51">
        <f t="shared" si="91"/>
        <v>0</v>
      </c>
      <c r="Q147" s="51">
        <f t="shared" si="92"/>
        <v>0</v>
      </c>
      <c r="R147" s="51">
        <f t="shared" si="80"/>
        <v>16</v>
      </c>
      <c r="S147" s="52"/>
      <c r="T147" s="52"/>
      <c r="U147" s="52"/>
      <c r="V147" s="52"/>
      <c r="W147" s="52"/>
      <c r="X147" s="31"/>
      <c r="Y147" s="31"/>
      <c r="Z147" s="52"/>
      <c r="AA147" s="52"/>
      <c r="AB147" s="52"/>
      <c r="AC147" s="31">
        <f t="shared" si="87"/>
        <v>0</v>
      </c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>
        <f t="shared" si="83"/>
        <v>0</v>
      </c>
      <c r="AO147" s="31"/>
      <c r="AP147" s="31"/>
      <c r="AQ147" s="31">
        <v>16</v>
      </c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>
        <f t="shared" si="84"/>
        <v>16</v>
      </c>
      <c r="BE147" s="29">
        <f t="shared" si="77"/>
        <v>0</v>
      </c>
      <c r="BF147" s="29">
        <f t="shared" si="85"/>
        <v>16</v>
      </c>
      <c r="BG147" s="29">
        <f>VLOOKUP(E147,'[3]Y2604-Y2608_庫存&amp;銷售'!$F:$AJ,23,0)</f>
        <v>0</v>
      </c>
      <c r="BH147" s="29">
        <f>VLOOKUP(E147,'[3]Y2604-Y2608_庫存&amp;銷售'!$F:$AL,25,0)</f>
        <v>0</v>
      </c>
      <c r="BI147" s="29">
        <f>VLOOKUP(E147,'[3]Y2604-Y2608_庫存&amp;銷售'!$F:$AN,30,0)</f>
        <v>0</v>
      </c>
      <c r="BJ147" s="81">
        <f t="shared" si="88"/>
        <v>0</v>
      </c>
      <c r="BK147" s="81">
        <f t="shared" si="89"/>
        <v>0</v>
      </c>
      <c r="BL147" s="81">
        <f t="shared" si="90"/>
        <v>8123.52</v>
      </c>
      <c r="BM147" s="81">
        <f t="shared" si="71"/>
        <v>0</v>
      </c>
      <c r="BN147" s="81">
        <f t="shared" si="72"/>
        <v>0</v>
      </c>
      <c r="BO147" s="81">
        <f t="shared" si="73"/>
        <v>0</v>
      </c>
      <c r="BP147" s="81">
        <f t="shared" si="62"/>
        <v>0</v>
      </c>
      <c r="BQ147" s="81">
        <f t="shared" si="63"/>
        <v>0</v>
      </c>
      <c r="BR147" s="81">
        <f t="shared" si="64"/>
        <v>0</v>
      </c>
      <c r="BS147" s="199">
        <f t="shared" si="86"/>
        <v>8123.52</v>
      </c>
      <c r="BT147" s="199">
        <f t="shared" si="81"/>
        <v>6960</v>
      </c>
      <c r="BU147" s="199">
        <f t="shared" si="82"/>
        <v>7701.0816000000004</v>
      </c>
      <c r="BV147" s="112">
        <f>VLOOKUP(E147,'[4]Y2604-Y2608_庫存&amp;銷售'!$F:$AB,17,0)</f>
        <v>0</v>
      </c>
      <c r="BW147" s="112">
        <f>VLOOKUP(A147,'[5]Demand inbond in Sep'!$B:$M,12,0)</f>
        <v>16</v>
      </c>
      <c r="BX147" s="112"/>
    </row>
    <row r="148" spans="1:76" s="53" customFormat="1" ht="15" x14ac:dyDescent="0.35">
      <c r="A148" s="7">
        <v>522244896297744</v>
      </c>
      <c r="B148" s="20" t="s">
        <v>91</v>
      </c>
      <c r="C148" s="6" t="s">
        <v>92</v>
      </c>
      <c r="D148" s="7">
        <v>80888287</v>
      </c>
      <c r="E148" s="8">
        <v>4987176369345</v>
      </c>
      <c r="F148" s="8">
        <v>4987176369345</v>
      </c>
      <c r="G148" s="9" t="s">
        <v>148</v>
      </c>
      <c r="H148" s="6">
        <v>883</v>
      </c>
      <c r="I148" s="6" t="s">
        <v>362</v>
      </c>
      <c r="J148" s="10">
        <v>1</v>
      </c>
      <c r="K148" s="5">
        <v>1015.44</v>
      </c>
      <c r="L148" s="5">
        <v>968.2</v>
      </c>
      <c r="M148" s="115">
        <v>0</v>
      </c>
      <c r="N148" s="21">
        <f>VLOOKUP(E148,'[8]Demand inbond in Aug'!$C:$T,18,0)</f>
        <v>0</v>
      </c>
      <c r="O148" s="23">
        <f>VLOOKUP(E148,'[5]Demand inbond in Sep'!$C:$M,11,0)</f>
        <v>0</v>
      </c>
      <c r="P148" s="51">
        <f t="shared" si="91"/>
        <v>0</v>
      </c>
      <c r="Q148" s="51">
        <f t="shared" si="92"/>
        <v>0</v>
      </c>
      <c r="R148" s="51">
        <f t="shared" si="80"/>
        <v>0</v>
      </c>
      <c r="S148" s="52"/>
      <c r="T148" s="52"/>
      <c r="U148" s="52"/>
      <c r="V148" s="52"/>
      <c r="W148" s="52"/>
      <c r="X148" s="31"/>
      <c r="Y148" s="31"/>
      <c r="Z148" s="52"/>
      <c r="AA148" s="52"/>
      <c r="AB148" s="52"/>
      <c r="AC148" s="31">
        <f t="shared" si="87"/>
        <v>0</v>
      </c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>
        <f t="shared" si="83"/>
        <v>0</v>
      </c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>
        <f t="shared" si="84"/>
        <v>0</v>
      </c>
      <c r="BE148" s="29">
        <f t="shared" si="77"/>
        <v>0</v>
      </c>
      <c r="BF148" s="29">
        <f t="shared" si="85"/>
        <v>0</v>
      </c>
      <c r="BG148" s="29">
        <f>VLOOKUP(E148,'[3]Y2604-Y2608_庫存&amp;銷售'!$F:$AJ,23,0)</f>
        <v>9</v>
      </c>
      <c r="BH148" s="29">
        <f>VLOOKUP(E148,'[3]Y2604-Y2608_庫存&amp;銷售'!$F:$AL,25,0)</f>
        <v>0</v>
      </c>
      <c r="BI148" s="29">
        <f>VLOOKUP(E148,'[3]Y2604-Y2608_庫存&amp;銷售'!$F:$AN,30,0)</f>
        <v>0</v>
      </c>
      <c r="BJ148" s="81">
        <f t="shared" si="88"/>
        <v>0</v>
      </c>
      <c r="BK148" s="81">
        <f t="shared" si="89"/>
        <v>0</v>
      </c>
      <c r="BL148" s="81">
        <f t="shared" si="90"/>
        <v>0</v>
      </c>
      <c r="BM148" s="81">
        <f t="shared" si="71"/>
        <v>0</v>
      </c>
      <c r="BN148" s="81">
        <f t="shared" si="72"/>
        <v>0</v>
      </c>
      <c r="BO148" s="81">
        <f t="shared" si="73"/>
        <v>0</v>
      </c>
      <c r="BP148" s="81">
        <f t="shared" si="62"/>
        <v>0</v>
      </c>
      <c r="BQ148" s="81">
        <f t="shared" si="63"/>
        <v>0</v>
      </c>
      <c r="BR148" s="81">
        <f t="shared" si="64"/>
        <v>0</v>
      </c>
      <c r="BS148" s="199">
        <f t="shared" si="86"/>
        <v>0</v>
      </c>
      <c r="BT148" s="199">
        <f t="shared" si="81"/>
        <v>0</v>
      </c>
      <c r="BU148" s="199">
        <f t="shared" si="82"/>
        <v>0</v>
      </c>
      <c r="BV148" s="112">
        <f>VLOOKUP(E148,'[4]Y2604-Y2608_庫存&amp;銷售'!$F:$AB,17,0)</f>
        <v>0</v>
      </c>
      <c r="BW148" s="112">
        <f>VLOOKUP(A148,'[5]Demand inbond in Sep'!$B:$M,12,0)</f>
        <v>0</v>
      </c>
      <c r="BX148" s="112"/>
    </row>
    <row r="149" spans="1:76" ht="15" x14ac:dyDescent="0.35">
      <c r="A149" s="2">
        <v>522244896297745</v>
      </c>
      <c r="B149" s="19" t="s">
        <v>91</v>
      </c>
      <c r="C149" s="1" t="s">
        <v>92</v>
      </c>
      <c r="D149" s="2">
        <v>80889756</v>
      </c>
      <c r="E149" s="3">
        <v>4987176372154</v>
      </c>
      <c r="F149" s="3">
        <v>4987176372154</v>
      </c>
      <c r="G149" s="4" t="s">
        <v>149</v>
      </c>
      <c r="H149" s="1">
        <v>883</v>
      </c>
      <c r="I149" s="1"/>
      <c r="J149" s="5">
        <v>1</v>
      </c>
      <c r="K149" s="5">
        <v>1107</v>
      </c>
      <c r="L149" s="5">
        <v>1057.71</v>
      </c>
      <c r="M149" s="115">
        <v>100</v>
      </c>
      <c r="N149" s="21">
        <f>VLOOKUP(E149,'[8]Demand inbond in Aug'!$C:$T,18,0)</f>
        <v>0</v>
      </c>
      <c r="O149" s="23">
        <f>VLOOKUP(E149,'[5]Demand inbond in Sep'!$C:$M,11,0)</f>
        <v>48</v>
      </c>
      <c r="P149" s="24">
        <f t="shared" si="91"/>
        <v>100</v>
      </c>
      <c r="Q149" s="24">
        <f t="shared" si="92"/>
        <v>0</v>
      </c>
      <c r="R149" s="24">
        <f t="shared" si="80"/>
        <v>48</v>
      </c>
      <c r="S149" s="31"/>
      <c r="T149" s="31"/>
      <c r="U149" s="31"/>
      <c r="V149" s="31"/>
      <c r="W149" s="31">
        <v>36</v>
      </c>
      <c r="X149" s="31"/>
      <c r="Y149" s="31"/>
      <c r="Z149" s="31"/>
      <c r="AA149" s="31"/>
      <c r="AB149" s="31"/>
      <c r="AC149" s="31">
        <f t="shared" si="87"/>
        <v>36</v>
      </c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>
        <f t="shared" si="83"/>
        <v>0</v>
      </c>
      <c r="AO149" s="31"/>
      <c r="AP149" s="31">
        <v>48</v>
      </c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>
        <f t="shared" si="84"/>
        <v>48</v>
      </c>
      <c r="BE149" s="29">
        <f t="shared" si="77"/>
        <v>0</v>
      </c>
      <c r="BF149" s="29">
        <f t="shared" si="85"/>
        <v>48</v>
      </c>
      <c r="BG149" s="29">
        <f>VLOOKUP(E149,'[3]Y2604-Y2608_庫存&amp;銷售'!$F:$AJ,23,0)</f>
        <v>0</v>
      </c>
      <c r="BH149" s="29">
        <f>VLOOKUP(E149,'[3]Y2604-Y2608_庫存&amp;銷售'!$F:$AL,25,0)</f>
        <v>0</v>
      </c>
      <c r="BI149" s="29">
        <f>VLOOKUP(E149,'[3]Y2604-Y2608_庫存&amp;銷售'!$F:$AN,30,0)</f>
        <v>0</v>
      </c>
      <c r="BJ149" s="81">
        <f t="shared" si="88"/>
        <v>110700</v>
      </c>
      <c r="BK149" s="81">
        <f t="shared" si="89"/>
        <v>0</v>
      </c>
      <c r="BL149" s="81">
        <f t="shared" si="90"/>
        <v>53136</v>
      </c>
      <c r="BM149" s="81">
        <f t="shared" si="71"/>
        <v>39852</v>
      </c>
      <c r="BN149" s="81">
        <f t="shared" si="72"/>
        <v>31788</v>
      </c>
      <c r="BO149" s="81">
        <f t="shared" si="73"/>
        <v>38839.111199999999</v>
      </c>
      <c r="BP149" s="81">
        <f t="shared" si="62"/>
        <v>0</v>
      </c>
      <c r="BQ149" s="81">
        <f t="shared" si="63"/>
        <v>0</v>
      </c>
      <c r="BR149" s="81">
        <f t="shared" si="64"/>
        <v>0</v>
      </c>
      <c r="BS149" s="199">
        <f t="shared" si="86"/>
        <v>53136</v>
      </c>
      <c r="BT149" s="199">
        <f t="shared" si="81"/>
        <v>42384</v>
      </c>
      <c r="BU149" s="199">
        <f t="shared" si="82"/>
        <v>51785.481599999999</v>
      </c>
      <c r="BV149" s="112">
        <f>VLOOKUP(E149,'[4]Y2604-Y2608_庫存&amp;銷售'!$F:$AB,17,0)</f>
        <v>16</v>
      </c>
      <c r="BW149" s="112">
        <f>VLOOKUP(A149,'[5]Demand inbond in Sep'!$B:$M,12,0)</f>
        <v>48</v>
      </c>
      <c r="BX149" s="112"/>
    </row>
    <row r="150" spans="1:76" ht="15" x14ac:dyDescent="0.35">
      <c r="A150" s="2">
        <v>522244896297746</v>
      </c>
      <c r="B150" s="19" t="s">
        <v>91</v>
      </c>
      <c r="C150" s="1" t="s">
        <v>92</v>
      </c>
      <c r="D150" s="2" t="e">
        <v>#N/A</v>
      </c>
      <c r="E150" s="3">
        <v>4987176372109</v>
      </c>
      <c r="F150" s="3">
        <v>4987176372109</v>
      </c>
      <c r="G150" s="4" t="s">
        <v>150</v>
      </c>
      <c r="H150" s="1">
        <v>435</v>
      </c>
      <c r="I150" s="1"/>
      <c r="J150" s="5">
        <v>1</v>
      </c>
      <c r="K150" s="5">
        <v>507.72</v>
      </c>
      <c r="L150" s="5">
        <v>471.88</v>
      </c>
      <c r="M150" s="115">
        <v>0</v>
      </c>
      <c r="N150" s="21">
        <f>VLOOKUP(E150,'[8]Demand inbond in Aug'!$C:$T,18,0)</f>
        <v>0</v>
      </c>
      <c r="O150" s="23">
        <f>VLOOKUP(E150,'[5]Demand inbond in Sep'!$C:$M,11,0)</f>
        <v>16</v>
      </c>
      <c r="P150" s="24">
        <f t="shared" si="91"/>
        <v>0</v>
      </c>
      <c r="Q150" s="24">
        <f t="shared" si="92"/>
        <v>0</v>
      </c>
      <c r="R150" s="24">
        <f t="shared" si="80"/>
        <v>16</v>
      </c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>
        <f t="shared" si="87"/>
        <v>0</v>
      </c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>
        <f t="shared" si="83"/>
        <v>0</v>
      </c>
      <c r="AO150" s="31"/>
      <c r="AP150" s="31"/>
      <c r="AQ150" s="31">
        <v>16</v>
      </c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>
        <f t="shared" si="84"/>
        <v>16</v>
      </c>
      <c r="BE150" s="29">
        <f t="shared" si="77"/>
        <v>0</v>
      </c>
      <c r="BF150" s="29">
        <f t="shared" si="85"/>
        <v>16</v>
      </c>
      <c r="BG150" s="29">
        <f>VLOOKUP(E150,'[3]Y2604-Y2608_庫存&amp;銷售'!$F:$AJ,23,0)</f>
        <v>5</v>
      </c>
      <c r="BH150" s="29">
        <f>VLOOKUP(E150,'[3]Y2604-Y2608_庫存&amp;銷售'!$F:$AL,25,0)</f>
        <v>0</v>
      </c>
      <c r="BI150" s="29">
        <f>VLOOKUP(E150,'[3]Y2604-Y2608_庫存&amp;銷售'!$F:$AN,30,0)</f>
        <v>0</v>
      </c>
      <c r="BJ150" s="81">
        <f t="shared" si="88"/>
        <v>0</v>
      </c>
      <c r="BK150" s="81">
        <f t="shared" si="89"/>
        <v>0</v>
      </c>
      <c r="BL150" s="81">
        <f t="shared" si="90"/>
        <v>8123.52</v>
      </c>
      <c r="BM150" s="81">
        <f t="shared" ref="BM150:BM181" si="93">AC150*K150</f>
        <v>0</v>
      </c>
      <c r="BN150" s="81">
        <f t="shared" ref="BN150:BN181" si="94">AC150*H150*J150</f>
        <v>0</v>
      </c>
      <c r="BO150" s="81">
        <f t="shared" ref="BO150:BO181" si="95">L150*1.02*AC150</f>
        <v>0</v>
      </c>
      <c r="BP150" s="81">
        <f t="shared" ref="BP150:BP213" si="96">AN150*K150</f>
        <v>0</v>
      </c>
      <c r="BQ150" s="81">
        <f t="shared" ref="BQ150:BQ213" si="97">AN150*H150*J150</f>
        <v>0</v>
      </c>
      <c r="BR150" s="81">
        <f t="shared" ref="BR150:BR213" si="98">L150*1.02*AN150</f>
        <v>0</v>
      </c>
      <c r="BS150" s="199">
        <f t="shared" si="86"/>
        <v>8123.52</v>
      </c>
      <c r="BT150" s="199">
        <f t="shared" si="81"/>
        <v>6960</v>
      </c>
      <c r="BU150" s="199">
        <f t="shared" si="82"/>
        <v>7701.0816000000004</v>
      </c>
      <c r="BV150" s="112">
        <f>VLOOKUP(E150,'[4]Y2604-Y2608_庫存&amp;銷售'!$F:$AB,17,0)</f>
        <v>0</v>
      </c>
      <c r="BW150" s="112">
        <f>VLOOKUP(A150,'[5]Demand inbond in Sep'!$B:$M,12,0)</f>
        <v>16</v>
      </c>
      <c r="BX150" s="112"/>
    </row>
    <row r="151" spans="1:76" ht="15" x14ac:dyDescent="0.35">
      <c r="A151" s="257">
        <v>522244896297747</v>
      </c>
      <c r="B151" s="258" t="s">
        <v>91</v>
      </c>
      <c r="C151" s="259" t="s">
        <v>92</v>
      </c>
      <c r="D151" s="257">
        <v>80889748</v>
      </c>
      <c r="E151" s="260">
        <v>4987176372079</v>
      </c>
      <c r="F151" s="260">
        <v>4987176372079</v>
      </c>
      <c r="G151" s="261" t="s">
        <v>151</v>
      </c>
      <c r="H151" s="1">
        <v>883</v>
      </c>
      <c r="I151" s="252" t="s">
        <v>413</v>
      </c>
      <c r="J151" s="5">
        <v>1</v>
      </c>
      <c r="K151" s="5">
        <v>1107</v>
      </c>
      <c r="L151" s="5">
        <v>1057.71</v>
      </c>
      <c r="M151" s="169">
        <f>10+110</f>
        <v>120</v>
      </c>
      <c r="N151" s="21">
        <f>VLOOKUP(E151,'[8]Demand inbond in Aug'!$C:$T,18,0)</f>
        <v>0</v>
      </c>
      <c r="O151" s="247"/>
      <c r="P151" s="24">
        <v>10</v>
      </c>
      <c r="Q151" s="24">
        <v>10</v>
      </c>
      <c r="R151" s="24">
        <f t="shared" si="80"/>
        <v>0</v>
      </c>
      <c r="S151" s="31"/>
      <c r="T151" s="31"/>
      <c r="U151" s="31"/>
      <c r="V151" s="31">
        <v>10</v>
      </c>
      <c r="W151" s="31"/>
      <c r="X151" s="31">
        <v>1</v>
      </c>
      <c r="Y151" s="31">
        <v>0</v>
      </c>
      <c r="Z151" s="31"/>
      <c r="AA151" s="31">
        <v>0</v>
      </c>
      <c r="AB151" s="31">
        <v>109</v>
      </c>
      <c r="AC151" s="31">
        <f t="shared" si="87"/>
        <v>120</v>
      </c>
      <c r="AD151" s="31"/>
      <c r="AE151" s="31">
        <v>0</v>
      </c>
      <c r="AF151" s="31"/>
      <c r="AG151" s="31"/>
      <c r="AH151" s="31"/>
      <c r="AI151" s="31"/>
      <c r="AJ151" s="31"/>
      <c r="AK151" s="31"/>
      <c r="AL151" s="31"/>
      <c r="AM151" s="31"/>
      <c r="AN151" s="31">
        <f t="shared" si="83"/>
        <v>0</v>
      </c>
      <c r="AO151" s="31"/>
      <c r="AP151" s="31"/>
      <c r="AQ151" s="31"/>
      <c r="AR151" s="31"/>
      <c r="AS151" s="31"/>
      <c r="AT151" s="31">
        <v>0</v>
      </c>
      <c r="AU151" s="31"/>
      <c r="AV151" s="31"/>
      <c r="AW151" s="31"/>
      <c r="AX151" s="31"/>
      <c r="AY151" s="31"/>
      <c r="AZ151" s="31"/>
      <c r="BA151" s="31"/>
      <c r="BB151" s="31"/>
      <c r="BC151" s="31"/>
      <c r="BD151" s="31">
        <f t="shared" si="84"/>
        <v>0</v>
      </c>
      <c r="BE151" s="239">
        <f t="shared" si="77"/>
        <v>0</v>
      </c>
      <c r="BF151" s="29">
        <f t="shared" si="85"/>
        <v>0</v>
      </c>
      <c r="BG151" s="29">
        <f>VLOOKUP(E151,'[3]Y2604-Y2608_庫存&amp;銷售'!$F:$AJ,23,0)</f>
        <v>0</v>
      </c>
      <c r="BH151" s="29">
        <f>VLOOKUP(E151,'[3]Y2604-Y2608_庫存&amp;銷售'!$F:$AL,25,0)</f>
        <v>0</v>
      </c>
      <c r="BI151" s="29">
        <f>VLOOKUP(E151,'[3]Y2604-Y2608_庫存&amp;銷售'!$F:$AN,30,0)</f>
        <v>0</v>
      </c>
      <c r="BJ151" s="81">
        <f t="shared" si="88"/>
        <v>132840</v>
      </c>
      <c r="BK151" s="81">
        <f t="shared" si="89"/>
        <v>0</v>
      </c>
      <c r="BL151" s="81">
        <f t="shared" si="90"/>
        <v>0</v>
      </c>
      <c r="BM151" s="81">
        <f t="shared" si="93"/>
        <v>132840</v>
      </c>
      <c r="BN151" s="81">
        <f t="shared" si="94"/>
        <v>105960</v>
      </c>
      <c r="BO151" s="81">
        <f t="shared" si="95"/>
        <v>129463.704</v>
      </c>
      <c r="BP151" s="81">
        <f t="shared" si="96"/>
        <v>0</v>
      </c>
      <c r="BQ151" s="81">
        <f t="shared" si="97"/>
        <v>0</v>
      </c>
      <c r="BR151" s="81">
        <f t="shared" si="98"/>
        <v>0</v>
      </c>
      <c r="BS151" s="199">
        <f t="shared" si="86"/>
        <v>0</v>
      </c>
      <c r="BT151" s="199">
        <f t="shared" si="81"/>
        <v>0</v>
      </c>
      <c r="BU151" s="199">
        <f t="shared" si="82"/>
        <v>0</v>
      </c>
      <c r="BV151" s="112">
        <f>VLOOKUP(E151,'[4]Y2604-Y2608_庫存&amp;銷售'!$F:$AB,17,0)</f>
        <v>22</v>
      </c>
      <c r="BW151" s="112">
        <f>VLOOKUP(A151,'[5]Demand inbond in Sep'!$B:$M,12,0)</f>
        <v>111</v>
      </c>
      <c r="BX151" s="112"/>
    </row>
    <row r="152" spans="1:76" ht="15" x14ac:dyDescent="0.35">
      <c r="A152" s="2">
        <v>522244896297748</v>
      </c>
      <c r="B152" s="19" t="s">
        <v>91</v>
      </c>
      <c r="C152" s="1" t="s">
        <v>92</v>
      </c>
      <c r="D152" s="2" t="e">
        <v>#N/A</v>
      </c>
      <c r="E152" s="3">
        <v>4987176372260</v>
      </c>
      <c r="F152" s="3">
        <v>4987176372260</v>
      </c>
      <c r="G152" s="4" t="s">
        <v>152</v>
      </c>
      <c r="H152" s="1">
        <v>435</v>
      </c>
      <c r="I152" s="1"/>
      <c r="J152" s="5">
        <v>1</v>
      </c>
      <c r="K152" s="5">
        <v>507.72</v>
      </c>
      <c r="L152" s="5">
        <v>471.88</v>
      </c>
      <c r="M152" s="115">
        <v>0</v>
      </c>
      <c r="N152" s="21">
        <f>VLOOKUP(E152,'[8]Demand inbond in Aug'!$C:$T,18,0)</f>
        <v>0</v>
      </c>
      <c r="O152" s="23">
        <f>VLOOKUP(E152,'[5]Demand inbond in Sep'!$C:$M,11,0)</f>
        <v>16</v>
      </c>
      <c r="P152" s="24">
        <f t="shared" ref="P152:P178" si="99">M152*J152</f>
        <v>0</v>
      </c>
      <c r="Q152" s="24">
        <f t="shared" ref="Q152:Q178" si="100">N152*J152</f>
        <v>0</v>
      </c>
      <c r="R152" s="24">
        <f t="shared" si="80"/>
        <v>16</v>
      </c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>
        <f t="shared" si="87"/>
        <v>0</v>
      </c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>
        <f t="shared" si="83"/>
        <v>0</v>
      </c>
      <c r="AO152" s="31"/>
      <c r="AP152" s="31"/>
      <c r="AQ152" s="31">
        <v>16</v>
      </c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>
        <f t="shared" si="84"/>
        <v>16</v>
      </c>
      <c r="BE152" s="29">
        <f t="shared" si="77"/>
        <v>0</v>
      </c>
      <c r="BF152" s="29">
        <f t="shared" si="85"/>
        <v>16</v>
      </c>
      <c r="BG152" s="29">
        <f>VLOOKUP(E152,'[3]Y2604-Y2608_庫存&amp;銷售'!$F:$AJ,23,0)</f>
        <v>2</v>
      </c>
      <c r="BH152" s="29">
        <f>VLOOKUP(E152,'[3]Y2604-Y2608_庫存&amp;銷售'!$F:$AL,25,0)</f>
        <v>0</v>
      </c>
      <c r="BI152" s="29">
        <f>VLOOKUP(E152,'[3]Y2604-Y2608_庫存&amp;銷售'!$F:$AN,30,0)</f>
        <v>0</v>
      </c>
      <c r="BJ152" s="81">
        <f t="shared" si="88"/>
        <v>0</v>
      </c>
      <c r="BK152" s="81">
        <f t="shared" si="89"/>
        <v>0</v>
      </c>
      <c r="BL152" s="81">
        <f t="shared" si="90"/>
        <v>8123.52</v>
      </c>
      <c r="BM152" s="81">
        <f t="shared" si="93"/>
        <v>0</v>
      </c>
      <c r="BN152" s="81">
        <f t="shared" si="94"/>
        <v>0</v>
      </c>
      <c r="BO152" s="81">
        <f t="shared" si="95"/>
        <v>0</v>
      </c>
      <c r="BP152" s="81">
        <f t="shared" si="96"/>
        <v>0</v>
      </c>
      <c r="BQ152" s="81">
        <f t="shared" si="97"/>
        <v>0</v>
      </c>
      <c r="BR152" s="81">
        <f t="shared" si="98"/>
        <v>0</v>
      </c>
      <c r="BS152" s="199">
        <f t="shared" si="86"/>
        <v>8123.52</v>
      </c>
      <c r="BT152" s="199">
        <f t="shared" si="81"/>
        <v>6960</v>
      </c>
      <c r="BU152" s="199">
        <f t="shared" si="82"/>
        <v>7701.0816000000004</v>
      </c>
      <c r="BV152" s="112">
        <f>VLOOKUP(E152,'[4]Y2604-Y2608_庫存&amp;銷售'!$F:$AB,17,0)</f>
        <v>0</v>
      </c>
      <c r="BW152" s="112">
        <f>VLOOKUP(A152,'[5]Demand inbond in Sep'!$B:$M,12,0)</f>
        <v>16</v>
      </c>
      <c r="BX152" s="112"/>
    </row>
    <row r="153" spans="1:76" s="145" customFormat="1" ht="15" x14ac:dyDescent="0.35">
      <c r="A153" s="136">
        <v>522244896297749</v>
      </c>
      <c r="B153" s="137" t="s">
        <v>91</v>
      </c>
      <c r="C153" s="138" t="s">
        <v>92</v>
      </c>
      <c r="D153" s="136">
        <v>80889749</v>
      </c>
      <c r="E153" s="139">
        <v>4987176372086</v>
      </c>
      <c r="F153" s="139">
        <v>4987176372086</v>
      </c>
      <c r="G153" s="140" t="s">
        <v>153</v>
      </c>
      <c r="H153" s="138">
        <v>883</v>
      </c>
      <c r="I153" s="146" t="s">
        <v>320</v>
      </c>
      <c r="J153" s="141">
        <v>1</v>
      </c>
      <c r="K153" s="141">
        <v>1107</v>
      </c>
      <c r="L153" s="141">
        <v>1057.71</v>
      </c>
      <c r="M153" s="115">
        <v>100</v>
      </c>
      <c r="N153" s="170">
        <f>VLOOKUP(E153,'[8]Demand inbond in Aug'!$C:$T,18,0)+108</f>
        <v>108</v>
      </c>
      <c r="O153" s="23">
        <f>VLOOKUP(E153,'[5]Demand inbond in Sep'!$C:$M,11,0)</f>
        <v>0</v>
      </c>
      <c r="P153" s="142">
        <f t="shared" si="99"/>
        <v>100</v>
      </c>
      <c r="Q153" s="142">
        <f t="shared" si="100"/>
        <v>108</v>
      </c>
      <c r="R153" s="142">
        <f t="shared" si="80"/>
        <v>0</v>
      </c>
      <c r="S153" s="143"/>
      <c r="T153" s="143"/>
      <c r="U153" s="143"/>
      <c r="V153" s="143">
        <v>100</v>
      </c>
      <c r="W153" s="143"/>
      <c r="X153" s="143"/>
      <c r="Y153" s="143">
        <v>0</v>
      </c>
      <c r="Z153" s="143"/>
      <c r="AA153" s="143"/>
      <c r="AB153" s="143">
        <v>0</v>
      </c>
      <c r="AC153" s="143">
        <f t="shared" si="87"/>
        <v>100</v>
      </c>
      <c r="AD153" s="31">
        <v>108</v>
      </c>
      <c r="AE153" s="31">
        <v>0</v>
      </c>
      <c r="AF153" s="31"/>
      <c r="AG153" s="31"/>
      <c r="AH153" s="31"/>
      <c r="AI153" s="31"/>
      <c r="AJ153" s="31"/>
      <c r="AK153" s="31"/>
      <c r="AL153" s="31"/>
      <c r="AM153" s="143"/>
      <c r="AN153" s="31">
        <f t="shared" si="83"/>
        <v>108</v>
      </c>
      <c r="AO153" s="31"/>
      <c r="AP153" s="31"/>
      <c r="AQ153" s="31"/>
      <c r="AR153" s="31"/>
      <c r="AS153" s="31">
        <v>0</v>
      </c>
      <c r="AT153" s="31">
        <v>0</v>
      </c>
      <c r="AU153" s="31"/>
      <c r="AV153" s="31"/>
      <c r="AW153" s="31"/>
      <c r="AX153" s="31"/>
      <c r="AY153" s="31"/>
      <c r="AZ153" s="31"/>
      <c r="BA153" s="31"/>
      <c r="BB153" s="31"/>
      <c r="BC153" s="31"/>
      <c r="BD153" s="31">
        <f t="shared" si="84"/>
        <v>0</v>
      </c>
      <c r="BE153" s="29">
        <f t="shared" si="77"/>
        <v>0</v>
      </c>
      <c r="BF153" s="29">
        <f t="shared" si="85"/>
        <v>0</v>
      </c>
      <c r="BG153" s="29">
        <f>VLOOKUP(E153,'[3]Y2604-Y2608_庫存&amp;銷售'!$F:$AJ,23,0)</f>
        <v>0</v>
      </c>
      <c r="BH153" s="29">
        <f>VLOOKUP(E153,'[3]Y2604-Y2608_庫存&amp;銷售'!$F:$AL,25,0)</f>
        <v>0</v>
      </c>
      <c r="BI153" s="29">
        <f>VLOOKUP(E153,'[3]Y2604-Y2608_庫存&amp;銷售'!$F:$AN,30,0)</f>
        <v>0</v>
      </c>
      <c r="BJ153" s="144">
        <f t="shared" si="88"/>
        <v>110700</v>
      </c>
      <c r="BK153" s="144">
        <f t="shared" si="89"/>
        <v>119556</v>
      </c>
      <c r="BL153" s="144">
        <f t="shared" si="90"/>
        <v>0</v>
      </c>
      <c r="BM153" s="144">
        <f t="shared" si="93"/>
        <v>110700</v>
      </c>
      <c r="BN153" s="144">
        <f t="shared" si="94"/>
        <v>88300</v>
      </c>
      <c r="BO153" s="144">
        <f t="shared" si="95"/>
        <v>107886.42</v>
      </c>
      <c r="BP153" s="81">
        <f t="shared" si="96"/>
        <v>119556</v>
      </c>
      <c r="BQ153" s="81">
        <f t="shared" si="97"/>
        <v>95364</v>
      </c>
      <c r="BR153" s="81">
        <f t="shared" si="98"/>
        <v>116517.3336</v>
      </c>
      <c r="BS153" s="199">
        <f t="shared" si="86"/>
        <v>0</v>
      </c>
      <c r="BT153" s="199">
        <f t="shared" si="81"/>
        <v>0</v>
      </c>
      <c r="BU153" s="199">
        <f t="shared" si="82"/>
        <v>0</v>
      </c>
      <c r="BV153" s="112">
        <f>VLOOKUP(E153,'[4]Y2604-Y2608_庫存&amp;銷售'!$F:$AB,17,0)</f>
        <v>81</v>
      </c>
      <c r="BW153" s="112">
        <f>VLOOKUP(A153,'[5]Demand inbond in Sep'!$B:$M,12,0)</f>
        <v>0</v>
      </c>
      <c r="BX153" s="112"/>
    </row>
    <row r="154" spans="1:76" ht="15" x14ac:dyDescent="0.35">
      <c r="A154" s="2">
        <v>522244896297750</v>
      </c>
      <c r="B154" s="19" t="s">
        <v>91</v>
      </c>
      <c r="C154" s="1" t="s">
        <v>92</v>
      </c>
      <c r="D154" s="2" t="e">
        <v>#N/A</v>
      </c>
      <c r="E154" s="3">
        <v>4987176372215</v>
      </c>
      <c r="F154" s="3">
        <v>4987176372215</v>
      </c>
      <c r="G154" s="4" t="s">
        <v>154</v>
      </c>
      <c r="H154" s="1">
        <v>435</v>
      </c>
      <c r="I154" s="1"/>
      <c r="J154" s="5">
        <v>1</v>
      </c>
      <c r="K154" s="5">
        <v>507.72</v>
      </c>
      <c r="L154" s="5">
        <v>471.88</v>
      </c>
      <c r="M154" s="115">
        <v>0</v>
      </c>
      <c r="N154" s="21">
        <f>VLOOKUP(E154,'[8]Demand inbond in Aug'!$C:$T,18,0)</f>
        <v>0</v>
      </c>
      <c r="O154" s="23">
        <f>VLOOKUP(E154,'[5]Demand inbond in Sep'!$C:$M,11,0)</f>
        <v>16</v>
      </c>
      <c r="P154" s="24">
        <f t="shared" si="99"/>
        <v>0</v>
      </c>
      <c r="Q154" s="24">
        <f t="shared" si="100"/>
        <v>0</v>
      </c>
      <c r="R154" s="24">
        <f t="shared" si="80"/>
        <v>16</v>
      </c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>
        <f t="shared" si="87"/>
        <v>0</v>
      </c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>
        <f t="shared" si="83"/>
        <v>0</v>
      </c>
      <c r="AO154" s="31"/>
      <c r="AP154" s="31"/>
      <c r="AQ154" s="31">
        <v>16</v>
      </c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>
        <f t="shared" si="84"/>
        <v>16</v>
      </c>
      <c r="BE154" s="29">
        <f t="shared" si="77"/>
        <v>0</v>
      </c>
      <c r="BF154" s="29">
        <f t="shared" si="85"/>
        <v>16</v>
      </c>
      <c r="BG154" s="29">
        <f>VLOOKUP(E154,'[3]Y2604-Y2608_庫存&amp;銷售'!$F:$AJ,23,0)</f>
        <v>0</v>
      </c>
      <c r="BH154" s="29">
        <f>VLOOKUP(E154,'[3]Y2604-Y2608_庫存&amp;銷售'!$F:$AL,25,0)</f>
        <v>0</v>
      </c>
      <c r="BI154" s="29">
        <f>VLOOKUP(E154,'[3]Y2604-Y2608_庫存&amp;銷售'!$F:$AN,30,0)</f>
        <v>0</v>
      </c>
      <c r="BJ154" s="81">
        <f t="shared" si="88"/>
        <v>0</v>
      </c>
      <c r="BK154" s="81">
        <f t="shared" si="89"/>
        <v>0</v>
      </c>
      <c r="BL154" s="81">
        <f t="shared" si="90"/>
        <v>8123.52</v>
      </c>
      <c r="BM154" s="81">
        <f t="shared" si="93"/>
        <v>0</v>
      </c>
      <c r="BN154" s="81">
        <f t="shared" si="94"/>
        <v>0</v>
      </c>
      <c r="BO154" s="81">
        <f t="shared" si="95"/>
        <v>0</v>
      </c>
      <c r="BP154" s="81">
        <f t="shared" si="96"/>
        <v>0</v>
      </c>
      <c r="BQ154" s="81">
        <f t="shared" si="97"/>
        <v>0</v>
      </c>
      <c r="BR154" s="81">
        <f t="shared" si="98"/>
        <v>0</v>
      </c>
      <c r="BS154" s="199">
        <f t="shared" si="86"/>
        <v>8123.52</v>
      </c>
      <c r="BT154" s="199">
        <f t="shared" si="81"/>
        <v>6960</v>
      </c>
      <c r="BU154" s="199">
        <f t="shared" si="82"/>
        <v>7701.0816000000004</v>
      </c>
      <c r="BV154" s="112">
        <f>VLOOKUP(E154,'[4]Y2604-Y2608_庫存&amp;銷售'!$F:$AB,17,0)</f>
        <v>0</v>
      </c>
      <c r="BW154" s="112">
        <f>VLOOKUP(A154,'[5]Demand inbond in Sep'!$B:$M,12,0)</f>
        <v>16</v>
      </c>
      <c r="BX154" s="112"/>
    </row>
    <row r="155" spans="1:76" ht="15" x14ac:dyDescent="0.35">
      <c r="A155" s="2">
        <v>522244896297751</v>
      </c>
      <c r="B155" s="19" t="s">
        <v>91</v>
      </c>
      <c r="C155" s="1" t="s">
        <v>92</v>
      </c>
      <c r="D155" s="2">
        <v>80889746</v>
      </c>
      <c r="E155" s="3">
        <v>4987176372055</v>
      </c>
      <c r="F155" s="3">
        <v>4987176372055</v>
      </c>
      <c r="G155" s="4" t="s">
        <v>155</v>
      </c>
      <c r="H155" s="1">
        <v>1330</v>
      </c>
      <c r="I155" s="1"/>
      <c r="J155" s="5">
        <v>1</v>
      </c>
      <c r="K155" s="5">
        <v>1508</v>
      </c>
      <c r="L155" s="5">
        <v>1449.71</v>
      </c>
      <c r="M155" s="115">
        <v>0</v>
      </c>
      <c r="N155" s="21">
        <f>VLOOKUP(E155,'[8]Demand inbond in Aug'!$C:$T,18,0)</f>
        <v>0</v>
      </c>
      <c r="O155" s="23">
        <f>VLOOKUP(E155,'[5]Demand inbond in Sep'!$C:$M,11,0)</f>
        <v>0</v>
      </c>
      <c r="P155" s="24">
        <f t="shared" si="99"/>
        <v>0</v>
      </c>
      <c r="Q155" s="24">
        <f t="shared" si="100"/>
        <v>0</v>
      </c>
      <c r="R155" s="24">
        <f t="shared" si="80"/>
        <v>0</v>
      </c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>
        <f t="shared" si="87"/>
        <v>0</v>
      </c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>
        <f t="shared" si="83"/>
        <v>0</v>
      </c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>
        <f t="shared" si="84"/>
        <v>0</v>
      </c>
      <c r="BE155" s="29">
        <f t="shared" ref="BE155:BE165" si="101">O155-BD155</f>
        <v>0</v>
      </c>
      <c r="BF155" s="29">
        <f t="shared" si="85"/>
        <v>0</v>
      </c>
      <c r="BG155" s="29">
        <f>VLOOKUP(E155,'[3]Y2604-Y2608_庫存&amp;銷售'!$F:$AJ,23,0)</f>
        <v>0</v>
      </c>
      <c r="BH155" s="29">
        <f>VLOOKUP(E155,'[3]Y2604-Y2608_庫存&amp;銷售'!$F:$AL,25,0)</f>
        <v>0</v>
      </c>
      <c r="BI155" s="29">
        <f>VLOOKUP(E155,'[3]Y2604-Y2608_庫存&amp;銷售'!$F:$AN,30,0)</f>
        <v>0</v>
      </c>
      <c r="BJ155" s="81">
        <f t="shared" si="88"/>
        <v>0</v>
      </c>
      <c r="BK155" s="81">
        <f t="shared" si="89"/>
        <v>0</v>
      </c>
      <c r="BL155" s="81">
        <f t="shared" si="90"/>
        <v>0</v>
      </c>
      <c r="BM155" s="81">
        <f t="shared" si="93"/>
        <v>0</v>
      </c>
      <c r="BN155" s="81">
        <f t="shared" si="94"/>
        <v>0</v>
      </c>
      <c r="BO155" s="81">
        <f t="shared" si="95"/>
        <v>0</v>
      </c>
      <c r="BP155" s="81">
        <f t="shared" si="96"/>
        <v>0</v>
      </c>
      <c r="BQ155" s="81">
        <f t="shared" si="97"/>
        <v>0</v>
      </c>
      <c r="BR155" s="81">
        <f t="shared" si="98"/>
        <v>0</v>
      </c>
      <c r="BS155" s="199">
        <f t="shared" si="86"/>
        <v>0</v>
      </c>
      <c r="BT155" s="199">
        <f t="shared" si="81"/>
        <v>0</v>
      </c>
      <c r="BU155" s="199">
        <f t="shared" si="82"/>
        <v>0</v>
      </c>
      <c r="BV155" s="112">
        <f>VLOOKUP(E155,'[4]Y2604-Y2608_庫存&amp;銷售'!$F:$AB,17,0)</f>
        <v>0</v>
      </c>
      <c r="BW155" s="112">
        <f>VLOOKUP(A155,'[5]Demand inbond in Sep'!$B:$M,12,0)</f>
        <v>0</v>
      </c>
      <c r="BX155" s="112"/>
    </row>
    <row r="156" spans="1:76" ht="15" x14ac:dyDescent="0.35">
      <c r="A156" s="257">
        <v>522244896297752</v>
      </c>
      <c r="B156" s="258" t="s">
        <v>91</v>
      </c>
      <c r="C156" s="259" t="s">
        <v>92</v>
      </c>
      <c r="D156" s="257">
        <v>80889769</v>
      </c>
      <c r="E156" s="260">
        <v>4987176372284</v>
      </c>
      <c r="F156" s="260">
        <v>4987176372284</v>
      </c>
      <c r="G156" s="261" t="s">
        <v>156</v>
      </c>
      <c r="H156" s="259">
        <v>883</v>
      </c>
      <c r="I156" s="262" t="s">
        <v>413</v>
      </c>
      <c r="J156" s="5">
        <v>1</v>
      </c>
      <c r="K156" s="5">
        <v>1107</v>
      </c>
      <c r="L156" s="5">
        <v>1057.71</v>
      </c>
      <c r="M156" s="169">
        <f>80+170</f>
        <v>250</v>
      </c>
      <c r="N156" s="21">
        <f>VLOOKUP(E156,'[8]Demand inbond in Aug'!$C:$T,18,0)</f>
        <v>0</v>
      </c>
      <c r="O156" s="247"/>
      <c r="P156" s="24">
        <f t="shared" si="99"/>
        <v>250</v>
      </c>
      <c r="Q156" s="24">
        <f t="shared" si="100"/>
        <v>0</v>
      </c>
      <c r="R156" s="24">
        <f t="shared" si="80"/>
        <v>0</v>
      </c>
      <c r="S156" s="31"/>
      <c r="T156" s="31"/>
      <c r="U156" s="31"/>
      <c r="V156" s="31">
        <v>80</v>
      </c>
      <c r="W156" s="31"/>
      <c r="X156" s="31">
        <v>0</v>
      </c>
      <c r="Y156" s="31">
        <v>0</v>
      </c>
      <c r="Z156" s="31"/>
      <c r="AA156" s="31"/>
      <c r="AB156" s="31">
        <v>170</v>
      </c>
      <c r="AC156" s="31">
        <f t="shared" si="87"/>
        <v>250</v>
      </c>
      <c r="AD156" s="31"/>
      <c r="AE156" s="31">
        <v>0</v>
      </c>
      <c r="AF156" s="31"/>
      <c r="AG156" s="31"/>
      <c r="AH156" s="31"/>
      <c r="AI156" s="31"/>
      <c r="AJ156" s="31"/>
      <c r="AK156" s="31"/>
      <c r="AL156" s="31"/>
      <c r="AM156" s="31"/>
      <c r="AN156" s="31">
        <f t="shared" si="83"/>
        <v>0</v>
      </c>
      <c r="AO156" s="31"/>
      <c r="AP156" s="31">
        <v>0</v>
      </c>
      <c r="AQ156" s="31"/>
      <c r="AR156" s="31"/>
      <c r="AS156" s="31"/>
      <c r="AT156" s="31">
        <v>0</v>
      </c>
      <c r="AU156" s="31"/>
      <c r="AV156" s="31"/>
      <c r="AW156" s="31"/>
      <c r="AX156" s="31"/>
      <c r="AY156" s="31"/>
      <c r="AZ156" s="31"/>
      <c r="BA156" s="31"/>
      <c r="BB156" s="31"/>
      <c r="BC156" s="31"/>
      <c r="BD156" s="31">
        <f t="shared" si="84"/>
        <v>0</v>
      </c>
      <c r="BE156" s="29">
        <f t="shared" si="101"/>
        <v>0</v>
      </c>
      <c r="BF156" s="29">
        <f t="shared" si="85"/>
        <v>0</v>
      </c>
      <c r="BG156" s="29">
        <f>VLOOKUP(E156,'[3]Y2604-Y2608_庫存&amp;銷售'!$F:$AJ,23,0)</f>
        <v>0</v>
      </c>
      <c r="BH156" s="29">
        <f>VLOOKUP(E156,'[3]Y2604-Y2608_庫存&amp;銷售'!$F:$AL,25,0)</f>
        <v>0</v>
      </c>
      <c r="BI156" s="29">
        <f>VLOOKUP(E156,'[3]Y2604-Y2608_庫存&amp;銷售'!$F:$AN,30,0)</f>
        <v>0</v>
      </c>
      <c r="BJ156" s="81">
        <f t="shared" si="88"/>
        <v>276750</v>
      </c>
      <c r="BK156" s="81">
        <f t="shared" si="89"/>
        <v>0</v>
      </c>
      <c r="BL156" s="81">
        <f t="shared" si="90"/>
        <v>0</v>
      </c>
      <c r="BM156" s="81">
        <f t="shared" si="93"/>
        <v>276750</v>
      </c>
      <c r="BN156" s="81">
        <f t="shared" si="94"/>
        <v>220750</v>
      </c>
      <c r="BO156" s="81">
        <f t="shared" si="95"/>
        <v>269716.05</v>
      </c>
      <c r="BP156" s="81">
        <f t="shared" si="96"/>
        <v>0</v>
      </c>
      <c r="BQ156" s="81">
        <f t="shared" si="97"/>
        <v>0</v>
      </c>
      <c r="BR156" s="81">
        <f t="shared" si="98"/>
        <v>0</v>
      </c>
      <c r="BS156" s="199">
        <f t="shared" si="86"/>
        <v>0</v>
      </c>
      <c r="BT156" s="199">
        <f t="shared" si="81"/>
        <v>0</v>
      </c>
      <c r="BU156" s="199">
        <f t="shared" si="82"/>
        <v>0</v>
      </c>
      <c r="BV156" s="112">
        <f>VLOOKUP(E156,'[4]Y2604-Y2608_庫存&amp;銷售'!$F:$AB,17,0)</f>
        <v>94</v>
      </c>
      <c r="BW156" s="112">
        <f>VLOOKUP(A156,'[5]Demand inbond in Sep'!$B:$M,12,0)</f>
        <v>333</v>
      </c>
      <c r="BX156" s="112"/>
    </row>
    <row r="157" spans="1:76" ht="15" x14ac:dyDescent="0.35">
      <c r="A157" s="2">
        <v>522244896297753</v>
      </c>
      <c r="B157" s="19" t="s">
        <v>91</v>
      </c>
      <c r="C157" s="1" t="s">
        <v>92</v>
      </c>
      <c r="D157" s="2">
        <v>80889745</v>
      </c>
      <c r="E157" s="3">
        <v>4987176372048</v>
      </c>
      <c r="F157" s="3">
        <v>4987176372048</v>
      </c>
      <c r="G157" s="4" t="s">
        <v>157</v>
      </c>
      <c r="H157" s="1">
        <v>1330</v>
      </c>
      <c r="I157" s="1"/>
      <c r="J157" s="5">
        <v>1</v>
      </c>
      <c r="K157" s="5">
        <v>1508</v>
      </c>
      <c r="L157" s="5">
        <v>1449.71</v>
      </c>
      <c r="M157" s="115">
        <v>0</v>
      </c>
      <c r="N157" s="21">
        <f>VLOOKUP(E157,'[8]Demand inbond in Aug'!$C:$T,18,0)</f>
        <v>0</v>
      </c>
      <c r="O157" s="23">
        <f>VLOOKUP(E157,'[5]Demand inbond in Sep'!$C:$M,11,0)</f>
        <v>0</v>
      </c>
      <c r="P157" s="24">
        <f t="shared" si="99"/>
        <v>0</v>
      </c>
      <c r="Q157" s="24">
        <f t="shared" si="100"/>
        <v>0</v>
      </c>
      <c r="R157" s="24">
        <f t="shared" si="80"/>
        <v>0</v>
      </c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>
        <f t="shared" si="87"/>
        <v>0</v>
      </c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>
        <f t="shared" si="83"/>
        <v>0</v>
      </c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>
        <f t="shared" si="84"/>
        <v>0</v>
      </c>
      <c r="BE157" s="29">
        <f t="shared" si="101"/>
        <v>0</v>
      </c>
      <c r="BF157" s="29">
        <f t="shared" si="85"/>
        <v>0</v>
      </c>
      <c r="BG157" s="29">
        <f>VLOOKUP(E157,'[3]Y2604-Y2608_庫存&amp;銷售'!$F:$AJ,23,0)</f>
        <v>0</v>
      </c>
      <c r="BH157" s="29">
        <f>VLOOKUP(E157,'[3]Y2604-Y2608_庫存&amp;銷售'!$F:$AL,25,0)</f>
        <v>0</v>
      </c>
      <c r="BI157" s="29">
        <f>VLOOKUP(E157,'[3]Y2604-Y2608_庫存&amp;銷售'!$F:$AN,30,0)</f>
        <v>0</v>
      </c>
      <c r="BJ157" s="81">
        <f t="shared" si="88"/>
        <v>0</v>
      </c>
      <c r="BK157" s="81">
        <f t="shared" si="89"/>
        <v>0</v>
      </c>
      <c r="BL157" s="81">
        <f t="shared" si="90"/>
        <v>0</v>
      </c>
      <c r="BM157" s="81">
        <f t="shared" si="93"/>
        <v>0</v>
      </c>
      <c r="BN157" s="81">
        <f t="shared" si="94"/>
        <v>0</v>
      </c>
      <c r="BO157" s="81">
        <f t="shared" si="95"/>
        <v>0</v>
      </c>
      <c r="BP157" s="81">
        <f t="shared" si="96"/>
        <v>0</v>
      </c>
      <c r="BQ157" s="81">
        <f t="shared" si="97"/>
        <v>0</v>
      </c>
      <c r="BR157" s="81">
        <f t="shared" si="98"/>
        <v>0</v>
      </c>
      <c r="BS157" s="199">
        <f t="shared" si="86"/>
        <v>0</v>
      </c>
      <c r="BT157" s="199">
        <f t="shared" si="81"/>
        <v>0</v>
      </c>
      <c r="BU157" s="199">
        <f t="shared" si="82"/>
        <v>0</v>
      </c>
      <c r="BV157" s="112">
        <f>VLOOKUP(E157,'[4]Y2604-Y2608_庫存&amp;銷售'!$F:$AB,17,0)</f>
        <v>0</v>
      </c>
      <c r="BW157" s="112">
        <f>VLOOKUP(A157,'[5]Demand inbond in Sep'!$B:$M,12,0)</f>
        <v>0</v>
      </c>
      <c r="BX157" s="112"/>
    </row>
    <row r="158" spans="1:76" ht="15" x14ac:dyDescent="0.35">
      <c r="A158" s="2">
        <v>522244896297754</v>
      </c>
      <c r="B158" s="19" t="s">
        <v>91</v>
      </c>
      <c r="C158" s="1" t="s">
        <v>92</v>
      </c>
      <c r="D158" s="2">
        <v>80889755</v>
      </c>
      <c r="E158" s="3">
        <v>4987176372147</v>
      </c>
      <c r="F158" s="3">
        <v>4987176372147</v>
      </c>
      <c r="G158" s="4" t="s">
        <v>158</v>
      </c>
      <c r="H158" s="1">
        <v>1330</v>
      </c>
      <c r="I158" s="1"/>
      <c r="J158" s="5">
        <v>1</v>
      </c>
      <c r="K158" s="5">
        <v>1508</v>
      </c>
      <c r="L158" s="5">
        <v>1449.71</v>
      </c>
      <c r="M158" s="115">
        <v>0</v>
      </c>
      <c r="N158" s="21">
        <f>VLOOKUP(E158,'[8]Demand inbond in Aug'!$C:$T,18,0)</f>
        <v>0</v>
      </c>
      <c r="O158" s="23">
        <f>VLOOKUP(E158,'[5]Demand inbond in Sep'!$C:$M,11,0)</f>
        <v>0</v>
      </c>
      <c r="P158" s="24">
        <f t="shared" si="99"/>
        <v>0</v>
      </c>
      <c r="Q158" s="24">
        <f t="shared" si="100"/>
        <v>0</v>
      </c>
      <c r="R158" s="24">
        <f t="shared" si="80"/>
        <v>0</v>
      </c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>
        <f t="shared" si="87"/>
        <v>0</v>
      </c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>
        <f t="shared" si="83"/>
        <v>0</v>
      </c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>
        <f t="shared" si="84"/>
        <v>0</v>
      </c>
      <c r="BE158" s="29">
        <f t="shared" si="101"/>
        <v>0</v>
      </c>
      <c r="BF158" s="29">
        <f t="shared" si="85"/>
        <v>0</v>
      </c>
      <c r="BG158" s="29">
        <f>VLOOKUP(E158,'[3]Y2604-Y2608_庫存&amp;銷售'!$F:$AJ,23,0)</f>
        <v>0</v>
      </c>
      <c r="BH158" s="29">
        <f>VLOOKUP(E158,'[3]Y2604-Y2608_庫存&amp;銷售'!$F:$AL,25,0)</f>
        <v>0</v>
      </c>
      <c r="BI158" s="29">
        <f>VLOOKUP(E158,'[3]Y2604-Y2608_庫存&amp;銷售'!$F:$AN,30,0)</f>
        <v>0</v>
      </c>
      <c r="BJ158" s="81">
        <f t="shared" si="88"/>
        <v>0</v>
      </c>
      <c r="BK158" s="81">
        <f t="shared" si="89"/>
        <v>0</v>
      </c>
      <c r="BL158" s="81">
        <f t="shared" si="90"/>
        <v>0</v>
      </c>
      <c r="BM158" s="81">
        <f t="shared" si="93"/>
        <v>0</v>
      </c>
      <c r="BN158" s="81">
        <f t="shared" si="94"/>
        <v>0</v>
      </c>
      <c r="BO158" s="81">
        <f t="shared" si="95"/>
        <v>0</v>
      </c>
      <c r="BP158" s="81">
        <f t="shared" si="96"/>
        <v>0</v>
      </c>
      <c r="BQ158" s="81">
        <f t="shared" si="97"/>
        <v>0</v>
      </c>
      <c r="BR158" s="81">
        <f t="shared" si="98"/>
        <v>0</v>
      </c>
      <c r="BS158" s="199">
        <f t="shared" si="86"/>
        <v>0</v>
      </c>
      <c r="BT158" s="199">
        <f t="shared" si="81"/>
        <v>0</v>
      </c>
      <c r="BU158" s="199">
        <f t="shared" si="82"/>
        <v>0</v>
      </c>
      <c r="BV158" s="112">
        <f>VLOOKUP(E158,'[4]Y2604-Y2608_庫存&amp;銷售'!$F:$AB,17,0)</f>
        <v>0</v>
      </c>
      <c r="BW158" s="112">
        <f>VLOOKUP(A158,'[5]Demand inbond in Sep'!$B:$M,12,0)</f>
        <v>0</v>
      </c>
      <c r="BX158" s="112"/>
    </row>
    <row r="159" spans="1:76" ht="15" x14ac:dyDescent="0.35">
      <c r="A159" s="2">
        <v>522244896297755</v>
      </c>
      <c r="B159" s="19" t="s">
        <v>91</v>
      </c>
      <c r="C159" s="1" t="s">
        <v>92</v>
      </c>
      <c r="D159" s="2">
        <v>80888288</v>
      </c>
      <c r="E159" s="3">
        <v>4987176369352</v>
      </c>
      <c r="F159" s="3">
        <v>4987176369352</v>
      </c>
      <c r="G159" s="4" t="s">
        <v>159</v>
      </c>
      <c r="H159" s="1">
        <v>883</v>
      </c>
      <c r="I159" s="1" t="s">
        <v>362</v>
      </c>
      <c r="J159" s="5">
        <v>1</v>
      </c>
      <c r="K159" s="5">
        <v>1015.44</v>
      </c>
      <c r="L159" s="5">
        <v>968.2</v>
      </c>
      <c r="M159" s="115">
        <v>0</v>
      </c>
      <c r="N159" s="21">
        <f>VLOOKUP(E159,'[8]Demand inbond in Aug'!$C:$T,18,0)</f>
        <v>0</v>
      </c>
      <c r="O159" s="23">
        <f>VLOOKUP(E159,'[5]Demand inbond in Sep'!$C:$M,11,0)</f>
        <v>0</v>
      </c>
      <c r="P159" s="24">
        <f t="shared" si="99"/>
        <v>0</v>
      </c>
      <c r="Q159" s="24">
        <f t="shared" si="100"/>
        <v>0</v>
      </c>
      <c r="R159" s="24">
        <f t="shared" si="80"/>
        <v>0</v>
      </c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>
        <f t="shared" si="87"/>
        <v>0</v>
      </c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>
        <f t="shared" si="83"/>
        <v>0</v>
      </c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>
        <f t="shared" si="84"/>
        <v>0</v>
      </c>
      <c r="BE159" s="29">
        <f t="shared" si="101"/>
        <v>0</v>
      </c>
      <c r="BF159" s="29">
        <f t="shared" si="85"/>
        <v>0</v>
      </c>
      <c r="BG159" s="29">
        <f>VLOOKUP(E159,'[3]Y2604-Y2608_庫存&amp;銷售'!$F:$AJ,23,0)</f>
        <v>0</v>
      </c>
      <c r="BH159" s="29">
        <f>VLOOKUP(E159,'[3]Y2604-Y2608_庫存&amp;銷售'!$F:$AL,25,0)</f>
        <v>0</v>
      </c>
      <c r="BI159" s="29">
        <f>VLOOKUP(E159,'[3]Y2604-Y2608_庫存&amp;銷售'!$F:$AN,30,0)</f>
        <v>0</v>
      </c>
      <c r="BJ159" s="81">
        <f t="shared" si="88"/>
        <v>0</v>
      </c>
      <c r="BK159" s="81">
        <f t="shared" si="89"/>
        <v>0</v>
      </c>
      <c r="BL159" s="81">
        <f t="shared" si="90"/>
        <v>0</v>
      </c>
      <c r="BM159" s="81">
        <f t="shared" si="93"/>
        <v>0</v>
      </c>
      <c r="BN159" s="81">
        <f t="shared" si="94"/>
        <v>0</v>
      </c>
      <c r="BO159" s="81">
        <f t="shared" si="95"/>
        <v>0</v>
      </c>
      <c r="BP159" s="81">
        <f t="shared" si="96"/>
        <v>0</v>
      </c>
      <c r="BQ159" s="81">
        <f t="shared" si="97"/>
        <v>0</v>
      </c>
      <c r="BR159" s="81">
        <f t="shared" si="98"/>
        <v>0</v>
      </c>
      <c r="BS159" s="199">
        <f t="shared" si="86"/>
        <v>0</v>
      </c>
      <c r="BT159" s="199">
        <f t="shared" si="81"/>
        <v>0</v>
      </c>
      <c r="BU159" s="199">
        <f t="shared" si="82"/>
        <v>0</v>
      </c>
      <c r="BV159" s="112">
        <f>VLOOKUP(E159,'[4]Y2604-Y2608_庫存&amp;銷售'!$F:$AB,17,0)</f>
        <v>0</v>
      </c>
      <c r="BW159" s="112">
        <f>VLOOKUP(A159,'[5]Demand inbond in Sep'!$B:$M,12,0)</f>
        <v>0</v>
      </c>
      <c r="BX159" s="112"/>
    </row>
    <row r="160" spans="1:76" s="145" customFormat="1" ht="15" x14ac:dyDescent="0.35">
      <c r="A160" s="136">
        <v>522244896299122</v>
      </c>
      <c r="B160" s="137" t="s">
        <v>91</v>
      </c>
      <c r="C160" s="138" t="s">
        <v>92</v>
      </c>
      <c r="D160" s="136">
        <v>80889759</v>
      </c>
      <c r="E160" s="139">
        <v>4987176372185</v>
      </c>
      <c r="F160" s="139">
        <v>4987176372185</v>
      </c>
      <c r="G160" s="140" t="s">
        <v>160</v>
      </c>
      <c r="H160" s="138">
        <v>495</v>
      </c>
      <c r="I160" s="146" t="s">
        <v>199</v>
      </c>
      <c r="J160" s="141">
        <v>1</v>
      </c>
      <c r="K160" s="141">
        <v>507.72</v>
      </c>
      <c r="L160" s="141">
        <v>471.88</v>
      </c>
      <c r="M160" s="115">
        <v>0</v>
      </c>
      <c r="N160" s="21">
        <f>VLOOKUP(E160,'[8]Demand inbond in Aug'!$C:$T,18,0)</f>
        <v>0</v>
      </c>
      <c r="O160" s="23">
        <f>VLOOKUP(E160,'[5]Demand inbond in Sep'!$C:$M,11,0)</f>
        <v>0</v>
      </c>
      <c r="P160" s="142">
        <f t="shared" si="99"/>
        <v>0</v>
      </c>
      <c r="Q160" s="142">
        <f t="shared" si="100"/>
        <v>0</v>
      </c>
      <c r="R160" s="142">
        <f t="shared" si="80"/>
        <v>0</v>
      </c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>
        <f t="shared" si="87"/>
        <v>0</v>
      </c>
      <c r="AD160" s="143"/>
      <c r="AE160" s="31"/>
      <c r="AF160" s="31"/>
      <c r="AG160" s="143"/>
      <c r="AH160" s="31"/>
      <c r="AI160" s="31"/>
      <c r="AJ160" s="31"/>
      <c r="AK160" s="31"/>
      <c r="AL160" s="31"/>
      <c r="AM160" s="143"/>
      <c r="AN160" s="31">
        <f t="shared" si="83"/>
        <v>0</v>
      </c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>
        <f t="shared" si="84"/>
        <v>0</v>
      </c>
      <c r="BE160" s="29">
        <f t="shared" si="101"/>
        <v>0</v>
      </c>
      <c r="BF160" s="29">
        <f t="shared" si="85"/>
        <v>0</v>
      </c>
      <c r="BG160" s="29">
        <f>VLOOKUP(E160,'[3]Y2604-Y2608_庫存&amp;銷售'!$F:$AJ,23,0)</f>
        <v>0</v>
      </c>
      <c r="BH160" s="29">
        <f>VLOOKUP(E160,'[3]Y2604-Y2608_庫存&amp;銷售'!$F:$AL,25,0)</f>
        <v>0</v>
      </c>
      <c r="BI160" s="29">
        <f>VLOOKUP(E160,'[3]Y2604-Y2608_庫存&amp;銷售'!$F:$AN,30,0)</f>
        <v>0</v>
      </c>
      <c r="BJ160" s="144">
        <f t="shared" si="88"/>
        <v>0</v>
      </c>
      <c r="BK160" s="144">
        <f t="shared" si="89"/>
        <v>0</v>
      </c>
      <c r="BL160" s="144">
        <f t="shared" si="90"/>
        <v>0</v>
      </c>
      <c r="BM160" s="144">
        <f t="shared" si="93"/>
        <v>0</v>
      </c>
      <c r="BN160" s="144">
        <f t="shared" si="94"/>
        <v>0</v>
      </c>
      <c r="BO160" s="144">
        <f t="shared" si="95"/>
        <v>0</v>
      </c>
      <c r="BP160" s="81">
        <f t="shared" si="96"/>
        <v>0</v>
      </c>
      <c r="BQ160" s="81">
        <f t="shared" si="97"/>
        <v>0</v>
      </c>
      <c r="BR160" s="81">
        <f t="shared" si="98"/>
        <v>0</v>
      </c>
      <c r="BS160" s="199">
        <f t="shared" si="86"/>
        <v>0</v>
      </c>
      <c r="BT160" s="199">
        <f t="shared" si="81"/>
        <v>0</v>
      </c>
      <c r="BU160" s="199">
        <f t="shared" si="82"/>
        <v>0</v>
      </c>
      <c r="BV160" s="112">
        <f>VLOOKUP(E160,'[4]Y2604-Y2608_庫存&amp;銷售'!$F:$AB,17,0)</f>
        <v>3</v>
      </c>
      <c r="BW160" s="112">
        <f>VLOOKUP(A160,'[5]Demand inbond in Sep'!$B:$M,12,0)</f>
        <v>0</v>
      </c>
      <c r="BX160" s="112"/>
    </row>
    <row r="161" spans="1:76" ht="15" x14ac:dyDescent="0.35">
      <c r="A161" s="2">
        <v>522244896299123</v>
      </c>
      <c r="B161" s="19" t="s">
        <v>91</v>
      </c>
      <c r="C161" s="1" t="s">
        <v>92</v>
      </c>
      <c r="D161" s="2">
        <v>80888290</v>
      </c>
      <c r="E161" s="3">
        <v>4987176369376</v>
      </c>
      <c r="F161" s="3">
        <v>4987176369376</v>
      </c>
      <c r="G161" s="4" t="s">
        <v>161</v>
      </c>
      <c r="H161" s="1">
        <v>883</v>
      </c>
      <c r="I161" s="6" t="s">
        <v>362</v>
      </c>
      <c r="J161" s="5">
        <v>1</v>
      </c>
      <c r="K161" s="5">
        <v>1015.44</v>
      </c>
      <c r="L161" s="5">
        <v>968.2</v>
      </c>
      <c r="M161" s="115">
        <v>0</v>
      </c>
      <c r="N161" s="21">
        <f>VLOOKUP(E161,'[8]Demand inbond in Aug'!$C:$T,18,0)</f>
        <v>0</v>
      </c>
      <c r="O161" s="23">
        <f>VLOOKUP(E161,'[5]Demand inbond in Sep'!$C:$M,11,0)</f>
        <v>0</v>
      </c>
      <c r="P161" s="24">
        <f t="shared" si="99"/>
        <v>0</v>
      </c>
      <c r="Q161" s="24">
        <f t="shared" si="100"/>
        <v>0</v>
      </c>
      <c r="R161" s="24">
        <f t="shared" si="80"/>
        <v>0</v>
      </c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>
        <f t="shared" si="87"/>
        <v>0</v>
      </c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>
        <f t="shared" si="83"/>
        <v>0</v>
      </c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>
        <f t="shared" si="84"/>
        <v>0</v>
      </c>
      <c r="BE161" s="29">
        <f t="shared" si="101"/>
        <v>0</v>
      </c>
      <c r="BF161" s="29">
        <f t="shared" si="85"/>
        <v>0</v>
      </c>
      <c r="BG161" s="29">
        <f>VLOOKUP(E161,'[3]Y2604-Y2608_庫存&amp;銷售'!$F:$AJ,23,0)</f>
        <v>4</v>
      </c>
      <c r="BH161" s="29">
        <f>VLOOKUP(E161,'[3]Y2604-Y2608_庫存&amp;銷售'!$F:$AL,25,0)</f>
        <v>0</v>
      </c>
      <c r="BI161" s="29">
        <f>VLOOKUP(E161,'[3]Y2604-Y2608_庫存&amp;銷售'!$F:$AN,30,0)</f>
        <v>0</v>
      </c>
      <c r="BJ161" s="81">
        <f t="shared" si="88"/>
        <v>0</v>
      </c>
      <c r="BK161" s="81">
        <f t="shared" si="89"/>
        <v>0</v>
      </c>
      <c r="BL161" s="81">
        <f t="shared" si="90"/>
        <v>0</v>
      </c>
      <c r="BM161" s="81">
        <f t="shared" si="93"/>
        <v>0</v>
      </c>
      <c r="BN161" s="81">
        <f t="shared" si="94"/>
        <v>0</v>
      </c>
      <c r="BO161" s="81">
        <f t="shared" si="95"/>
        <v>0</v>
      </c>
      <c r="BP161" s="81">
        <f t="shared" si="96"/>
        <v>0</v>
      </c>
      <c r="BQ161" s="81">
        <f t="shared" si="97"/>
        <v>0</v>
      </c>
      <c r="BR161" s="81">
        <f t="shared" si="98"/>
        <v>0</v>
      </c>
      <c r="BS161" s="199">
        <f t="shared" si="86"/>
        <v>0</v>
      </c>
      <c r="BT161" s="199">
        <f t="shared" si="81"/>
        <v>0</v>
      </c>
      <c r="BU161" s="199">
        <f t="shared" si="82"/>
        <v>0</v>
      </c>
      <c r="BV161" s="112">
        <f>VLOOKUP(E161,'[4]Y2604-Y2608_庫存&amp;銷售'!$F:$AB,17,0)</f>
        <v>0</v>
      </c>
      <c r="BW161" s="112">
        <f>VLOOKUP(A161,'[5]Demand inbond in Sep'!$B:$M,12,0)</f>
        <v>0</v>
      </c>
      <c r="BX161" s="112"/>
    </row>
    <row r="162" spans="1:76" x14ac:dyDescent="0.3">
      <c r="A162" s="2">
        <v>522244896299124</v>
      </c>
      <c r="B162" s="19" t="s">
        <v>91</v>
      </c>
      <c r="C162" s="1" t="s">
        <v>100</v>
      </c>
      <c r="D162" s="2">
        <v>80849288</v>
      </c>
      <c r="E162" s="3">
        <v>4987176325662</v>
      </c>
      <c r="F162" s="3">
        <v>4987176325662</v>
      </c>
      <c r="G162" s="176" t="s">
        <v>162</v>
      </c>
      <c r="H162" s="1">
        <v>79</v>
      </c>
      <c r="I162" s="6" t="s">
        <v>362</v>
      </c>
      <c r="J162" s="5">
        <v>24</v>
      </c>
      <c r="K162" s="5">
        <v>1883.39</v>
      </c>
      <c r="L162" s="5">
        <v>1816.67</v>
      </c>
      <c r="M162" s="115"/>
      <c r="N162" s="21">
        <f>VLOOKUP(E162,'[8]Demand inbond in Aug'!$C:$T,18,0)</f>
        <v>0</v>
      </c>
      <c r="O162" s="23">
        <f>VLOOKUP(E162,'[5]Demand inbond in Sep'!$C:$M,11,0)</f>
        <v>0</v>
      </c>
      <c r="P162" s="28">
        <f t="shared" si="99"/>
        <v>0</v>
      </c>
      <c r="Q162" s="24">
        <f t="shared" si="100"/>
        <v>0</v>
      </c>
      <c r="R162" s="24">
        <f t="shared" ref="R162:R178" si="102">O162*J162</f>
        <v>0</v>
      </c>
      <c r="S162" s="31"/>
      <c r="T162" s="31"/>
      <c r="U162" s="31"/>
      <c r="V162" s="31">
        <v>0</v>
      </c>
      <c r="W162" s="31"/>
      <c r="X162" s="31"/>
      <c r="Y162" s="31">
        <v>0</v>
      </c>
      <c r="Z162" s="31"/>
      <c r="AA162" s="31"/>
      <c r="AB162" s="31">
        <v>0</v>
      </c>
      <c r="AC162" s="31">
        <f t="shared" si="87"/>
        <v>0</v>
      </c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>
        <f t="shared" si="83"/>
        <v>0</v>
      </c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>
        <f t="shared" si="84"/>
        <v>0</v>
      </c>
      <c r="BE162" s="29">
        <f t="shared" si="101"/>
        <v>0</v>
      </c>
      <c r="BF162" s="29">
        <f t="shared" si="85"/>
        <v>0</v>
      </c>
      <c r="BG162" s="29">
        <f>VLOOKUP(E162,'[3]Y2604-Y2608_庫存&amp;銷售'!$F:$AJ,23,0)</f>
        <v>0</v>
      </c>
      <c r="BH162" s="29">
        <f>VLOOKUP(E162,'[3]Y2604-Y2608_庫存&amp;銷售'!$F:$AL,25,0)</f>
        <v>0</v>
      </c>
      <c r="BI162" s="29">
        <f>VLOOKUP(E162,'[3]Y2604-Y2608_庫存&amp;銷售'!$F:$AN,30,0)</f>
        <v>0</v>
      </c>
      <c r="BJ162" s="81">
        <f t="shared" si="88"/>
        <v>0</v>
      </c>
      <c r="BK162" s="81">
        <f t="shared" si="89"/>
        <v>0</v>
      </c>
      <c r="BL162" s="81">
        <f t="shared" si="90"/>
        <v>0</v>
      </c>
      <c r="BM162" s="81">
        <f t="shared" si="93"/>
        <v>0</v>
      </c>
      <c r="BN162" s="81">
        <f t="shared" si="94"/>
        <v>0</v>
      </c>
      <c r="BO162" s="81">
        <f t="shared" si="95"/>
        <v>0</v>
      </c>
      <c r="BP162" s="81">
        <f t="shared" si="96"/>
        <v>0</v>
      </c>
      <c r="BQ162" s="81">
        <f t="shared" si="97"/>
        <v>0</v>
      </c>
      <c r="BR162" s="81">
        <f t="shared" si="98"/>
        <v>0</v>
      </c>
      <c r="BS162" s="199">
        <f t="shared" si="86"/>
        <v>0</v>
      </c>
      <c r="BT162" s="199">
        <f t="shared" si="81"/>
        <v>0</v>
      </c>
      <c r="BU162" s="199">
        <f t="shared" si="82"/>
        <v>0</v>
      </c>
      <c r="BV162" s="112">
        <f>VLOOKUP(E162,'[4]Y2604-Y2608_庫存&amp;銷售'!$F:$AB,17,0)</f>
        <v>0</v>
      </c>
      <c r="BW162" s="112">
        <f>VLOOKUP(A162,'[5]Demand inbond in Sep'!$B:$M,12,0)</f>
        <v>0</v>
      </c>
      <c r="BX162" s="112"/>
    </row>
    <row r="163" spans="1:76" x14ac:dyDescent="0.3">
      <c r="A163" s="2">
        <v>522244896299125</v>
      </c>
      <c r="B163" s="19" t="s">
        <v>91</v>
      </c>
      <c r="C163" s="1" t="s">
        <v>100</v>
      </c>
      <c r="D163" s="2">
        <v>80849287</v>
      </c>
      <c r="E163" s="3">
        <v>4987176325655</v>
      </c>
      <c r="F163" s="3">
        <v>4987176325655</v>
      </c>
      <c r="G163" s="176" t="s">
        <v>163</v>
      </c>
      <c r="H163" s="1">
        <v>79</v>
      </c>
      <c r="I163" s="6" t="s">
        <v>362</v>
      </c>
      <c r="J163" s="5">
        <v>24</v>
      </c>
      <c r="K163" s="5">
        <v>1883.39</v>
      </c>
      <c r="L163" s="5">
        <v>1816.67</v>
      </c>
      <c r="M163" s="115"/>
      <c r="N163" s="21">
        <f>VLOOKUP(E163,'[8]Demand inbond in Aug'!$C:$T,18,0)</f>
        <v>0</v>
      </c>
      <c r="O163" s="23">
        <f>VLOOKUP(E163,'[5]Demand inbond in Sep'!$C:$M,11,0)</f>
        <v>0</v>
      </c>
      <c r="P163" s="28">
        <f t="shared" si="99"/>
        <v>0</v>
      </c>
      <c r="Q163" s="24">
        <f t="shared" si="100"/>
        <v>0</v>
      </c>
      <c r="R163" s="24">
        <f t="shared" si="102"/>
        <v>0</v>
      </c>
      <c r="S163" s="31"/>
      <c r="T163" s="31"/>
      <c r="U163" s="31"/>
      <c r="V163" s="31">
        <v>0</v>
      </c>
      <c r="W163" s="31"/>
      <c r="X163" s="31"/>
      <c r="Y163" s="31">
        <v>0</v>
      </c>
      <c r="Z163" s="31"/>
      <c r="AA163" s="31">
        <v>0</v>
      </c>
      <c r="AB163" s="31"/>
      <c r="AC163" s="31">
        <f t="shared" si="87"/>
        <v>0</v>
      </c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>
        <f t="shared" si="83"/>
        <v>0</v>
      </c>
      <c r="AO163" s="31"/>
      <c r="AP163" s="31">
        <v>0</v>
      </c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>
        <f t="shared" si="84"/>
        <v>0</v>
      </c>
      <c r="BE163" s="29">
        <f t="shared" si="101"/>
        <v>0</v>
      </c>
      <c r="BF163" s="29">
        <f t="shared" si="85"/>
        <v>0</v>
      </c>
      <c r="BG163" s="29">
        <f>VLOOKUP(E163,'[3]Y2604-Y2608_庫存&amp;銷售'!$F:$AJ,23,0)</f>
        <v>0</v>
      </c>
      <c r="BH163" s="29">
        <f>VLOOKUP(E163,'[3]Y2604-Y2608_庫存&amp;銷售'!$F:$AL,25,0)</f>
        <v>0</v>
      </c>
      <c r="BI163" s="29">
        <f>VLOOKUP(E163,'[3]Y2604-Y2608_庫存&amp;銷售'!$F:$AN,30,0)</f>
        <v>0</v>
      </c>
      <c r="BJ163" s="81">
        <f t="shared" si="88"/>
        <v>0</v>
      </c>
      <c r="BK163" s="81">
        <f t="shared" si="89"/>
        <v>0</v>
      </c>
      <c r="BL163" s="81">
        <f t="shared" si="90"/>
        <v>0</v>
      </c>
      <c r="BM163" s="81">
        <f t="shared" si="93"/>
        <v>0</v>
      </c>
      <c r="BN163" s="81">
        <f t="shared" si="94"/>
        <v>0</v>
      </c>
      <c r="BO163" s="81">
        <f t="shared" si="95"/>
        <v>0</v>
      </c>
      <c r="BP163" s="81">
        <f t="shared" si="96"/>
        <v>0</v>
      </c>
      <c r="BQ163" s="81">
        <f t="shared" si="97"/>
        <v>0</v>
      </c>
      <c r="BR163" s="81">
        <f t="shared" si="98"/>
        <v>0</v>
      </c>
      <c r="BS163" s="199">
        <f t="shared" si="86"/>
        <v>0</v>
      </c>
      <c r="BT163" s="199">
        <f t="shared" si="81"/>
        <v>0</v>
      </c>
      <c r="BU163" s="199">
        <f t="shared" si="82"/>
        <v>0</v>
      </c>
      <c r="BV163" s="112">
        <f>VLOOKUP(E163,'[4]Y2604-Y2608_庫存&amp;銷售'!$F:$AB,17,0)</f>
        <v>0</v>
      </c>
      <c r="BW163" s="112">
        <f>VLOOKUP(A163,'[5]Demand inbond in Sep'!$B:$M,12,0)</f>
        <v>0</v>
      </c>
      <c r="BX163" s="112"/>
    </row>
    <row r="164" spans="1:76" ht="15" x14ac:dyDescent="0.35">
      <c r="A164" s="2">
        <v>522244896299126</v>
      </c>
      <c r="B164" s="19" t="s">
        <v>91</v>
      </c>
      <c r="C164" s="1" t="s">
        <v>92</v>
      </c>
      <c r="D164" s="2">
        <v>80888289</v>
      </c>
      <c r="E164" s="3">
        <v>4987176369369</v>
      </c>
      <c r="F164" s="3">
        <v>4987176369369</v>
      </c>
      <c r="G164" s="4" t="s">
        <v>164</v>
      </c>
      <c r="H164" s="1">
        <v>883</v>
      </c>
      <c r="I164" s="6" t="s">
        <v>362</v>
      </c>
      <c r="J164" s="5">
        <v>1</v>
      </c>
      <c r="K164" s="5">
        <v>1015.44</v>
      </c>
      <c r="L164" s="5">
        <v>968.2</v>
      </c>
      <c r="M164" s="115">
        <v>0</v>
      </c>
      <c r="N164" s="21">
        <f>VLOOKUP(E164,'[8]Demand inbond in Aug'!$C:$T,18,0)</f>
        <v>0</v>
      </c>
      <c r="O164" s="23">
        <f>VLOOKUP(E164,'[5]Demand inbond in Sep'!$C:$M,11,0)</f>
        <v>0</v>
      </c>
      <c r="P164" s="24">
        <f t="shared" si="99"/>
        <v>0</v>
      </c>
      <c r="Q164" s="24">
        <f t="shared" si="100"/>
        <v>0</v>
      </c>
      <c r="R164" s="24">
        <f t="shared" si="102"/>
        <v>0</v>
      </c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>
        <f t="shared" si="87"/>
        <v>0</v>
      </c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>
        <f t="shared" si="83"/>
        <v>0</v>
      </c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>
        <f t="shared" si="84"/>
        <v>0</v>
      </c>
      <c r="BE164" s="29">
        <f t="shared" si="101"/>
        <v>0</v>
      </c>
      <c r="BF164" s="29">
        <f t="shared" si="85"/>
        <v>0</v>
      </c>
      <c r="BG164" s="29">
        <f>VLOOKUP(E164,'[3]Y2604-Y2608_庫存&amp;銷售'!$F:$AJ,23,0)</f>
        <v>0</v>
      </c>
      <c r="BH164" s="29">
        <f>VLOOKUP(E164,'[3]Y2604-Y2608_庫存&amp;銷售'!$F:$AL,25,0)</f>
        <v>0</v>
      </c>
      <c r="BI164" s="29">
        <f>VLOOKUP(E164,'[3]Y2604-Y2608_庫存&amp;銷售'!$F:$AN,30,0)</f>
        <v>0</v>
      </c>
      <c r="BJ164" s="81">
        <f t="shared" si="88"/>
        <v>0</v>
      </c>
      <c r="BK164" s="81">
        <f t="shared" si="89"/>
        <v>0</v>
      </c>
      <c r="BL164" s="81">
        <f t="shared" si="90"/>
        <v>0</v>
      </c>
      <c r="BM164" s="81">
        <f t="shared" si="93"/>
        <v>0</v>
      </c>
      <c r="BN164" s="81">
        <f t="shared" si="94"/>
        <v>0</v>
      </c>
      <c r="BO164" s="81">
        <f t="shared" si="95"/>
        <v>0</v>
      </c>
      <c r="BP164" s="81">
        <f t="shared" si="96"/>
        <v>0</v>
      </c>
      <c r="BQ164" s="81">
        <f t="shared" si="97"/>
        <v>0</v>
      </c>
      <c r="BR164" s="81">
        <f t="shared" si="98"/>
        <v>0</v>
      </c>
      <c r="BS164" s="199">
        <f t="shared" si="86"/>
        <v>0</v>
      </c>
      <c r="BT164" s="199">
        <f t="shared" si="81"/>
        <v>0</v>
      </c>
      <c r="BU164" s="199">
        <f t="shared" si="82"/>
        <v>0</v>
      </c>
      <c r="BV164" s="112">
        <f>VLOOKUP(E164,'[4]Y2604-Y2608_庫存&amp;銷售'!$F:$AB,17,0)</f>
        <v>0</v>
      </c>
      <c r="BW164" s="112">
        <f>VLOOKUP(A164,'[5]Demand inbond in Sep'!$B:$M,12,0)</f>
        <v>0</v>
      </c>
      <c r="BX164" s="112"/>
    </row>
    <row r="165" spans="1:76" s="164" customFormat="1" ht="15" x14ac:dyDescent="0.35">
      <c r="A165" s="153">
        <v>522244896299127</v>
      </c>
      <c r="B165" s="154" t="s">
        <v>91</v>
      </c>
      <c r="C165" s="155" t="s">
        <v>92</v>
      </c>
      <c r="D165" s="153">
        <v>80889750</v>
      </c>
      <c r="E165" s="156">
        <v>4987176372093</v>
      </c>
      <c r="F165" s="157">
        <v>4987176372093</v>
      </c>
      <c r="G165" s="158" t="s">
        <v>165</v>
      </c>
      <c r="H165" s="155">
        <v>495</v>
      </c>
      <c r="I165" s="146" t="s">
        <v>199</v>
      </c>
      <c r="J165" s="159">
        <v>1</v>
      </c>
      <c r="K165" s="160">
        <v>507.72</v>
      </c>
      <c r="L165" s="160">
        <v>471.88</v>
      </c>
      <c r="M165" s="115">
        <v>0</v>
      </c>
      <c r="N165" s="21">
        <f>VLOOKUP(E165,'[8]Demand inbond in Aug'!$C:$T,18,0)</f>
        <v>0</v>
      </c>
      <c r="O165" s="23">
        <f>VLOOKUP(E165,'[5]Demand inbond in Sep'!$C:$M,11,0)</f>
        <v>0</v>
      </c>
      <c r="P165" s="161">
        <f t="shared" si="99"/>
        <v>0</v>
      </c>
      <c r="Q165" s="161">
        <f t="shared" si="100"/>
        <v>0</v>
      </c>
      <c r="R165" s="161">
        <f t="shared" si="102"/>
        <v>0</v>
      </c>
      <c r="S165" s="162"/>
      <c r="T165" s="162"/>
      <c r="U165" s="162"/>
      <c r="V165" s="162"/>
      <c r="W165" s="162"/>
      <c r="X165" s="162"/>
      <c r="Y165" s="162"/>
      <c r="Z165" s="162"/>
      <c r="AA165" s="162"/>
      <c r="AB165" s="162"/>
      <c r="AC165" s="162">
        <f t="shared" si="87"/>
        <v>0</v>
      </c>
      <c r="AD165" s="162">
        <v>0</v>
      </c>
      <c r="AE165" s="31"/>
      <c r="AF165" s="31"/>
      <c r="AG165" s="162"/>
      <c r="AH165" s="31"/>
      <c r="AI165" s="31"/>
      <c r="AJ165" s="31"/>
      <c r="AK165" s="31"/>
      <c r="AL165" s="31"/>
      <c r="AM165" s="162"/>
      <c r="AN165" s="31">
        <f t="shared" si="83"/>
        <v>0</v>
      </c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>
        <f t="shared" si="84"/>
        <v>0</v>
      </c>
      <c r="BE165" s="29">
        <f t="shared" si="101"/>
        <v>0</v>
      </c>
      <c r="BF165" s="29">
        <f t="shared" si="85"/>
        <v>0</v>
      </c>
      <c r="BG165" s="29">
        <f>VLOOKUP(E165,'[3]Y2604-Y2608_庫存&amp;銷售'!$F:$AJ,23,0)</f>
        <v>0</v>
      </c>
      <c r="BH165" s="29">
        <f>VLOOKUP(E165,'[3]Y2604-Y2608_庫存&amp;銷售'!$F:$AL,25,0)</f>
        <v>0</v>
      </c>
      <c r="BI165" s="29">
        <f>VLOOKUP(E165,'[3]Y2604-Y2608_庫存&amp;銷售'!$F:$AN,30,0)</f>
        <v>0</v>
      </c>
      <c r="BJ165" s="163">
        <f t="shared" si="88"/>
        <v>0</v>
      </c>
      <c r="BK165" s="163">
        <f t="shared" si="89"/>
        <v>0</v>
      </c>
      <c r="BL165" s="163">
        <f t="shared" si="90"/>
        <v>0</v>
      </c>
      <c r="BM165" s="163">
        <f t="shared" si="93"/>
        <v>0</v>
      </c>
      <c r="BN165" s="163">
        <f t="shared" si="94"/>
        <v>0</v>
      </c>
      <c r="BO165" s="163">
        <f t="shared" si="95"/>
        <v>0</v>
      </c>
      <c r="BP165" s="81">
        <f t="shared" si="96"/>
        <v>0</v>
      </c>
      <c r="BQ165" s="81">
        <f t="shared" si="97"/>
        <v>0</v>
      </c>
      <c r="BR165" s="81">
        <f t="shared" si="98"/>
        <v>0</v>
      </c>
      <c r="BS165" s="199">
        <f t="shared" si="86"/>
        <v>0</v>
      </c>
      <c r="BT165" s="199">
        <f t="shared" si="81"/>
        <v>0</v>
      </c>
      <c r="BU165" s="199">
        <f t="shared" si="82"/>
        <v>0</v>
      </c>
      <c r="BV165" s="112">
        <f>VLOOKUP(E165,'[4]Y2604-Y2608_庫存&amp;銷售'!$F:$AB,17,0)</f>
        <v>0</v>
      </c>
      <c r="BW165" s="112">
        <f>VLOOKUP(A165,'[5]Demand inbond in Sep'!$B:$M,12,0)</f>
        <v>0</v>
      </c>
      <c r="BX165" s="112"/>
    </row>
    <row r="166" spans="1:76" x14ac:dyDescent="0.3">
      <c r="A166" s="2">
        <v>341387966922752</v>
      </c>
      <c r="B166" s="30" t="s">
        <v>176</v>
      </c>
      <c r="C166" s="1" t="s">
        <v>177</v>
      </c>
      <c r="D166" s="2">
        <v>80764560</v>
      </c>
      <c r="E166" s="3">
        <v>4987176134578</v>
      </c>
      <c r="F166" s="3">
        <v>4987176134578</v>
      </c>
      <c r="G166" s="4" t="s">
        <v>178</v>
      </c>
      <c r="H166" s="1">
        <v>580</v>
      </c>
      <c r="I166" s="1"/>
      <c r="J166" s="5">
        <v>6</v>
      </c>
      <c r="K166" s="5">
        <v>3652.8</v>
      </c>
      <c r="L166" s="5">
        <v>3559.0640400000002</v>
      </c>
      <c r="M166" s="115">
        <v>0</v>
      </c>
      <c r="N166" s="21">
        <v>41</v>
      </c>
      <c r="O166" s="23">
        <v>50</v>
      </c>
      <c r="P166" s="28">
        <f t="shared" si="99"/>
        <v>0</v>
      </c>
      <c r="Q166" s="28">
        <f t="shared" si="100"/>
        <v>246</v>
      </c>
      <c r="R166" s="28">
        <f t="shared" si="102"/>
        <v>300</v>
      </c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>
        <f t="shared" si="87"/>
        <v>0</v>
      </c>
      <c r="AD166" s="31"/>
      <c r="AE166" s="31"/>
      <c r="AF166" s="31"/>
      <c r="AG166" s="31"/>
      <c r="AH166" s="31"/>
      <c r="AI166" s="31"/>
      <c r="AJ166" s="31">
        <v>41</v>
      </c>
      <c r="AK166" s="31"/>
      <c r="AL166" s="31"/>
      <c r="AM166" s="31"/>
      <c r="AN166" s="31">
        <f t="shared" si="83"/>
        <v>41</v>
      </c>
      <c r="AO166" s="31"/>
      <c r="AP166" s="31">
        <v>41</v>
      </c>
      <c r="AQ166" s="31">
        <v>41</v>
      </c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>
        <f t="shared" si="84"/>
        <v>82</v>
      </c>
      <c r="BE166" s="29">
        <f t="shared" ref="BE166:BE207" si="103">M166+N166+O166-AC166-AN166-BD166</f>
        <v>-32</v>
      </c>
      <c r="BF166" s="29">
        <f t="shared" si="85"/>
        <v>82</v>
      </c>
      <c r="BG166" s="29">
        <f>VLOOKUP(E166,'[3]Y2604-Y2608_庫存&amp;銷售'!$F:$AJ,23,0)</f>
        <v>1.3333333333333333</v>
      </c>
      <c r="BH166" s="29">
        <f>VLOOKUP(E166,'[3]Y2604-Y2608_庫存&amp;銷售'!$F:$AL,25,0)</f>
        <v>0</v>
      </c>
      <c r="BI166" s="29">
        <f>VLOOKUP(E166,'[3]Y2604-Y2608_庫存&amp;銷售'!$F:$AN,30,0)</f>
        <v>0</v>
      </c>
      <c r="BJ166" s="81">
        <f t="shared" si="88"/>
        <v>0</v>
      </c>
      <c r="BK166" s="81">
        <f t="shared" si="89"/>
        <v>149764.80000000002</v>
      </c>
      <c r="BL166" s="81">
        <f t="shared" si="90"/>
        <v>182640</v>
      </c>
      <c r="BM166" s="81">
        <f t="shared" si="93"/>
        <v>0</v>
      </c>
      <c r="BN166" s="81">
        <f t="shared" si="94"/>
        <v>0</v>
      </c>
      <c r="BO166" s="81">
        <f t="shared" si="95"/>
        <v>0</v>
      </c>
      <c r="BP166" s="81">
        <f t="shared" si="96"/>
        <v>149764.80000000002</v>
      </c>
      <c r="BQ166" s="81">
        <f t="shared" si="97"/>
        <v>142680</v>
      </c>
      <c r="BR166" s="81">
        <f t="shared" si="98"/>
        <v>148840.05815280002</v>
      </c>
      <c r="BS166" s="199">
        <f t="shared" si="86"/>
        <v>299529.60000000003</v>
      </c>
      <c r="BT166" s="199">
        <f t="shared" si="81"/>
        <v>285360</v>
      </c>
      <c r="BU166" s="199">
        <f t="shared" si="82"/>
        <v>297680.11630560004</v>
      </c>
      <c r="BV166" s="112">
        <f>VLOOKUP(E166,'[4]Y2604-Y2608_庫存&amp;銷售'!$F:$AB,17,0)</f>
        <v>0</v>
      </c>
      <c r="BW166" s="112">
        <f>VLOOKUP(A166,'[5]Demand inbond in Sep'!$B:$M,12,0)</f>
        <v>50</v>
      </c>
      <c r="BX166" s="112"/>
    </row>
    <row r="167" spans="1:76" s="145" customFormat="1" ht="15" x14ac:dyDescent="0.35">
      <c r="A167" s="136">
        <v>410946287665152</v>
      </c>
      <c r="B167" s="137" t="s">
        <v>176</v>
      </c>
      <c r="C167" s="138" t="s">
        <v>177</v>
      </c>
      <c r="D167" s="136">
        <v>80782674</v>
      </c>
      <c r="E167" s="139">
        <v>4902430340526</v>
      </c>
      <c r="F167" s="139">
        <v>4902430340526</v>
      </c>
      <c r="G167" s="140" t="s">
        <v>179</v>
      </c>
      <c r="H167" s="138">
        <v>295</v>
      </c>
      <c r="I167" s="146" t="s">
        <v>199</v>
      </c>
      <c r="J167" s="141">
        <v>12</v>
      </c>
      <c r="K167" s="141">
        <v>3693.6</v>
      </c>
      <c r="L167" s="141">
        <v>3598.9480800000001</v>
      </c>
      <c r="M167" s="192">
        <v>0</v>
      </c>
      <c r="N167" s="193">
        <v>4</v>
      </c>
      <c r="O167" s="194">
        <v>50</v>
      </c>
      <c r="P167" s="198">
        <f t="shared" si="99"/>
        <v>0</v>
      </c>
      <c r="Q167" s="198">
        <f t="shared" si="100"/>
        <v>48</v>
      </c>
      <c r="R167" s="198">
        <f t="shared" si="102"/>
        <v>600</v>
      </c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>
        <f t="shared" si="87"/>
        <v>0</v>
      </c>
      <c r="AD167" s="143"/>
      <c r="AE167" s="143"/>
      <c r="AF167" s="143"/>
      <c r="AG167" s="143"/>
      <c r="AH167" s="143"/>
      <c r="AI167" s="143">
        <v>0</v>
      </c>
      <c r="AJ167" s="143"/>
      <c r="AK167" s="143"/>
      <c r="AL167" s="143"/>
      <c r="AM167" s="143"/>
      <c r="AN167" s="31">
        <f t="shared" si="83"/>
        <v>0</v>
      </c>
      <c r="AO167" s="31"/>
      <c r="AP167" s="31">
        <v>0</v>
      </c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143"/>
      <c r="BC167" s="31"/>
      <c r="BD167" s="31">
        <f t="shared" si="84"/>
        <v>0</v>
      </c>
      <c r="BE167" s="29">
        <f t="shared" si="103"/>
        <v>54</v>
      </c>
      <c r="BF167" s="29">
        <f t="shared" si="85"/>
        <v>0</v>
      </c>
      <c r="BG167" s="29">
        <f>VLOOKUP(E167,'[3]Y2604-Y2608_庫存&amp;銷售'!$F:$AJ,23,0)</f>
        <v>0</v>
      </c>
      <c r="BH167" s="29">
        <f>VLOOKUP(E167,'[3]Y2604-Y2608_庫存&amp;銷售'!$F:$AL,25,0)</f>
        <v>0</v>
      </c>
      <c r="BI167" s="29">
        <f>VLOOKUP(E167,'[3]Y2604-Y2608_庫存&amp;銷售'!$F:$AN,30,0)</f>
        <v>0</v>
      </c>
      <c r="BJ167" s="144">
        <f t="shared" ref="BJ167:BJ198" si="104">M167*K167</f>
        <v>0</v>
      </c>
      <c r="BK167" s="144">
        <f t="shared" ref="BK167:BK198" si="105">N167*K167</f>
        <v>14774.4</v>
      </c>
      <c r="BL167" s="144">
        <f t="shared" ref="BL167:BL198" si="106">O167*K167</f>
        <v>184680</v>
      </c>
      <c r="BM167" s="144">
        <f t="shared" si="93"/>
        <v>0</v>
      </c>
      <c r="BN167" s="144">
        <f t="shared" si="94"/>
        <v>0</v>
      </c>
      <c r="BO167" s="144">
        <f t="shared" si="95"/>
        <v>0</v>
      </c>
      <c r="BP167" s="81">
        <f t="shared" si="96"/>
        <v>0</v>
      </c>
      <c r="BQ167" s="81">
        <f t="shared" si="97"/>
        <v>0</v>
      </c>
      <c r="BR167" s="81">
        <f t="shared" si="98"/>
        <v>0</v>
      </c>
      <c r="BS167" s="199">
        <f t="shared" si="86"/>
        <v>0</v>
      </c>
      <c r="BT167" s="199">
        <f t="shared" si="81"/>
        <v>0</v>
      </c>
      <c r="BU167" s="199">
        <f t="shared" si="82"/>
        <v>0</v>
      </c>
      <c r="BV167" s="196">
        <f>VLOOKUP(E167,'[4]Y2604-Y2608_庫存&amp;銷售'!$F:$AB,17,0)</f>
        <v>0</v>
      </c>
      <c r="BW167" s="112">
        <f>VLOOKUP(A167,'[5]Demand inbond in Sep'!$B:$M,12,0)</f>
        <v>0</v>
      </c>
      <c r="BX167" s="112"/>
    </row>
    <row r="168" spans="1:76" x14ac:dyDescent="0.3">
      <c r="A168" s="2">
        <v>410946287681536</v>
      </c>
      <c r="B168" s="19" t="s">
        <v>176</v>
      </c>
      <c r="C168" s="1" t="s">
        <v>177</v>
      </c>
      <c r="D168" s="2">
        <v>80782672</v>
      </c>
      <c r="E168" s="3">
        <v>4902430341820</v>
      </c>
      <c r="F168" s="3">
        <v>4902430341820</v>
      </c>
      <c r="G168" s="4" t="s">
        <v>180</v>
      </c>
      <c r="H168" s="1">
        <v>435</v>
      </c>
      <c r="I168" s="1"/>
      <c r="J168" s="5">
        <v>12</v>
      </c>
      <c r="K168" s="5">
        <v>5492.4</v>
      </c>
      <c r="L168" s="5">
        <v>5357.3650199999993</v>
      </c>
      <c r="M168" s="115">
        <v>0</v>
      </c>
      <c r="N168" s="21">
        <v>12</v>
      </c>
      <c r="O168" s="23">
        <v>50</v>
      </c>
      <c r="P168" s="28">
        <f t="shared" si="99"/>
        <v>0</v>
      </c>
      <c r="Q168" s="28">
        <f t="shared" si="100"/>
        <v>144</v>
      </c>
      <c r="R168" s="28">
        <f t="shared" si="102"/>
        <v>600</v>
      </c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>
        <f t="shared" si="87"/>
        <v>0</v>
      </c>
      <c r="AD168" s="31"/>
      <c r="AE168" s="31"/>
      <c r="AF168" s="31"/>
      <c r="AG168" s="31"/>
      <c r="AH168" s="31"/>
      <c r="AI168" s="31"/>
      <c r="AJ168" s="31">
        <v>12</v>
      </c>
      <c r="AK168" s="31"/>
      <c r="AL168" s="31"/>
      <c r="AM168" s="31"/>
      <c r="AN168" s="31">
        <f t="shared" si="83"/>
        <v>12</v>
      </c>
      <c r="AO168" s="31"/>
      <c r="AP168" s="31">
        <v>11</v>
      </c>
      <c r="AQ168" s="31">
        <v>11</v>
      </c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>
        <f t="shared" si="84"/>
        <v>22</v>
      </c>
      <c r="BE168" s="29">
        <f t="shared" si="103"/>
        <v>28</v>
      </c>
      <c r="BF168" s="29">
        <f t="shared" si="85"/>
        <v>22</v>
      </c>
      <c r="BG168" s="29">
        <f>VLOOKUP(E168,'[3]Y2604-Y2608_庫存&amp;銷售'!$F:$AJ,23,0)</f>
        <v>0.58333333333333337</v>
      </c>
      <c r="BH168" s="29">
        <f>VLOOKUP(E168,'[3]Y2604-Y2608_庫存&amp;銷售'!$F:$AL,25,0)</f>
        <v>0</v>
      </c>
      <c r="BI168" s="29">
        <f>VLOOKUP(E168,'[3]Y2604-Y2608_庫存&amp;銷售'!$F:$AN,30,0)</f>
        <v>0</v>
      </c>
      <c r="BJ168" s="81">
        <f t="shared" si="104"/>
        <v>0</v>
      </c>
      <c r="BK168" s="81">
        <f t="shared" si="105"/>
        <v>65908.799999999988</v>
      </c>
      <c r="BL168" s="81">
        <f t="shared" si="106"/>
        <v>274620</v>
      </c>
      <c r="BM168" s="81">
        <f t="shared" si="93"/>
        <v>0</v>
      </c>
      <c r="BN168" s="81">
        <f t="shared" si="94"/>
        <v>0</v>
      </c>
      <c r="BO168" s="81">
        <f t="shared" si="95"/>
        <v>0</v>
      </c>
      <c r="BP168" s="81">
        <f t="shared" si="96"/>
        <v>65908.799999999988</v>
      </c>
      <c r="BQ168" s="81">
        <f t="shared" si="97"/>
        <v>62640</v>
      </c>
      <c r="BR168" s="81">
        <f t="shared" si="98"/>
        <v>65574.147844799998</v>
      </c>
      <c r="BS168" s="199">
        <f t="shared" si="86"/>
        <v>120832.79999999999</v>
      </c>
      <c r="BT168" s="199">
        <f t="shared" si="81"/>
        <v>114840</v>
      </c>
      <c r="BU168" s="199">
        <f t="shared" si="82"/>
        <v>120219.27104879999</v>
      </c>
      <c r="BV168" s="112">
        <f>VLOOKUP(E168,'[4]Y2604-Y2608_庫存&amp;銷售'!$F:$AB,17,0)</f>
        <v>0</v>
      </c>
      <c r="BW168" s="112">
        <f>VLOOKUP(A168,'[5]Demand inbond in Sep'!$B:$M,12,0)</f>
        <v>50</v>
      </c>
      <c r="BX168" s="112"/>
    </row>
    <row r="169" spans="1:76" s="164" customFormat="1" ht="15" x14ac:dyDescent="0.35">
      <c r="A169" s="165">
        <v>410946291843072</v>
      </c>
      <c r="B169" s="166" t="s">
        <v>176</v>
      </c>
      <c r="C169" s="167" t="s">
        <v>177</v>
      </c>
      <c r="D169" s="165">
        <v>80782671</v>
      </c>
      <c r="E169" s="157">
        <v>4987176247681</v>
      </c>
      <c r="F169" s="157">
        <v>4987176247681</v>
      </c>
      <c r="G169" s="168" t="s">
        <v>181</v>
      </c>
      <c r="H169" s="167">
        <v>180</v>
      </c>
      <c r="I169" s="202" t="s">
        <v>358</v>
      </c>
      <c r="J169" s="160">
        <v>4</v>
      </c>
      <c r="K169" s="160">
        <v>758.8</v>
      </c>
      <c r="L169" s="160">
        <v>730.03433999999993</v>
      </c>
      <c r="M169" s="203">
        <v>0</v>
      </c>
      <c r="N169" s="204">
        <v>12</v>
      </c>
      <c r="O169" s="205">
        <v>50</v>
      </c>
      <c r="P169" s="206">
        <f t="shared" si="99"/>
        <v>0</v>
      </c>
      <c r="Q169" s="206">
        <f t="shared" si="100"/>
        <v>48</v>
      </c>
      <c r="R169" s="206">
        <f t="shared" si="102"/>
        <v>200</v>
      </c>
      <c r="S169" s="162"/>
      <c r="T169" s="162"/>
      <c r="U169" s="162"/>
      <c r="V169" s="162"/>
      <c r="W169" s="162"/>
      <c r="X169" s="162"/>
      <c r="Y169" s="162"/>
      <c r="Z169" s="162"/>
      <c r="AA169" s="162"/>
      <c r="AB169" s="162"/>
      <c r="AC169" s="162">
        <f t="shared" si="87"/>
        <v>0</v>
      </c>
      <c r="AD169" s="162"/>
      <c r="AE169" s="162"/>
      <c r="AF169" s="162"/>
      <c r="AG169" s="162"/>
      <c r="AH169" s="162"/>
      <c r="AI169" s="162"/>
      <c r="AJ169" s="162">
        <v>0</v>
      </c>
      <c r="AK169" s="162"/>
      <c r="AL169" s="162"/>
      <c r="AM169" s="162"/>
      <c r="AN169" s="31">
        <f t="shared" si="83"/>
        <v>0</v>
      </c>
      <c r="AO169" s="31"/>
      <c r="AP169" s="31">
        <v>0</v>
      </c>
      <c r="AQ169" s="31">
        <v>0</v>
      </c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162"/>
      <c r="BC169" s="31"/>
      <c r="BD169" s="31">
        <f t="shared" si="84"/>
        <v>0</v>
      </c>
      <c r="BE169" s="29">
        <f t="shared" si="103"/>
        <v>62</v>
      </c>
      <c r="BF169" s="29">
        <f t="shared" si="85"/>
        <v>0</v>
      </c>
      <c r="BG169" s="29">
        <f>VLOOKUP(E169,'[3]Y2604-Y2608_庫存&amp;銷售'!$F:$AJ,23,0)</f>
        <v>0</v>
      </c>
      <c r="BH169" s="29">
        <f>VLOOKUP(E169,'[3]Y2604-Y2608_庫存&amp;銷售'!$F:$AL,25,0)</f>
        <v>0</v>
      </c>
      <c r="BI169" s="29">
        <f>VLOOKUP(E169,'[3]Y2604-Y2608_庫存&amp;銷售'!$F:$AN,30,0)</f>
        <v>0</v>
      </c>
      <c r="BJ169" s="163">
        <f t="shared" si="104"/>
        <v>0</v>
      </c>
      <c r="BK169" s="163">
        <f t="shared" si="105"/>
        <v>9105.5999999999985</v>
      </c>
      <c r="BL169" s="163">
        <f t="shared" si="106"/>
        <v>37940</v>
      </c>
      <c r="BM169" s="163">
        <f t="shared" si="93"/>
        <v>0</v>
      </c>
      <c r="BN169" s="163">
        <f t="shared" si="94"/>
        <v>0</v>
      </c>
      <c r="BO169" s="163">
        <f t="shared" si="95"/>
        <v>0</v>
      </c>
      <c r="BP169" s="163">
        <f t="shared" si="96"/>
        <v>0</v>
      </c>
      <c r="BQ169" s="163">
        <f t="shared" si="97"/>
        <v>0</v>
      </c>
      <c r="BR169" s="163">
        <f t="shared" si="98"/>
        <v>0</v>
      </c>
      <c r="BS169" s="199">
        <f t="shared" si="86"/>
        <v>0</v>
      </c>
      <c r="BT169" s="199">
        <f t="shared" si="81"/>
        <v>0</v>
      </c>
      <c r="BU169" s="199">
        <f t="shared" si="82"/>
        <v>0</v>
      </c>
      <c r="BV169" s="207">
        <f>VLOOKUP(E169,'[4]Y2604-Y2608_庫存&amp;銷售'!$F:$AB,17,0)</f>
        <v>0</v>
      </c>
      <c r="BW169" s="112">
        <f>VLOOKUP(A169,'[5]Demand inbond in Sep'!$B:$M,12,0)</f>
        <v>0</v>
      </c>
      <c r="BX169" s="112"/>
    </row>
    <row r="170" spans="1:76" x14ac:dyDescent="0.3">
      <c r="A170" s="2">
        <v>412848148660224</v>
      </c>
      <c r="B170" s="19" t="s">
        <v>176</v>
      </c>
      <c r="C170" s="1" t="s">
        <v>177</v>
      </c>
      <c r="D170" s="2">
        <v>80764563</v>
      </c>
      <c r="E170" s="3">
        <v>4987176132185</v>
      </c>
      <c r="F170" s="3">
        <v>4987176132185</v>
      </c>
      <c r="G170" s="4" t="s">
        <v>182</v>
      </c>
      <c r="H170" s="1">
        <v>920</v>
      </c>
      <c r="I170" s="1"/>
      <c r="J170" s="5">
        <v>10</v>
      </c>
      <c r="K170" s="5">
        <v>9712</v>
      </c>
      <c r="L170" s="5">
        <v>9482.2350000000006</v>
      </c>
      <c r="M170" s="115">
        <v>0</v>
      </c>
      <c r="N170" s="21">
        <v>24</v>
      </c>
      <c r="O170" s="23">
        <v>50</v>
      </c>
      <c r="P170" s="28">
        <f t="shared" si="99"/>
        <v>0</v>
      </c>
      <c r="Q170" s="28">
        <f t="shared" si="100"/>
        <v>240</v>
      </c>
      <c r="R170" s="28">
        <f t="shared" si="102"/>
        <v>500</v>
      </c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>
        <f t="shared" si="87"/>
        <v>0</v>
      </c>
      <c r="AD170" s="31"/>
      <c r="AE170" s="31"/>
      <c r="AF170" s="31"/>
      <c r="AG170" s="31"/>
      <c r="AH170" s="31"/>
      <c r="AI170" s="31"/>
      <c r="AJ170" s="31">
        <v>24</v>
      </c>
      <c r="AK170" s="31"/>
      <c r="AL170" s="31"/>
      <c r="AM170" s="31"/>
      <c r="AN170" s="31">
        <f t="shared" si="83"/>
        <v>24</v>
      </c>
      <c r="AO170" s="31"/>
      <c r="AP170" s="31">
        <v>23</v>
      </c>
      <c r="AQ170" s="31">
        <v>23</v>
      </c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>
        <f t="shared" si="84"/>
        <v>46</v>
      </c>
      <c r="BE170" s="29">
        <f t="shared" si="103"/>
        <v>4</v>
      </c>
      <c r="BF170" s="29">
        <f t="shared" si="85"/>
        <v>46</v>
      </c>
      <c r="BG170" s="29">
        <f>VLOOKUP(E170,'[3]Y2604-Y2608_庫存&amp;銷售'!$F:$AJ,23,0)</f>
        <v>1</v>
      </c>
      <c r="BH170" s="29">
        <f>VLOOKUP(E170,'[3]Y2604-Y2608_庫存&amp;銷售'!$F:$AL,25,0)</f>
        <v>0</v>
      </c>
      <c r="BI170" s="29">
        <f>VLOOKUP(E170,'[3]Y2604-Y2608_庫存&amp;銷售'!$F:$AN,30,0)</f>
        <v>0</v>
      </c>
      <c r="BJ170" s="81">
        <f t="shared" si="104"/>
        <v>0</v>
      </c>
      <c r="BK170" s="81">
        <f t="shared" si="105"/>
        <v>233088</v>
      </c>
      <c r="BL170" s="81">
        <f t="shared" si="106"/>
        <v>485600</v>
      </c>
      <c r="BM170" s="81">
        <f t="shared" si="93"/>
        <v>0</v>
      </c>
      <c r="BN170" s="81">
        <f t="shared" si="94"/>
        <v>0</v>
      </c>
      <c r="BO170" s="81">
        <f t="shared" si="95"/>
        <v>0</v>
      </c>
      <c r="BP170" s="81">
        <f t="shared" si="96"/>
        <v>233088</v>
      </c>
      <c r="BQ170" s="81">
        <f t="shared" si="97"/>
        <v>220800</v>
      </c>
      <c r="BR170" s="81">
        <f t="shared" si="98"/>
        <v>232125.11280000003</v>
      </c>
      <c r="BS170" s="199">
        <f t="shared" si="86"/>
        <v>446752</v>
      </c>
      <c r="BT170" s="199">
        <f t="shared" si="81"/>
        <v>423200</v>
      </c>
      <c r="BU170" s="199">
        <f t="shared" si="82"/>
        <v>444906.46620000008</v>
      </c>
      <c r="BV170" s="112">
        <f>VLOOKUP(E170,'[4]Y2604-Y2608_庫存&amp;銷售'!$F:$AB,17,0)</f>
        <v>0</v>
      </c>
      <c r="BW170" s="112">
        <f>VLOOKUP(A170,'[5]Demand inbond in Sep'!$B:$M,12,0)</f>
        <v>50</v>
      </c>
      <c r="BX170" s="112"/>
    </row>
    <row r="171" spans="1:76" x14ac:dyDescent="0.3">
      <c r="A171" s="2">
        <v>412848148676608</v>
      </c>
      <c r="B171" s="19" t="s">
        <v>176</v>
      </c>
      <c r="C171" s="1" t="s">
        <v>177</v>
      </c>
      <c r="D171" s="2">
        <v>80764562</v>
      </c>
      <c r="E171" s="3">
        <v>4987176132178</v>
      </c>
      <c r="F171" s="3">
        <v>4987176132178</v>
      </c>
      <c r="G171" s="4" t="s">
        <v>183</v>
      </c>
      <c r="H171" s="1">
        <v>610</v>
      </c>
      <c r="I171" s="1"/>
      <c r="J171" s="5">
        <v>10</v>
      </c>
      <c r="K171" s="5">
        <v>6420</v>
      </c>
      <c r="L171" s="5">
        <v>6264.1404000000002</v>
      </c>
      <c r="M171" s="115">
        <v>0</v>
      </c>
      <c r="N171" s="21">
        <v>0</v>
      </c>
      <c r="O171" s="23">
        <v>50</v>
      </c>
      <c r="P171" s="28">
        <f t="shared" si="99"/>
        <v>0</v>
      </c>
      <c r="Q171" s="28">
        <f t="shared" si="100"/>
        <v>0</v>
      </c>
      <c r="R171" s="28">
        <f t="shared" si="102"/>
        <v>500</v>
      </c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>
        <f t="shared" si="87"/>
        <v>0</v>
      </c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>
        <f t="shared" si="83"/>
        <v>0</v>
      </c>
      <c r="AO171" s="31"/>
      <c r="AP171" s="31">
        <v>12</v>
      </c>
      <c r="AQ171" s="31"/>
      <c r="AR171" s="31"/>
      <c r="AS171" s="31"/>
      <c r="AT171" s="31"/>
      <c r="AU171" s="31"/>
      <c r="AV171" s="31">
        <v>25</v>
      </c>
      <c r="AW171" s="31"/>
      <c r="AX171" s="31"/>
      <c r="AY171" s="31"/>
      <c r="AZ171" s="31"/>
      <c r="BA171" s="31"/>
      <c r="BB171" s="31"/>
      <c r="BC171" s="31"/>
      <c r="BD171" s="31">
        <f t="shared" si="84"/>
        <v>37</v>
      </c>
      <c r="BE171" s="29">
        <f t="shared" si="103"/>
        <v>13</v>
      </c>
      <c r="BF171" s="29">
        <f t="shared" si="85"/>
        <v>37</v>
      </c>
      <c r="BG171" s="29">
        <f>VLOOKUP(E171,'[3]Y2604-Y2608_庫存&amp;銷售'!$F:$AJ,23,0)</f>
        <v>0.1</v>
      </c>
      <c r="BH171" s="29">
        <f>VLOOKUP(E171,'[3]Y2604-Y2608_庫存&amp;銷售'!$F:$AL,25,0)</f>
        <v>0</v>
      </c>
      <c r="BI171" s="29">
        <f>VLOOKUP(E171,'[3]Y2604-Y2608_庫存&amp;銷售'!$F:$AN,30,0)</f>
        <v>0</v>
      </c>
      <c r="BJ171" s="81">
        <f t="shared" si="104"/>
        <v>0</v>
      </c>
      <c r="BK171" s="81">
        <f t="shared" si="105"/>
        <v>0</v>
      </c>
      <c r="BL171" s="81">
        <f t="shared" si="106"/>
        <v>321000</v>
      </c>
      <c r="BM171" s="81">
        <f t="shared" si="93"/>
        <v>0</v>
      </c>
      <c r="BN171" s="81">
        <f t="shared" si="94"/>
        <v>0</v>
      </c>
      <c r="BO171" s="81">
        <f t="shared" si="95"/>
        <v>0</v>
      </c>
      <c r="BP171" s="81">
        <f t="shared" si="96"/>
        <v>0</v>
      </c>
      <c r="BQ171" s="81">
        <f t="shared" si="97"/>
        <v>0</v>
      </c>
      <c r="BR171" s="81">
        <f t="shared" si="98"/>
        <v>0</v>
      </c>
      <c r="BS171" s="199">
        <f t="shared" si="86"/>
        <v>237540</v>
      </c>
      <c r="BT171" s="199">
        <f t="shared" si="81"/>
        <v>225700</v>
      </c>
      <c r="BU171" s="199">
        <f t="shared" si="82"/>
        <v>236408.658696</v>
      </c>
      <c r="BV171" s="112">
        <f>VLOOKUP(E171,'[4]Y2604-Y2608_庫存&amp;銷售'!$F:$AB,17,0)</f>
        <v>0</v>
      </c>
      <c r="BW171" s="112">
        <f>VLOOKUP(A171,'[5]Demand inbond in Sep'!$B:$M,12,0)</f>
        <v>50</v>
      </c>
      <c r="BX171" s="112"/>
    </row>
    <row r="172" spans="1:76" x14ac:dyDescent="0.3">
      <c r="A172" s="2">
        <v>495828028325888</v>
      </c>
      <c r="B172" s="19" t="s">
        <v>176</v>
      </c>
      <c r="C172" s="1" t="s">
        <v>177</v>
      </c>
      <c r="D172" s="2">
        <v>80812702</v>
      </c>
      <c r="E172" s="3">
        <v>4987176272768</v>
      </c>
      <c r="F172" s="3">
        <v>4987176272768</v>
      </c>
      <c r="G172" s="4" t="s">
        <v>184</v>
      </c>
      <c r="H172" s="1">
        <v>470</v>
      </c>
      <c r="I172" s="1"/>
      <c r="J172" s="5">
        <v>20</v>
      </c>
      <c r="K172" s="5">
        <v>9034</v>
      </c>
      <c r="L172" s="5">
        <v>8819.4599999999991</v>
      </c>
      <c r="M172" s="115">
        <v>0</v>
      </c>
      <c r="N172" s="21">
        <v>0</v>
      </c>
      <c r="O172" s="23">
        <v>50</v>
      </c>
      <c r="P172" s="28">
        <f t="shared" si="99"/>
        <v>0</v>
      </c>
      <c r="Q172" s="28">
        <f t="shared" si="100"/>
        <v>0</v>
      </c>
      <c r="R172" s="28">
        <f t="shared" si="102"/>
        <v>1000</v>
      </c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>
        <f t="shared" si="87"/>
        <v>0</v>
      </c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>
        <f t="shared" si="83"/>
        <v>0</v>
      </c>
      <c r="AO172" s="31"/>
      <c r="AP172" s="31">
        <v>15</v>
      </c>
      <c r="AQ172" s="31"/>
      <c r="AR172" s="31"/>
      <c r="AS172" s="31"/>
      <c r="AT172" s="31"/>
      <c r="AU172" s="31"/>
      <c r="AV172" s="31">
        <v>16</v>
      </c>
      <c r="AW172" s="31"/>
      <c r="AX172" s="31"/>
      <c r="AY172" s="31"/>
      <c r="AZ172" s="31"/>
      <c r="BA172" s="31"/>
      <c r="BB172" s="31"/>
      <c r="BC172" s="31"/>
      <c r="BD172" s="31">
        <f t="shared" si="84"/>
        <v>31</v>
      </c>
      <c r="BE172" s="29">
        <f t="shared" si="103"/>
        <v>19</v>
      </c>
      <c r="BF172" s="29">
        <f t="shared" si="85"/>
        <v>31</v>
      </c>
      <c r="BG172" s="29">
        <f>VLOOKUP(E172,'[3]Y2604-Y2608_庫存&amp;銷售'!$F:$AJ,23,0)</f>
        <v>0.05</v>
      </c>
      <c r="BH172" s="29">
        <f>VLOOKUP(E172,'[3]Y2604-Y2608_庫存&amp;銷售'!$F:$AL,25,0)</f>
        <v>0</v>
      </c>
      <c r="BI172" s="29">
        <f>VLOOKUP(E172,'[3]Y2604-Y2608_庫存&amp;銷售'!$F:$AN,30,0)</f>
        <v>0</v>
      </c>
      <c r="BJ172" s="81">
        <f t="shared" si="104"/>
        <v>0</v>
      </c>
      <c r="BK172" s="81">
        <f t="shared" si="105"/>
        <v>0</v>
      </c>
      <c r="BL172" s="81">
        <f t="shared" si="106"/>
        <v>451700</v>
      </c>
      <c r="BM172" s="81">
        <f t="shared" si="93"/>
        <v>0</v>
      </c>
      <c r="BN172" s="81">
        <f t="shared" si="94"/>
        <v>0</v>
      </c>
      <c r="BO172" s="81">
        <f t="shared" si="95"/>
        <v>0</v>
      </c>
      <c r="BP172" s="81">
        <f t="shared" si="96"/>
        <v>0</v>
      </c>
      <c r="BQ172" s="81">
        <f t="shared" si="97"/>
        <v>0</v>
      </c>
      <c r="BR172" s="81">
        <f t="shared" si="98"/>
        <v>0</v>
      </c>
      <c r="BS172" s="199">
        <f t="shared" si="86"/>
        <v>280054</v>
      </c>
      <c r="BT172" s="199">
        <f t="shared" si="81"/>
        <v>291400</v>
      </c>
      <c r="BU172" s="199">
        <f t="shared" si="82"/>
        <v>278871.32519999996</v>
      </c>
      <c r="BV172" s="112">
        <f>VLOOKUP(E172,'[4]Y2604-Y2608_庫存&amp;銷售'!$F:$AB,17,0)</f>
        <v>0</v>
      </c>
      <c r="BW172" s="112">
        <f>VLOOKUP(A172,'[5]Demand inbond in Sep'!$B:$M,12,0)</f>
        <v>50</v>
      </c>
      <c r="BX172" s="112"/>
    </row>
    <row r="173" spans="1:76" x14ac:dyDescent="0.3">
      <c r="A173" s="2">
        <v>513596253454336</v>
      </c>
      <c r="B173" s="19" t="s">
        <v>176</v>
      </c>
      <c r="C173" s="1" t="s">
        <v>177</v>
      </c>
      <c r="D173" s="2">
        <v>80812705</v>
      </c>
      <c r="E173" s="3">
        <v>4987176272799</v>
      </c>
      <c r="F173" s="3">
        <v>4987176272799</v>
      </c>
      <c r="G173" s="4" t="s">
        <v>185</v>
      </c>
      <c r="H173" s="1">
        <v>525</v>
      </c>
      <c r="I173" s="1"/>
      <c r="J173" s="5">
        <v>20</v>
      </c>
      <c r="K173" s="5">
        <v>10223.219999999999</v>
      </c>
      <c r="L173" s="5">
        <v>10470</v>
      </c>
      <c r="M173" s="115">
        <v>0</v>
      </c>
      <c r="N173" s="21">
        <v>0</v>
      </c>
      <c r="O173" s="23">
        <v>50</v>
      </c>
      <c r="P173" s="28">
        <f t="shared" si="99"/>
        <v>0</v>
      </c>
      <c r="Q173" s="28">
        <f t="shared" si="100"/>
        <v>0</v>
      </c>
      <c r="R173" s="28">
        <f t="shared" si="102"/>
        <v>1000</v>
      </c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>
        <f t="shared" si="87"/>
        <v>0</v>
      </c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>
        <f t="shared" si="83"/>
        <v>0</v>
      </c>
      <c r="AO173" s="31"/>
      <c r="AP173" s="31">
        <v>15</v>
      </c>
      <c r="AQ173" s="31">
        <v>15</v>
      </c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>
        <f t="shared" si="84"/>
        <v>30</v>
      </c>
      <c r="BE173" s="29">
        <f t="shared" si="103"/>
        <v>20</v>
      </c>
      <c r="BF173" s="29">
        <f t="shared" si="85"/>
        <v>30</v>
      </c>
      <c r="BG173" s="29">
        <f>VLOOKUP(E173,'[3]Y2604-Y2608_庫存&amp;銷售'!$F:$AJ,23,0)</f>
        <v>0.2</v>
      </c>
      <c r="BH173" s="29">
        <f>VLOOKUP(E173,'[3]Y2604-Y2608_庫存&amp;銷售'!$F:$AL,25,0)</f>
        <v>0</v>
      </c>
      <c r="BI173" s="29">
        <f>VLOOKUP(E173,'[3]Y2604-Y2608_庫存&amp;銷售'!$F:$AN,30,0)</f>
        <v>0</v>
      </c>
      <c r="BJ173" s="81">
        <f t="shared" si="104"/>
        <v>0</v>
      </c>
      <c r="BK173" s="81">
        <f t="shared" si="105"/>
        <v>0</v>
      </c>
      <c r="BL173" s="81">
        <f t="shared" si="106"/>
        <v>511160.99999999994</v>
      </c>
      <c r="BM173" s="81">
        <f t="shared" si="93"/>
        <v>0</v>
      </c>
      <c r="BN173" s="81">
        <f t="shared" si="94"/>
        <v>0</v>
      </c>
      <c r="BO173" s="81">
        <f t="shared" si="95"/>
        <v>0</v>
      </c>
      <c r="BP173" s="81">
        <f t="shared" si="96"/>
        <v>0</v>
      </c>
      <c r="BQ173" s="81">
        <f t="shared" si="97"/>
        <v>0</v>
      </c>
      <c r="BR173" s="81">
        <f t="shared" si="98"/>
        <v>0</v>
      </c>
      <c r="BS173" s="199">
        <f t="shared" si="86"/>
        <v>306696.59999999998</v>
      </c>
      <c r="BT173" s="199">
        <f t="shared" si="81"/>
        <v>315000</v>
      </c>
      <c r="BU173" s="199">
        <f t="shared" si="82"/>
        <v>320382</v>
      </c>
      <c r="BV173" s="112">
        <f>VLOOKUP(E173,'[4]Y2604-Y2608_庫存&amp;銷售'!$F:$AB,17,0)</f>
        <v>0</v>
      </c>
      <c r="BW173" s="112">
        <f>VLOOKUP(A173,'[5]Demand inbond in Sep'!$B:$M,12,0)</f>
        <v>50</v>
      </c>
      <c r="BX173" s="112"/>
    </row>
    <row r="174" spans="1:76" x14ac:dyDescent="0.3">
      <c r="A174" s="2">
        <v>522244895806737</v>
      </c>
      <c r="B174" s="19" t="s">
        <v>176</v>
      </c>
      <c r="C174" s="1" t="s">
        <v>177</v>
      </c>
      <c r="D174" s="135">
        <v>83909129</v>
      </c>
      <c r="E174" s="3">
        <v>4987176293374</v>
      </c>
      <c r="F174" s="3">
        <v>4987176293374</v>
      </c>
      <c r="G174" s="4" t="s">
        <v>186</v>
      </c>
      <c r="H174" s="1">
        <v>93</v>
      </c>
      <c r="I174" s="1"/>
      <c r="J174" s="5">
        <v>12</v>
      </c>
      <c r="K174" s="5">
        <v>1032</v>
      </c>
      <c r="L174" s="5">
        <v>997.1</v>
      </c>
      <c r="M174" s="115">
        <v>53</v>
      </c>
      <c r="N174" s="21">
        <v>32</v>
      </c>
      <c r="O174" s="23">
        <v>117</v>
      </c>
      <c r="P174" s="28">
        <f t="shared" si="99"/>
        <v>636</v>
      </c>
      <c r="Q174" s="28">
        <f t="shared" si="100"/>
        <v>384</v>
      </c>
      <c r="R174" s="28">
        <f t="shared" si="102"/>
        <v>1404</v>
      </c>
      <c r="S174" s="31"/>
      <c r="T174" s="31"/>
      <c r="U174" s="31"/>
      <c r="V174" s="31"/>
      <c r="W174" s="31"/>
      <c r="X174" s="31"/>
      <c r="Y174" s="31"/>
      <c r="Z174" s="31"/>
      <c r="AA174" s="31">
        <v>0</v>
      </c>
      <c r="AB174" s="31"/>
      <c r="AC174" s="31">
        <f t="shared" si="87"/>
        <v>0</v>
      </c>
      <c r="AD174" s="31"/>
      <c r="AE174" s="31"/>
      <c r="AF174" s="31">
        <v>50</v>
      </c>
      <c r="AG174" s="31"/>
      <c r="AH174" s="31"/>
      <c r="AI174" s="31"/>
      <c r="AJ174" s="31">
        <v>46</v>
      </c>
      <c r="AK174" s="31"/>
      <c r="AL174" s="31"/>
      <c r="AM174" s="31"/>
      <c r="AN174" s="31">
        <f t="shared" si="83"/>
        <v>96</v>
      </c>
      <c r="AO174" s="31"/>
      <c r="AP174" s="31">
        <v>50</v>
      </c>
      <c r="AQ174" s="31">
        <v>0</v>
      </c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>
        <f t="shared" si="84"/>
        <v>50</v>
      </c>
      <c r="BE174" s="29">
        <f t="shared" si="103"/>
        <v>56</v>
      </c>
      <c r="BF174" s="29">
        <f t="shared" si="85"/>
        <v>50</v>
      </c>
      <c r="BG174" s="29">
        <f>VLOOKUP(E174,'[3]Y2604-Y2608_庫存&amp;銷售'!$F:$AJ,23,0)</f>
        <v>4.916666666666667</v>
      </c>
      <c r="BH174" s="29">
        <f>VLOOKUP(E174,'[3]Y2604-Y2608_庫存&amp;銷售'!$F:$AL,25,0)</f>
        <v>0</v>
      </c>
      <c r="BI174" s="29">
        <f>VLOOKUP(E174,'[3]Y2604-Y2608_庫存&amp;銷售'!$F:$AN,30,0)</f>
        <v>0</v>
      </c>
      <c r="BJ174" s="81">
        <f t="shared" si="104"/>
        <v>54696</v>
      </c>
      <c r="BK174" s="81">
        <f t="shared" si="105"/>
        <v>33024</v>
      </c>
      <c r="BL174" s="81">
        <f t="shared" si="106"/>
        <v>120744</v>
      </c>
      <c r="BM174" s="81">
        <f t="shared" si="93"/>
        <v>0</v>
      </c>
      <c r="BN174" s="81">
        <f t="shared" si="94"/>
        <v>0</v>
      </c>
      <c r="BO174" s="81">
        <f t="shared" si="95"/>
        <v>0</v>
      </c>
      <c r="BP174" s="81">
        <f t="shared" si="96"/>
        <v>99072</v>
      </c>
      <c r="BQ174" s="81">
        <f t="shared" si="97"/>
        <v>107136</v>
      </c>
      <c r="BR174" s="81">
        <f t="shared" si="98"/>
        <v>97636.032000000007</v>
      </c>
      <c r="BS174" s="199">
        <f t="shared" si="86"/>
        <v>51600</v>
      </c>
      <c r="BT174" s="199">
        <f t="shared" si="81"/>
        <v>55800</v>
      </c>
      <c r="BU174" s="199">
        <f t="shared" si="82"/>
        <v>50852.1</v>
      </c>
      <c r="BV174" s="112">
        <f>VLOOKUP(E174,'[4]Y2604-Y2608_庫存&amp;銷售'!$F:$AB,17,0)</f>
        <v>0</v>
      </c>
      <c r="BW174" s="112">
        <f>VLOOKUP(A174,'[5]Demand inbond in Sep'!$B:$M,12,0)</f>
        <v>117</v>
      </c>
      <c r="BX174" s="112"/>
    </row>
    <row r="175" spans="1:76" s="145" customFormat="1" ht="15" x14ac:dyDescent="0.35">
      <c r="A175" s="136">
        <v>522244895873196</v>
      </c>
      <c r="B175" s="137" t="s">
        <v>176</v>
      </c>
      <c r="C175" s="138" t="s">
        <v>177</v>
      </c>
      <c r="D175" s="136">
        <v>80812707</v>
      </c>
      <c r="E175" s="139">
        <v>4987176274168</v>
      </c>
      <c r="F175" s="139">
        <v>4987176274168</v>
      </c>
      <c r="G175" s="140" t="s">
        <v>187</v>
      </c>
      <c r="H175" s="138">
        <v>419</v>
      </c>
      <c r="I175" s="202" t="s">
        <v>199</v>
      </c>
      <c r="J175" s="141">
        <v>20</v>
      </c>
      <c r="K175" s="141">
        <v>8808</v>
      </c>
      <c r="L175" s="141">
        <v>8598.5300000000007</v>
      </c>
      <c r="M175" s="249">
        <f>4+5</f>
        <v>9</v>
      </c>
      <c r="N175" s="193">
        <v>0</v>
      </c>
      <c r="O175" s="194">
        <v>2</v>
      </c>
      <c r="P175" s="198">
        <f t="shared" si="99"/>
        <v>180</v>
      </c>
      <c r="Q175" s="198">
        <f t="shared" si="100"/>
        <v>0</v>
      </c>
      <c r="R175" s="198">
        <f t="shared" si="102"/>
        <v>40</v>
      </c>
      <c r="S175" s="143"/>
      <c r="T175" s="143"/>
      <c r="U175" s="143"/>
      <c r="V175" s="143">
        <v>2</v>
      </c>
      <c r="W175" s="143"/>
      <c r="X175" s="143"/>
      <c r="Y175" s="143">
        <v>1</v>
      </c>
      <c r="Z175" s="143"/>
      <c r="AA175" s="143"/>
      <c r="AB175" s="143">
        <v>6</v>
      </c>
      <c r="AC175" s="143">
        <f t="shared" si="87"/>
        <v>9</v>
      </c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31">
        <f t="shared" si="83"/>
        <v>0</v>
      </c>
      <c r="AO175" s="143"/>
      <c r="AP175" s="143">
        <v>2</v>
      </c>
      <c r="AQ175" s="143">
        <v>0</v>
      </c>
      <c r="AR175" s="143"/>
      <c r="AS175" s="143"/>
      <c r="AT175" s="143"/>
      <c r="AU175" s="143"/>
      <c r="AV175" s="143"/>
      <c r="AW175" s="143"/>
      <c r="AX175" s="31"/>
      <c r="AY175" s="31"/>
      <c r="AZ175" s="31"/>
      <c r="BA175" s="31"/>
      <c r="BB175" s="143"/>
      <c r="BC175" s="143"/>
      <c r="BD175" s="31">
        <f t="shared" si="84"/>
        <v>2</v>
      </c>
      <c r="BE175" s="195">
        <f>M175+N175+O175-AC175-AN175-BD175</f>
        <v>0</v>
      </c>
      <c r="BF175" s="29">
        <f t="shared" si="85"/>
        <v>2</v>
      </c>
      <c r="BG175" s="195">
        <f>VLOOKUP(E175,'[3]Y2604-Y2608_庫存&amp;銷售'!$F:$AJ,23,0)</f>
        <v>0.5</v>
      </c>
      <c r="BH175" s="195">
        <f>VLOOKUP(E175,'[3]Y2604-Y2608_庫存&amp;銷售'!$F:$AL,25,0)</f>
        <v>0</v>
      </c>
      <c r="BI175" s="29">
        <f>VLOOKUP(E175,'[3]Y2604-Y2608_庫存&amp;銷售'!$F:$AN,30,0)</f>
        <v>0</v>
      </c>
      <c r="BJ175" s="144">
        <f t="shared" si="104"/>
        <v>79272</v>
      </c>
      <c r="BK175" s="144">
        <f t="shared" si="105"/>
        <v>0</v>
      </c>
      <c r="BL175" s="144">
        <f t="shared" si="106"/>
        <v>17616</v>
      </c>
      <c r="BM175" s="144">
        <f t="shared" si="93"/>
        <v>79272</v>
      </c>
      <c r="BN175" s="144">
        <f t="shared" si="94"/>
        <v>75420</v>
      </c>
      <c r="BO175" s="144">
        <f t="shared" si="95"/>
        <v>78934.505400000009</v>
      </c>
      <c r="BP175" s="144">
        <f t="shared" si="96"/>
        <v>0</v>
      </c>
      <c r="BQ175" s="144">
        <f t="shared" si="97"/>
        <v>0</v>
      </c>
      <c r="BR175" s="144">
        <f t="shared" si="98"/>
        <v>0</v>
      </c>
      <c r="BS175" s="199">
        <f t="shared" si="86"/>
        <v>17616</v>
      </c>
      <c r="BT175" s="199">
        <f t="shared" si="81"/>
        <v>16760</v>
      </c>
      <c r="BU175" s="199">
        <f t="shared" si="82"/>
        <v>17541.001200000002</v>
      </c>
      <c r="BV175" s="196">
        <f>VLOOKUP(E175,'[4]Y2604-Y2608_庫存&amp;銷售'!$F:$AB,17,0)</f>
        <v>0.8</v>
      </c>
      <c r="BW175" s="112">
        <f>VLOOKUP(A175,'[5]Demand inbond in Sep'!$B:$M,12,0)</f>
        <v>50</v>
      </c>
      <c r="BX175" s="196"/>
    </row>
    <row r="176" spans="1:76" x14ac:dyDescent="0.3">
      <c r="A176" s="2">
        <v>341387962695681</v>
      </c>
      <c r="B176" s="19" t="s">
        <v>176</v>
      </c>
      <c r="C176" s="1" t="s">
        <v>177</v>
      </c>
      <c r="D176" s="2">
        <v>80764561</v>
      </c>
      <c r="E176" s="3">
        <v>4987176134608</v>
      </c>
      <c r="F176" s="3">
        <v>4987176134608</v>
      </c>
      <c r="G176" s="4" t="s">
        <v>188</v>
      </c>
      <c r="H176" s="1">
        <v>995</v>
      </c>
      <c r="I176" s="1"/>
      <c r="J176" s="5">
        <v>6</v>
      </c>
      <c r="K176" s="5">
        <v>6275.4</v>
      </c>
      <c r="L176" s="5">
        <v>6122.7866700000004</v>
      </c>
      <c r="M176" s="115">
        <v>50</v>
      </c>
      <c r="N176" s="21">
        <v>50</v>
      </c>
      <c r="O176" s="23">
        <v>50</v>
      </c>
      <c r="P176" s="28">
        <f t="shared" si="99"/>
        <v>300</v>
      </c>
      <c r="Q176" s="28">
        <f t="shared" si="100"/>
        <v>300</v>
      </c>
      <c r="R176" s="28">
        <f t="shared" si="102"/>
        <v>300</v>
      </c>
      <c r="S176" s="31"/>
      <c r="T176" s="31"/>
      <c r="U176" s="31"/>
      <c r="V176" s="31">
        <v>20</v>
      </c>
      <c r="W176" s="31"/>
      <c r="X176" s="31"/>
      <c r="Y176" s="31">
        <v>1</v>
      </c>
      <c r="Z176" s="31"/>
      <c r="AA176" s="31"/>
      <c r="AB176" s="31"/>
      <c r="AC176" s="31">
        <f t="shared" si="87"/>
        <v>21</v>
      </c>
      <c r="AD176" s="31"/>
      <c r="AE176" s="31"/>
      <c r="AF176" s="31">
        <v>15</v>
      </c>
      <c r="AG176" s="31"/>
      <c r="AH176" s="31">
        <v>8</v>
      </c>
      <c r="AI176" s="31">
        <v>11</v>
      </c>
      <c r="AJ176" s="31"/>
      <c r="AK176" s="31"/>
      <c r="AL176" s="31"/>
      <c r="AM176" s="31"/>
      <c r="AN176" s="31">
        <f t="shared" si="83"/>
        <v>34</v>
      </c>
      <c r="AO176" s="31"/>
      <c r="AP176" s="31">
        <v>16</v>
      </c>
      <c r="AQ176" s="31">
        <v>16</v>
      </c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>
        <f t="shared" si="84"/>
        <v>32</v>
      </c>
      <c r="BE176" s="29">
        <f t="shared" si="103"/>
        <v>63</v>
      </c>
      <c r="BF176" s="29">
        <f t="shared" si="85"/>
        <v>32</v>
      </c>
      <c r="BG176" s="29">
        <f>VLOOKUP(E176,'[3]Y2604-Y2608_庫存&amp;銷售'!$F:$AJ,23,0)</f>
        <v>0.99999999999999989</v>
      </c>
      <c r="BH176" s="29">
        <f>VLOOKUP(E176,'[3]Y2604-Y2608_庫存&amp;銷售'!$F:$AL,25,0)</f>
        <v>0</v>
      </c>
      <c r="BI176" s="29">
        <f>VLOOKUP(E176,'[3]Y2604-Y2608_庫存&amp;銷售'!$F:$AN,30,0)</f>
        <v>0</v>
      </c>
      <c r="BJ176" s="81">
        <f t="shared" si="104"/>
        <v>313770</v>
      </c>
      <c r="BK176" s="81">
        <f t="shared" si="105"/>
        <v>313770</v>
      </c>
      <c r="BL176" s="81">
        <f t="shared" si="106"/>
        <v>313770</v>
      </c>
      <c r="BM176" s="81">
        <f t="shared" si="93"/>
        <v>131783.4</v>
      </c>
      <c r="BN176" s="81">
        <f t="shared" si="94"/>
        <v>125370</v>
      </c>
      <c r="BO176" s="81">
        <f t="shared" si="95"/>
        <v>131150.09047140001</v>
      </c>
      <c r="BP176" s="81">
        <f t="shared" si="96"/>
        <v>213363.59999999998</v>
      </c>
      <c r="BQ176" s="81">
        <f t="shared" si="97"/>
        <v>202980</v>
      </c>
      <c r="BR176" s="81">
        <f t="shared" si="98"/>
        <v>212338.24171560002</v>
      </c>
      <c r="BS176" s="199">
        <f t="shared" si="86"/>
        <v>200812.79999999999</v>
      </c>
      <c r="BT176" s="199">
        <f t="shared" si="81"/>
        <v>191040</v>
      </c>
      <c r="BU176" s="199">
        <f t="shared" si="82"/>
        <v>199847.75690880002</v>
      </c>
      <c r="BV176" s="112">
        <f>VLOOKUP(E176,'[4]Y2604-Y2608_庫存&amp;銷售'!$F:$AB,17,0)</f>
        <v>5.166666666666667</v>
      </c>
      <c r="BW176" s="112">
        <f>VLOOKUP(A176,'[5]Demand inbond in Sep'!$B:$M,12,0)</f>
        <v>50</v>
      </c>
      <c r="BX176" s="112"/>
    </row>
    <row r="177" spans="1:76" x14ac:dyDescent="0.3">
      <c r="A177" s="2">
        <v>522244896412138</v>
      </c>
      <c r="B177" s="19" t="s">
        <v>176</v>
      </c>
      <c r="C177" s="1" t="s">
        <v>177</v>
      </c>
      <c r="D177" s="2">
        <v>83918075</v>
      </c>
      <c r="E177" s="3">
        <v>4987176039507</v>
      </c>
      <c r="F177" s="3">
        <v>4987176039507</v>
      </c>
      <c r="G177" s="4" t="s">
        <v>190</v>
      </c>
      <c r="H177" s="1">
        <v>428</v>
      </c>
      <c r="I177" s="1" t="s">
        <v>173</v>
      </c>
      <c r="J177" s="5">
        <v>4</v>
      </c>
      <c r="K177" s="5">
        <v>1780</v>
      </c>
      <c r="L177" s="5">
        <v>1728.31</v>
      </c>
      <c r="M177" s="115">
        <v>75</v>
      </c>
      <c r="N177" s="21">
        <v>75</v>
      </c>
      <c r="O177" s="23">
        <v>100</v>
      </c>
      <c r="P177" s="28">
        <f t="shared" si="99"/>
        <v>300</v>
      </c>
      <c r="Q177" s="28">
        <f t="shared" si="100"/>
        <v>300</v>
      </c>
      <c r="R177" s="28">
        <f t="shared" si="102"/>
        <v>400</v>
      </c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>
        <f t="shared" si="87"/>
        <v>0</v>
      </c>
      <c r="AD177" s="31"/>
      <c r="AE177" s="31"/>
      <c r="AF177" s="31"/>
      <c r="AG177" s="31"/>
      <c r="AH177" s="31">
        <v>15</v>
      </c>
      <c r="AI177" s="31"/>
      <c r="AJ177" s="31">
        <v>24</v>
      </c>
      <c r="AK177" s="31"/>
      <c r="AL177" s="31"/>
      <c r="AM177" s="31"/>
      <c r="AN177" s="31">
        <f t="shared" si="83"/>
        <v>39</v>
      </c>
      <c r="AO177" s="31"/>
      <c r="AP177" s="31">
        <v>23</v>
      </c>
      <c r="AQ177" s="31">
        <v>0</v>
      </c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>
        <f t="shared" si="84"/>
        <v>23</v>
      </c>
      <c r="BE177" s="29">
        <f t="shared" si="103"/>
        <v>188</v>
      </c>
      <c r="BF177" s="29">
        <f t="shared" si="85"/>
        <v>23</v>
      </c>
      <c r="BG177" s="29">
        <f>VLOOKUP(E177,'[3]Y2604-Y2608_庫存&amp;銷售'!$F:$AJ,23,0)</f>
        <v>0.25</v>
      </c>
      <c r="BH177" s="29">
        <f>VLOOKUP(E177,'[3]Y2604-Y2608_庫存&amp;銷售'!$F:$AL,25,0)</f>
        <v>0</v>
      </c>
      <c r="BI177" s="29">
        <f>VLOOKUP(E177,'[3]Y2604-Y2608_庫存&amp;銷售'!$F:$AN,30,0)</f>
        <v>0</v>
      </c>
      <c r="BJ177" s="81">
        <f t="shared" si="104"/>
        <v>133500</v>
      </c>
      <c r="BK177" s="81">
        <f t="shared" si="105"/>
        <v>133500</v>
      </c>
      <c r="BL177" s="81">
        <f t="shared" si="106"/>
        <v>178000</v>
      </c>
      <c r="BM177" s="81">
        <f t="shared" si="93"/>
        <v>0</v>
      </c>
      <c r="BN177" s="81">
        <f t="shared" si="94"/>
        <v>0</v>
      </c>
      <c r="BO177" s="81">
        <f t="shared" si="95"/>
        <v>0</v>
      </c>
      <c r="BP177" s="81">
        <f t="shared" si="96"/>
        <v>69420</v>
      </c>
      <c r="BQ177" s="81">
        <f t="shared" si="97"/>
        <v>66768</v>
      </c>
      <c r="BR177" s="81">
        <f t="shared" si="98"/>
        <v>68752.171799999996</v>
      </c>
      <c r="BS177" s="199">
        <f t="shared" si="86"/>
        <v>40940</v>
      </c>
      <c r="BT177" s="199">
        <f t="shared" si="81"/>
        <v>39376</v>
      </c>
      <c r="BU177" s="199">
        <f t="shared" si="82"/>
        <v>40546.152600000001</v>
      </c>
      <c r="BV177" s="112">
        <f>VLOOKUP(E177,'[4]Y2604-Y2608_庫存&amp;銷售'!$F:$AB,17,0)</f>
        <v>0</v>
      </c>
      <c r="BW177" s="112">
        <f>VLOOKUP(A177,'[5]Demand inbond in Sep'!$B:$M,12,0)</f>
        <v>100</v>
      </c>
      <c r="BX177" s="112"/>
    </row>
    <row r="178" spans="1:76" x14ac:dyDescent="0.3">
      <c r="A178" s="2">
        <v>522244896371575</v>
      </c>
      <c r="B178" s="19" t="s">
        <v>176</v>
      </c>
      <c r="C178" s="1" t="s">
        <v>177</v>
      </c>
      <c r="D178" s="2">
        <v>83918074</v>
      </c>
      <c r="E178" s="3">
        <v>4987176324023</v>
      </c>
      <c r="F178" s="3">
        <v>4987176324023</v>
      </c>
      <c r="G178" s="4" t="s">
        <v>189</v>
      </c>
      <c r="H178" s="1">
        <v>289</v>
      </c>
      <c r="I178" s="1" t="s">
        <v>173</v>
      </c>
      <c r="J178" s="5">
        <v>4</v>
      </c>
      <c r="K178" s="5">
        <v>1203.5999999999999</v>
      </c>
      <c r="L178" s="5">
        <v>1164.8499999999999</v>
      </c>
      <c r="M178" s="115">
        <v>75</v>
      </c>
      <c r="N178" s="21">
        <v>75</v>
      </c>
      <c r="O178" s="23">
        <v>100</v>
      </c>
      <c r="P178" s="28">
        <f t="shared" si="99"/>
        <v>300</v>
      </c>
      <c r="Q178" s="28">
        <f t="shared" si="100"/>
        <v>300</v>
      </c>
      <c r="R178" s="28">
        <f t="shared" si="102"/>
        <v>400</v>
      </c>
      <c r="S178" s="31"/>
      <c r="T178" s="31"/>
      <c r="U178" s="31"/>
      <c r="V178" s="31"/>
      <c r="W178" s="31">
        <v>1</v>
      </c>
      <c r="X178" s="31"/>
      <c r="Y178" s="31"/>
      <c r="Z178" s="31"/>
      <c r="AA178" s="31"/>
      <c r="AB178" s="31">
        <v>18</v>
      </c>
      <c r="AC178" s="31">
        <f t="shared" si="87"/>
        <v>19</v>
      </c>
      <c r="AD178" s="31"/>
      <c r="AE178" s="31"/>
      <c r="AF178" s="31"/>
      <c r="AG178" s="31"/>
      <c r="AH178" s="31"/>
      <c r="AI178" s="31"/>
      <c r="AJ178" s="31">
        <v>29</v>
      </c>
      <c r="AK178" s="31"/>
      <c r="AL178" s="31"/>
      <c r="AM178" s="31"/>
      <c r="AN178" s="31">
        <f t="shared" si="83"/>
        <v>29</v>
      </c>
      <c r="AO178" s="31"/>
      <c r="AP178" s="31">
        <v>46</v>
      </c>
      <c r="AQ178" s="31">
        <v>0</v>
      </c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>
        <f t="shared" si="84"/>
        <v>46</v>
      </c>
      <c r="BE178" s="29">
        <f t="shared" si="103"/>
        <v>156</v>
      </c>
      <c r="BF178" s="29">
        <f t="shared" si="85"/>
        <v>46</v>
      </c>
      <c r="BG178" s="29">
        <f>VLOOKUP(E178,'[3]Y2604-Y2608_庫存&amp;銷售'!$F:$AJ,23,0)</f>
        <v>1.5</v>
      </c>
      <c r="BH178" s="29">
        <f>VLOOKUP(E178,'[3]Y2604-Y2608_庫存&amp;銷售'!$F:$AL,25,0)</f>
        <v>0</v>
      </c>
      <c r="BI178" s="29">
        <f>VLOOKUP(E178,'[3]Y2604-Y2608_庫存&amp;銷售'!$F:$AN,30,0)</f>
        <v>0</v>
      </c>
      <c r="BJ178" s="81">
        <f t="shared" si="104"/>
        <v>90270</v>
      </c>
      <c r="BK178" s="81">
        <f t="shared" si="105"/>
        <v>90270</v>
      </c>
      <c r="BL178" s="81">
        <f t="shared" si="106"/>
        <v>120359.99999999999</v>
      </c>
      <c r="BM178" s="81">
        <f t="shared" si="93"/>
        <v>22868.399999999998</v>
      </c>
      <c r="BN178" s="81">
        <f t="shared" si="94"/>
        <v>21964</v>
      </c>
      <c r="BO178" s="81">
        <f t="shared" si="95"/>
        <v>22574.792999999998</v>
      </c>
      <c r="BP178" s="81">
        <f t="shared" si="96"/>
        <v>34904.399999999994</v>
      </c>
      <c r="BQ178" s="81">
        <f t="shared" si="97"/>
        <v>33524</v>
      </c>
      <c r="BR178" s="81">
        <f t="shared" si="98"/>
        <v>34456.262999999999</v>
      </c>
      <c r="BS178" s="199">
        <f t="shared" si="86"/>
        <v>55365.599999999999</v>
      </c>
      <c r="BT178" s="199">
        <f t="shared" si="81"/>
        <v>53176</v>
      </c>
      <c r="BU178" s="199">
        <f t="shared" si="82"/>
        <v>54654.761999999995</v>
      </c>
      <c r="BV178" s="112">
        <f>VLOOKUP(E178,'[4]Y2604-Y2608_庫存&amp;銷售'!$F:$AB,17,0)</f>
        <v>1.25</v>
      </c>
      <c r="BW178" s="112">
        <f>VLOOKUP(A178,'[5]Demand inbond in Sep'!$B:$M,12,0)</f>
        <v>100</v>
      </c>
      <c r="BX178" s="112"/>
    </row>
    <row r="179" spans="1:76" x14ac:dyDescent="0.3">
      <c r="A179" s="35">
        <v>253709195886592</v>
      </c>
      <c r="B179" s="19" t="s">
        <v>176</v>
      </c>
      <c r="C179" s="1" t="s">
        <v>177</v>
      </c>
      <c r="D179" s="2">
        <v>80812701</v>
      </c>
      <c r="E179" s="3">
        <v>4987176176172</v>
      </c>
      <c r="F179" s="3">
        <v>4987176176172</v>
      </c>
      <c r="G179" s="4" t="s">
        <v>256</v>
      </c>
      <c r="H179" s="1">
        <v>323</v>
      </c>
      <c r="I179" s="5"/>
      <c r="J179" s="5">
        <v>20</v>
      </c>
      <c r="K179" s="5">
        <v>7163.15</v>
      </c>
      <c r="L179" s="5">
        <v>6990.6066825000007</v>
      </c>
      <c r="M179" s="169">
        <f>10</f>
        <v>10</v>
      </c>
      <c r="N179" s="21">
        <v>6</v>
      </c>
      <c r="O179" s="23">
        <v>23</v>
      </c>
      <c r="P179" s="28"/>
      <c r="Q179" s="28"/>
      <c r="R179" s="28"/>
      <c r="S179" s="31"/>
      <c r="T179" s="31"/>
      <c r="U179" s="31"/>
      <c r="V179" s="31"/>
      <c r="W179" s="31"/>
      <c r="X179" s="31"/>
      <c r="Y179" s="31"/>
      <c r="Z179" s="31"/>
      <c r="AA179" s="31">
        <v>12</v>
      </c>
      <c r="AB179" s="31"/>
      <c r="AC179" s="31">
        <f t="shared" si="87"/>
        <v>12</v>
      </c>
      <c r="AD179" s="31"/>
      <c r="AE179" s="31">
        <v>4</v>
      </c>
      <c r="AF179" s="31"/>
      <c r="AG179" s="31"/>
      <c r="AH179" s="31"/>
      <c r="AI179" s="31"/>
      <c r="AJ179" s="31">
        <v>10</v>
      </c>
      <c r="AK179" s="31"/>
      <c r="AL179" s="31"/>
      <c r="AM179" s="31"/>
      <c r="AN179" s="31">
        <f t="shared" si="83"/>
        <v>14</v>
      </c>
      <c r="AO179" s="31"/>
      <c r="AP179" s="31">
        <v>9</v>
      </c>
      <c r="AQ179" s="31"/>
      <c r="AR179" s="31"/>
      <c r="AS179" s="31"/>
      <c r="AT179" s="31">
        <v>9</v>
      </c>
      <c r="AU179" s="31"/>
      <c r="AV179" s="31"/>
      <c r="AW179" s="31"/>
      <c r="AX179" s="31"/>
      <c r="AY179" s="31"/>
      <c r="AZ179" s="31"/>
      <c r="BA179" s="31"/>
      <c r="BB179" s="31"/>
      <c r="BC179" s="31"/>
      <c r="BD179" s="31">
        <f t="shared" si="84"/>
        <v>18</v>
      </c>
      <c r="BE179" s="29">
        <f t="shared" si="103"/>
        <v>-5</v>
      </c>
      <c r="BF179" s="29">
        <f t="shared" si="85"/>
        <v>18</v>
      </c>
      <c r="BG179" s="29">
        <f>VLOOKUP(E179,'[3]Y2604-Y2608_庫存&amp;銷售'!$F:$AJ,23,0)</f>
        <v>0.44999999999999996</v>
      </c>
      <c r="BH179" s="29">
        <f>VLOOKUP(E179,'[3]Y2604-Y2608_庫存&amp;銷售'!$F:$AL,25,0)</f>
        <v>0</v>
      </c>
      <c r="BI179" s="29">
        <f>VLOOKUP(E179,'[3]Y2604-Y2608_庫存&amp;銷售'!$F:$AN,30,0)</f>
        <v>0</v>
      </c>
      <c r="BJ179" s="81">
        <f t="shared" si="104"/>
        <v>71631.5</v>
      </c>
      <c r="BK179" s="81">
        <f t="shared" si="105"/>
        <v>42978.899999999994</v>
      </c>
      <c r="BL179" s="81">
        <f t="shared" si="106"/>
        <v>164752.44999999998</v>
      </c>
      <c r="BM179" s="81">
        <f t="shared" si="93"/>
        <v>85957.799999999988</v>
      </c>
      <c r="BN179" s="81">
        <f t="shared" si="94"/>
        <v>77520</v>
      </c>
      <c r="BO179" s="81">
        <f t="shared" si="95"/>
        <v>85565.025793800014</v>
      </c>
      <c r="BP179" s="81">
        <f t="shared" si="96"/>
        <v>100284.09999999999</v>
      </c>
      <c r="BQ179" s="81">
        <f t="shared" si="97"/>
        <v>90440</v>
      </c>
      <c r="BR179" s="81">
        <f t="shared" si="98"/>
        <v>99825.863426100012</v>
      </c>
      <c r="BS179" s="199">
        <f t="shared" si="86"/>
        <v>128936.7</v>
      </c>
      <c r="BT179" s="199">
        <f t="shared" si="81"/>
        <v>116280</v>
      </c>
      <c r="BU179" s="199">
        <f t="shared" si="82"/>
        <v>128347.53869070001</v>
      </c>
      <c r="BV179" s="112">
        <f>VLOOKUP(E179,'[4]Y2604-Y2608_庫存&amp;銷售'!$F:$AB,17,0)</f>
        <v>1</v>
      </c>
      <c r="BW179" s="112">
        <f>VLOOKUP(A179,'[5]Demand inbond in Sep'!$B:$M,12,0)</f>
        <v>23</v>
      </c>
      <c r="BX179" s="112"/>
    </row>
    <row r="180" spans="1:76" x14ac:dyDescent="0.3">
      <c r="A180" s="2">
        <v>253709195886593</v>
      </c>
      <c r="B180" s="19" t="s">
        <v>176</v>
      </c>
      <c r="C180" s="1" t="s">
        <v>177</v>
      </c>
      <c r="D180" s="2">
        <v>80812695</v>
      </c>
      <c r="E180" s="3">
        <v>4987176169914</v>
      </c>
      <c r="F180" s="3">
        <v>4987176169914</v>
      </c>
      <c r="G180" s="4" t="s">
        <v>257</v>
      </c>
      <c r="H180" s="1">
        <v>557</v>
      </c>
      <c r="I180" s="5"/>
      <c r="J180" s="5">
        <v>10</v>
      </c>
      <c r="K180" s="5">
        <v>5963.4</v>
      </c>
      <c r="L180" s="5">
        <v>5817.7910699999993</v>
      </c>
      <c r="M180" s="115">
        <v>55</v>
      </c>
      <c r="N180" s="21">
        <v>34</v>
      </c>
      <c r="O180" s="23">
        <v>122</v>
      </c>
      <c r="P180" s="28"/>
      <c r="Q180" s="28"/>
      <c r="R180" s="28"/>
      <c r="S180" s="31"/>
      <c r="T180" s="31"/>
      <c r="U180" s="31"/>
      <c r="V180" s="31"/>
      <c r="W180" s="31"/>
      <c r="X180" s="31"/>
      <c r="Y180" s="31"/>
      <c r="Z180" s="31"/>
      <c r="AA180" s="31">
        <v>36</v>
      </c>
      <c r="AB180" s="31"/>
      <c r="AC180" s="31">
        <f t="shared" si="87"/>
        <v>36</v>
      </c>
      <c r="AD180" s="31"/>
      <c r="AE180" s="31"/>
      <c r="AF180" s="31">
        <v>53</v>
      </c>
      <c r="AG180" s="31"/>
      <c r="AH180" s="31"/>
      <c r="AI180" s="31"/>
      <c r="AJ180" s="31">
        <v>47</v>
      </c>
      <c r="AK180" s="31"/>
      <c r="AL180" s="31"/>
      <c r="AM180" s="31"/>
      <c r="AN180" s="31">
        <f t="shared" si="83"/>
        <v>100</v>
      </c>
      <c r="AO180" s="31"/>
      <c r="AP180" s="31">
        <v>52</v>
      </c>
      <c r="AQ180" s="31"/>
      <c r="AR180" s="31"/>
      <c r="AS180" s="31"/>
      <c r="AT180" s="31">
        <v>52</v>
      </c>
      <c r="AU180" s="31"/>
      <c r="AV180" s="31"/>
      <c r="AW180" s="31"/>
      <c r="AX180" s="31"/>
      <c r="AY180" s="31"/>
      <c r="AZ180" s="31"/>
      <c r="BA180" s="31"/>
      <c r="BB180" s="31"/>
      <c r="BC180" s="31"/>
      <c r="BD180" s="31">
        <f t="shared" si="84"/>
        <v>104</v>
      </c>
      <c r="BE180" s="29">
        <f t="shared" si="103"/>
        <v>-29</v>
      </c>
      <c r="BF180" s="29">
        <f t="shared" si="85"/>
        <v>104</v>
      </c>
      <c r="BG180" s="29">
        <f>VLOOKUP(E180,'[3]Y2604-Y2608_庫存&amp;銷售'!$F:$AJ,23,0)</f>
        <v>5.3999999999999995</v>
      </c>
      <c r="BH180" s="29">
        <f>VLOOKUP(E180,'[3]Y2604-Y2608_庫存&amp;銷售'!$F:$AL,25,0)</f>
        <v>0</v>
      </c>
      <c r="BI180" s="29">
        <f>VLOOKUP(E180,'[3]Y2604-Y2608_庫存&amp;銷售'!$F:$AN,30,0)</f>
        <v>0</v>
      </c>
      <c r="BJ180" s="81">
        <f t="shared" si="104"/>
        <v>327987</v>
      </c>
      <c r="BK180" s="81">
        <f t="shared" si="105"/>
        <v>202755.59999999998</v>
      </c>
      <c r="BL180" s="81">
        <f t="shared" si="106"/>
        <v>727534.79999999993</v>
      </c>
      <c r="BM180" s="81">
        <f t="shared" si="93"/>
        <v>214682.4</v>
      </c>
      <c r="BN180" s="81">
        <f t="shared" si="94"/>
        <v>200520</v>
      </c>
      <c r="BO180" s="81">
        <f t="shared" si="95"/>
        <v>213629.28809039999</v>
      </c>
      <c r="BP180" s="81">
        <f t="shared" si="96"/>
        <v>596340</v>
      </c>
      <c r="BQ180" s="81">
        <f t="shared" si="97"/>
        <v>557000</v>
      </c>
      <c r="BR180" s="81">
        <f t="shared" si="98"/>
        <v>593414.68913999991</v>
      </c>
      <c r="BS180" s="199">
        <f t="shared" si="86"/>
        <v>620193.6</v>
      </c>
      <c r="BT180" s="199">
        <f t="shared" si="81"/>
        <v>579280</v>
      </c>
      <c r="BU180" s="199">
        <f t="shared" si="82"/>
        <v>617151.27670559997</v>
      </c>
      <c r="BV180" s="112">
        <f>VLOOKUP(E180,'[4]Y2604-Y2608_庫存&amp;銷售'!$F:$AB,17,0)</f>
        <v>1.8</v>
      </c>
      <c r="BW180" s="112">
        <f>VLOOKUP(A180,'[5]Demand inbond in Sep'!$B:$M,12,0)</f>
        <v>122</v>
      </c>
      <c r="BX180" s="112"/>
    </row>
    <row r="181" spans="1:76" x14ac:dyDescent="0.3">
      <c r="A181" s="2">
        <v>253710156414978</v>
      </c>
      <c r="B181" s="19" t="s">
        <v>176</v>
      </c>
      <c r="C181" s="1" t="s">
        <v>177</v>
      </c>
      <c r="D181" s="2">
        <v>80726030</v>
      </c>
      <c r="E181" s="3">
        <v>4987176169921</v>
      </c>
      <c r="F181" s="3">
        <v>4987176169921</v>
      </c>
      <c r="G181" s="4" t="s">
        <v>258</v>
      </c>
      <c r="H181" s="1">
        <v>185</v>
      </c>
      <c r="I181" s="5"/>
      <c r="J181" s="5">
        <v>6</v>
      </c>
      <c r="K181" s="5">
        <v>1210.2</v>
      </c>
      <c r="L181" s="5">
        <v>1171.3004100000001</v>
      </c>
      <c r="M181" s="115">
        <f>54</f>
        <v>54</v>
      </c>
      <c r="N181" s="21">
        <v>33</v>
      </c>
      <c r="O181" s="23">
        <v>119</v>
      </c>
      <c r="P181" s="28"/>
      <c r="Q181" s="28"/>
      <c r="R181" s="28"/>
      <c r="S181" s="31"/>
      <c r="T181" s="31"/>
      <c r="U181" s="31"/>
      <c r="V181" s="31"/>
      <c r="W181" s="31"/>
      <c r="X181" s="31"/>
      <c r="Y181" s="31"/>
      <c r="Z181" s="31"/>
      <c r="AA181" s="31">
        <v>57</v>
      </c>
      <c r="AB181" s="31"/>
      <c r="AC181" s="31">
        <f t="shared" si="87"/>
        <v>57</v>
      </c>
      <c r="AD181" s="31"/>
      <c r="AE181" s="31"/>
      <c r="AF181" s="31">
        <v>30</v>
      </c>
      <c r="AG181" s="31"/>
      <c r="AH181" s="31"/>
      <c r="AI181" s="31">
        <v>42</v>
      </c>
      <c r="AJ181" s="31"/>
      <c r="AK181" s="31"/>
      <c r="AL181" s="31"/>
      <c r="AM181" s="31"/>
      <c r="AN181" s="31">
        <f t="shared" si="83"/>
        <v>72</v>
      </c>
      <c r="AO181" s="31"/>
      <c r="AP181" s="31">
        <v>46</v>
      </c>
      <c r="AQ181" s="31"/>
      <c r="AR181" s="31"/>
      <c r="AS181" s="31"/>
      <c r="AT181" s="31">
        <v>46</v>
      </c>
      <c r="AU181" s="31"/>
      <c r="AV181" s="31"/>
      <c r="AW181" s="31"/>
      <c r="AX181" s="31"/>
      <c r="AY181" s="31"/>
      <c r="AZ181" s="31"/>
      <c r="BA181" s="31"/>
      <c r="BB181" s="31"/>
      <c r="BC181" s="31"/>
      <c r="BD181" s="31">
        <f t="shared" si="84"/>
        <v>92</v>
      </c>
      <c r="BE181" s="29">
        <f t="shared" si="103"/>
        <v>-15</v>
      </c>
      <c r="BF181" s="29">
        <f t="shared" si="85"/>
        <v>92</v>
      </c>
      <c r="BG181" s="29">
        <f>VLOOKUP(E181,'[3]Y2604-Y2608_庫存&amp;銷售'!$F:$AJ,23,0)</f>
        <v>0.5</v>
      </c>
      <c r="BH181" s="29">
        <f>VLOOKUP(E181,'[3]Y2604-Y2608_庫存&amp;銷售'!$F:$AL,25,0)</f>
        <v>0</v>
      </c>
      <c r="BI181" s="29">
        <f>VLOOKUP(E181,'[3]Y2604-Y2608_庫存&amp;銷售'!$F:$AN,30,0)</f>
        <v>0</v>
      </c>
      <c r="BJ181" s="81">
        <f t="shared" si="104"/>
        <v>65350.8</v>
      </c>
      <c r="BK181" s="81">
        <f t="shared" si="105"/>
        <v>39936.6</v>
      </c>
      <c r="BL181" s="81">
        <f t="shared" si="106"/>
        <v>144013.80000000002</v>
      </c>
      <c r="BM181" s="81">
        <f t="shared" si="93"/>
        <v>68981.400000000009</v>
      </c>
      <c r="BN181" s="81">
        <f t="shared" si="94"/>
        <v>63270</v>
      </c>
      <c r="BO181" s="81">
        <f t="shared" si="95"/>
        <v>68099.405837400001</v>
      </c>
      <c r="BP181" s="81">
        <f t="shared" si="96"/>
        <v>87134.400000000009</v>
      </c>
      <c r="BQ181" s="81">
        <f t="shared" si="97"/>
        <v>79920</v>
      </c>
      <c r="BR181" s="81">
        <f t="shared" si="98"/>
        <v>86020.302110400007</v>
      </c>
      <c r="BS181" s="199">
        <f t="shared" si="86"/>
        <v>111338.40000000001</v>
      </c>
      <c r="BT181" s="199">
        <f t="shared" si="81"/>
        <v>102120</v>
      </c>
      <c r="BU181" s="199">
        <f t="shared" si="82"/>
        <v>109914.83047440001</v>
      </c>
      <c r="BV181" s="112">
        <f>VLOOKUP(E181,'[4]Y2604-Y2608_庫存&amp;銷售'!$F:$AB,17,0)</f>
        <v>2</v>
      </c>
      <c r="BW181" s="112">
        <f>VLOOKUP(A181,'[5]Demand inbond in Sep'!$B:$M,12,0)</f>
        <v>119</v>
      </c>
      <c r="BX181" s="112"/>
    </row>
    <row r="182" spans="1:76" x14ac:dyDescent="0.3">
      <c r="A182" s="2">
        <v>253710156414979</v>
      </c>
      <c r="B182" s="19" t="s">
        <v>176</v>
      </c>
      <c r="C182" s="1" t="s">
        <v>177</v>
      </c>
      <c r="D182" s="2">
        <v>80726035</v>
      </c>
      <c r="E182" s="3">
        <v>4987176169952</v>
      </c>
      <c r="F182" s="3">
        <v>4987176169952</v>
      </c>
      <c r="G182" s="4" t="s">
        <v>259</v>
      </c>
      <c r="H182" s="1">
        <v>228</v>
      </c>
      <c r="I182" s="5"/>
      <c r="J182" s="5">
        <v>6</v>
      </c>
      <c r="K182" s="5">
        <v>1527.6</v>
      </c>
      <c r="L182" s="5">
        <v>1481.5747799999999</v>
      </c>
      <c r="M182" s="115">
        <v>83</v>
      </c>
      <c r="N182" s="21">
        <v>51</v>
      </c>
      <c r="O182" s="23">
        <v>183</v>
      </c>
      <c r="P182" s="28"/>
      <c r="Q182" s="28"/>
      <c r="R182" s="28"/>
      <c r="S182" s="31"/>
      <c r="T182" s="31"/>
      <c r="U182" s="31"/>
      <c r="V182" s="31"/>
      <c r="W182" s="31"/>
      <c r="X182" s="31"/>
      <c r="Y182" s="31"/>
      <c r="Z182" s="31"/>
      <c r="AA182" s="31">
        <v>6</v>
      </c>
      <c r="AB182" s="31"/>
      <c r="AC182" s="31">
        <f t="shared" si="87"/>
        <v>6</v>
      </c>
      <c r="AD182" s="31">
        <v>17</v>
      </c>
      <c r="AE182" s="31"/>
      <c r="AF182" s="31">
        <v>54</v>
      </c>
      <c r="AG182" s="31"/>
      <c r="AH182" s="31"/>
      <c r="AI182" s="31">
        <v>42</v>
      </c>
      <c r="AJ182" s="31"/>
      <c r="AK182" s="31"/>
      <c r="AL182" s="31"/>
      <c r="AM182" s="31"/>
      <c r="AN182" s="31">
        <f t="shared" si="83"/>
        <v>113</v>
      </c>
      <c r="AO182" s="31"/>
      <c r="AP182" s="31">
        <v>0</v>
      </c>
      <c r="AQ182" s="31"/>
      <c r="AR182" s="31"/>
      <c r="AS182" s="31"/>
      <c r="AT182" s="31">
        <v>0</v>
      </c>
      <c r="AU182" s="31"/>
      <c r="AV182" s="31"/>
      <c r="AW182" s="31"/>
      <c r="AX182" s="31">
        <v>54</v>
      </c>
      <c r="AY182" s="31"/>
      <c r="AZ182" s="31"/>
      <c r="BA182" s="31"/>
      <c r="BB182" s="31"/>
      <c r="BC182" s="31"/>
      <c r="BD182" s="31">
        <f t="shared" si="84"/>
        <v>54</v>
      </c>
      <c r="BE182" s="29">
        <f t="shared" si="103"/>
        <v>144</v>
      </c>
      <c r="BF182" s="29">
        <f t="shared" si="85"/>
        <v>0</v>
      </c>
      <c r="BG182" s="29">
        <f>VLOOKUP(E182,'[3]Y2604-Y2608_庫存&amp;銷售'!$F:$AJ,23,0)</f>
        <v>4</v>
      </c>
      <c r="BH182" s="29">
        <f>VLOOKUP(E182,'[3]Y2604-Y2608_庫存&amp;銷售'!$F:$AL,25,0)</f>
        <v>0</v>
      </c>
      <c r="BI182" s="29">
        <f>VLOOKUP(E182,'[3]Y2604-Y2608_庫存&amp;銷售'!$F:$AN,30,0)</f>
        <v>0</v>
      </c>
      <c r="BJ182" s="81">
        <f t="shared" si="104"/>
        <v>126790.79999999999</v>
      </c>
      <c r="BK182" s="81">
        <f t="shared" si="105"/>
        <v>77907.599999999991</v>
      </c>
      <c r="BL182" s="81">
        <f t="shared" si="106"/>
        <v>279550.8</v>
      </c>
      <c r="BM182" s="81">
        <f t="shared" ref="BM182:BM214" si="107">AC182*K182</f>
        <v>9165.5999999999985</v>
      </c>
      <c r="BN182" s="81">
        <f t="shared" ref="BN182:BN214" si="108">AC182*H182*J182</f>
        <v>8208</v>
      </c>
      <c r="BO182" s="81">
        <f t="shared" ref="BO182:BO214" si="109">L182*1.02*AC182</f>
        <v>9067.2376536000011</v>
      </c>
      <c r="BP182" s="81">
        <f t="shared" si="96"/>
        <v>172618.8</v>
      </c>
      <c r="BQ182" s="81">
        <f t="shared" si="97"/>
        <v>154584</v>
      </c>
      <c r="BR182" s="81">
        <f t="shared" si="98"/>
        <v>170766.30914279999</v>
      </c>
      <c r="BS182" s="199">
        <f t="shared" si="86"/>
        <v>82490.399999999994</v>
      </c>
      <c r="BT182" s="199">
        <f t="shared" si="81"/>
        <v>73872</v>
      </c>
      <c r="BU182" s="199">
        <f t="shared" si="82"/>
        <v>81605.138882400002</v>
      </c>
      <c r="BV182" s="112">
        <f>VLOOKUP(E182,'[4]Y2604-Y2608_庫存&amp;銷售'!$F:$AB,17,0)</f>
        <v>3.833333333333333</v>
      </c>
      <c r="BW182" s="112">
        <f>VLOOKUP(A182,'[5]Demand inbond in Sep'!$B:$M,12,0)</f>
        <v>183</v>
      </c>
      <c r="BX182" s="112"/>
    </row>
    <row r="183" spans="1:76" x14ac:dyDescent="0.3">
      <c r="A183" s="2">
        <v>253711012036610</v>
      </c>
      <c r="B183" s="19" t="s">
        <v>176</v>
      </c>
      <c r="C183" s="1" t="s">
        <v>177</v>
      </c>
      <c r="D183" s="2">
        <v>80726036</v>
      </c>
      <c r="E183" s="3">
        <v>4987176169969</v>
      </c>
      <c r="F183" s="3">
        <v>4987176169969</v>
      </c>
      <c r="G183" s="4" t="s">
        <v>260</v>
      </c>
      <c r="H183" s="1">
        <v>268</v>
      </c>
      <c r="I183" s="5"/>
      <c r="J183" s="5">
        <v>6</v>
      </c>
      <c r="K183" s="5">
        <v>1793.4</v>
      </c>
      <c r="L183" s="5">
        <v>1741.4075700000003</v>
      </c>
      <c r="M183" s="115">
        <v>0</v>
      </c>
      <c r="N183" s="21">
        <v>0</v>
      </c>
      <c r="O183" s="23">
        <v>0</v>
      </c>
      <c r="P183" s="28"/>
      <c r="Q183" s="28"/>
      <c r="R183" s="28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>
        <f t="shared" si="87"/>
        <v>0</v>
      </c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>
        <f t="shared" si="83"/>
        <v>0</v>
      </c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>
        <f t="shared" si="84"/>
        <v>0</v>
      </c>
      <c r="BE183" s="29">
        <f t="shared" si="103"/>
        <v>0</v>
      </c>
      <c r="BF183" s="29">
        <f t="shared" si="85"/>
        <v>0</v>
      </c>
      <c r="BG183" s="29">
        <f>VLOOKUP(E183,'[3]Y2604-Y2608_庫存&amp;銷售'!$F:$AJ,23,0)</f>
        <v>0</v>
      </c>
      <c r="BH183" s="29">
        <f>VLOOKUP(E183,'[3]Y2604-Y2608_庫存&amp;銷售'!$F:$AL,25,0)</f>
        <v>0</v>
      </c>
      <c r="BI183" s="29">
        <f>VLOOKUP(E183,'[3]Y2604-Y2608_庫存&amp;銷售'!$F:$AN,30,0)</f>
        <v>0</v>
      </c>
      <c r="BJ183" s="81">
        <f t="shared" si="104"/>
        <v>0</v>
      </c>
      <c r="BK183" s="81">
        <f t="shared" si="105"/>
        <v>0</v>
      </c>
      <c r="BL183" s="81">
        <f t="shared" si="106"/>
        <v>0</v>
      </c>
      <c r="BM183" s="81">
        <f t="shared" si="107"/>
        <v>0</v>
      </c>
      <c r="BN183" s="81">
        <f t="shared" si="108"/>
        <v>0</v>
      </c>
      <c r="BO183" s="81">
        <f t="shared" si="109"/>
        <v>0</v>
      </c>
      <c r="BP183" s="81">
        <f t="shared" si="96"/>
        <v>0</v>
      </c>
      <c r="BQ183" s="81">
        <f t="shared" si="97"/>
        <v>0</v>
      </c>
      <c r="BR183" s="81">
        <f t="shared" si="98"/>
        <v>0</v>
      </c>
      <c r="BS183" s="199">
        <f t="shared" si="86"/>
        <v>0</v>
      </c>
      <c r="BT183" s="199">
        <f t="shared" si="81"/>
        <v>0</v>
      </c>
      <c r="BU183" s="199">
        <f t="shared" si="82"/>
        <v>0</v>
      </c>
      <c r="BV183" s="112">
        <f>VLOOKUP(E183,'[4]Y2604-Y2608_庫存&amp;銷售'!$F:$AB,17,0)</f>
        <v>0</v>
      </c>
      <c r="BW183" s="112">
        <f>VLOOKUP(A183,'[5]Demand inbond in Sep'!$B:$M,12,0)</f>
        <v>0</v>
      </c>
      <c r="BX183" s="112"/>
    </row>
    <row r="184" spans="1:76" x14ac:dyDescent="0.3">
      <c r="A184" s="2">
        <v>410946287665154</v>
      </c>
      <c r="B184" s="19" t="s">
        <v>176</v>
      </c>
      <c r="C184" s="1" t="s">
        <v>177</v>
      </c>
      <c r="D184" s="2">
        <v>80795788</v>
      </c>
      <c r="E184" s="3">
        <v>4902430341844</v>
      </c>
      <c r="F184" s="3">
        <v>4902430341844</v>
      </c>
      <c r="G184" s="4" t="s">
        <v>261</v>
      </c>
      <c r="H184" s="1">
        <v>260</v>
      </c>
      <c r="I184" s="5"/>
      <c r="J184" s="5">
        <v>12</v>
      </c>
      <c r="K184" s="5">
        <v>3271.2</v>
      </c>
      <c r="L184" s="5">
        <v>3186.0309600000001</v>
      </c>
      <c r="M184" s="115">
        <v>7</v>
      </c>
      <c r="N184" s="21">
        <v>4</v>
      </c>
      <c r="O184" s="23">
        <v>16</v>
      </c>
      <c r="P184" s="28"/>
      <c r="Q184" s="28"/>
      <c r="R184" s="28"/>
      <c r="S184" s="31"/>
      <c r="T184" s="31"/>
      <c r="U184" s="31"/>
      <c r="V184" s="31"/>
      <c r="W184" s="31"/>
      <c r="X184" s="31"/>
      <c r="Y184" s="31"/>
      <c r="Z184" s="31"/>
      <c r="AA184" s="31">
        <v>3</v>
      </c>
      <c r="AB184" s="31"/>
      <c r="AC184" s="31">
        <f t="shared" si="87"/>
        <v>3</v>
      </c>
      <c r="AD184" s="31"/>
      <c r="AE184" s="31"/>
      <c r="AF184" s="31">
        <v>3</v>
      </c>
      <c r="AG184" s="31"/>
      <c r="AH184" s="31"/>
      <c r="AI184" s="31">
        <v>3</v>
      </c>
      <c r="AJ184" s="31"/>
      <c r="AK184" s="31"/>
      <c r="AL184" s="31"/>
      <c r="AM184" s="31"/>
      <c r="AN184" s="31">
        <f t="shared" si="83"/>
        <v>6</v>
      </c>
      <c r="AO184" s="31"/>
      <c r="AP184" s="31">
        <v>9</v>
      </c>
      <c r="AQ184" s="31">
        <v>9</v>
      </c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>
        <f t="shared" si="84"/>
        <v>18</v>
      </c>
      <c r="BE184" s="29">
        <f t="shared" si="103"/>
        <v>0</v>
      </c>
      <c r="BF184" s="29">
        <f t="shared" si="85"/>
        <v>18</v>
      </c>
      <c r="BG184" s="29">
        <f>VLOOKUP(E184,'[3]Y2604-Y2608_庫存&amp;銷售'!$F:$AJ,23,0)</f>
        <v>0.16666666666666666</v>
      </c>
      <c r="BH184" s="29">
        <f>VLOOKUP(E184,'[3]Y2604-Y2608_庫存&amp;銷售'!$F:$AL,25,0)</f>
        <v>0</v>
      </c>
      <c r="BI184" s="29">
        <f>VLOOKUP(E184,'[3]Y2604-Y2608_庫存&amp;銷售'!$F:$AN,30,0)</f>
        <v>0</v>
      </c>
      <c r="BJ184" s="81">
        <f t="shared" si="104"/>
        <v>22898.399999999998</v>
      </c>
      <c r="BK184" s="81">
        <f t="shared" si="105"/>
        <v>13084.8</v>
      </c>
      <c r="BL184" s="81">
        <f t="shared" si="106"/>
        <v>52339.199999999997</v>
      </c>
      <c r="BM184" s="81">
        <f t="shared" si="107"/>
        <v>9813.5999999999985</v>
      </c>
      <c r="BN184" s="81">
        <f t="shared" si="108"/>
        <v>9360</v>
      </c>
      <c r="BO184" s="81">
        <f t="shared" si="109"/>
        <v>9749.2547376000002</v>
      </c>
      <c r="BP184" s="81">
        <f t="shared" si="96"/>
        <v>19627.199999999997</v>
      </c>
      <c r="BQ184" s="81">
        <f t="shared" si="97"/>
        <v>18720</v>
      </c>
      <c r="BR184" s="81">
        <f t="shared" si="98"/>
        <v>19498.5094752</v>
      </c>
      <c r="BS184" s="199">
        <f t="shared" si="86"/>
        <v>58881.599999999999</v>
      </c>
      <c r="BT184" s="199">
        <f t="shared" si="81"/>
        <v>56160</v>
      </c>
      <c r="BU184" s="199">
        <f t="shared" si="82"/>
        <v>58495.528425600001</v>
      </c>
      <c r="BV184" s="112">
        <f>VLOOKUP(E184,'[4]Y2604-Y2608_庫存&amp;銷售'!$F:$AB,17,0)</f>
        <v>0</v>
      </c>
      <c r="BW184" s="112">
        <f>VLOOKUP(A184,'[5]Demand inbond in Sep'!$B:$M,12,0)</f>
        <v>16</v>
      </c>
      <c r="BX184" s="112"/>
    </row>
    <row r="185" spans="1:76" x14ac:dyDescent="0.3">
      <c r="A185" s="2">
        <v>410946291875844</v>
      </c>
      <c r="B185" s="19" t="s">
        <v>176</v>
      </c>
      <c r="C185" s="1" t="s">
        <v>177</v>
      </c>
      <c r="D185" s="2">
        <v>80795789</v>
      </c>
      <c r="E185" s="3">
        <v>4987176247674</v>
      </c>
      <c r="F185" s="3">
        <v>4987176247674</v>
      </c>
      <c r="G185" s="4" t="s">
        <v>262</v>
      </c>
      <c r="H185" s="1">
        <v>165</v>
      </c>
      <c r="I185" s="5"/>
      <c r="J185" s="5">
        <v>4</v>
      </c>
      <c r="K185" s="5">
        <v>698</v>
      </c>
      <c r="L185" s="5">
        <v>670.59930000000008</v>
      </c>
      <c r="M185" s="115">
        <v>30</v>
      </c>
      <c r="N185" s="21">
        <v>18</v>
      </c>
      <c r="O185" s="23">
        <v>66</v>
      </c>
      <c r="P185" s="28"/>
      <c r="Q185" s="28"/>
      <c r="R185" s="28"/>
      <c r="S185" s="31"/>
      <c r="T185" s="31"/>
      <c r="U185" s="31"/>
      <c r="V185" s="31"/>
      <c r="W185" s="31"/>
      <c r="X185" s="31"/>
      <c r="Y185" s="31"/>
      <c r="Z185" s="31"/>
      <c r="AA185" s="31">
        <v>10</v>
      </c>
      <c r="AB185" s="31"/>
      <c r="AC185" s="31">
        <f t="shared" si="87"/>
        <v>10</v>
      </c>
      <c r="AD185" s="31"/>
      <c r="AE185" s="31"/>
      <c r="AF185" s="31">
        <v>29</v>
      </c>
      <c r="AG185" s="31"/>
      <c r="AH185" s="31"/>
      <c r="AI185" s="31"/>
      <c r="AJ185" s="31">
        <v>21</v>
      </c>
      <c r="AK185" s="31"/>
      <c r="AL185" s="31"/>
      <c r="AM185" s="31"/>
      <c r="AN185" s="31">
        <f t="shared" si="83"/>
        <v>50</v>
      </c>
      <c r="AO185" s="31"/>
      <c r="AP185" s="31">
        <v>28</v>
      </c>
      <c r="AQ185" s="31">
        <v>28</v>
      </c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>
        <f t="shared" si="84"/>
        <v>56</v>
      </c>
      <c r="BE185" s="29">
        <f t="shared" si="103"/>
        <v>-2</v>
      </c>
      <c r="BF185" s="29">
        <f t="shared" si="85"/>
        <v>56</v>
      </c>
      <c r="BG185" s="29">
        <f>VLOOKUP(E185,'[3]Y2604-Y2608_庫存&amp;銷售'!$F:$AJ,23,0)</f>
        <v>1.5</v>
      </c>
      <c r="BH185" s="29">
        <f>VLOOKUP(E185,'[3]Y2604-Y2608_庫存&amp;銷售'!$F:$AL,25,0)</f>
        <v>0</v>
      </c>
      <c r="BI185" s="29">
        <f>VLOOKUP(E185,'[3]Y2604-Y2608_庫存&amp;銷售'!$F:$AN,30,0)</f>
        <v>0</v>
      </c>
      <c r="BJ185" s="81">
        <f t="shared" si="104"/>
        <v>20940</v>
      </c>
      <c r="BK185" s="81">
        <f t="shared" si="105"/>
        <v>12564</v>
      </c>
      <c r="BL185" s="81">
        <f t="shared" si="106"/>
        <v>46068</v>
      </c>
      <c r="BM185" s="81">
        <f t="shared" si="107"/>
        <v>6980</v>
      </c>
      <c r="BN185" s="81">
        <f t="shared" si="108"/>
        <v>6600</v>
      </c>
      <c r="BO185" s="81">
        <f t="shared" si="109"/>
        <v>6840.1128600000011</v>
      </c>
      <c r="BP185" s="81">
        <f t="shared" si="96"/>
        <v>34900</v>
      </c>
      <c r="BQ185" s="81">
        <f t="shared" si="97"/>
        <v>33000</v>
      </c>
      <c r="BR185" s="81">
        <f t="shared" si="98"/>
        <v>34200.564300000005</v>
      </c>
      <c r="BS185" s="199">
        <f t="shared" si="86"/>
        <v>39088</v>
      </c>
      <c r="BT185" s="199">
        <f t="shared" si="81"/>
        <v>36960</v>
      </c>
      <c r="BU185" s="199">
        <f t="shared" si="82"/>
        <v>38304.63201600001</v>
      </c>
      <c r="BV185" s="112">
        <f>VLOOKUP(E185,'[4]Y2604-Y2608_庫存&amp;銷售'!$F:$AB,17,0)</f>
        <v>0</v>
      </c>
      <c r="BW185" s="112">
        <f>VLOOKUP(A185,'[5]Demand inbond in Sep'!$B:$M,12,0)</f>
        <v>66</v>
      </c>
      <c r="BX185" s="112"/>
    </row>
    <row r="186" spans="1:76" ht="15" x14ac:dyDescent="0.35">
      <c r="A186" s="2">
        <v>445009312546816</v>
      </c>
      <c r="B186" s="30" t="s">
        <v>217</v>
      </c>
      <c r="C186" s="46" t="s">
        <v>203</v>
      </c>
      <c r="D186" s="47">
        <v>80789608</v>
      </c>
      <c r="E186" s="47">
        <v>4987176250353</v>
      </c>
      <c r="F186" s="3">
        <v>4987176250353</v>
      </c>
      <c r="G186" s="31" t="s">
        <v>204</v>
      </c>
      <c r="H186" s="1">
        <v>263</v>
      </c>
      <c r="I186" s="31" t="s">
        <v>300</v>
      </c>
      <c r="J186" s="5">
        <v>6</v>
      </c>
      <c r="K186" s="5">
        <v>1691.58</v>
      </c>
      <c r="L186" s="5">
        <v>1641.87</v>
      </c>
      <c r="M186" s="115">
        <v>0</v>
      </c>
      <c r="N186" s="21">
        <v>34</v>
      </c>
      <c r="O186" s="23">
        <v>73</v>
      </c>
      <c r="P186" s="28">
        <f t="shared" ref="P186:P199" si="110">M186*J186</f>
        <v>0</v>
      </c>
      <c r="Q186" s="28">
        <f t="shared" ref="Q186:Q199" si="111">N186*J186</f>
        <v>204</v>
      </c>
      <c r="R186" s="28">
        <f t="shared" ref="R186:R199" si="112">O186*J186</f>
        <v>438</v>
      </c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>
        <f t="shared" si="87"/>
        <v>0</v>
      </c>
      <c r="AD186" s="31"/>
      <c r="AE186" s="31"/>
      <c r="AF186" s="31"/>
      <c r="AG186" s="31"/>
      <c r="AH186" s="31"/>
      <c r="AI186" s="31"/>
      <c r="AJ186" s="31">
        <v>63</v>
      </c>
      <c r="AK186" s="31"/>
      <c r="AL186" s="31"/>
      <c r="AM186" s="31"/>
      <c r="AN186" s="31">
        <f t="shared" si="83"/>
        <v>63</v>
      </c>
      <c r="AO186" s="31"/>
      <c r="AP186" s="31"/>
      <c r="AQ186" s="31"/>
      <c r="AR186" s="31"/>
      <c r="AS186" s="31"/>
      <c r="AT186" s="31">
        <v>44</v>
      </c>
      <c r="AU186" s="31"/>
      <c r="AV186" s="31"/>
      <c r="AW186" s="31"/>
      <c r="AX186" s="31"/>
      <c r="AY186" s="31"/>
      <c r="AZ186" s="31"/>
      <c r="BA186" s="31"/>
      <c r="BB186" s="31"/>
      <c r="BC186" s="31"/>
      <c r="BD186" s="31">
        <f t="shared" si="84"/>
        <v>44</v>
      </c>
      <c r="BE186" s="29">
        <f t="shared" si="103"/>
        <v>0</v>
      </c>
      <c r="BF186" s="29">
        <f t="shared" si="85"/>
        <v>44</v>
      </c>
      <c r="BG186" s="29">
        <f>VLOOKUP(E186,'[3]Y2604-Y2608_庫存&amp;銷售'!$F:$AJ,23,0)</f>
        <v>1.1666666666666665</v>
      </c>
      <c r="BH186" s="29">
        <f>VLOOKUP(E186,'[3]Y2604-Y2608_庫存&amp;銷售'!$F:$AL,25,0)</f>
        <v>0</v>
      </c>
      <c r="BI186" s="29">
        <f>VLOOKUP(E186,'[3]Y2604-Y2608_庫存&amp;銷售'!$F:$AN,30,0)</f>
        <v>0</v>
      </c>
      <c r="BJ186" s="81">
        <f t="shared" si="104"/>
        <v>0</v>
      </c>
      <c r="BK186" s="81">
        <f t="shared" si="105"/>
        <v>57513.72</v>
      </c>
      <c r="BL186" s="81">
        <f t="shared" si="106"/>
        <v>123485.34</v>
      </c>
      <c r="BM186" s="81">
        <f t="shared" si="107"/>
        <v>0</v>
      </c>
      <c r="BN186" s="81">
        <f t="shared" si="108"/>
        <v>0</v>
      </c>
      <c r="BO186" s="81">
        <f t="shared" si="109"/>
        <v>0</v>
      </c>
      <c r="BP186" s="81">
        <f t="shared" si="96"/>
        <v>106569.54</v>
      </c>
      <c r="BQ186" s="81">
        <f t="shared" si="97"/>
        <v>99414</v>
      </c>
      <c r="BR186" s="81">
        <f t="shared" si="98"/>
        <v>105506.5662</v>
      </c>
      <c r="BS186" s="199">
        <f t="shared" si="86"/>
        <v>74429.51999999999</v>
      </c>
      <c r="BT186" s="199">
        <f t="shared" si="81"/>
        <v>69432</v>
      </c>
      <c r="BU186" s="199">
        <f t="shared" si="82"/>
        <v>73687.125599999999</v>
      </c>
      <c r="BV186" s="112">
        <f>VLOOKUP(E186,'[4]Y2604-Y2608_庫存&amp;銷售'!$F:$AB,17,0)</f>
        <v>2.333333333333333</v>
      </c>
      <c r="BW186" s="112">
        <f>VLOOKUP(A186,'[5]Demand inbond in Sep'!$B:$M,12,0)</f>
        <v>73</v>
      </c>
      <c r="BX186" s="112"/>
    </row>
    <row r="187" spans="1:76" ht="15" x14ac:dyDescent="0.35">
      <c r="A187" s="2">
        <v>321532542828554</v>
      </c>
      <c r="B187" s="30" t="s">
        <v>217</v>
      </c>
      <c r="C187" s="46" t="s">
        <v>203</v>
      </c>
      <c r="D187" s="47">
        <v>80719240</v>
      </c>
      <c r="E187" s="47">
        <v>4987176146700</v>
      </c>
      <c r="F187" s="3">
        <v>4987176146700</v>
      </c>
      <c r="G187" s="31" t="s">
        <v>205</v>
      </c>
      <c r="H187" s="1">
        <v>726</v>
      </c>
      <c r="I187" s="31" t="s">
        <v>300</v>
      </c>
      <c r="J187" s="5">
        <v>12</v>
      </c>
      <c r="K187" s="5">
        <v>9568</v>
      </c>
      <c r="L187" s="5">
        <v>9341.4678000000004</v>
      </c>
      <c r="M187" s="169">
        <f>3+4</f>
        <v>7</v>
      </c>
      <c r="N187" s="21">
        <v>4</v>
      </c>
      <c r="O187" s="23">
        <v>13</v>
      </c>
      <c r="P187" s="28">
        <f t="shared" si="110"/>
        <v>84</v>
      </c>
      <c r="Q187" s="28">
        <f t="shared" si="111"/>
        <v>48</v>
      </c>
      <c r="R187" s="28">
        <f t="shared" si="112"/>
        <v>156</v>
      </c>
      <c r="S187" s="31"/>
      <c r="T187" s="31"/>
      <c r="U187" s="31"/>
      <c r="V187" s="31"/>
      <c r="W187" s="31"/>
      <c r="X187" s="31"/>
      <c r="Y187" s="31">
        <v>3</v>
      </c>
      <c r="Z187" s="31"/>
      <c r="AA187" s="31"/>
      <c r="AB187" s="31">
        <v>4</v>
      </c>
      <c r="AC187" s="31">
        <f t="shared" si="87"/>
        <v>7</v>
      </c>
      <c r="AD187" s="31"/>
      <c r="AE187" s="31">
        <v>4</v>
      </c>
      <c r="AF187" s="31"/>
      <c r="AG187" s="31"/>
      <c r="AH187" s="31"/>
      <c r="AI187" s="31"/>
      <c r="AJ187" s="31">
        <v>3</v>
      </c>
      <c r="AK187" s="31"/>
      <c r="AL187" s="31"/>
      <c r="AM187" s="31"/>
      <c r="AN187" s="31">
        <f t="shared" si="83"/>
        <v>7</v>
      </c>
      <c r="AO187" s="31"/>
      <c r="AP187" s="31"/>
      <c r="AQ187" s="31"/>
      <c r="AR187" s="31"/>
      <c r="AS187" s="31"/>
      <c r="AT187" s="31">
        <v>7</v>
      </c>
      <c r="AU187" s="31"/>
      <c r="AV187" s="31"/>
      <c r="AW187" s="31"/>
      <c r="AX187" s="31">
        <v>6</v>
      </c>
      <c r="AY187" s="31"/>
      <c r="AZ187" s="31"/>
      <c r="BA187" s="31"/>
      <c r="BB187" s="31"/>
      <c r="BC187" s="31"/>
      <c r="BD187" s="31">
        <f t="shared" si="84"/>
        <v>13</v>
      </c>
      <c r="BE187" s="29">
        <f t="shared" si="103"/>
        <v>-3</v>
      </c>
      <c r="BF187" s="29">
        <f t="shared" si="85"/>
        <v>7</v>
      </c>
      <c r="BG187" s="29">
        <f>VLOOKUP(E187,'[3]Y2604-Y2608_庫存&amp;銷售'!$F:$AJ,23,0)</f>
        <v>0.41666666666666663</v>
      </c>
      <c r="BH187" s="29">
        <f>VLOOKUP(E187,'[3]Y2604-Y2608_庫存&amp;銷售'!$F:$AL,25,0)</f>
        <v>0</v>
      </c>
      <c r="BI187" s="29">
        <f>VLOOKUP(E187,'[3]Y2604-Y2608_庫存&amp;銷售'!$F:$AN,30,0)</f>
        <v>0</v>
      </c>
      <c r="BJ187" s="81">
        <f t="shared" si="104"/>
        <v>66976</v>
      </c>
      <c r="BK187" s="81">
        <f t="shared" si="105"/>
        <v>38272</v>
      </c>
      <c r="BL187" s="81">
        <f t="shared" si="106"/>
        <v>124384</v>
      </c>
      <c r="BM187" s="81">
        <f t="shared" si="107"/>
        <v>66976</v>
      </c>
      <c r="BN187" s="81">
        <f t="shared" si="108"/>
        <v>60984</v>
      </c>
      <c r="BO187" s="81">
        <f t="shared" si="109"/>
        <v>66698.080092000004</v>
      </c>
      <c r="BP187" s="81">
        <f t="shared" si="96"/>
        <v>66976</v>
      </c>
      <c r="BQ187" s="81">
        <f t="shared" si="97"/>
        <v>60984</v>
      </c>
      <c r="BR187" s="81">
        <f t="shared" si="98"/>
        <v>66698.080092000004</v>
      </c>
      <c r="BS187" s="199">
        <f t="shared" si="86"/>
        <v>124384</v>
      </c>
      <c r="BT187" s="199">
        <f t="shared" si="81"/>
        <v>113256</v>
      </c>
      <c r="BU187" s="199">
        <f t="shared" si="82"/>
        <v>123867.86302800001</v>
      </c>
      <c r="BV187" s="112">
        <f>VLOOKUP(E187,'[4]Y2604-Y2608_庫存&amp;銷售'!$F:$AB,17,0)</f>
        <v>7.083333333333333</v>
      </c>
      <c r="BW187" s="112">
        <f>VLOOKUP(A187,'[5]Demand inbond in Sep'!$B:$M,12,0)</f>
        <v>13</v>
      </c>
      <c r="BX187" s="112"/>
    </row>
    <row r="188" spans="1:76" s="53" customFormat="1" ht="15" x14ac:dyDescent="0.35">
      <c r="A188" s="7">
        <v>511404431867904</v>
      </c>
      <c r="B188" s="91" t="s">
        <v>217</v>
      </c>
      <c r="C188" s="92" t="s">
        <v>203</v>
      </c>
      <c r="D188" s="93">
        <v>80765769</v>
      </c>
      <c r="E188" s="93">
        <v>4987176190734</v>
      </c>
      <c r="F188" s="8">
        <v>4987176190734</v>
      </c>
      <c r="G188" s="52" t="s">
        <v>206</v>
      </c>
      <c r="H188" s="6">
        <v>264</v>
      </c>
      <c r="I188" s="33" t="s">
        <v>169</v>
      </c>
      <c r="J188" s="10">
        <v>12</v>
      </c>
      <c r="K188" s="10">
        <v>3383.16</v>
      </c>
      <c r="L188" s="10">
        <v>3295.48</v>
      </c>
      <c r="M188" s="115">
        <v>0</v>
      </c>
      <c r="N188" s="21">
        <v>0</v>
      </c>
      <c r="O188" s="23">
        <v>0</v>
      </c>
      <c r="P188" s="54">
        <f t="shared" si="110"/>
        <v>0</v>
      </c>
      <c r="Q188" s="54">
        <f t="shared" si="111"/>
        <v>0</v>
      </c>
      <c r="R188" s="54">
        <f t="shared" si="112"/>
        <v>0</v>
      </c>
      <c r="S188" s="52"/>
      <c r="T188" s="52"/>
      <c r="U188" s="52"/>
      <c r="V188" s="52"/>
      <c r="W188" s="52"/>
      <c r="X188" s="31"/>
      <c r="Y188" s="31"/>
      <c r="Z188" s="52"/>
      <c r="AA188" s="52"/>
      <c r="AB188" s="31"/>
      <c r="AC188" s="31">
        <f t="shared" si="87"/>
        <v>0</v>
      </c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>
        <f t="shared" si="83"/>
        <v>0</v>
      </c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>
        <f t="shared" si="84"/>
        <v>0</v>
      </c>
      <c r="BE188" s="29">
        <f t="shared" si="103"/>
        <v>0</v>
      </c>
      <c r="BF188" s="29">
        <f t="shared" si="85"/>
        <v>0</v>
      </c>
      <c r="BG188" s="29">
        <f>VLOOKUP(E188,'[3]Y2604-Y2608_庫存&amp;銷售'!$F:$AJ,23,0)</f>
        <v>8.3333333333333329E-2</v>
      </c>
      <c r="BH188" s="29">
        <f>VLOOKUP(E188,'[3]Y2604-Y2608_庫存&amp;銷售'!$F:$AL,25,0)</f>
        <v>0</v>
      </c>
      <c r="BI188" s="29">
        <f>VLOOKUP(E188,'[3]Y2604-Y2608_庫存&amp;銷售'!$F:$AN,30,0)</f>
        <v>0</v>
      </c>
      <c r="BJ188" s="81">
        <f t="shared" si="104"/>
        <v>0</v>
      </c>
      <c r="BK188" s="81">
        <f t="shared" si="105"/>
        <v>0</v>
      </c>
      <c r="BL188" s="81">
        <f t="shared" si="106"/>
        <v>0</v>
      </c>
      <c r="BM188" s="81">
        <f t="shared" si="107"/>
        <v>0</v>
      </c>
      <c r="BN188" s="81">
        <f t="shared" si="108"/>
        <v>0</v>
      </c>
      <c r="BO188" s="81">
        <f t="shared" si="109"/>
        <v>0</v>
      </c>
      <c r="BP188" s="81">
        <f t="shared" si="96"/>
        <v>0</v>
      </c>
      <c r="BQ188" s="81">
        <f t="shared" si="97"/>
        <v>0</v>
      </c>
      <c r="BR188" s="81">
        <f t="shared" si="98"/>
        <v>0</v>
      </c>
      <c r="BS188" s="199">
        <f t="shared" si="86"/>
        <v>0</v>
      </c>
      <c r="BT188" s="199">
        <f t="shared" si="81"/>
        <v>0</v>
      </c>
      <c r="BU188" s="199">
        <f t="shared" si="82"/>
        <v>0</v>
      </c>
      <c r="BV188" s="112">
        <f>VLOOKUP(E188,'[4]Y2604-Y2608_庫存&amp;銷售'!$F:$AB,17,0)</f>
        <v>0</v>
      </c>
      <c r="BW188" s="112">
        <f>VLOOKUP(A188,'[5]Demand inbond in Sep'!$B:$M,12,0)</f>
        <v>0</v>
      </c>
      <c r="BX188" s="112"/>
    </row>
    <row r="189" spans="1:76" ht="15" x14ac:dyDescent="0.35">
      <c r="A189" s="2">
        <v>522244895786668</v>
      </c>
      <c r="B189" s="30" t="s">
        <v>217</v>
      </c>
      <c r="C189" s="46" t="s">
        <v>203</v>
      </c>
      <c r="D189" s="47">
        <v>80813812</v>
      </c>
      <c r="E189" s="47">
        <v>4987176271624</v>
      </c>
      <c r="F189" s="3">
        <v>4987176271624</v>
      </c>
      <c r="G189" s="31" t="s">
        <v>207</v>
      </c>
      <c r="H189" s="1">
        <v>220</v>
      </c>
      <c r="I189" s="31" t="s">
        <v>300</v>
      </c>
      <c r="J189" s="5">
        <v>6</v>
      </c>
      <c r="K189" s="5">
        <v>1458.4</v>
      </c>
      <c r="L189" s="5">
        <v>1413.93</v>
      </c>
      <c r="M189" s="169">
        <f>1+5</f>
        <v>6</v>
      </c>
      <c r="N189" s="21">
        <v>10</v>
      </c>
      <c r="O189" s="23">
        <v>22</v>
      </c>
      <c r="P189" s="28">
        <f t="shared" si="110"/>
        <v>36</v>
      </c>
      <c r="Q189" s="28">
        <f t="shared" si="111"/>
        <v>60</v>
      </c>
      <c r="R189" s="28">
        <f t="shared" si="112"/>
        <v>132</v>
      </c>
      <c r="S189" s="31"/>
      <c r="T189" s="31"/>
      <c r="U189" s="31"/>
      <c r="V189" s="31"/>
      <c r="W189" s="31"/>
      <c r="X189" s="31"/>
      <c r="Y189" s="31"/>
      <c r="Z189" s="31"/>
      <c r="AA189" s="31"/>
      <c r="AB189" s="31">
        <v>6</v>
      </c>
      <c r="AC189" s="31">
        <f t="shared" si="87"/>
        <v>6</v>
      </c>
      <c r="AD189" s="31"/>
      <c r="AE189" s="31"/>
      <c r="AF189" s="31"/>
      <c r="AG189" s="31"/>
      <c r="AH189" s="31"/>
      <c r="AI189" s="31"/>
      <c r="AJ189" s="31">
        <v>11</v>
      </c>
      <c r="AK189" s="31"/>
      <c r="AL189" s="31"/>
      <c r="AM189" s="31"/>
      <c r="AN189" s="31">
        <f t="shared" si="83"/>
        <v>11</v>
      </c>
      <c r="AO189" s="31"/>
      <c r="AP189" s="31"/>
      <c r="AQ189" s="31"/>
      <c r="AR189" s="31"/>
      <c r="AS189" s="31"/>
      <c r="AT189" s="31"/>
      <c r="AU189" s="31"/>
      <c r="AV189" s="31"/>
      <c r="AW189" s="31"/>
      <c r="AX189" s="31">
        <v>3</v>
      </c>
      <c r="AY189" s="31"/>
      <c r="AZ189" s="31"/>
      <c r="BA189" s="31"/>
      <c r="BB189" s="31"/>
      <c r="BC189" s="31"/>
      <c r="BD189" s="31">
        <f t="shared" si="84"/>
        <v>3</v>
      </c>
      <c r="BE189" s="29">
        <f t="shared" si="103"/>
        <v>18</v>
      </c>
      <c r="BF189" s="29">
        <f t="shared" si="85"/>
        <v>0</v>
      </c>
      <c r="BG189" s="29">
        <f>VLOOKUP(E189,'[3]Y2604-Y2608_庫存&amp;銷售'!$F:$AJ,23,0)</f>
        <v>2.5</v>
      </c>
      <c r="BH189" s="29">
        <f>VLOOKUP(E189,'[3]Y2604-Y2608_庫存&amp;銷售'!$F:$AL,25,0)</f>
        <v>0</v>
      </c>
      <c r="BI189" s="29">
        <f>VLOOKUP(E189,'[3]Y2604-Y2608_庫存&amp;銷售'!$F:$AN,30,0)</f>
        <v>15</v>
      </c>
      <c r="BJ189" s="81">
        <f t="shared" si="104"/>
        <v>8750.4000000000015</v>
      </c>
      <c r="BK189" s="81">
        <f t="shared" si="105"/>
        <v>14584</v>
      </c>
      <c r="BL189" s="81">
        <f t="shared" si="106"/>
        <v>32084.800000000003</v>
      </c>
      <c r="BM189" s="81">
        <f t="shared" si="107"/>
        <v>8750.4000000000015</v>
      </c>
      <c r="BN189" s="81">
        <f t="shared" si="108"/>
        <v>7920</v>
      </c>
      <c r="BO189" s="81">
        <f t="shared" si="109"/>
        <v>8653.2516000000014</v>
      </c>
      <c r="BP189" s="81">
        <f t="shared" si="96"/>
        <v>16042.400000000001</v>
      </c>
      <c r="BQ189" s="81">
        <f t="shared" si="97"/>
        <v>14520</v>
      </c>
      <c r="BR189" s="81">
        <f t="shared" si="98"/>
        <v>15864.294600000001</v>
      </c>
      <c r="BS189" s="199">
        <f t="shared" si="86"/>
        <v>4375.2000000000007</v>
      </c>
      <c r="BT189" s="199">
        <f t="shared" si="81"/>
        <v>3960</v>
      </c>
      <c r="BU189" s="199">
        <f t="shared" si="82"/>
        <v>4326.6258000000007</v>
      </c>
      <c r="BV189" s="112">
        <f>VLOOKUP(E189,'[4]Y2604-Y2608_庫存&amp;銷售'!$F:$AB,17,0)</f>
        <v>10.666666666666666</v>
      </c>
      <c r="BW189" s="112">
        <f>VLOOKUP(A189,'[5]Demand inbond in Sep'!$B:$M,12,0)</f>
        <v>22</v>
      </c>
      <c r="BX189" s="112"/>
    </row>
    <row r="190" spans="1:76" ht="15" x14ac:dyDescent="0.35">
      <c r="A190" s="2">
        <v>522244895786669</v>
      </c>
      <c r="B190" s="30" t="s">
        <v>217</v>
      </c>
      <c r="C190" s="46" t="s">
        <v>203</v>
      </c>
      <c r="D190" s="47">
        <v>80813813</v>
      </c>
      <c r="E190" s="47">
        <v>4987176271617</v>
      </c>
      <c r="F190" s="3">
        <v>4987176271617</v>
      </c>
      <c r="G190" s="31" t="s">
        <v>208</v>
      </c>
      <c r="H190" s="1">
        <v>220</v>
      </c>
      <c r="I190" s="31" t="s">
        <v>300</v>
      </c>
      <c r="J190" s="5">
        <v>6</v>
      </c>
      <c r="K190" s="5">
        <v>1458.4</v>
      </c>
      <c r="L190" s="5">
        <v>1413.93</v>
      </c>
      <c r="M190" s="115">
        <v>19</v>
      </c>
      <c r="N190" s="21">
        <v>14</v>
      </c>
      <c r="O190" s="23">
        <v>47</v>
      </c>
      <c r="P190" s="28">
        <f t="shared" si="110"/>
        <v>114</v>
      </c>
      <c r="Q190" s="28">
        <f t="shared" si="111"/>
        <v>84</v>
      </c>
      <c r="R190" s="28">
        <f t="shared" si="112"/>
        <v>282</v>
      </c>
      <c r="S190" s="31"/>
      <c r="T190" s="31"/>
      <c r="U190" s="31"/>
      <c r="V190" s="31"/>
      <c r="W190" s="31"/>
      <c r="X190" s="31"/>
      <c r="Y190" s="31"/>
      <c r="Z190" s="31"/>
      <c r="AA190" s="31"/>
      <c r="AB190" s="31">
        <v>6</v>
      </c>
      <c r="AC190" s="31">
        <f t="shared" si="87"/>
        <v>6</v>
      </c>
      <c r="AD190" s="31"/>
      <c r="AE190" s="31">
        <v>17</v>
      </c>
      <c r="AF190" s="31"/>
      <c r="AG190" s="31"/>
      <c r="AH190" s="31"/>
      <c r="AI190" s="31"/>
      <c r="AJ190" s="31">
        <v>14</v>
      </c>
      <c r="AK190" s="31"/>
      <c r="AL190" s="31"/>
      <c r="AM190" s="31"/>
      <c r="AN190" s="31">
        <f t="shared" si="83"/>
        <v>31</v>
      </c>
      <c r="AO190" s="31"/>
      <c r="AP190" s="31"/>
      <c r="AQ190" s="31"/>
      <c r="AR190" s="31"/>
      <c r="AS190" s="31"/>
      <c r="AT190" s="31"/>
      <c r="AU190" s="31"/>
      <c r="AV190" s="31"/>
      <c r="AW190" s="31"/>
      <c r="AX190" s="31">
        <v>1</v>
      </c>
      <c r="AY190" s="31"/>
      <c r="AZ190" s="31"/>
      <c r="BA190" s="31"/>
      <c r="BB190" s="31"/>
      <c r="BC190" s="31"/>
      <c r="BD190" s="31">
        <f t="shared" si="84"/>
        <v>1</v>
      </c>
      <c r="BE190" s="29">
        <f t="shared" si="103"/>
        <v>42</v>
      </c>
      <c r="BF190" s="29">
        <f t="shared" si="85"/>
        <v>0</v>
      </c>
      <c r="BG190" s="29">
        <f>VLOOKUP(E190,'[3]Y2604-Y2608_庫存&amp;銷售'!$F:$AJ,23,0)</f>
        <v>1.8333333333333335</v>
      </c>
      <c r="BH190" s="29">
        <f>VLOOKUP(E190,'[3]Y2604-Y2608_庫存&amp;銷售'!$F:$AL,25,0)</f>
        <v>0</v>
      </c>
      <c r="BI190" s="29">
        <f>VLOOKUP(E190,'[3]Y2604-Y2608_庫存&amp;銷售'!$F:$AN,30,0)</f>
        <v>0</v>
      </c>
      <c r="BJ190" s="81">
        <f t="shared" si="104"/>
        <v>27709.600000000002</v>
      </c>
      <c r="BK190" s="81">
        <f t="shared" si="105"/>
        <v>20417.600000000002</v>
      </c>
      <c r="BL190" s="81">
        <f t="shared" si="106"/>
        <v>68544.800000000003</v>
      </c>
      <c r="BM190" s="81">
        <f t="shared" si="107"/>
        <v>8750.4000000000015</v>
      </c>
      <c r="BN190" s="81">
        <f t="shared" si="108"/>
        <v>7920</v>
      </c>
      <c r="BO190" s="81">
        <f t="shared" si="109"/>
        <v>8653.2516000000014</v>
      </c>
      <c r="BP190" s="81">
        <f t="shared" si="96"/>
        <v>45210.400000000001</v>
      </c>
      <c r="BQ190" s="81">
        <f t="shared" si="97"/>
        <v>40920</v>
      </c>
      <c r="BR190" s="81">
        <f t="shared" si="98"/>
        <v>44708.466600000007</v>
      </c>
      <c r="BS190" s="199">
        <f t="shared" si="86"/>
        <v>1458.4</v>
      </c>
      <c r="BT190" s="199">
        <f t="shared" si="81"/>
        <v>1320</v>
      </c>
      <c r="BU190" s="199">
        <f t="shared" si="82"/>
        <v>1442.2086000000002</v>
      </c>
      <c r="BV190" s="112">
        <f>VLOOKUP(E190,'[4]Y2604-Y2608_庫存&amp;銷售'!$F:$AB,17,0)</f>
        <v>3.666666666666667</v>
      </c>
      <c r="BW190" s="112">
        <f>VLOOKUP(A190,'[5]Demand inbond in Sep'!$B:$M,12,0)</f>
        <v>47</v>
      </c>
      <c r="BX190" s="112"/>
    </row>
    <row r="191" spans="1:76" ht="15" x14ac:dyDescent="0.35">
      <c r="A191" s="2">
        <v>122903899111425</v>
      </c>
      <c r="B191" s="30" t="s">
        <v>217</v>
      </c>
      <c r="C191" s="46" t="s">
        <v>203</v>
      </c>
      <c r="D191" s="47">
        <v>80719241</v>
      </c>
      <c r="E191" s="47">
        <v>4902430396073</v>
      </c>
      <c r="F191" s="3">
        <v>4902430396073</v>
      </c>
      <c r="G191" s="31" t="s">
        <v>209</v>
      </c>
      <c r="H191" s="1">
        <v>355</v>
      </c>
      <c r="I191" s="31" t="s">
        <v>300</v>
      </c>
      <c r="J191" s="5">
        <v>12</v>
      </c>
      <c r="K191" s="5">
        <v>4783.99</v>
      </c>
      <c r="L191" s="5">
        <v>4664.8588245000001</v>
      </c>
      <c r="M191" s="115">
        <v>8</v>
      </c>
      <c r="N191" s="21">
        <v>18</v>
      </c>
      <c r="O191" s="23">
        <v>45</v>
      </c>
      <c r="P191" s="28">
        <f t="shared" si="110"/>
        <v>96</v>
      </c>
      <c r="Q191" s="28">
        <f t="shared" si="111"/>
        <v>216</v>
      </c>
      <c r="R191" s="28">
        <f t="shared" si="112"/>
        <v>540</v>
      </c>
      <c r="S191" s="31"/>
      <c r="T191" s="31"/>
      <c r="U191" s="31"/>
      <c r="V191" s="31"/>
      <c r="W191" s="31"/>
      <c r="X191" s="31"/>
      <c r="Y191" s="31"/>
      <c r="Z191" s="31"/>
      <c r="AA191" s="31"/>
      <c r="AB191" s="31">
        <v>6</v>
      </c>
      <c r="AC191" s="31">
        <f t="shared" si="87"/>
        <v>6</v>
      </c>
      <c r="AD191" s="31"/>
      <c r="AE191" s="31">
        <v>10</v>
      </c>
      <c r="AF191" s="31"/>
      <c r="AG191" s="31"/>
      <c r="AH191" s="31"/>
      <c r="AI191" s="31">
        <v>22</v>
      </c>
      <c r="AJ191" s="31"/>
      <c r="AK191" s="31"/>
      <c r="AL191" s="31"/>
      <c r="AM191" s="31"/>
      <c r="AN191" s="31">
        <f t="shared" si="83"/>
        <v>32</v>
      </c>
      <c r="AO191" s="31"/>
      <c r="AP191" s="31"/>
      <c r="AQ191" s="31"/>
      <c r="AR191" s="31"/>
      <c r="AS191" s="31"/>
      <c r="AT191" s="31">
        <v>29</v>
      </c>
      <c r="AU191" s="31"/>
      <c r="AV191" s="31"/>
      <c r="AW191" s="31"/>
      <c r="AX191" s="31">
        <v>3</v>
      </c>
      <c r="AY191" s="31"/>
      <c r="AZ191" s="31"/>
      <c r="BA191" s="31"/>
      <c r="BB191" s="31"/>
      <c r="BC191" s="31"/>
      <c r="BD191" s="31">
        <f t="shared" si="84"/>
        <v>32</v>
      </c>
      <c r="BE191" s="29">
        <f t="shared" si="103"/>
        <v>1</v>
      </c>
      <c r="BF191" s="29">
        <f t="shared" si="85"/>
        <v>29</v>
      </c>
      <c r="BG191" s="29">
        <f>VLOOKUP(E191,'[3]Y2604-Y2608_庫存&amp;銷售'!$F:$AJ,23,0)</f>
        <v>8.3333333333333339</v>
      </c>
      <c r="BH191" s="29">
        <f>VLOOKUP(E191,'[3]Y2604-Y2608_庫存&amp;銷售'!$F:$AL,25,0)</f>
        <v>0</v>
      </c>
      <c r="BI191" s="29">
        <f>VLOOKUP(E191,'[3]Y2604-Y2608_庫存&amp;銷售'!$F:$AN,30,0)</f>
        <v>16</v>
      </c>
      <c r="BJ191" s="81">
        <f t="shared" si="104"/>
        <v>38271.919999999998</v>
      </c>
      <c r="BK191" s="81">
        <f t="shared" si="105"/>
        <v>86111.819999999992</v>
      </c>
      <c r="BL191" s="81">
        <f t="shared" si="106"/>
        <v>215279.55</v>
      </c>
      <c r="BM191" s="81">
        <f t="shared" si="107"/>
        <v>28703.94</v>
      </c>
      <c r="BN191" s="81">
        <f t="shared" si="108"/>
        <v>25560</v>
      </c>
      <c r="BO191" s="81">
        <f t="shared" si="109"/>
        <v>28548.936005940002</v>
      </c>
      <c r="BP191" s="81">
        <f t="shared" si="96"/>
        <v>153087.67999999999</v>
      </c>
      <c r="BQ191" s="81">
        <f t="shared" si="97"/>
        <v>136320</v>
      </c>
      <c r="BR191" s="81">
        <f t="shared" si="98"/>
        <v>152260.99203168001</v>
      </c>
      <c r="BS191" s="199">
        <f t="shared" si="86"/>
        <v>153087.67999999999</v>
      </c>
      <c r="BT191" s="199">
        <f t="shared" si="81"/>
        <v>136320</v>
      </c>
      <c r="BU191" s="199">
        <f t="shared" si="82"/>
        <v>152260.99203168001</v>
      </c>
      <c r="BV191" s="112">
        <f>VLOOKUP(E191,'[4]Y2604-Y2608_庫存&amp;銷售'!$F:$AB,17,0)</f>
        <v>10.666666666666668</v>
      </c>
      <c r="BW191" s="112">
        <f>VLOOKUP(A191,'[5]Demand inbond in Sep'!$B:$M,12,0)</f>
        <v>45</v>
      </c>
      <c r="BX191" s="112"/>
    </row>
    <row r="192" spans="1:76" ht="15" x14ac:dyDescent="0.35">
      <c r="A192" s="2">
        <v>276162269921280</v>
      </c>
      <c r="B192" s="30" t="s">
        <v>217</v>
      </c>
      <c r="C192" s="46" t="s">
        <v>203</v>
      </c>
      <c r="D192" s="47">
        <v>82330039</v>
      </c>
      <c r="E192" s="47">
        <v>4902430396066</v>
      </c>
      <c r="F192" s="3">
        <v>4902430396066</v>
      </c>
      <c r="G192" s="31" t="s">
        <v>210</v>
      </c>
      <c r="H192" s="1">
        <v>355</v>
      </c>
      <c r="I192" s="31" t="s">
        <v>300</v>
      </c>
      <c r="J192" s="5">
        <v>12</v>
      </c>
      <c r="K192" s="5">
        <v>4783.99</v>
      </c>
      <c r="L192" s="5">
        <v>4664.8588245000001</v>
      </c>
      <c r="M192" s="115">
        <v>11</v>
      </c>
      <c r="N192" s="21">
        <v>15</v>
      </c>
      <c r="O192" s="23">
        <v>41</v>
      </c>
      <c r="P192" s="28">
        <f t="shared" si="110"/>
        <v>132</v>
      </c>
      <c r="Q192" s="28">
        <f t="shared" si="111"/>
        <v>180</v>
      </c>
      <c r="R192" s="28">
        <f t="shared" si="112"/>
        <v>492</v>
      </c>
      <c r="S192" s="31"/>
      <c r="T192" s="31"/>
      <c r="U192" s="31"/>
      <c r="V192" s="31"/>
      <c r="W192" s="31"/>
      <c r="X192" s="31"/>
      <c r="Y192" s="31"/>
      <c r="Z192" s="31"/>
      <c r="AA192" s="31"/>
      <c r="AB192" s="31">
        <v>10</v>
      </c>
      <c r="AC192" s="31">
        <f t="shared" si="87"/>
        <v>10</v>
      </c>
      <c r="AD192" s="31"/>
      <c r="AE192" s="31">
        <v>11</v>
      </c>
      <c r="AF192" s="31"/>
      <c r="AG192" s="31"/>
      <c r="AH192" s="31"/>
      <c r="AI192" s="31">
        <v>13</v>
      </c>
      <c r="AJ192" s="31"/>
      <c r="AK192" s="31"/>
      <c r="AL192" s="31"/>
      <c r="AM192" s="31"/>
      <c r="AN192" s="31">
        <f t="shared" si="83"/>
        <v>24</v>
      </c>
      <c r="AO192" s="31"/>
      <c r="AP192" s="31"/>
      <c r="AQ192" s="31"/>
      <c r="AR192" s="31"/>
      <c r="AS192" s="31"/>
      <c r="AT192" s="31">
        <v>23</v>
      </c>
      <c r="AU192" s="31"/>
      <c r="AV192" s="31"/>
      <c r="AW192" s="31"/>
      <c r="AX192" s="31"/>
      <c r="AY192" s="31"/>
      <c r="AZ192" s="31"/>
      <c r="BA192" s="31"/>
      <c r="BB192" s="31"/>
      <c r="BC192" s="31"/>
      <c r="BD192" s="31">
        <f t="shared" si="84"/>
        <v>23</v>
      </c>
      <c r="BE192" s="29">
        <f t="shared" si="103"/>
        <v>10</v>
      </c>
      <c r="BF192" s="29">
        <f t="shared" si="85"/>
        <v>23</v>
      </c>
      <c r="BG192" s="29">
        <f>VLOOKUP(E192,'[3]Y2604-Y2608_庫存&amp;銷售'!$F:$AJ,23,0)</f>
        <v>1.1666666666666667</v>
      </c>
      <c r="BH192" s="29">
        <f>VLOOKUP(E192,'[3]Y2604-Y2608_庫存&amp;銷售'!$F:$AL,25,0)</f>
        <v>0</v>
      </c>
      <c r="BI192" s="29">
        <f>VLOOKUP(E192,'[3]Y2604-Y2608_庫存&amp;銷售'!$F:$AN,30,0)</f>
        <v>0</v>
      </c>
      <c r="BJ192" s="81">
        <f t="shared" si="104"/>
        <v>52623.89</v>
      </c>
      <c r="BK192" s="81">
        <f t="shared" si="105"/>
        <v>71759.849999999991</v>
      </c>
      <c r="BL192" s="81">
        <f t="shared" si="106"/>
        <v>196143.59</v>
      </c>
      <c r="BM192" s="81">
        <f t="shared" si="107"/>
        <v>47839.899999999994</v>
      </c>
      <c r="BN192" s="81">
        <f t="shared" si="108"/>
        <v>42600</v>
      </c>
      <c r="BO192" s="81">
        <f t="shared" si="109"/>
        <v>47581.5600099</v>
      </c>
      <c r="BP192" s="81">
        <f t="shared" si="96"/>
        <v>114815.76</v>
      </c>
      <c r="BQ192" s="81">
        <f t="shared" si="97"/>
        <v>102240</v>
      </c>
      <c r="BR192" s="81">
        <f t="shared" si="98"/>
        <v>114195.74402376001</v>
      </c>
      <c r="BS192" s="199">
        <f t="shared" si="86"/>
        <v>110031.76999999999</v>
      </c>
      <c r="BT192" s="199">
        <f t="shared" si="81"/>
        <v>97980</v>
      </c>
      <c r="BU192" s="199">
        <f t="shared" si="82"/>
        <v>109437.58802277001</v>
      </c>
      <c r="BV192" s="112">
        <f>VLOOKUP(E192,'[4]Y2604-Y2608_庫存&amp;銷售'!$F:$AB,17,0)</f>
        <v>9.25</v>
      </c>
      <c r="BW192" s="112">
        <f>VLOOKUP(A192,'[5]Demand inbond in Sep'!$B:$M,12,0)</f>
        <v>41</v>
      </c>
      <c r="BX192" s="112"/>
    </row>
    <row r="193" spans="1:76" ht="15" x14ac:dyDescent="0.35">
      <c r="A193" s="2">
        <v>122903701962810</v>
      </c>
      <c r="B193" s="30" t="s">
        <v>217</v>
      </c>
      <c r="C193" s="46" t="s">
        <v>203</v>
      </c>
      <c r="D193" s="47">
        <v>82330040</v>
      </c>
      <c r="E193" s="47">
        <v>4902430396059</v>
      </c>
      <c r="F193" s="3">
        <v>4902430396059</v>
      </c>
      <c r="G193" s="31" t="s">
        <v>211</v>
      </c>
      <c r="H193" s="1">
        <v>365</v>
      </c>
      <c r="I193" s="31" t="s">
        <v>300</v>
      </c>
      <c r="J193" s="5">
        <v>6</v>
      </c>
      <c r="K193" s="5">
        <v>2387.9899999999998</v>
      </c>
      <c r="L193" s="5">
        <v>2322.6490245</v>
      </c>
      <c r="M193" s="115">
        <v>17</v>
      </c>
      <c r="N193" s="21">
        <v>23</v>
      </c>
      <c r="O193" s="23">
        <v>64</v>
      </c>
      <c r="P193" s="28">
        <f t="shared" si="110"/>
        <v>102</v>
      </c>
      <c r="Q193" s="28">
        <f t="shared" si="111"/>
        <v>138</v>
      </c>
      <c r="R193" s="28">
        <f t="shared" si="112"/>
        <v>384</v>
      </c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>
        <f t="shared" si="87"/>
        <v>0</v>
      </c>
      <c r="AD193" s="31"/>
      <c r="AE193" s="31"/>
      <c r="AF193" s="31"/>
      <c r="AG193" s="31"/>
      <c r="AH193" s="31"/>
      <c r="AI193" s="31"/>
      <c r="AJ193" s="31">
        <v>37</v>
      </c>
      <c r="AK193" s="31"/>
      <c r="AL193" s="31"/>
      <c r="AM193" s="31"/>
      <c r="AN193" s="31">
        <f t="shared" si="83"/>
        <v>37</v>
      </c>
      <c r="AO193" s="31"/>
      <c r="AP193" s="31"/>
      <c r="AQ193" s="31"/>
      <c r="AR193" s="31"/>
      <c r="AS193" s="31"/>
      <c r="AT193" s="31">
        <v>37</v>
      </c>
      <c r="AU193" s="31"/>
      <c r="AV193" s="31"/>
      <c r="AW193" s="31"/>
      <c r="AX193" s="31"/>
      <c r="AY193" s="31"/>
      <c r="AZ193" s="31"/>
      <c r="BA193" s="31"/>
      <c r="BB193" s="31"/>
      <c r="BC193" s="31"/>
      <c r="BD193" s="31">
        <f t="shared" si="84"/>
        <v>37</v>
      </c>
      <c r="BE193" s="29">
        <f t="shared" si="103"/>
        <v>30</v>
      </c>
      <c r="BF193" s="29">
        <f t="shared" si="85"/>
        <v>37</v>
      </c>
      <c r="BG193" s="29">
        <f>VLOOKUP(E193,'[3]Y2604-Y2608_庫存&amp;銷售'!$F:$AJ,23,0)</f>
        <v>1.1666666666666667</v>
      </c>
      <c r="BH193" s="29">
        <f>VLOOKUP(E193,'[3]Y2604-Y2608_庫存&amp;銷售'!$F:$AL,25,0)</f>
        <v>0</v>
      </c>
      <c r="BI193" s="29">
        <f>VLOOKUP(E193,'[3]Y2604-Y2608_庫存&amp;銷售'!$F:$AN,30,0)</f>
        <v>0</v>
      </c>
      <c r="BJ193" s="81">
        <f t="shared" si="104"/>
        <v>40595.829999999994</v>
      </c>
      <c r="BK193" s="81">
        <f t="shared" si="105"/>
        <v>54923.77</v>
      </c>
      <c r="BL193" s="81">
        <f t="shared" si="106"/>
        <v>152831.35999999999</v>
      </c>
      <c r="BM193" s="81">
        <f t="shared" si="107"/>
        <v>0</v>
      </c>
      <c r="BN193" s="81">
        <f t="shared" si="108"/>
        <v>0</v>
      </c>
      <c r="BO193" s="81">
        <f t="shared" si="109"/>
        <v>0</v>
      </c>
      <c r="BP193" s="81">
        <f t="shared" si="96"/>
        <v>88355.62999999999</v>
      </c>
      <c r="BQ193" s="81">
        <f t="shared" si="97"/>
        <v>81030</v>
      </c>
      <c r="BR193" s="81">
        <f t="shared" si="98"/>
        <v>87656.77418462999</v>
      </c>
      <c r="BS193" s="199">
        <f t="shared" si="86"/>
        <v>88355.62999999999</v>
      </c>
      <c r="BT193" s="199">
        <f t="shared" si="81"/>
        <v>81030</v>
      </c>
      <c r="BU193" s="199">
        <f t="shared" si="82"/>
        <v>87656.77418462999</v>
      </c>
      <c r="BV193" s="112">
        <f>VLOOKUP(E193,'[4]Y2604-Y2608_庫存&amp;銷售'!$F:$AB,17,0)</f>
        <v>2.833333333333333</v>
      </c>
      <c r="BW193" s="112">
        <f>VLOOKUP(A193,'[5]Demand inbond in Sep'!$B:$M,12,0)</f>
        <v>64</v>
      </c>
      <c r="BX193" s="112"/>
    </row>
    <row r="194" spans="1:76" ht="15" x14ac:dyDescent="0.35">
      <c r="A194" s="2">
        <v>122903777492994</v>
      </c>
      <c r="B194" s="30" t="s">
        <v>217</v>
      </c>
      <c r="C194" s="46" t="s">
        <v>203</v>
      </c>
      <c r="D194" s="47">
        <v>82330058</v>
      </c>
      <c r="E194" s="47">
        <v>4902430509695</v>
      </c>
      <c r="F194" s="3">
        <v>4902430509695</v>
      </c>
      <c r="G194" s="31" t="s">
        <v>212</v>
      </c>
      <c r="H194" s="1">
        <v>196</v>
      </c>
      <c r="I194" s="31" t="s">
        <v>300</v>
      </c>
      <c r="J194" s="5">
        <v>12</v>
      </c>
      <c r="K194" s="5">
        <v>2570.6799999999998</v>
      </c>
      <c r="L194" s="5">
        <v>2501.2376340000001</v>
      </c>
      <c r="M194" s="115">
        <v>0</v>
      </c>
      <c r="N194" s="21">
        <v>11</v>
      </c>
      <c r="O194" s="23">
        <v>24</v>
      </c>
      <c r="P194" s="28">
        <f t="shared" si="110"/>
        <v>0</v>
      </c>
      <c r="Q194" s="28">
        <f t="shared" si="111"/>
        <v>132</v>
      </c>
      <c r="R194" s="28">
        <f t="shared" si="112"/>
        <v>288</v>
      </c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>
        <f t="shared" si="87"/>
        <v>0</v>
      </c>
      <c r="AD194" s="31"/>
      <c r="AE194" s="31">
        <v>3</v>
      </c>
      <c r="AF194" s="31"/>
      <c r="AG194" s="31"/>
      <c r="AH194" s="31"/>
      <c r="AI194" s="31">
        <v>22</v>
      </c>
      <c r="AJ194" s="31"/>
      <c r="AK194" s="31"/>
      <c r="AL194" s="31"/>
      <c r="AM194" s="31"/>
      <c r="AN194" s="31">
        <f t="shared" si="83"/>
        <v>25</v>
      </c>
      <c r="AO194" s="31"/>
      <c r="AP194" s="31"/>
      <c r="AQ194" s="31"/>
      <c r="AR194" s="31"/>
      <c r="AS194" s="31"/>
      <c r="AT194" s="31">
        <v>10</v>
      </c>
      <c r="AU194" s="31"/>
      <c r="AV194" s="31"/>
      <c r="AW194" s="31"/>
      <c r="AX194" s="31"/>
      <c r="AY194" s="31"/>
      <c r="AZ194" s="31"/>
      <c r="BA194" s="31"/>
      <c r="BB194" s="31"/>
      <c r="BC194" s="31"/>
      <c r="BD194" s="31">
        <f t="shared" si="84"/>
        <v>10</v>
      </c>
      <c r="BE194" s="29">
        <f t="shared" si="103"/>
        <v>0</v>
      </c>
      <c r="BF194" s="29">
        <f t="shared" si="85"/>
        <v>10</v>
      </c>
      <c r="BG194" s="29">
        <f>VLOOKUP(E194,'[3]Y2604-Y2608_庫存&amp;銷售'!$F:$AJ,23,0)</f>
        <v>1.75</v>
      </c>
      <c r="BH194" s="29">
        <f>VLOOKUP(E194,'[3]Y2604-Y2608_庫存&amp;銷售'!$F:$AL,25,0)</f>
        <v>0</v>
      </c>
      <c r="BI194" s="29">
        <f>VLOOKUP(E194,'[3]Y2604-Y2608_庫存&amp;銷售'!$F:$AN,30,0)</f>
        <v>0</v>
      </c>
      <c r="BJ194" s="81">
        <f t="shared" si="104"/>
        <v>0</v>
      </c>
      <c r="BK194" s="81">
        <f t="shared" si="105"/>
        <v>28277.48</v>
      </c>
      <c r="BL194" s="81">
        <f t="shared" si="106"/>
        <v>61696.319999999992</v>
      </c>
      <c r="BM194" s="81">
        <f t="shared" si="107"/>
        <v>0</v>
      </c>
      <c r="BN194" s="81">
        <f t="shared" si="108"/>
        <v>0</v>
      </c>
      <c r="BO194" s="81">
        <f t="shared" si="109"/>
        <v>0</v>
      </c>
      <c r="BP194" s="81">
        <f t="shared" si="96"/>
        <v>64266.999999999993</v>
      </c>
      <c r="BQ194" s="81">
        <f t="shared" si="97"/>
        <v>58800</v>
      </c>
      <c r="BR194" s="81">
        <f t="shared" si="98"/>
        <v>63781.559667000001</v>
      </c>
      <c r="BS194" s="199">
        <f t="shared" si="86"/>
        <v>25706.799999999999</v>
      </c>
      <c r="BT194" s="199">
        <f t="shared" ref="BT194:BT243" si="113">H194*J194*BD194</f>
        <v>23520</v>
      </c>
      <c r="BU194" s="199">
        <f t="shared" ref="BU194:BU243" si="114">L194*1.02*BD194</f>
        <v>25512.623866800001</v>
      </c>
      <c r="BV194" s="112">
        <f>VLOOKUP(E194,'[4]Y2604-Y2608_庫存&amp;銷售'!$F:$AB,17,0)</f>
        <v>6.4166666666666661</v>
      </c>
      <c r="BW194" s="112">
        <f>VLOOKUP(A194,'[5]Demand inbond in Sep'!$B:$M,12,0)</f>
        <v>24</v>
      </c>
      <c r="BX194" s="112"/>
    </row>
    <row r="195" spans="1:76" ht="15" x14ac:dyDescent="0.35">
      <c r="A195" s="2">
        <v>122903488086024</v>
      </c>
      <c r="B195" s="30" t="s">
        <v>217</v>
      </c>
      <c r="C195" s="46" t="s">
        <v>203</v>
      </c>
      <c r="D195" s="47">
        <v>80682726</v>
      </c>
      <c r="E195" s="47">
        <v>4902430056496</v>
      </c>
      <c r="F195" s="3">
        <v>4902430056496</v>
      </c>
      <c r="G195" s="31" t="s">
        <v>213</v>
      </c>
      <c r="H195" s="1">
        <v>264</v>
      </c>
      <c r="I195" s="31" t="s">
        <v>300</v>
      </c>
      <c r="J195" s="5">
        <v>6</v>
      </c>
      <c r="K195" s="5">
        <v>1788</v>
      </c>
      <c r="L195" s="5">
        <v>1736.1288000000002</v>
      </c>
      <c r="M195" s="115">
        <v>24</v>
      </c>
      <c r="N195" s="21">
        <v>33</v>
      </c>
      <c r="O195" s="23">
        <v>90</v>
      </c>
      <c r="P195" s="28">
        <f t="shared" si="110"/>
        <v>144</v>
      </c>
      <c r="Q195" s="28">
        <f t="shared" si="111"/>
        <v>198</v>
      </c>
      <c r="R195" s="28">
        <f t="shared" si="112"/>
        <v>540</v>
      </c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>
        <f t="shared" si="87"/>
        <v>0</v>
      </c>
      <c r="AD195" s="31"/>
      <c r="AE195" s="31"/>
      <c r="AF195" s="31"/>
      <c r="AG195" s="31"/>
      <c r="AH195" s="31"/>
      <c r="AI195" s="31"/>
      <c r="AJ195" s="31">
        <v>53</v>
      </c>
      <c r="AK195" s="31"/>
      <c r="AL195" s="31"/>
      <c r="AM195" s="31"/>
      <c r="AN195" s="31">
        <f t="shared" ref="AN195:AN243" si="115">SUM(AD195:AM195)</f>
        <v>53</v>
      </c>
      <c r="AO195" s="31"/>
      <c r="AP195" s="31"/>
      <c r="AQ195" s="31"/>
      <c r="AR195" s="31"/>
      <c r="AS195" s="31"/>
      <c r="AT195" s="31">
        <v>52</v>
      </c>
      <c r="AU195" s="31"/>
      <c r="AV195" s="31"/>
      <c r="AW195" s="31"/>
      <c r="AX195" s="31"/>
      <c r="AY195" s="31"/>
      <c r="AZ195" s="31"/>
      <c r="BA195" s="31"/>
      <c r="BB195" s="31"/>
      <c r="BC195" s="31"/>
      <c r="BD195" s="31">
        <f t="shared" ref="BD195:BD243" si="116">SUM(AO195:BC195)</f>
        <v>52</v>
      </c>
      <c r="BE195" s="29">
        <f t="shared" si="103"/>
        <v>42</v>
      </c>
      <c r="BF195" s="29">
        <f t="shared" ref="BF195:BF243" si="117">SUM(AO195:AW195)</f>
        <v>52</v>
      </c>
      <c r="BG195" s="29">
        <f>VLOOKUP(E195,'[3]Y2604-Y2608_庫存&amp;銷售'!$F:$AJ,23,0)</f>
        <v>3.3333333333333335</v>
      </c>
      <c r="BH195" s="29">
        <f>VLOOKUP(E195,'[3]Y2604-Y2608_庫存&amp;銷售'!$F:$AL,25,0)</f>
        <v>0</v>
      </c>
      <c r="BI195" s="29">
        <f>VLOOKUP(E195,'[3]Y2604-Y2608_庫存&amp;銷售'!$F:$AN,30,0)</f>
        <v>0</v>
      </c>
      <c r="BJ195" s="81">
        <f t="shared" si="104"/>
        <v>42912</v>
      </c>
      <c r="BK195" s="81">
        <f t="shared" si="105"/>
        <v>59004</v>
      </c>
      <c r="BL195" s="81">
        <f t="shared" si="106"/>
        <v>160920</v>
      </c>
      <c r="BM195" s="81">
        <f t="shared" si="107"/>
        <v>0</v>
      </c>
      <c r="BN195" s="81">
        <f t="shared" si="108"/>
        <v>0</v>
      </c>
      <c r="BO195" s="81">
        <f t="shared" si="109"/>
        <v>0</v>
      </c>
      <c r="BP195" s="81">
        <f t="shared" si="96"/>
        <v>94764</v>
      </c>
      <c r="BQ195" s="81">
        <f t="shared" si="97"/>
        <v>83952</v>
      </c>
      <c r="BR195" s="81">
        <f t="shared" si="98"/>
        <v>93855.122928000012</v>
      </c>
      <c r="BS195" s="199">
        <f t="shared" ref="BS195:BS243" si="118">BD195*(K195-AY195)</f>
        <v>92976</v>
      </c>
      <c r="BT195" s="199">
        <f t="shared" si="113"/>
        <v>82368</v>
      </c>
      <c r="BU195" s="199">
        <f t="shared" si="114"/>
        <v>92084.27155200002</v>
      </c>
      <c r="BV195" s="112">
        <f>VLOOKUP(E195,'[4]Y2604-Y2608_庫存&amp;銷售'!$F:$AB,17,0)</f>
        <v>13.166666666666666</v>
      </c>
      <c r="BW195" s="112">
        <f>VLOOKUP(A195,'[5]Demand inbond in Sep'!$B:$M,12,0)</f>
        <v>90</v>
      </c>
      <c r="BX195" s="112"/>
    </row>
    <row r="196" spans="1:76" ht="15" x14ac:dyDescent="0.35">
      <c r="A196" s="2">
        <v>276161087094784</v>
      </c>
      <c r="B196" s="30" t="s">
        <v>217</v>
      </c>
      <c r="C196" s="46" t="s">
        <v>203</v>
      </c>
      <c r="D196" s="47">
        <v>82330061</v>
      </c>
      <c r="E196" s="47">
        <v>9300618556502</v>
      </c>
      <c r="F196" s="3">
        <v>9300618556502</v>
      </c>
      <c r="G196" s="31" t="s">
        <v>214</v>
      </c>
      <c r="H196" s="1">
        <v>176</v>
      </c>
      <c r="I196" s="31" t="s">
        <v>300</v>
      </c>
      <c r="J196" s="5">
        <v>6</v>
      </c>
      <c r="K196" s="5">
        <v>1192</v>
      </c>
      <c r="L196" s="5">
        <v>1153.509</v>
      </c>
      <c r="M196" s="115">
        <v>41</v>
      </c>
      <c r="N196" s="21">
        <v>27</v>
      </c>
      <c r="O196" s="23">
        <v>94</v>
      </c>
      <c r="P196" s="28">
        <f t="shared" si="110"/>
        <v>246</v>
      </c>
      <c r="Q196" s="28">
        <f t="shared" si="111"/>
        <v>162</v>
      </c>
      <c r="R196" s="28">
        <f t="shared" si="112"/>
        <v>564</v>
      </c>
      <c r="S196" s="31"/>
      <c r="T196" s="31"/>
      <c r="U196" s="31"/>
      <c r="V196" s="31"/>
      <c r="W196" s="31"/>
      <c r="X196" s="31"/>
      <c r="Y196" s="31">
        <v>9</v>
      </c>
      <c r="Z196" s="31"/>
      <c r="AA196" s="31"/>
      <c r="AB196" s="31">
        <v>7</v>
      </c>
      <c r="AC196" s="31">
        <f t="shared" si="87"/>
        <v>16</v>
      </c>
      <c r="AD196" s="31"/>
      <c r="AE196" s="31">
        <v>5</v>
      </c>
      <c r="AF196" s="31"/>
      <c r="AG196" s="31"/>
      <c r="AH196" s="31"/>
      <c r="AI196" s="31">
        <v>35</v>
      </c>
      <c r="AJ196" s="31"/>
      <c r="AK196" s="31"/>
      <c r="AL196" s="31"/>
      <c r="AM196" s="31"/>
      <c r="AN196" s="31">
        <f t="shared" si="115"/>
        <v>40</v>
      </c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>
        <f t="shared" si="116"/>
        <v>0</v>
      </c>
      <c r="BE196" s="29">
        <f t="shared" si="103"/>
        <v>106</v>
      </c>
      <c r="BF196" s="29">
        <f t="shared" si="117"/>
        <v>0</v>
      </c>
      <c r="BG196" s="29">
        <f>VLOOKUP(E196,'[3]Y2604-Y2608_庫存&amp;銷售'!$F:$AJ,23,0)</f>
        <v>5.3333333333333339</v>
      </c>
      <c r="BH196" s="29">
        <f>VLOOKUP(E196,'[3]Y2604-Y2608_庫存&amp;銷售'!$F:$AL,25,0)</f>
        <v>0</v>
      </c>
      <c r="BI196" s="29">
        <f>VLOOKUP(E196,'[3]Y2604-Y2608_庫存&amp;銷售'!$F:$AN,30,0)</f>
        <v>0</v>
      </c>
      <c r="BJ196" s="81">
        <f t="shared" si="104"/>
        <v>48872</v>
      </c>
      <c r="BK196" s="81">
        <f t="shared" si="105"/>
        <v>32184</v>
      </c>
      <c r="BL196" s="81">
        <f t="shared" si="106"/>
        <v>112048</v>
      </c>
      <c r="BM196" s="81">
        <f t="shared" si="107"/>
        <v>19072</v>
      </c>
      <c r="BN196" s="81">
        <f t="shared" si="108"/>
        <v>16896</v>
      </c>
      <c r="BO196" s="81">
        <f t="shared" si="109"/>
        <v>18825.266879999999</v>
      </c>
      <c r="BP196" s="81">
        <f t="shared" si="96"/>
        <v>47680</v>
      </c>
      <c r="BQ196" s="81">
        <f t="shared" si="97"/>
        <v>42240</v>
      </c>
      <c r="BR196" s="81">
        <f t="shared" si="98"/>
        <v>47063.167199999996</v>
      </c>
      <c r="BS196" s="199">
        <f t="shared" si="118"/>
        <v>0</v>
      </c>
      <c r="BT196" s="199">
        <f t="shared" si="113"/>
        <v>0</v>
      </c>
      <c r="BU196" s="199">
        <f t="shared" si="114"/>
        <v>0</v>
      </c>
      <c r="BV196" s="112">
        <f>VLOOKUP(E196,'[4]Y2604-Y2608_庫存&amp;銷售'!$F:$AB,17,0)</f>
        <v>17</v>
      </c>
      <c r="BW196" s="112">
        <f>VLOOKUP(A196,'[5]Demand inbond in Sep'!$B:$M,12,0)</f>
        <v>94</v>
      </c>
      <c r="BX196" s="112"/>
    </row>
    <row r="197" spans="1:76" ht="15" x14ac:dyDescent="0.35">
      <c r="A197" s="2">
        <v>321532542779397</v>
      </c>
      <c r="B197" s="30" t="s">
        <v>217</v>
      </c>
      <c r="C197" s="46" t="s">
        <v>203</v>
      </c>
      <c r="D197" s="47">
        <v>80782359</v>
      </c>
      <c r="E197" s="47">
        <v>4987176161734</v>
      </c>
      <c r="F197" s="3">
        <v>4987176161734</v>
      </c>
      <c r="G197" s="31" t="s">
        <v>215</v>
      </c>
      <c r="H197" s="1">
        <v>565</v>
      </c>
      <c r="I197" s="31" t="s">
        <v>300</v>
      </c>
      <c r="J197" s="5">
        <v>6</v>
      </c>
      <c r="K197" s="5">
        <v>3708</v>
      </c>
      <c r="L197" s="5">
        <v>3613.0248000000001</v>
      </c>
      <c r="M197" s="115">
        <v>0</v>
      </c>
      <c r="N197" s="21">
        <v>0</v>
      </c>
      <c r="O197" s="23">
        <v>0</v>
      </c>
      <c r="P197" s="28">
        <f t="shared" si="110"/>
        <v>0</v>
      </c>
      <c r="Q197" s="28">
        <f t="shared" si="111"/>
        <v>0</v>
      </c>
      <c r="R197" s="28">
        <f t="shared" si="112"/>
        <v>0</v>
      </c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>
        <f t="shared" si="87"/>
        <v>0</v>
      </c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>
        <f t="shared" si="115"/>
        <v>0</v>
      </c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>
        <f t="shared" si="116"/>
        <v>0</v>
      </c>
      <c r="BE197" s="29">
        <f t="shared" si="103"/>
        <v>0</v>
      </c>
      <c r="BF197" s="29">
        <f t="shared" si="117"/>
        <v>0</v>
      </c>
      <c r="BG197" s="29">
        <f>VLOOKUP(E197,'[3]Y2604-Y2608_庫存&amp;銷售'!$F:$AJ,23,0)</f>
        <v>0</v>
      </c>
      <c r="BH197" s="29">
        <f>VLOOKUP(E197,'[3]Y2604-Y2608_庫存&amp;銷售'!$F:$AL,25,0)</f>
        <v>0</v>
      </c>
      <c r="BI197" s="29">
        <f>VLOOKUP(E197,'[3]Y2604-Y2608_庫存&amp;銷售'!$F:$AN,30,0)</f>
        <v>0</v>
      </c>
      <c r="BJ197" s="81">
        <f t="shared" si="104"/>
        <v>0</v>
      </c>
      <c r="BK197" s="81">
        <f t="shared" si="105"/>
        <v>0</v>
      </c>
      <c r="BL197" s="81">
        <f t="shared" si="106"/>
        <v>0</v>
      </c>
      <c r="BM197" s="81">
        <f t="shared" si="107"/>
        <v>0</v>
      </c>
      <c r="BN197" s="81">
        <f t="shared" si="108"/>
        <v>0</v>
      </c>
      <c r="BO197" s="81">
        <f t="shared" si="109"/>
        <v>0</v>
      </c>
      <c r="BP197" s="81">
        <f t="shared" si="96"/>
        <v>0</v>
      </c>
      <c r="BQ197" s="81">
        <f t="shared" si="97"/>
        <v>0</v>
      </c>
      <c r="BR197" s="81">
        <f t="shared" si="98"/>
        <v>0</v>
      </c>
      <c r="BS197" s="199">
        <f t="shared" si="118"/>
        <v>0</v>
      </c>
      <c r="BT197" s="199">
        <f t="shared" si="113"/>
        <v>0</v>
      </c>
      <c r="BU197" s="199">
        <f t="shared" si="114"/>
        <v>0</v>
      </c>
      <c r="BV197" s="112">
        <f>VLOOKUP(E197,'[4]Y2604-Y2608_庫存&amp;銷售'!$F:$AB,17,0)</f>
        <v>0</v>
      </c>
      <c r="BW197" s="112">
        <f>VLOOKUP(A197,'[5]Demand inbond in Sep'!$B:$M,12,0)</f>
        <v>0</v>
      </c>
      <c r="BX197" s="112"/>
    </row>
    <row r="198" spans="1:76" ht="15" x14ac:dyDescent="0.35">
      <c r="A198" s="2">
        <v>276162269921283</v>
      </c>
      <c r="B198" s="30" t="s">
        <v>217</v>
      </c>
      <c r="C198" s="46" t="s">
        <v>203</v>
      </c>
      <c r="D198" s="47">
        <v>80700002</v>
      </c>
      <c r="E198" s="47">
        <v>4987176106438</v>
      </c>
      <c r="F198" s="3">
        <v>4987176106438</v>
      </c>
      <c r="G198" s="31" t="s">
        <v>216</v>
      </c>
      <c r="H198" s="1">
        <v>502</v>
      </c>
      <c r="I198" s="31" t="s">
        <v>300</v>
      </c>
      <c r="J198" s="5">
        <v>12</v>
      </c>
      <c r="K198" s="5">
        <v>6626.4</v>
      </c>
      <c r="L198" s="5">
        <v>6465.906719999999</v>
      </c>
      <c r="M198" s="115">
        <v>21</v>
      </c>
      <c r="N198" s="21">
        <v>13</v>
      </c>
      <c r="O198" s="23">
        <v>47</v>
      </c>
      <c r="P198" s="28">
        <f t="shared" si="110"/>
        <v>252</v>
      </c>
      <c r="Q198" s="28">
        <f t="shared" si="111"/>
        <v>156</v>
      </c>
      <c r="R198" s="28">
        <f t="shared" si="112"/>
        <v>564</v>
      </c>
      <c r="S198" s="31"/>
      <c r="T198" s="31"/>
      <c r="U198" s="31"/>
      <c r="V198" s="31"/>
      <c r="W198" s="31"/>
      <c r="X198" s="31"/>
      <c r="Y198" s="31">
        <v>9</v>
      </c>
      <c r="Z198" s="31"/>
      <c r="AA198" s="31"/>
      <c r="AB198" s="31">
        <v>11</v>
      </c>
      <c r="AC198" s="31">
        <f t="shared" si="87"/>
        <v>20</v>
      </c>
      <c r="AD198" s="31"/>
      <c r="AE198" s="31">
        <v>3</v>
      </c>
      <c r="AF198" s="31"/>
      <c r="AG198" s="31"/>
      <c r="AH198" s="31"/>
      <c r="AI198" s="31"/>
      <c r="AJ198" s="31">
        <v>9</v>
      </c>
      <c r="AK198" s="31"/>
      <c r="AL198" s="31"/>
      <c r="AM198" s="31"/>
      <c r="AN198" s="31">
        <f t="shared" si="115"/>
        <v>12</v>
      </c>
      <c r="AO198" s="31"/>
      <c r="AP198" s="31"/>
      <c r="AQ198" s="31"/>
      <c r="AR198" s="31"/>
      <c r="AS198" s="31"/>
      <c r="AT198" s="31">
        <v>20</v>
      </c>
      <c r="AU198" s="31"/>
      <c r="AV198" s="31"/>
      <c r="AW198" s="31"/>
      <c r="AX198" s="31"/>
      <c r="AY198" s="31"/>
      <c r="AZ198" s="31"/>
      <c r="BA198" s="31"/>
      <c r="BB198" s="31"/>
      <c r="BC198" s="31"/>
      <c r="BD198" s="31">
        <f t="shared" si="116"/>
        <v>20</v>
      </c>
      <c r="BE198" s="29">
        <f t="shared" si="103"/>
        <v>29</v>
      </c>
      <c r="BF198" s="29">
        <f t="shared" si="117"/>
        <v>20</v>
      </c>
      <c r="BG198" s="29">
        <f>VLOOKUP(E198,'[3]Y2604-Y2608_庫存&amp;銷售'!$F:$AJ,23,0)</f>
        <v>0.58333333333333326</v>
      </c>
      <c r="BH198" s="29">
        <f>VLOOKUP(E198,'[3]Y2604-Y2608_庫存&amp;銷售'!$F:$AL,25,0)</f>
        <v>0</v>
      </c>
      <c r="BI198" s="29">
        <f>VLOOKUP(E198,'[3]Y2604-Y2608_庫存&amp;銷售'!$F:$AN,30,0)</f>
        <v>0</v>
      </c>
      <c r="BJ198" s="81">
        <f t="shared" si="104"/>
        <v>139154.4</v>
      </c>
      <c r="BK198" s="81">
        <f t="shared" si="105"/>
        <v>86143.2</v>
      </c>
      <c r="BL198" s="81">
        <f t="shared" si="106"/>
        <v>311440.8</v>
      </c>
      <c r="BM198" s="81">
        <f t="shared" si="107"/>
        <v>132528</v>
      </c>
      <c r="BN198" s="81">
        <f t="shared" si="108"/>
        <v>120480</v>
      </c>
      <c r="BO198" s="81">
        <f t="shared" si="109"/>
        <v>131904.497088</v>
      </c>
      <c r="BP198" s="81">
        <f t="shared" si="96"/>
        <v>79516.799999999988</v>
      </c>
      <c r="BQ198" s="81">
        <f t="shared" si="97"/>
        <v>72288</v>
      </c>
      <c r="BR198" s="81">
        <f t="shared" si="98"/>
        <v>79142.698252799993</v>
      </c>
      <c r="BS198" s="199">
        <f t="shared" si="118"/>
        <v>132528</v>
      </c>
      <c r="BT198" s="199">
        <f t="shared" si="113"/>
        <v>120480</v>
      </c>
      <c r="BU198" s="199">
        <f t="shared" si="114"/>
        <v>131904.497088</v>
      </c>
      <c r="BV198" s="112">
        <f>VLOOKUP(E198,'[4]Y2604-Y2608_庫存&amp;銷售'!$F:$AB,17,0)</f>
        <v>1</v>
      </c>
      <c r="BW198" s="112">
        <f>VLOOKUP(A198,'[5]Demand inbond in Sep'!$B:$M,12,0)</f>
        <v>47</v>
      </c>
      <c r="BX198" s="112"/>
    </row>
    <row r="199" spans="1:76" ht="15" x14ac:dyDescent="0.35">
      <c r="A199" s="2">
        <v>522244896393811</v>
      </c>
      <c r="B199" s="30" t="s">
        <v>217</v>
      </c>
      <c r="C199" s="46" t="s">
        <v>203</v>
      </c>
      <c r="D199" s="31">
        <v>83910746</v>
      </c>
      <c r="E199" s="47">
        <v>4987176357526</v>
      </c>
      <c r="F199" s="47">
        <v>4987176357526</v>
      </c>
      <c r="G199" s="31" t="s">
        <v>218</v>
      </c>
      <c r="H199" s="34">
        <v>280</v>
      </c>
      <c r="I199" s="31" t="s">
        <v>300</v>
      </c>
      <c r="J199" s="5">
        <v>12</v>
      </c>
      <c r="K199" s="5">
        <v>3520.8</v>
      </c>
      <c r="L199" s="5">
        <v>3430.03</v>
      </c>
      <c r="M199" s="115">
        <v>32</v>
      </c>
      <c r="N199" s="21">
        <v>19</v>
      </c>
      <c r="O199" s="23">
        <v>71</v>
      </c>
      <c r="P199" s="28">
        <f t="shared" si="110"/>
        <v>384</v>
      </c>
      <c r="Q199" s="28">
        <f t="shared" si="111"/>
        <v>228</v>
      </c>
      <c r="R199" s="28">
        <f t="shared" si="112"/>
        <v>852</v>
      </c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>
        <f t="shared" ref="AC199:AC241" si="119">SUM(V199:AB199)</f>
        <v>0</v>
      </c>
      <c r="AD199" s="31"/>
      <c r="AE199" s="31">
        <v>2</v>
      </c>
      <c r="AF199" s="31"/>
      <c r="AG199" s="31"/>
      <c r="AH199" s="31"/>
      <c r="AI199" s="31"/>
      <c r="AJ199" s="31">
        <v>16</v>
      </c>
      <c r="AK199" s="31"/>
      <c r="AL199" s="31"/>
      <c r="AM199" s="31"/>
      <c r="AN199" s="31">
        <f t="shared" si="115"/>
        <v>18</v>
      </c>
      <c r="AO199" s="31"/>
      <c r="AP199" s="31"/>
      <c r="AQ199" s="31"/>
      <c r="AR199" s="31"/>
      <c r="AS199" s="31"/>
      <c r="AT199" s="31">
        <v>15</v>
      </c>
      <c r="AU199" s="31"/>
      <c r="AV199" s="31"/>
      <c r="AW199" s="31"/>
      <c r="AX199" s="31"/>
      <c r="AY199" s="31"/>
      <c r="AZ199" s="31"/>
      <c r="BA199" s="31"/>
      <c r="BB199" s="31"/>
      <c r="BC199" s="31"/>
      <c r="BD199" s="31">
        <f t="shared" si="116"/>
        <v>15</v>
      </c>
      <c r="BE199" s="29">
        <f t="shared" si="103"/>
        <v>89</v>
      </c>
      <c r="BF199" s="29">
        <f t="shared" si="117"/>
        <v>15</v>
      </c>
      <c r="BG199" s="29">
        <f>VLOOKUP(E199,'[3]Y2604-Y2608_庫存&amp;銷售'!$F:$AJ,23,0)</f>
        <v>0</v>
      </c>
      <c r="BH199" s="29">
        <f>VLOOKUP(E199,'[3]Y2604-Y2608_庫存&amp;銷售'!$F:$AL,25,0)</f>
        <v>0</v>
      </c>
      <c r="BI199" s="29">
        <f>VLOOKUP(E199,'[3]Y2604-Y2608_庫存&amp;銷售'!$F:$AN,30,0)</f>
        <v>0</v>
      </c>
      <c r="BJ199" s="81">
        <f t="shared" ref="BJ199:BJ205" si="120">M199*K199</f>
        <v>112665.60000000001</v>
      </c>
      <c r="BK199" s="81">
        <f t="shared" ref="BK199:BK206" si="121">N199*K199</f>
        <v>66895.199999999997</v>
      </c>
      <c r="BL199" s="81">
        <f t="shared" ref="BL199:BL205" si="122">O199*K199</f>
        <v>249976.80000000002</v>
      </c>
      <c r="BM199" s="81">
        <f t="shared" si="107"/>
        <v>0</v>
      </c>
      <c r="BN199" s="81">
        <f t="shared" si="108"/>
        <v>0</v>
      </c>
      <c r="BO199" s="81">
        <f t="shared" si="109"/>
        <v>0</v>
      </c>
      <c r="BP199" s="81">
        <f t="shared" si="96"/>
        <v>63374.400000000001</v>
      </c>
      <c r="BQ199" s="81">
        <f t="shared" si="97"/>
        <v>60480</v>
      </c>
      <c r="BR199" s="81">
        <f t="shared" si="98"/>
        <v>62975.350800000007</v>
      </c>
      <c r="BS199" s="199">
        <f t="shared" si="118"/>
        <v>52812</v>
      </c>
      <c r="BT199" s="199">
        <f t="shared" si="113"/>
        <v>50400</v>
      </c>
      <c r="BU199" s="199">
        <f t="shared" si="114"/>
        <v>52479.459000000003</v>
      </c>
      <c r="BV199" s="112">
        <f>VLOOKUP(E199,'[4]Y2604-Y2608_庫存&amp;銷售'!$F:$AB,17,0)</f>
        <v>0</v>
      </c>
      <c r="BW199" s="112">
        <f>VLOOKUP(A199,'[5]Demand inbond in Sep'!$B:$M,12,0)</f>
        <v>71</v>
      </c>
      <c r="BX199" s="112"/>
    </row>
    <row r="200" spans="1:76" ht="15" x14ac:dyDescent="0.35">
      <c r="A200" s="2">
        <v>522244896416515</v>
      </c>
      <c r="B200" s="30" t="s">
        <v>234</v>
      </c>
      <c r="C200" s="46" t="s">
        <v>235</v>
      </c>
      <c r="D200" s="47">
        <v>83906961</v>
      </c>
      <c r="E200" s="47">
        <v>4987176376886</v>
      </c>
      <c r="F200" s="47">
        <v>4987176376886</v>
      </c>
      <c r="G200" s="31" t="s">
        <v>289</v>
      </c>
      <c r="H200" s="1">
        <v>57</v>
      </c>
      <c r="I200" s="1" t="s">
        <v>173</v>
      </c>
      <c r="J200" s="5">
        <v>24</v>
      </c>
      <c r="K200" s="5">
        <v>1586.4</v>
      </c>
      <c r="L200" s="5">
        <v>1539.05</v>
      </c>
      <c r="M200" s="115"/>
      <c r="N200" s="21">
        <v>100</v>
      </c>
      <c r="O200" s="23">
        <v>195</v>
      </c>
      <c r="P200" s="108"/>
      <c r="Q200" s="108"/>
      <c r="R200" s="108"/>
      <c r="S200" s="107"/>
      <c r="T200" s="107"/>
      <c r="U200" s="107"/>
      <c r="V200" s="31"/>
      <c r="W200" s="31"/>
      <c r="X200" s="31"/>
      <c r="Y200" s="31"/>
      <c r="Z200" s="31"/>
      <c r="AA200" s="31"/>
      <c r="AB200" s="31"/>
      <c r="AC200" s="31">
        <f t="shared" si="119"/>
        <v>0</v>
      </c>
      <c r="AD200" s="31"/>
      <c r="AE200" s="31"/>
      <c r="AF200" s="31"/>
      <c r="AG200" s="31"/>
      <c r="AH200" s="31"/>
      <c r="AI200" s="31"/>
      <c r="AJ200" s="31">
        <v>8</v>
      </c>
      <c r="AK200" s="31"/>
      <c r="AL200" s="31">
        <v>7</v>
      </c>
      <c r="AM200" s="31"/>
      <c r="AN200" s="31">
        <f t="shared" si="115"/>
        <v>15</v>
      </c>
      <c r="AO200" s="31"/>
      <c r="AP200" s="31">
        <v>7</v>
      </c>
      <c r="AQ200" s="31"/>
      <c r="AR200" s="31"/>
      <c r="AS200" s="31"/>
      <c r="AT200" s="31"/>
      <c r="AU200" s="31"/>
      <c r="AV200" s="31"/>
      <c r="AW200" s="31"/>
      <c r="AX200" s="31">
        <v>103</v>
      </c>
      <c r="AY200" s="31"/>
      <c r="AZ200" s="31"/>
      <c r="BA200" s="31"/>
      <c r="BB200" s="31"/>
      <c r="BC200" s="31"/>
      <c r="BD200" s="31">
        <f t="shared" si="116"/>
        <v>110</v>
      </c>
      <c r="BE200" s="29">
        <f t="shared" si="103"/>
        <v>170</v>
      </c>
      <c r="BF200" s="29">
        <f t="shared" si="117"/>
        <v>7</v>
      </c>
      <c r="BG200" s="29">
        <f>VLOOKUP(E200,'[3]Y2604-Y2608_庫存&amp;銷售'!$F:$AJ,23,0)</f>
        <v>5.25</v>
      </c>
      <c r="BH200" s="29">
        <f>VLOOKUP(E200,'[3]Y2604-Y2608_庫存&amp;銷售'!$F:$AL,25,0)</f>
        <v>0</v>
      </c>
      <c r="BI200" s="29">
        <f>VLOOKUP(E200,'[3]Y2604-Y2608_庫存&amp;銷售'!$F:$AN,30,0)</f>
        <v>15</v>
      </c>
      <c r="BJ200" s="81">
        <f t="shared" si="120"/>
        <v>0</v>
      </c>
      <c r="BK200" s="81">
        <f t="shared" si="121"/>
        <v>158640</v>
      </c>
      <c r="BL200" s="81">
        <f t="shared" si="122"/>
        <v>309348</v>
      </c>
      <c r="BM200" s="81">
        <f t="shared" si="107"/>
        <v>0</v>
      </c>
      <c r="BN200" s="81">
        <f t="shared" si="108"/>
        <v>0</v>
      </c>
      <c r="BO200" s="81">
        <f t="shared" si="109"/>
        <v>0</v>
      </c>
      <c r="BP200" s="81">
        <f t="shared" si="96"/>
        <v>23796</v>
      </c>
      <c r="BQ200" s="81">
        <f t="shared" si="97"/>
        <v>20520</v>
      </c>
      <c r="BR200" s="81">
        <f t="shared" si="98"/>
        <v>23547.465</v>
      </c>
      <c r="BS200" s="199">
        <f t="shared" si="118"/>
        <v>174504</v>
      </c>
      <c r="BT200" s="199">
        <f t="shared" si="113"/>
        <v>150480</v>
      </c>
      <c r="BU200" s="199">
        <f t="shared" si="114"/>
        <v>172681.41</v>
      </c>
      <c r="BV200" s="112">
        <f>VLOOKUP(E200,'[4]Y2604-Y2608_庫存&amp;銷售'!$F:$AB,17,0)</f>
        <v>0</v>
      </c>
      <c r="BW200" s="112">
        <f>VLOOKUP(A200,'[5]Demand inbond in Sep'!$B:$M,12,0)</f>
        <v>20</v>
      </c>
      <c r="BX200" s="112"/>
    </row>
    <row r="201" spans="1:76" ht="15" x14ac:dyDescent="0.35">
      <c r="A201" s="2">
        <v>522244896416516</v>
      </c>
      <c r="B201" s="30" t="s">
        <v>234</v>
      </c>
      <c r="C201" s="46" t="s">
        <v>235</v>
      </c>
      <c r="D201" s="47">
        <v>83906960</v>
      </c>
      <c r="E201" s="47">
        <v>4987176376879</v>
      </c>
      <c r="F201" s="47">
        <v>4987176376879</v>
      </c>
      <c r="G201" s="31" t="s">
        <v>290</v>
      </c>
      <c r="H201" s="1">
        <v>57</v>
      </c>
      <c r="I201" s="1" t="s">
        <v>173</v>
      </c>
      <c r="J201" s="5">
        <v>24</v>
      </c>
      <c r="K201" s="5">
        <v>1586.4</v>
      </c>
      <c r="L201" s="5">
        <v>1539.05</v>
      </c>
      <c r="M201" s="115"/>
      <c r="N201" s="21">
        <v>100</v>
      </c>
      <c r="O201" s="23">
        <v>214</v>
      </c>
      <c r="P201" s="108"/>
      <c r="Q201" s="108"/>
      <c r="R201" s="108"/>
      <c r="S201" s="107"/>
      <c r="T201" s="107"/>
      <c r="U201" s="107"/>
      <c r="V201" s="31"/>
      <c r="W201" s="31"/>
      <c r="X201" s="31"/>
      <c r="Y201" s="31"/>
      <c r="Z201" s="31"/>
      <c r="AA201" s="31"/>
      <c r="AB201" s="31"/>
      <c r="AC201" s="31">
        <f t="shared" si="119"/>
        <v>0</v>
      </c>
      <c r="AD201" s="31"/>
      <c r="AE201" s="31"/>
      <c r="AF201" s="31"/>
      <c r="AG201" s="31"/>
      <c r="AH201" s="31"/>
      <c r="AI201" s="31"/>
      <c r="AJ201" s="31">
        <v>8</v>
      </c>
      <c r="AK201" s="31"/>
      <c r="AL201" s="31">
        <v>7</v>
      </c>
      <c r="AM201" s="31"/>
      <c r="AN201" s="31">
        <f t="shared" si="115"/>
        <v>15</v>
      </c>
      <c r="AO201" s="31"/>
      <c r="AP201" s="31">
        <v>7</v>
      </c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>
        <f t="shared" si="116"/>
        <v>7</v>
      </c>
      <c r="BE201" s="29">
        <f t="shared" si="103"/>
        <v>292</v>
      </c>
      <c r="BF201" s="29">
        <f t="shared" si="117"/>
        <v>7</v>
      </c>
      <c r="BG201" s="29">
        <f>VLOOKUP(E201,'[3]Y2604-Y2608_庫存&amp;銷售'!$F:$AJ,23,0)</f>
        <v>1.8333333333333333</v>
      </c>
      <c r="BH201" s="29">
        <f>VLOOKUP(E201,'[3]Y2604-Y2608_庫存&amp;銷售'!$F:$AL,25,0)</f>
        <v>0</v>
      </c>
      <c r="BI201" s="29">
        <f>VLOOKUP(E201,'[3]Y2604-Y2608_庫存&amp;銷售'!$F:$AN,30,0)</f>
        <v>0</v>
      </c>
      <c r="BJ201" s="81">
        <f t="shared" si="120"/>
        <v>0</v>
      </c>
      <c r="BK201" s="81">
        <f t="shared" si="121"/>
        <v>158640</v>
      </c>
      <c r="BL201" s="81">
        <f t="shared" si="122"/>
        <v>339489.60000000003</v>
      </c>
      <c r="BM201" s="81">
        <f t="shared" si="107"/>
        <v>0</v>
      </c>
      <c r="BN201" s="81">
        <f t="shared" si="108"/>
        <v>0</v>
      </c>
      <c r="BO201" s="81">
        <f t="shared" si="109"/>
        <v>0</v>
      </c>
      <c r="BP201" s="81">
        <f t="shared" si="96"/>
        <v>23796</v>
      </c>
      <c r="BQ201" s="81">
        <f t="shared" si="97"/>
        <v>20520</v>
      </c>
      <c r="BR201" s="81">
        <f t="shared" si="98"/>
        <v>23547.465</v>
      </c>
      <c r="BS201" s="199">
        <f t="shared" si="118"/>
        <v>11104.800000000001</v>
      </c>
      <c r="BT201" s="199">
        <f t="shared" si="113"/>
        <v>9576</v>
      </c>
      <c r="BU201" s="199">
        <f t="shared" si="114"/>
        <v>10988.816999999999</v>
      </c>
      <c r="BV201" s="112">
        <f>VLOOKUP(E201,'[4]Y2604-Y2608_庫存&amp;銷售'!$F:$AB,17,0)</f>
        <v>0</v>
      </c>
      <c r="BW201" s="112">
        <f>VLOOKUP(A201,'[5]Demand inbond in Sep'!$B:$M,12,0)</f>
        <v>8</v>
      </c>
      <c r="BX201" s="112"/>
    </row>
    <row r="202" spans="1:76" ht="15" x14ac:dyDescent="0.35">
      <c r="A202" s="2">
        <v>522244896416517</v>
      </c>
      <c r="B202" s="30" t="s">
        <v>234</v>
      </c>
      <c r="C202" s="46" t="s">
        <v>235</v>
      </c>
      <c r="D202" s="47">
        <v>83906959</v>
      </c>
      <c r="E202" s="47">
        <v>4987176376893</v>
      </c>
      <c r="F202" s="47">
        <v>4987176376893</v>
      </c>
      <c r="G202" s="31" t="s">
        <v>291</v>
      </c>
      <c r="H202" s="1">
        <v>57</v>
      </c>
      <c r="I202" s="1" t="s">
        <v>173</v>
      </c>
      <c r="J202" s="5">
        <v>24</v>
      </c>
      <c r="K202" s="5">
        <v>1586.4</v>
      </c>
      <c r="L202" s="5">
        <v>1539.05</v>
      </c>
      <c r="M202" s="115"/>
      <c r="N202" s="21">
        <v>100</v>
      </c>
      <c r="O202" s="23">
        <v>245</v>
      </c>
      <c r="P202" s="108"/>
      <c r="Q202" s="108"/>
      <c r="R202" s="108"/>
      <c r="S202" s="107"/>
      <c r="T202" s="107"/>
      <c r="U202" s="107"/>
      <c r="V202" s="31"/>
      <c r="W202" s="31"/>
      <c r="X202" s="31"/>
      <c r="Y202" s="31"/>
      <c r="Z202" s="31"/>
      <c r="AA202" s="31"/>
      <c r="AB202" s="31"/>
      <c r="AC202" s="31">
        <f t="shared" si="119"/>
        <v>0</v>
      </c>
      <c r="AD202" s="31"/>
      <c r="AE202" s="31"/>
      <c r="AF202" s="31"/>
      <c r="AG202" s="31"/>
      <c r="AH202" s="31"/>
      <c r="AI202" s="31"/>
      <c r="AJ202" s="31">
        <v>8</v>
      </c>
      <c r="AK202" s="31"/>
      <c r="AL202" s="31">
        <v>7</v>
      </c>
      <c r="AM202" s="31"/>
      <c r="AN202" s="31">
        <f t="shared" si="115"/>
        <v>15</v>
      </c>
      <c r="AO202" s="31"/>
      <c r="AP202" s="31">
        <v>7</v>
      </c>
      <c r="AQ202" s="31"/>
      <c r="AR202" s="31"/>
      <c r="AS202" s="31"/>
      <c r="AT202" s="31"/>
      <c r="AU202" s="31"/>
      <c r="AV202" s="31"/>
      <c r="AW202" s="31"/>
      <c r="AX202" s="31">
        <v>28</v>
      </c>
      <c r="AY202" s="31"/>
      <c r="AZ202" s="31"/>
      <c r="BA202" s="31"/>
      <c r="BB202" s="31"/>
      <c r="BC202" s="31"/>
      <c r="BD202" s="31">
        <f t="shared" si="116"/>
        <v>35</v>
      </c>
      <c r="BE202" s="29">
        <f t="shared" si="103"/>
        <v>295</v>
      </c>
      <c r="BF202" s="29">
        <f t="shared" si="117"/>
        <v>7</v>
      </c>
      <c r="BG202" s="29">
        <f>VLOOKUP(E202,'[3]Y2604-Y2608_庫存&amp;銷售'!$F:$AJ,23,0)</f>
        <v>2.416666666666667</v>
      </c>
      <c r="BH202" s="29">
        <f>VLOOKUP(E202,'[3]Y2604-Y2608_庫存&amp;銷售'!$F:$AL,25,0)</f>
        <v>0</v>
      </c>
      <c r="BI202" s="29">
        <f>VLOOKUP(E202,'[3]Y2604-Y2608_庫存&amp;銷售'!$F:$AN,30,0)</f>
        <v>0</v>
      </c>
      <c r="BJ202" s="81">
        <f t="shared" si="120"/>
        <v>0</v>
      </c>
      <c r="BK202" s="81">
        <f t="shared" si="121"/>
        <v>158640</v>
      </c>
      <c r="BL202" s="81">
        <f t="shared" si="122"/>
        <v>388668</v>
      </c>
      <c r="BM202" s="81">
        <f t="shared" si="107"/>
        <v>0</v>
      </c>
      <c r="BN202" s="81">
        <f t="shared" si="108"/>
        <v>0</v>
      </c>
      <c r="BO202" s="81">
        <f t="shared" si="109"/>
        <v>0</v>
      </c>
      <c r="BP202" s="81">
        <f t="shared" si="96"/>
        <v>23796</v>
      </c>
      <c r="BQ202" s="81">
        <f t="shared" si="97"/>
        <v>20520</v>
      </c>
      <c r="BR202" s="81">
        <f t="shared" si="98"/>
        <v>23547.465</v>
      </c>
      <c r="BS202" s="199">
        <f t="shared" si="118"/>
        <v>55524</v>
      </c>
      <c r="BT202" s="199">
        <f t="shared" si="113"/>
        <v>47880</v>
      </c>
      <c r="BU202" s="199">
        <f t="shared" si="114"/>
        <v>54944.084999999999</v>
      </c>
      <c r="BV202" s="112">
        <f>VLOOKUP(E202,'[4]Y2604-Y2608_庫存&amp;銷售'!$F:$AB,17,0)</f>
        <v>0</v>
      </c>
      <c r="BW202" s="112">
        <f>VLOOKUP(A202,'[5]Demand inbond in Sep'!$B:$M,12,0)</f>
        <v>8</v>
      </c>
      <c r="BX202" s="112"/>
    </row>
    <row r="203" spans="1:76" ht="15" x14ac:dyDescent="0.35">
      <c r="A203" s="2">
        <v>522244896416692</v>
      </c>
      <c r="B203" s="30" t="s">
        <v>234</v>
      </c>
      <c r="C203" s="46" t="s">
        <v>235</v>
      </c>
      <c r="D203" s="47">
        <v>83906961</v>
      </c>
      <c r="E203" s="47">
        <v>44987176376884</v>
      </c>
      <c r="F203" s="47">
        <v>44987176376884</v>
      </c>
      <c r="G203" s="111" t="s">
        <v>292</v>
      </c>
      <c r="H203" s="1">
        <v>342</v>
      </c>
      <c r="I203" s="1" t="s">
        <v>173</v>
      </c>
      <c r="J203" s="5">
        <v>4</v>
      </c>
      <c r="K203" s="5">
        <v>1586.4</v>
      </c>
      <c r="L203" s="5">
        <v>1539.05</v>
      </c>
      <c r="M203" s="115"/>
      <c r="N203" s="21">
        <v>100</v>
      </c>
      <c r="O203" s="23">
        <v>200</v>
      </c>
      <c r="P203" s="108"/>
      <c r="Q203" s="108"/>
      <c r="R203" s="108"/>
      <c r="S203" s="107"/>
      <c r="T203" s="107"/>
      <c r="U203" s="107"/>
      <c r="V203" s="31"/>
      <c r="W203" s="31"/>
      <c r="X203" s="31"/>
      <c r="Y203" s="31"/>
      <c r="Z203" s="31"/>
      <c r="AA203" s="31"/>
      <c r="AB203" s="31"/>
      <c r="AC203" s="31">
        <f t="shared" si="119"/>
        <v>0</v>
      </c>
      <c r="AD203" s="31"/>
      <c r="AE203" s="31"/>
      <c r="AF203" s="31"/>
      <c r="AG203" s="31"/>
      <c r="AH203" s="31"/>
      <c r="AI203" s="31"/>
      <c r="AJ203" s="31">
        <v>25</v>
      </c>
      <c r="AK203" s="31"/>
      <c r="AL203" s="31">
        <v>24</v>
      </c>
      <c r="AM203" s="31"/>
      <c r="AN203" s="31">
        <f t="shared" si="115"/>
        <v>49</v>
      </c>
      <c r="AO203" s="31"/>
      <c r="AP203" s="31">
        <v>23</v>
      </c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>
        <f t="shared" si="116"/>
        <v>23</v>
      </c>
      <c r="BE203" s="29">
        <f t="shared" si="103"/>
        <v>228</v>
      </c>
      <c r="BF203" s="29">
        <f t="shared" si="117"/>
        <v>23</v>
      </c>
      <c r="BG203" s="29">
        <f>VLOOKUP(E203,'[3]Y2604-Y2608_庫存&amp;銷售'!$F:$AJ,23,0)</f>
        <v>3.75</v>
      </c>
      <c r="BH203" s="29">
        <f>VLOOKUP(E203,'[3]Y2604-Y2608_庫存&amp;銷售'!$F:$AL,25,0)</f>
        <v>0</v>
      </c>
      <c r="BI203" s="29">
        <f>VLOOKUP(E203,'[3]Y2604-Y2608_庫存&amp;銷售'!$F:$AN,30,0)</f>
        <v>0</v>
      </c>
      <c r="BJ203" s="81">
        <f t="shared" si="120"/>
        <v>0</v>
      </c>
      <c r="BK203" s="81">
        <f t="shared" si="121"/>
        <v>158640</v>
      </c>
      <c r="BL203" s="81">
        <f t="shared" si="122"/>
        <v>317280</v>
      </c>
      <c r="BM203" s="81">
        <f t="shared" si="107"/>
        <v>0</v>
      </c>
      <c r="BN203" s="81">
        <f t="shared" si="108"/>
        <v>0</v>
      </c>
      <c r="BO203" s="81">
        <f t="shared" si="109"/>
        <v>0</v>
      </c>
      <c r="BP203" s="81">
        <f t="shared" si="96"/>
        <v>77733.600000000006</v>
      </c>
      <c r="BQ203" s="81">
        <f t="shared" si="97"/>
        <v>67032</v>
      </c>
      <c r="BR203" s="81">
        <f t="shared" si="98"/>
        <v>76921.718999999997</v>
      </c>
      <c r="BS203" s="199">
        <f t="shared" si="118"/>
        <v>36487.200000000004</v>
      </c>
      <c r="BT203" s="199">
        <f t="shared" si="113"/>
        <v>31464</v>
      </c>
      <c r="BU203" s="199">
        <f t="shared" si="114"/>
        <v>36106.112999999998</v>
      </c>
      <c r="BV203" s="112">
        <f>VLOOKUP(E203,'[4]Y2604-Y2608_庫存&amp;銷售'!$F:$AB,17,0)</f>
        <v>0</v>
      </c>
      <c r="BW203" s="112">
        <f>VLOOKUP(A203,'[5]Demand inbond in Sep'!$B:$M,12,0)</f>
        <v>24</v>
      </c>
      <c r="BX203" s="112"/>
    </row>
    <row r="204" spans="1:76" ht="15" x14ac:dyDescent="0.35">
      <c r="A204" s="2">
        <v>522244896416691</v>
      </c>
      <c r="B204" s="30" t="s">
        <v>234</v>
      </c>
      <c r="C204" s="46" t="s">
        <v>235</v>
      </c>
      <c r="D204" s="47">
        <v>83906960</v>
      </c>
      <c r="E204" s="47">
        <v>44987176376877</v>
      </c>
      <c r="F204" s="47">
        <v>44987176376877</v>
      </c>
      <c r="G204" s="111" t="s">
        <v>293</v>
      </c>
      <c r="H204" s="1">
        <v>342</v>
      </c>
      <c r="I204" s="1" t="s">
        <v>173</v>
      </c>
      <c r="J204" s="5">
        <v>4</v>
      </c>
      <c r="K204" s="5">
        <v>1586.4</v>
      </c>
      <c r="L204" s="5">
        <v>1539.05</v>
      </c>
      <c r="M204" s="115"/>
      <c r="N204" s="21">
        <v>100</v>
      </c>
      <c r="O204" s="23">
        <v>214</v>
      </c>
      <c r="P204" s="108"/>
      <c r="Q204" s="108"/>
      <c r="R204" s="108"/>
      <c r="S204" s="107"/>
      <c r="T204" s="107"/>
      <c r="U204" s="107"/>
      <c r="V204" s="31"/>
      <c r="W204" s="31"/>
      <c r="X204" s="31"/>
      <c r="Y204" s="31"/>
      <c r="Z204" s="31"/>
      <c r="AA204" s="31"/>
      <c r="AB204" s="31"/>
      <c r="AC204" s="31">
        <f t="shared" si="119"/>
        <v>0</v>
      </c>
      <c r="AD204" s="31"/>
      <c r="AE204" s="31"/>
      <c r="AF204" s="31"/>
      <c r="AG204" s="31"/>
      <c r="AH204" s="31"/>
      <c r="AI204" s="31"/>
      <c r="AJ204" s="31">
        <v>25</v>
      </c>
      <c r="AK204" s="31"/>
      <c r="AL204" s="31">
        <v>24</v>
      </c>
      <c r="AM204" s="31"/>
      <c r="AN204" s="31">
        <f t="shared" si="115"/>
        <v>49</v>
      </c>
      <c r="AO204" s="31"/>
      <c r="AP204" s="31">
        <v>23</v>
      </c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>
        <f t="shared" si="116"/>
        <v>23</v>
      </c>
      <c r="BE204" s="29">
        <f t="shared" si="103"/>
        <v>242</v>
      </c>
      <c r="BF204" s="29">
        <f t="shared" si="117"/>
        <v>23</v>
      </c>
      <c r="BG204" s="29">
        <f>VLOOKUP(E204,'[3]Y2604-Y2608_庫存&amp;銷售'!$F:$AJ,23,0)</f>
        <v>0.5</v>
      </c>
      <c r="BH204" s="29">
        <f>VLOOKUP(E204,'[3]Y2604-Y2608_庫存&amp;銷售'!$F:$AL,25,0)</f>
        <v>0</v>
      </c>
      <c r="BI204" s="29">
        <f>VLOOKUP(E204,'[3]Y2604-Y2608_庫存&amp;銷售'!$F:$AN,30,0)</f>
        <v>0</v>
      </c>
      <c r="BJ204" s="81">
        <f t="shared" si="120"/>
        <v>0</v>
      </c>
      <c r="BK204" s="81">
        <f t="shared" si="121"/>
        <v>158640</v>
      </c>
      <c r="BL204" s="81">
        <f t="shared" si="122"/>
        <v>339489.60000000003</v>
      </c>
      <c r="BM204" s="81">
        <f t="shared" si="107"/>
        <v>0</v>
      </c>
      <c r="BN204" s="81">
        <f t="shared" si="108"/>
        <v>0</v>
      </c>
      <c r="BO204" s="81">
        <f t="shared" si="109"/>
        <v>0</v>
      </c>
      <c r="BP204" s="81">
        <f t="shared" si="96"/>
        <v>77733.600000000006</v>
      </c>
      <c r="BQ204" s="81">
        <f t="shared" si="97"/>
        <v>67032</v>
      </c>
      <c r="BR204" s="81">
        <f t="shared" si="98"/>
        <v>76921.718999999997</v>
      </c>
      <c r="BS204" s="199">
        <f t="shared" si="118"/>
        <v>36487.200000000004</v>
      </c>
      <c r="BT204" s="199">
        <f t="shared" si="113"/>
        <v>31464</v>
      </c>
      <c r="BU204" s="199">
        <f t="shared" si="114"/>
        <v>36106.112999999998</v>
      </c>
      <c r="BV204" s="112">
        <f>VLOOKUP(E204,'[4]Y2604-Y2608_庫存&amp;銷售'!$F:$AB,17,0)</f>
        <v>0</v>
      </c>
      <c r="BW204" s="112">
        <f>VLOOKUP(A204,'[5]Demand inbond in Sep'!$B:$M,12,0)</f>
        <v>24</v>
      </c>
      <c r="BX204" s="112"/>
    </row>
    <row r="205" spans="1:76" ht="15" x14ac:dyDescent="0.35">
      <c r="A205" s="2">
        <v>522244896416693</v>
      </c>
      <c r="B205" s="30" t="s">
        <v>234</v>
      </c>
      <c r="C205" s="46" t="s">
        <v>235</v>
      </c>
      <c r="D205" s="47">
        <v>83906959</v>
      </c>
      <c r="E205" s="47">
        <v>44987176376891</v>
      </c>
      <c r="F205" s="47">
        <v>44987176376891</v>
      </c>
      <c r="G205" s="111" t="s">
        <v>294</v>
      </c>
      <c r="H205" s="1">
        <v>342</v>
      </c>
      <c r="I205" s="1" t="s">
        <v>173</v>
      </c>
      <c r="J205" s="5">
        <v>4</v>
      </c>
      <c r="K205" s="5">
        <v>1586.4</v>
      </c>
      <c r="L205" s="5">
        <v>1539.05</v>
      </c>
      <c r="M205" s="115"/>
      <c r="N205" s="21">
        <v>100</v>
      </c>
      <c r="O205" s="23">
        <v>250</v>
      </c>
      <c r="P205" s="108"/>
      <c r="Q205" s="108"/>
      <c r="R205" s="108"/>
      <c r="S205" s="107"/>
      <c r="T205" s="107"/>
      <c r="U205" s="107"/>
      <c r="V205" s="31"/>
      <c r="W205" s="31"/>
      <c r="X205" s="31"/>
      <c r="Y205" s="31"/>
      <c r="Z205" s="31"/>
      <c r="AA205" s="31"/>
      <c r="AB205" s="31"/>
      <c r="AC205" s="31">
        <f t="shared" si="119"/>
        <v>0</v>
      </c>
      <c r="AD205" s="31"/>
      <c r="AE205" s="31"/>
      <c r="AF205" s="31"/>
      <c r="AG205" s="31"/>
      <c r="AH205" s="31"/>
      <c r="AI205" s="31"/>
      <c r="AJ205" s="31">
        <v>25</v>
      </c>
      <c r="AK205" s="31"/>
      <c r="AL205" s="31">
        <v>24</v>
      </c>
      <c r="AM205" s="31"/>
      <c r="AN205" s="31">
        <f t="shared" si="115"/>
        <v>49</v>
      </c>
      <c r="AO205" s="31"/>
      <c r="AP205" s="31">
        <v>23</v>
      </c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>
        <f t="shared" si="116"/>
        <v>23</v>
      </c>
      <c r="BE205" s="29">
        <f t="shared" si="103"/>
        <v>278</v>
      </c>
      <c r="BF205" s="29">
        <f t="shared" si="117"/>
        <v>23</v>
      </c>
      <c r="BG205" s="29">
        <f>VLOOKUP(E205,'[3]Y2604-Y2608_庫存&amp;銷售'!$F:$AJ,23,0)</f>
        <v>0</v>
      </c>
      <c r="BH205" s="29">
        <f>VLOOKUP(E205,'[3]Y2604-Y2608_庫存&amp;銷售'!$F:$AL,25,0)</f>
        <v>0</v>
      </c>
      <c r="BI205" s="29">
        <f>VLOOKUP(E205,'[3]Y2604-Y2608_庫存&amp;銷售'!$F:$AN,30,0)</f>
        <v>0</v>
      </c>
      <c r="BJ205" s="81">
        <f t="shared" si="120"/>
        <v>0</v>
      </c>
      <c r="BK205" s="81">
        <f t="shared" si="121"/>
        <v>158640</v>
      </c>
      <c r="BL205" s="81">
        <f t="shared" si="122"/>
        <v>396600</v>
      </c>
      <c r="BM205" s="81">
        <f t="shared" si="107"/>
        <v>0</v>
      </c>
      <c r="BN205" s="81">
        <f t="shared" si="108"/>
        <v>0</v>
      </c>
      <c r="BO205" s="81">
        <f t="shared" si="109"/>
        <v>0</v>
      </c>
      <c r="BP205" s="81">
        <f t="shared" si="96"/>
        <v>77733.600000000006</v>
      </c>
      <c r="BQ205" s="81">
        <f t="shared" si="97"/>
        <v>67032</v>
      </c>
      <c r="BR205" s="81">
        <f t="shared" si="98"/>
        <v>76921.718999999997</v>
      </c>
      <c r="BS205" s="199">
        <f t="shared" si="118"/>
        <v>36487.200000000004</v>
      </c>
      <c r="BT205" s="199">
        <f t="shared" si="113"/>
        <v>31464</v>
      </c>
      <c r="BU205" s="199">
        <f t="shared" si="114"/>
        <v>36106.112999999998</v>
      </c>
      <c r="BV205" s="112">
        <f>VLOOKUP(E205,'[4]Y2604-Y2608_庫存&amp;銷售'!$F:$AB,17,0)</f>
        <v>0</v>
      </c>
      <c r="BW205" s="112">
        <f>VLOOKUP(A205,'[5]Demand inbond in Sep'!$B:$M,12,0)</f>
        <v>24</v>
      </c>
      <c r="BX205" s="112"/>
    </row>
    <row r="206" spans="1:76" ht="15" x14ac:dyDescent="0.35">
      <c r="A206" s="183">
        <v>253728745553922</v>
      </c>
      <c r="B206" s="30" t="s">
        <v>234</v>
      </c>
      <c r="C206" s="46" t="s">
        <v>345</v>
      </c>
      <c r="D206" s="47">
        <v>80765457</v>
      </c>
      <c r="E206" s="182">
        <v>4902430826846</v>
      </c>
      <c r="F206" s="182">
        <v>4902430826846</v>
      </c>
      <c r="G206" s="31" t="s">
        <v>342</v>
      </c>
      <c r="H206" s="1">
        <v>99</v>
      </c>
      <c r="I206" s="1"/>
      <c r="J206" s="5">
        <v>12</v>
      </c>
      <c r="K206" s="5">
        <v>1209.5999999999999</v>
      </c>
      <c r="L206" s="5">
        <v>1170.71</v>
      </c>
      <c r="M206" s="115"/>
      <c r="N206" s="21">
        <v>74</v>
      </c>
      <c r="O206" s="23">
        <v>75</v>
      </c>
      <c r="P206" s="108"/>
      <c r="Q206" s="108"/>
      <c r="R206" s="108"/>
      <c r="S206" s="107"/>
      <c r="T206" s="107"/>
      <c r="U206" s="107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>
        <v>113</v>
      </c>
      <c r="AM206" s="31"/>
      <c r="AN206" s="31">
        <f t="shared" si="115"/>
        <v>113</v>
      </c>
      <c r="AO206" s="31"/>
      <c r="AP206" s="31"/>
      <c r="AQ206" s="31"/>
      <c r="AR206" s="31"/>
      <c r="AS206" s="31"/>
      <c r="AT206" s="31">
        <v>74</v>
      </c>
      <c r="AU206" s="31"/>
      <c r="AV206" s="31"/>
      <c r="AW206" s="31"/>
      <c r="AX206" s="31"/>
      <c r="AY206" s="31"/>
      <c r="AZ206" s="31"/>
      <c r="BA206" s="31"/>
      <c r="BB206" s="31"/>
      <c r="BC206" s="31"/>
      <c r="BD206" s="31">
        <f t="shared" si="116"/>
        <v>74</v>
      </c>
      <c r="BE206" s="29">
        <f t="shared" si="103"/>
        <v>-38</v>
      </c>
      <c r="BF206" s="29">
        <f t="shared" si="117"/>
        <v>74</v>
      </c>
      <c r="BG206" s="29">
        <f>VLOOKUP(E206,'[3]Y2604-Y2608_庫存&amp;銷售'!$F:$AJ,23,0)</f>
        <v>5.583333333333333</v>
      </c>
      <c r="BH206" s="29">
        <f>VLOOKUP(E206,'[3]Y2604-Y2608_庫存&amp;銷售'!$F:$AL,25,0)</f>
        <v>0</v>
      </c>
      <c r="BI206" s="29">
        <f>VLOOKUP(E206,'[3]Y2604-Y2608_庫存&amp;銷售'!$F:$AN,30,0)</f>
        <v>0</v>
      </c>
      <c r="BJ206" s="81"/>
      <c r="BK206" s="81">
        <f t="shared" si="121"/>
        <v>89510.399999999994</v>
      </c>
      <c r="BL206" s="81"/>
      <c r="BM206" s="81">
        <f t="shared" si="107"/>
        <v>0</v>
      </c>
      <c r="BN206" s="81">
        <f t="shared" si="108"/>
        <v>0</v>
      </c>
      <c r="BO206" s="81">
        <f t="shared" si="109"/>
        <v>0</v>
      </c>
      <c r="BP206" s="81">
        <f t="shared" si="96"/>
        <v>136684.79999999999</v>
      </c>
      <c r="BQ206" s="81">
        <f t="shared" si="97"/>
        <v>134244</v>
      </c>
      <c r="BR206" s="81">
        <f t="shared" si="98"/>
        <v>134936.03459999998</v>
      </c>
      <c r="BS206" s="199">
        <f t="shared" si="118"/>
        <v>89510.399999999994</v>
      </c>
      <c r="BT206" s="199">
        <f t="shared" si="113"/>
        <v>87912</v>
      </c>
      <c r="BU206" s="199">
        <f t="shared" si="114"/>
        <v>88365.190799999997</v>
      </c>
      <c r="BV206" s="112">
        <f>VLOOKUP(E206,'[4]Y2604-Y2608_庫存&amp;銷售'!$F:$AB,17,0)</f>
        <v>0</v>
      </c>
      <c r="BW206" s="112">
        <f>VLOOKUP(A206,'[5]Demand inbond in Sep'!$B:$M,12,0)</f>
        <v>75</v>
      </c>
      <c r="BX206" s="112"/>
    </row>
    <row r="207" spans="1:76" ht="15" x14ac:dyDescent="0.35">
      <c r="A207" s="185">
        <v>253728745553924</v>
      </c>
      <c r="B207" s="30" t="s">
        <v>234</v>
      </c>
      <c r="C207" s="46" t="s">
        <v>345</v>
      </c>
      <c r="D207" s="185">
        <v>80765456</v>
      </c>
      <c r="E207" s="185">
        <v>4902430826815</v>
      </c>
      <c r="F207" s="185">
        <v>4902430826815</v>
      </c>
      <c r="G207" s="184" t="s">
        <v>343</v>
      </c>
      <c r="H207" s="1">
        <v>99</v>
      </c>
      <c r="I207" s="1"/>
      <c r="J207" s="5">
        <v>12</v>
      </c>
      <c r="K207" s="5">
        <v>1209.5999999999999</v>
      </c>
      <c r="L207" s="5">
        <v>1170.71</v>
      </c>
      <c r="M207" s="115"/>
      <c r="N207" s="21">
        <v>19</v>
      </c>
      <c r="O207" s="23">
        <v>20</v>
      </c>
      <c r="P207" s="108"/>
      <c r="Q207" s="108"/>
      <c r="R207" s="108"/>
      <c r="S207" s="107"/>
      <c r="T207" s="107"/>
      <c r="U207" s="107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>
        <v>19</v>
      </c>
      <c r="AM207" s="31"/>
      <c r="AN207" s="31">
        <f t="shared" si="115"/>
        <v>19</v>
      </c>
      <c r="AO207" s="31"/>
      <c r="AP207" s="31"/>
      <c r="AQ207" s="31"/>
      <c r="AR207" s="31"/>
      <c r="AS207" s="31"/>
      <c r="AT207" s="31">
        <v>19</v>
      </c>
      <c r="AU207" s="31"/>
      <c r="AV207" s="31"/>
      <c r="AW207" s="31">
        <v>0</v>
      </c>
      <c r="AX207" s="31">
        <v>50</v>
      </c>
      <c r="AY207" s="31"/>
      <c r="AZ207" s="31"/>
      <c r="BA207" s="31"/>
      <c r="BB207" s="31"/>
      <c r="BC207" s="31"/>
      <c r="BD207" s="31">
        <f t="shared" si="116"/>
        <v>69</v>
      </c>
      <c r="BE207" s="29">
        <f t="shared" si="103"/>
        <v>-49</v>
      </c>
      <c r="BF207" s="29">
        <f t="shared" si="117"/>
        <v>19</v>
      </c>
      <c r="BG207" s="29">
        <f>VLOOKUP(E207,'[3]Y2604-Y2608_庫存&amp;銷售'!$F:$AJ,23,0)</f>
        <v>5</v>
      </c>
      <c r="BH207" s="29">
        <f>VLOOKUP(E207,'[3]Y2604-Y2608_庫存&amp;銷售'!$F:$AL,25,0)</f>
        <v>0</v>
      </c>
      <c r="BI207" s="29">
        <f>VLOOKUP(E207,'[3]Y2604-Y2608_庫存&amp;銷售'!$F:$AN,30,0)</f>
        <v>50</v>
      </c>
      <c r="BJ207" s="81"/>
      <c r="BK207" s="81"/>
      <c r="BL207" s="81"/>
      <c r="BM207" s="81">
        <f t="shared" si="107"/>
        <v>0</v>
      </c>
      <c r="BN207" s="81">
        <f t="shared" si="108"/>
        <v>0</v>
      </c>
      <c r="BO207" s="81">
        <f t="shared" si="109"/>
        <v>0</v>
      </c>
      <c r="BP207" s="81">
        <f t="shared" si="96"/>
        <v>22982.399999999998</v>
      </c>
      <c r="BQ207" s="81">
        <f t="shared" si="97"/>
        <v>22572</v>
      </c>
      <c r="BR207" s="81">
        <f t="shared" si="98"/>
        <v>22688.359799999998</v>
      </c>
      <c r="BS207" s="199">
        <f t="shared" si="118"/>
        <v>83462.399999999994</v>
      </c>
      <c r="BT207" s="199">
        <f t="shared" si="113"/>
        <v>81972</v>
      </c>
      <c r="BU207" s="199">
        <f t="shared" si="114"/>
        <v>82394.569799999997</v>
      </c>
      <c r="BV207" s="112">
        <f>VLOOKUP(E207,'[4]Y2604-Y2608_庫存&amp;銷售'!$F:$AB,17,0)</f>
        <v>0</v>
      </c>
      <c r="BW207" s="112">
        <f>VLOOKUP(A207,'[5]Demand inbond in Sep'!$B:$M,12,0)</f>
        <v>20</v>
      </c>
      <c r="BX207" s="112"/>
    </row>
    <row r="208" spans="1:76" ht="15" x14ac:dyDescent="0.35">
      <c r="A208" s="109">
        <v>122902754082831</v>
      </c>
      <c r="B208" s="30" t="s">
        <v>225</v>
      </c>
      <c r="C208" s="46" t="s">
        <v>228</v>
      </c>
      <c r="D208" s="109">
        <v>82330135</v>
      </c>
      <c r="E208" s="109">
        <v>4902430825801</v>
      </c>
      <c r="F208" s="109">
        <v>14902430825801</v>
      </c>
      <c r="G208" s="110" t="s">
        <v>295</v>
      </c>
      <c r="H208" s="1">
        <v>234</v>
      </c>
      <c r="I208" s="1"/>
      <c r="J208" s="5">
        <v>9</v>
      </c>
      <c r="K208" s="5">
        <v>2397</v>
      </c>
      <c r="L208" s="5">
        <v>2331.4567499999998</v>
      </c>
      <c r="M208" s="169">
        <f>10+34</f>
        <v>44</v>
      </c>
      <c r="N208" s="21">
        <v>15</v>
      </c>
      <c r="O208" s="23">
        <f>VLOOKUP(E208,'[5]Demand inbond in Sep'!$C:$M,11,0)</f>
        <v>0</v>
      </c>
      <c r="P208" s="108"/>
      <c r="Q208" s="108"/>
      <c r="R208" s="108"/>
      <c r="S208" s="107"/>
      <c r="T208" s="107"/>
      <c r="U208" s="107"/>
      <c r="V208" s="31"/>
      <c r="W208" s="31"/>
      <c r="X208" s="31"/>
      <c r="Y208" s="31"/>
      <c r="Z208" s="31"/>
      <c r="AA208" s="31">
        <v>44</v>
      </c>
      <c r="AB208" s="31"/>
      <c r="AC208" s="31">
        <f t="shared" si="119"/>
        <v>44</v>
      </c>
      <c r="AD208" s="31"/>
      <c r="AE208" s="31"/>
      <c r="AF208" s="31">
        <v>15</v>
      </c>
      <c r="AG208" s="31"/>
      <c r="AH208" s="31"/>
      <c r="AI208" s="31"/>
      <c r="AJ208" s="31">
        <v>0</v>
      </c>
      <c r="AK208" s="31"/>
      <c r="AL208" s="31"/>
      <c r="AM208" s="31"/>
      <c r="AN208" s="31">
        <f t="shared" si="115"/>
        <v>15</v>
      </c>
      <c r="AO208" s="31"/>
      <c r="AP208" s="31">
        <v>0</v>
      </c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>
        <f t="shared" si="116"/>
        <v>0</v>
      </c>
      <c r="BE208" s="29">
        <f t="shared" ref="BE208:BE234" si="123">O208-BD208</f>
        <v>0</v>
      </c>
      <c r="BF208" s="29">
        <f t="shared" si="117"/>
        <v>0</v>
      </c>
      <c r="BG208" s="29">
        <f>VLOOKUP(E208,'[3]Y2604-Y2608_庫存&amp;銷售'!$F:$AJ,23,0)</f>
        <v>1</v>
      </c>
      <c r="BH208" s="29">
        <f>VLOOKUP(E208,'[3]Y2604-Y2608_庫存&amp;銷售'!$F:$AL,25,0)</f>
        <v>0</v>
      </c>
      <c r="BI208" s="29">
        <f>VLOOKUP(E208,'[3]Y2604-Y2608_庫存&amp;銷售'!$F:$AN,30,0)</f>
        <v>0</v>
      </c>
      <c r="BJ208" s="81">
        <f t="shared" ref="BJ208:BJ214" si="124">M208*K208</f>
        <v>105468</v>
      </c>
      <c r="BK208" s="81">
        <f t="shared" ref="BK208:BK214" si="125">N208*K208</f>
        <v>35955</v>
      </c>
      <c r="BL208" s="81">
        <f t="shared" ref="BL208:BL214" si="126">O208*K208</f>
        <v>0</v>
      </c>
      <c r="BM208" s="81">
        <f t="shared" si="107"/>
        <v>105468</v>
      </c>
      <c r="BN208" s="81">
        <f t="shared" si="108"/>
        <v>92664</v>
      </c>
      <c r="BO208" s="81">
        <f t="shared" si="109"/>
        <v>104635.77894</v>
      </c>
      <c r="BP208" s="81">
        <f t="shared" si="96"/>
        <v>35955</v>
      </c>
      <c r="BQ208" s="81">
        <f t="shared" si="97"/>
        <v>31590</v>
      </c>
      <c r="BR208" s="81">
        <f t="shared" si="98"/>
        <v>35671.288274999999</v>
      </c>
      <c r="BS208" s="199">
        <f t="shared" si="118"/>
        <v>0</v>
      </c>
      <c r="BT208" s="199">
        <f t="shared" si="113"/>
        <v>0</v>
      </c>
      <c r="BU208" s="199">
        <f t="shared" si="114"/>
        <v>0</v>
      </c>
      <c r="BV208" s="112">
        <f>VLOOKUP(E208,'[4]Y2604-Y2608_庫存&amp;銷售'!$F:$AB,17,0)</f>
        <v>2.666666666666667</v>
      </c>
      <c r="BW208" s="112">
        <f>VLOOKUP(A208,'[5]Demand inbond in Sep'!$B:$M,12,0)</f>
        <v>0</v>
      </c>
      <c r="BX208" s="112"/>
    </row>
    <row r="209" spans="1:76" ht="15" x14ac:dyDescent="0.35">
      <c r="A209" s="109">
        <v>206621913350145</v>
      </c>
      <c r="B209" s="30" t="s">
        <v>225</v>
      </c>
      <c r="C209" s="46" t="s">
        <v>228</v>
      </c>
      <c r="D209" s="109">
        <v>82326072</v>
      </c>
      <c r="E209" s="109">
        <v>4902430900614</v>
      </c>
      <c r="F209" s="109">
        <v>14902430900614</v>
      </c>
      <c r="G209" s="110" t="s">
        <v>296</v>
      </c>
      <c r="H209" s="1">
        <v>234</v>
      </c>
      <c r="I209" s="1"/>
      <c r="J209" s="5">
        <v>9</v>
      </c>
      <c r="K209" s="5">
        <v>2397</v>
      </c>
      <c r="L209" s="5">
        <v>2331.4567499999998</v>
      </c>
      <c r="M209" s="169">
        <f>10+56</f>
        <v>66</v>
      </c>
      <c r="N209" s="21">
        <v>44</v>
      </c>
      <c r="O209" s="23">
        <f>VLOOKUP(E209,'[5]Demand inbond in Sep'!$C:$M,11,0)</f>
        <v>0</v>
      </c>
      <c r="P209" s="108"/>
      <c r="Q209" s="108"/>
      <c r="R209" s="108"/>
      <c r="S209" s="107"/>
      <c r="T209" s="107"/>
      <c r="U209" s="107"/>
      <c r="V209" s="31"/>
      <c r="W209" s="31"/>
      <c r="X209" s="31"/>
      <c r="Y209" s="31"/>
      <c r="Z209" s="31"/>
      <c r="AA209" s="31">
        <v>66</v>
      </c>
      <c r="AB209" s="31"/>
      <c r="AC209" s="31">
        <f t="shared" si="119"/>
        <v>66</v>
      </c>
      <c r="AD209" s="31"/>
      <c r="AE209" s="31"/>
      <c r="AF209" s="31">
        <v>33</v>
      </c>
      <c r="AG209" s="31"/>
      <c r="AH209" s="31"/>
      <c r="AI209" s="31">
        <v>11</v>
      </c>
      <c r="AJ209" s="31"/>
      <c r="AK209" s="31"/>
      <c r="AL209" s="31"/>
      <c r="AM209" s="31"/>
      <c r="AN209" s="31">
        <f t="shared" si="115"/>
        <v>44</v>
      </c>
      <c r="AO209" s="31"/>
      <c r="AP209" s="31">
        <v>0</v>
      </c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>
        <f t="shared" si="116"/>
        <v>0</v>
      </c>
      <c r="BE209" s="29">
        <f t="shared" si="123"/>
        <v>0</v>
      </c>
      <c r="BF209" s="29">
        <f t="shared" si="117"/>
        <v>0</v>
      </c>
      <c r="BG209" s="29">
        <f>VLOOKUP(E209,'[3]Y2604-Y2608_庫存&amp;銷售'!$F:$AJ,23,0)</f>
        <v>4.7777777777777777</v>
      </c>
      <c r="BH209" s="29">
        <f>VLOOKUP(E209,'[3]Y2604-Y2608_庫存&amp;銷售'!$F:$AL,25,0)</f>
        <v>0</v>
      </c>
      <c r="BI209" s="29">
        <f>VLOOKUP(E209,'[3]Y2604-Y2608_庫存&amp;銷售'!$F:$AN,30,0)</f>
        <v>0</v>
      </c>
      <c r="BJ209" s="81">
        <f t="shared" si="124"/>
        <v>158202</v>
      </c>
      <c r="BK209" s="81">
        <f t="shared" si="125"/>
        <v>105468</v>
      </c>
      <c r="BL209" s="81">
        <f t="shared" si="126"/>
        <v>0</v>
      </c>
      <c r="BM209" s="81">
        <f t="shared" si="107"/>
        <v>158202</v>
      </c>
      <c r="BN209" s="81">
        <f t="shared" si="108"/>
        <v>138996</v>
      </c>
      <c r="BO209" s="81">
        <f t="shared" si="109"/>
        <v>156953.66840999998</v>
      </c>
      <c r="BP209" s="81">
        <f t="shared" si="96"/>
        <v>105468</v>
      </c>
      <c r="BQ209" s="81">
        <f t="shared" si="97"/>
        <v>92664</v>
      </c>
      <c r="BR209" s="81">
        <f t="shared" si="98"/>
        <v>104635.77894</v>
      </c>
      <c r="BS209" s="199">
        <f t="shared" si="118"/>
        <v>0</v>
      </c>
      <c r="BT209" s="199">
        <f t="shared" si="113"/>
        <v>0</v>
      </c>
      <c r="BU209" s="199">
        <f t="shared" si="114"/>
        <v>0</v>
      </c>
      <c r="BV209" s="112">
        <f>VLOOKUP(E209,'[4]Y2604-Y2608_庫存&amp;銷售'!$F:$AB,17,0)</f>
        <v>3.6666666666666665</v>
      </c>
      <c r="BW209" s="112">
        <f>VLOOKUP(A209,'[5]Demand inbond in Sep'!$B:$M,12,0)</f>
        <v>0</v>
      </c>
      <c r="BX209" s="112"/>
    </row>
    <row r="210" spans="1:76" ht="15" x14ac:dyDescent="0.35">
      <c r="A210" s="109">
        <v>206654503092224</v>
      </c>
      <c r="B210" s="30" t="s">
        <v>225</v>
      </c>
      <c r="C210" s="46" t="s">
        <v>228</v>
      </c>
      <c r="D210" s="109">
        <v>82330134</v>
      </c>
      <c r="E210" s="109">
        <v>4902430900591</v>
      </c>
      <c r="F210" s="109">
        <v>14902430900591</v>
      </c>
      <c r="G210" s="110" t="s">
        <v>297</v>
      </c>
      <c r="H210" s="1">
        <v>234</v>
      </c>
      <c r="I210" s="1"/>
      <c r="J210" s="5">
        <v>9</v>
      </c>
      <c r="K210" s="5">
        <v>2397</v>
      </c>
      <c r="L210" s="5">
        <v>2331.4567499999998</v>
      </c>
      <c r="M210" s="115">
        <v>10</v>
      </c>
      <c r="N210" s="21">
        <v>73</v>
      </c>
      <c r="O210" s="23">
        <f>VLOOKUP(E210,'[5]Demand inbond in Sep'!$C:$M,11,0)</f>
        <v>0</v>
      </c>
      <c r="P210" s="108"/>
      <c r="Q210" s="108"/>
      <c r="R210" s="108"/>
      <c r="S210" s="107"/>
      <c r="T210" s="107"/>
      <c r="U210" s="107"/>
      <c r="V210" s="31"/>
      <c r="W210" s="31"/>
      <c r="X210" s="31"/>
      <c r="Y210" s="31"/>
      <c r="Z210" s="31"/>
      <c r="AA210" s="31">
        <v>0</v>
      </c>
      <c r="AB210" s="31">
        <v>0</v>
      </c>
      <c r="AC210" s="31">
        <f t="shared" si="119"/>
        <v>0</v>
      </c>
      <c r="AD210" s="31"/>
      <c r="AE210" s="31"/>
      <c r="AF210" s="31">
        <v>83</v>
      </c>
      <c r="AG210" s="31"/>
      <c r="AH210" s="31"/>
      <c r="AI210" s="31"/>
      <c r="AJ210" s="31">
        <v>0</v>
      </c>
      <c r="AK210" s="31"/>
      <c r="AL210" s="31"/>
      <c r="AM210" s="31"/>
      <c r="AN210" s="31">
        <f t="shared" si="115"/>
        <v>83</v>
      </c>
      <c r="AO210" s="31"/>
      <c r="AP210" s="31">
        <v>0</v>
      </c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>
        <f t="shared" si="116"/>
        <v>0</v>
      </c>
      <c r="BE210" s="29">
        <f t="shared" si="123"/>
        <v>0</v>
      </c>
      <c r="BF210" s="29">
        <f t="shared" si="117"/>
        <v>0</v>
      </c>
      <c r="BG210" s="29">
        <f>VLOOKUP(E210,'[3]Y2604-Y2608_庫存&amp;銷售'!$F:$AJ,23,0)</f>
        <v>3.2222222222222219</v>
      </c>
      <c r="BH210" s="29">
        <f>VLOOKUP(E210,'[3]Y2604-Y2608_庫存&amp;銷售'!$F:$AL,25,0)</f>
        <v>0</v>
      </c>
      <c r="BI210" s="29">
        <f>VLOOKUP(E210,'[3]Y2604-Y2608_庫存&amp;銷售'!$F:$AN,30,0)</f>
        <v>0</v>
      </c>
      <c r="BJ210" s="81">
        <f t="shared" si="124"/>
        <v>23970</v>
      </c>
      <c r="BK210" s="81">
        <f t="shared" si="125"/>
        <v>174981</v>
      </c>
      <c r="BL210" s="81">
        <f t="shared" si="126"/>
        <v>0</v>
      </c>
      <c r="BM210" s="81">
        <f t="shared" si="107"/>
        <v>0</v>
      </c>
      <c r="BN210" s="81">
        <f t="shared" si="108"/>
        <v>0</v>
      </c>
      <c r="BO210" s="81">
        <f t="shared" si="109"/>
        <v>0</v>
      </c>
      <c r="BP210" s="81">
        <f t="shared" si="96"/>
        <v>198951</v>
      </c>
      <c r="BQ210" s="81">
        <f t="shared" si="97"/>
        <v>174798</v>
      </c>
      <c r="BR210" s="81">
        <f t="shared" si="98"/>
        <v>197381.128455</v>
      </c>
      <c r="BS210" s="199">
        <f t="shared" si="118"/>
        <v>0</v>
      </c>
      <c r="BT210" s="199">
        <f t="shared" si="113"/>
        <v>0</v>
      </c>
      <c r="BU210" s="199">
        <f t="shared" si="114"/>
        <v>0</v>
      </c>
      <c r="BV210" s="112">
        <f>VLOOKUP(E210,'[4]Y2604-Y2608_庫存&amp;銷售'!$F:$AB,17,0)</f>
        <v>0</v>
      </c>
      <c r="BW210" s="112">
        <f>VLOOKUP(A210,'[5]Demand inbond in Sep'!$B:$M,12,0)</f>
        <v>0</v>
      </c>
      <c r="BX210" s="112"/>
    </row>
    <row r="211" spans="1:76" ht="15" x14ac:dyDescent="0.35">
      <c r="A211" s="109">
        <v>206620600516608</v>
      </c>
      <c r="B211" s="30" t="s">
        <v>225</v>
      </c>
      <c r="C211" s="46" t="s">
        <v>229</v>
      </c>
      <c r="D211" s="109">
        <v>80811156</v>
      </c>
      <c r="E211" s="109">
        <v>4987176040589</v>
      </c>
      <c r="F211" s="109">
        <v>4987176040589</v>
      </c>
      <c r="G211" s="110" t="s">
        <v>298</v>
      </c>
      <c r="H211" s="1">
        <v>173</v>
      </c>
      <c r="I211" s="1"/>
      <c r="J211" s="5">
        <v>6</v>
      </c>
      <c r="K211" s="5">
        <v>1161</v>
      </c>
      <c r="L211" s="5">
        <v>1123.2049500000001</v>
      </c>
      <c r="M211" s="169">
        <f>10+190</f>
        <v>200</v>
      </c>
      <c r="N211" s="21">
        <v>36</v>
      </c>
      <c r="O211" s="23">
        <f>VLOOKUP(E211,'[5]Demand inbond in Sep'!$C:$M,11,0)</f>
        <v>0</v>
      </c>
      <c r="P211" s="108"/>
      <c r="Q211" s="108"/>
      <c r="R211" s="108"/>
      <c r="S211" s="107"/>
      <c r="T211" s="107"/>
      <c r="U211" s="107"/>
      <c r="V211" s="31"/>
      <c r="W211" s="31"/>
      <c r="X211" s="31"/>
      <c r="Y211" s="31"/>
      <c r="Z211" s="31"/>
      <c r="AA211" s="31">
        <v>200</v>
      </c>
      <c r="AB211" s="31"/>
      <c r="AC211" s="31">
        <f t="shared" si="119"/>
        <v>200</v>
      </c>
      <c r="AD211" s="31"/>
      <c r="AE211" s="31">
        <v>36</v>
      </c>
      <c r="AF211" s="31"/>
      <c r="AG211" s="31"/>
      <c r="AH211" s="31"/>
      <c r="AI211" s="31"/>
      <c r="AJ211" s="31">
        <v>0</v>
      </c>
      <c r="AK211" s="31"/>
      <c r="AL211" s="31"/>
      <c r="AM211" s="31"/>
      <c r="AN211" s="31">
        <f t="shared" si="115"/>
        <v>36</v>
      </c>
      <c r="AO211" s="31"/>
      <c r="AP211" s="31">
        <v>0</v>
      </c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>
        <f t="shared" si="116"/>
        <v>0</v>
      </c>
      <c r="BE211" s="29">
        <f t="shared" si="123"/>
        <v>0</v>
      </c>
      <c r="BF211" s="29">
        <f t="shared" si="117"/>
        <v>0</v>
      </c>
      <c r="BG211" s="29">
        <f>VLOOKUP(E211,'[3]Y2604-Y2608_庫存&amp;銷售'!$F:$AJ,23,0)</f>
        <v>12.833333333333334</v>
      </c>
      <c r="BH211" s="29">
        <f>VLOOKUP(E211,'[3]Y2604-Y2608_庫存&amp;銷售'!$F:$AL,25,0)</f>
        <v>0</v>
      </c>
      <c r="BI211" s="29">
        <f>VLOOKUP(E211,'[3]Y2604-Y2608_庫存&amp;銷售'!$F:$AN,30,0)</f>
        <v>0</v>
      </c>
      <c r="BJ211" s="81">
        <f t="shared" si="124"/>
        <v>232200</v>
      </c>
      <c r="BK211" s="81">
        <f t="shared" si="125"/>
        <v>41796</v>
      </c>
      <c r="BL211" s="81">
        <f t="shared" si="126"/>
        <v>0</v>
      </c>
      <c r="BM211" s="81">
        <f t="shared" si="107"/>
        <v>232200</v>
      </c>
      <c r="BN211" s="81">
        <f t="shared" si="108"/>
        <v>207600</v>
      </c>
      <c r="BO211" s="81">
        <f t="shared" si="109"/>
        <v>229133.80980000002</v>
      </c>
      <c r="BP211" s="81">
        <f t="shared" si="96"/>
        <v>41796</v>
      </c>
      <c r="BQ211" s="81">
        <f t="shared" si="97"/>
        <v>37368</v>
      </c>
      <c r="BR211" s="81">
        <f t="shared" si="98"/>
        <v>41244.085764000003</v>
      </c>
      <c r="BS211" s="199">
        <f t="shared" si="118"/>
        <v>0</v>
      </c>
      <c r="BT211" s="199">
        <f t="shared" si="113"/>
        <v>0</v>
      </c>
      <c r="BU211" s="199">
        <f t="shared" si="114"/>
        <v>0</v>
      </c>
      <c r="BV211" s="112">
        <f>VLOOKUP(E211,'[4]Y2604-Y2608_庫存&amp;銷售'!$F:$AB,17,0)</f>
        <v>20.166666666666668</v>
      </c>
      <c r="BW211" s="112">
        <f>VLOOKUP(A211,'[5]Demand inbond in Sep'!$B:$M,12,0)</f>
        <v>0</v>
      </c>
      <c r="BX211" s="112"/>
    </row>
    <row r="212" spans="1:76" ht="15" x14ac:dyDescent="0.35">
      <c r="A212" s="109">
        <v>252997070192641</v>
      </c>
      <c r="B212" s="30" t="s">
        <v>225</v>
      </c>
      <c r="C212" s="46" t="s">
        <v>229</v>
      </c>
      <c r="D212" s="109">
        <v>80729263</v>
      </c>
      <c r="E212" s="109">
        <v>4987176151322</v>
      </c>
      <c r="F212" s="109">
        <v>4987176151322</v>
      </c>
      <c r="G212" s="110" t="s">
        <v>299</v>
      </c>
      <c r="H212" s="1">
        <v>170</v>
      </c>
      <c r="I212" s="1"/>
      <c r="J212" s="5">
        <v>6</v>
      </c>
      <c r="K212" s="5">
        <v>1161</v>
      </c>
      <c r="L212" s="5">
        <v>1123.2049500000001</v>
      </c>
      <c r="M212" s="169">
        <f>20+100</f>
        <v>120</v>
      </c>
      <c r="N212" s="21">
        <v>63</v>
      </c>
      <c r="O212" s="23">
        <f>VLOOKUP(E212,'[5]Demand inbond in Sep'!$C:$M,11,0)</f>
        <v>0</v>
      </c>
      <c r="P212" s="108"/>
      <c r="Q212" s="108"/>
      <c r="R212" s="108"/>
      <c r="S212" s="107"/>
      <c r="T212" s="107"/>
      <c r="U212" s="107"/>
      <c r="V212" s="31"/>
      <c r="W212" s="31"/>
      <c r="X212" s="31"/>
      <c r="Y212" s="31"/>
      <c r="Z212" s="31"/>
      <c r="AA212" s="31">
        <v>120</v>
      </c>
      <c r="AB212" s="31"/>
      <c r="AC212" s="31">
        <f t="shared" si="119"/>
        <v>120</v>
      </c>
      <c r="AD212" s="31"/>
      <c r="AE212" s="31">
        <v>50</v>
      </c>
      <c r="AF212" s="31"/>
      <c r="AG212" s="31"/>
      <c r="AH212" s="31"/>
      <c r="AI212" s="31"/>
      <c r="AJ212" s="31">
        <v>13</v>
      </c>
      <c r="AK212" s="31"/>
      <c r="AL212" s="31"/>
      <c r="AM212" s="31"/>
      <c r="AN212" s="31">
        <f t="shared" si="115"/>
        <v>63</v>
      </c>
      <c r="AO212" s="31"/>
      <c r="AP212" s="31">
        <v>0</v>
      </c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>
        <f t="shared" si="116"/>
        <v>0</v>
      </c>
      <c r="BE212" s="29">
        <f t="shared" si="123"/>
        <v>0</v>
      </c>
      <c r="BF212" s="29">
        <f t="shared" si="117"/>
        <v>0</v>
      </c>
      <c r="BG212" s="29">
        <f>VLOOKUP(E212,'[3]Y2604-Y2608_庫存&amp;銷售'!$F:$AJ,23,0)</f>
        <v>3.3333333333333335</v>
      </c>
      <c r="BH212" s="29">
        <f>VLOOKUP(E212,'[3]Y2604-Y2608_庫存&amp;銷售'!$F:$AL,25,0)</f>
        <v>0</v>
      </c>
      <c r="BI212" s="29">
        <f>VLOOKUP(E212,'[3]Y2604-Y2608_庫存&amp;銷售'!$F:$AN,30,0)</f>
        <v>0</v>
      </c>
      <c r="BJ212" s="81">
        <f t="shared" si="124"/>
        <v>139320</v>
      </c>
      <c r="BK212" s="81">
        <f t="shared" si="125"/>
        <v>73143</v>
      </c>
      <c r="BL212" s="81">
        <f t="shared" si="126"/>
        <v>0</v>
      </c>
      <c r="BM212" s="81">
        <f t="shared" si="107"/>
        <v>139320</v>
      </c>
      <c r="BN212" s="81">
        <f t="shared" si="108"/>
        <v>122400</v>
      </c>
      <c r="BO212" s="81">
        <f t="shared" si="109"/>
        <v>137480.28588000001</v>
      </c>
      <c r="BP212" s="81">
        <f t="shared" si="96"/>
        <v>73143</v>
      </c>
      <c r="BQ212" s="81">
        <f t="shared" si="97"/>
        <v>64260</v>
      </c>
      <c r="BR212" s="81">
        <f t="shared" si="98"/>
        <v>72177.150087000002</v>
      </c>
      <c r="BS212" s="199">
        <f t="shared" si="118"/>
        <v>0</v>
      </c>
      <c r="BT212" s="199">
        <f t="shared" si="113"/>
        <v>0</v>
      </c>
      <c r="BU212" s="199">
        <f t="shared" si="114"/>
        <v>0</v>
      </c>
      <c r="BV212" s="112">
        <f>VLOOKUP(E212,'[4]Y2604-Y2608_庫存&amp;銷售'!$F:$AB,17,0)</f>
        <v>9</v>
      </c>
      <c r="BW212" s="112">
        <f>VLOOKUP(A212,'[5]Demand inbond in Sep'!$B:$M,12,0)</f>
        <v>0</v>
      </c>
      <c r="BX212" s="112"/>
    </row>
    <row r="213" spans="1:76" x14ac:dyDescent="0.3">
      <c r="A213" s="123">
        <v>122903878139906</v>
      </c>
      <c r="B213" s="30" t="s">
        <v>225</v>
      </c>
      <c r="C213" s="122" t="s">
        <v>305</v>
      </c>
      <c r="D213" s="124">
        <v>80808849</v>
      </c>
      <c r="E213" s="125">
        <v>4902430661898</v>
      </c>
      <c r="F213" s="125">
        <v>4902430661898</v>
      </c>
      <c r="G213" s="126" t="s">
        <v>306</v>
      </c>
      <c r="H213" s="1">
        <v>257</v>
      </c>
      <c r="I213" s="120"/>
      <c r="J213" s="5">
        <v>9</v>
      </c>
      <c r="K213" s="121">
        <v>2452.9699999999998</v>
      </c>
      <c r="L213" s="121">
        <v>2386.1702234999998</v>
      </c>
      <c r="M213" s="115">
        <v>0</v>
      </c>
      <c r="N213" s="21">
        <v>200</v>
      </c>
      <c r="O213" s="23">
        <f>VLOOKUP(E213,'[5]Demand inbond in Sep'!$C:$M,11,0)</f>
        <v>115</v>
      </c>
      <c r="P213" s="108"/>
      <c r="Q213" s="108"/>
      <c r="R213" s="108"/>
      <c r="S213" s="107"/>
      <c r="T213" s="107"/>
      <c r="U213" s="107"/>
      <c r="V213" s="107"/>
      <c r="W213" s="107"/>
      <c r="X213" s="107"/>
      <c r="Y213" s="107"/>
      <c r="Z213" s="107"/>
      <c r="AA213" s="107"/>
      <c r="AB213" s="107"/>
      <c r="AC213" s="31">
        <f t="shared" si="119"/>
        <v>0</v>
      </c>
      <c r="AD213" s="31"/>
      <c r="AE213" s="31"/>
      <c r="AF213" s="31">
        <v>64</v>
      </c>
      <c r="AG213" s="31"/>
      <c r="AH213" s="31"/>
      <c r="AI213" s="31"/>
      <c r="AJ213" s="31">
        <v>57</v>
      </c>
      <c r="AK213" s="31"/>
      <c r="AL213" s="31"/>
      <c r="AM213" s="31"/>
      <c r="AN213" s="31">
        <f t="shared" si="115"/>
        <v>121</v>
      </c>
      <c r="AO213" s="31"/>
      <c r="AP213" s="31">
        <v>0</v>
      </c>
      <c r="AQ213" s="31"/>
      <c r="AR213" s="31"/>
      <c r="AS213" s="31"/>
      <c r="AT213" s="31">
        <v>0</v>
      </c>
      <c r="AU213" s="31"/>
      <c r="AV213" s="31"/>
      <c r="AW213" s="31"/>
      <c r="AX213" s="31">
        <v>115</v>
      </c>
      <c r="AY213" s="31"/>
      <c r="AZ213" s="31">
        <v>0</v>
      </c>
      <c r="BA213" s="31"/>
      <c r="BB213" s="31"/>
      <c r="BC213" s="31"/>
      <c r="BD213" s="31">
        <f t="shared" si="116"/>
        <v>115</v>
      </c>
      <c r="BE213" s="29">
        <f t="shared" si="123"/>
        <v>0</v>
      </c>
      <c r="BF213" s="29">
        <f t="shared" si="117"/>
        <v>0</v>
      </c>
      <c r="BG213" s="29">
        <f>VLOOKUP(E213,'[3]Y2604-Y2608_庫存&amp;銷售'!$F:$AJ,23,0)</f>
        <v>4</v>
      </c>
      <c r="BH213" s="29">
        <f>VLOOKUP(E213,'[3]Y2604-Y2608_庫存&amp;銷售'!$F:$AL,25,0)</f>
        <v>0</v>
      </c>
      <c r="BI213" s="29">
        <f>VLOOKUP(E213,'[3]Y2604-Y2608_庫存&amp;銷售'!$F:$AN,30,0)</f>
        <v>0</v>
      </c>
      <c r="BJ213" s="81">
        <f t="shared" si="124"/>
        <v>0</v>
      </c>
      <c r="BK213" s="81">
        <f t="shared" si="125"/>
        <v>490593.99999999994</v>
      </c>
      <c r="BL213" s="81">
        <f t="shared" si="126"/>
        <v>282091.55</v>
      </c>
      <c r="BM213" s="81">
        <f t="shared" si="107"/>
        <v>0</v>
      </c>
      <c r="BN213" s="81">
        <f t="shared" si="108"/>
        <v>0</v>
      </c>
      <c r="BO213" s="81">
        <f t="shared" si="109"/>
        <v>0</v>
      </c>
      <c r="BP213" s="81">
        <f t="shared" si="96"/>
        <v>296809.37</v>
      </c>
      <c r="BQ213" s="81">
        <f t="shared" si="97"/>
        <v>279873</v>
      </c>
      <c r="BR213" s="81">
        <f t="shared" si="98"/>
        <v>294501.12898436998</v>
      </c>
      <c r="BS213" s="199">
        <f t="shared" si="118"/>
        <v>282091.55</v>
      </c>
      <c r="BT213" s="199">
        <f t="shared" si="113"/>
        <v>265995</v>
      </c>
      <c r="BU213" s="199">
        <f t="shared" si="114"/>
        <v>279897.76721654995</v>
      </c>
      <c r="BV213" s="112">
        <f>VLOOKUP(E213,'[4]Y2604-Y2608_庫存&amp;銷售'!$F:$AB,17,0)</f>
        <v>0</v>
      </c>
      <c r="BW213" s="112">
        <f>VLOOKUP(A213,'[5]Demand inbond in Sep'!$B:$M,12,0)</f>
        <v>115</v>
      </c>
      <c r="BX213" s="112"/>
    </row>
    <row r="214" spans="1:76" x14ac:dyDescent="0.3">
      <c r="A214" s="211">
        <v>122904234672129</v>
      </c>
      <c r="B214" s="212" t="s">
        <v>225</v>
      </c>
      <c r="C214" s="213" t="s">
        <v>305</v>
      </c>
      <c r="D214" s="214">
        <v>80808848</v>
      </c>
      <c r="E214" s="215">
        <v>4902430659567</v>
      </c>
      <c r="F214" s="216">
        <v>4902430659567</v>
      </c>
      <c r="G214" s="217" t="s">
        <v>307</v>
      </c>
      <c r="H214" s="218">
        <v>257</v>
      </c>
      <c r="I214" s="120"/>
      <c r="J214" s="219">
        <v>9</v>
      </c>
      <c r="K214" s="121">
        <v>2452.9699999999998</v>
      </c>
      <c r="L214" s="121">
        <v>2386.1702234999998</v>
      </c>
      <c r="M214" s="220">
        <v>0</v>
      </c>
      <c r="N214" s="221">
        <v>100</v>
      </c>
      <c r="O214" s="23">
        <f>VLOOKUP(E214,'[5]Demand inbond in Sep'!$C:$M,11,0)</f>
        <v>20</v>
      </c>
      <c r="P214" s="108"/>
      <c r="Q214" s="108"/>
      <c r="R214" s="108"/>
      <c r="S214" s="107"/>
      <c r="T214" s="107"/>
      <c r="U214" s="107"/>
      <c r="V214" s="107"/>
      <c r="W214" s="107"/>
      <c r="X214" s="107"/>
      <c r="Y214" s="107"/>
      <c r="Z214" s="107"/>
      <c r="AA214" s="107"/>
      <c r="AB214" s="107"/>
      <c r="AC214" s="222">
        <f t="shared" si="119"/>
        <v>0</v>
      </c>
      <c r="AD214" s="222"/>
      <c r="AE214" s="222"/>
      <c r="AF214" s="222">
        <v>32</v>
      </c>
      <c r="AG214" s="222"/>
      <c r="AH214" s="222"/>
      <c r="AI214" s="222"/>
      <c r="AJ214" s="222">
        <v>29</v>
      </c>
      <c r="AK214" s="222"/>
      <c r="AL214" s="222"/>
      <c r="AM214" s="222"/>
      <c r="AN214" s="31">
        <f t="shared" si="115"/>
        <v>61</v>
      </c>
      <c r="AO214" s="31"/>
      <c r="AP214" s="31">
        <v>0</v>
      </c>
      <c r="AQ214" s="31"/>
      <c r="AR214" s="31"/>
      <c r="AS214" s="31"/>
      <c r="AT214" s="31">
        <v>0</v>
      </c>
      <c r="AU214" s="31"/>
      <c r="AV214" s="31"/>
      <c r="AW214" s="31"/>
      <c r="AX214" s="31">
        <v>80</v>
      </c>
      <c r="AY214" s="31"/>
      <c r="AZ214" s="31"/>
      <c r="BA214" s="31"/>
      <c r="BB214" s="222"/>
      <c r="BC214" s="31"/>
      <c r="BD214" s="31">
        <f t="shared" si="116"/>
        <v>80</v>
      </c>
      <c r="BE214" s="29">
        <f t="shared" si="123"/>
        <v>-60</v>
      </c>
      <c r="BF214" s="29">
        <f t="shared" si="117"/>
        <v>0</v>
      </c>
      <c r="BG214" s="29">
        <f>VLOOKUP(E214,'[3]Y2604-Y2608_庫存&amp;銷售'!$F:$AJ,23,0)</f>
        <v>9.7777777777777786</v>
      </c>
      <c r="BH214" s="29">
        <f>VLOOKUP(E214,'[3]Y2604-Y2608_庫存&amp;銷售'!$F:$AL,25,0)</f>
        <v>0</v>
      </c>
      <c r="BI214" s="29">
        <f>VLOOKUP(E214,'[3]Y2604-Y2608_庫存&amp;銷售'!$F:$AN,30,0)</f>
        <v>0</v>
      </c>
      <c r="BJ214" s="224">
        <f t="shared" si="124"/>
        <v>0</v>
      </c>
      <c r="BK214" s="224">
        <f t="shared" si="125"/>
        <v>245296.99999999997</v>
      </c>
      <c r="BL214" s="224">
        <f t="shared" si="126"/>
        <v>49059.399999999994</v>
      </c>
      <c r="BM214" s="224">
        <f t="shared" si="107"/>
        <v>0</v>
      </c>
      <c r="BN214" s="224">
        <f t="shared" si="108"/>
        <v>0</v>
      </c>
      <c r="BO214" s="224">
        <f t="shared" si="109"/>
        <v>0</v>
      </c>
      <c r="BP214" s="224">
        <f t="shared" ref="BP214:BP241" si="127">AN214*K214</f>
        <v>149631.16999999998</v>
      </c>
      <c r="BQ214" s="224">
        <f t="shared" ref="BQ214:BQ241" si="128">AN214*H214*J214</f>
        <v>141093</v>
      </c>
      <c r="BR214" s="224">
        <f t="shared" ref="BR214:BR243" si="129">L214*1.02*AN214</f>
        <v>148467.51130616997</v>
      </c>
      <c r="BS214" s="199">
        <f t="shared" si="118"/>
        <v>196237.59999999998</v>
      </c>
      <c r="BT214" s="199">
        <f t="shared" si="113"/>
        <v>185040</v>
      </c>
      <c r="BU214" s="199">
        <f t="shared" si="114"/>
        <v>194711.49023759997</v>
      </c>
      <c r="BV214" s="112">
        <f>VLOOKUP(E214,'[4]Y2604-Y2608_庫存&amp;銷售'!$F:$AB,17,0)</f>
        <v>0</v>
      </c>
      <c r="BW214" s="112">
        <f>VLOOKUP(A214,'[5]Demand inbond in Sep'!$B:$M,12,0)</f>
        <v>20</v>
      </c>
      <c r="BX214" s="112"/>
    </row>
    <row r="215" spans="1:76" ht="15" x14ac:dyDescent="0.35">
      <c r="A215" s="47">
        <v>123251334266884</v>
      </c>
      <c r="B215" s="30" t="s">
        <v>230</v>
      </c>
      <c r="C215" s="46" t="s">
        <v>383</v>
      </c>
      <c r="D215" s="31">
        <v>80694939</v>
      </c>
      <c r="E215" s="47">
        <v>4987176030382</v>
      </c>
      <c r="F215" s="47">
        <v>4987176030382</v>
      </c>
      <c r="G215" s="225" t="s">
        <v>363</v>
      </c>
      <c r="H215" s="1">
        <v>104</v>
      </c>
      <c r="I215" s="1"/>
      <c r="J215" s="226">
        <v>24</v>
      </c>
      <c r="K215" s="5">
        <f>VLOOKUP(E215,'[9]4月'!$D:$Q,13,0)</f>
        <v>2896.8</v>
      </c>
      <c r="L215" s="5">
        <f>VLOOKUP(E215,'[9]4月'!$D:$Q,14,0)</f>
        <v>2820.0362400000004</v>
      </c>
      <c r="M215" s="115"/>
      <c r="N215" s="21"/>
      <c r="O215" s="23">
        <f>VLOOKUP(G215,'[2]Data for PV'!$C:$L,10,0)</f>
        <v>0</v>
      </c>
      <c r="P215" s="28"/>
      <c r="Q215" s="28"/>
      <c r="R215" s="28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222">
        <f t="shared" si="119"/>
        <v>0</v>
      </c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>
        <f t="shared" si="115"/>
        <v>0</v>
      </c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>
        <f t="shared" si="116"/>
        <v>0</v>
      </c>
      <c r="BE215" s="29">
        <f t="shared" si="123"/>
        <v>0</v>
      </c>
      <c r="BF215" s="29">
        <f t="shared" si="117"/>
        <v>0</v>
      </c>
      <c r="BG215" s="29" t="e">
        <f>VLOOKUP(E215,'[3]Y2604-Y2608_庫存&amp;銷售'!$F:$AJ,23,0)</f>
        <v>#N/A</v>
      </c>
      <c r="BH215" s="29" t="e">
        <f>VLOOKUP(E215,'[3]Y2604-Y2608_庫存&amp;銷售'!$F:$AL,25,0)</f>
        <v>#N/A</v>
      </c>
      <c r="BI215" s="29" t="e">
        <f>VLOOKUP(E215,'[3]Y2604-Y2608_庫存&amp;銷售'!$F:$AN,30,0)</f>
        <v>#N/A</v>
      </c>
      <c r="BJ215" s="81"/>
      <c r="BK215" s="81"/>
      <c r="BL215" s="81"/>
      <c r="BM215" s="81"/>
      <c r="BN215" s="81"/>
      <c r="BO215" s="81"/>
      <c r="BP215" s="224">
        <f t="shared" si="127"/>
        <v>0</v>
      </c>
      <c r="BQ215" s="224">
        <f t="shared" si="128"/>
        <v>0</v>
      </c>
      <c r="BR215" s="224">
        <f t="shared" si="129"/>
        <v>0</v>
      </c>
      <c r="BS215" s="199">
        <f t="shared" si="118"/>
        <v>0</v>
      </c>
      <c r="BT215" s="199">
        <f t="shared" si="113"/>
        <v>0</v>
      </c>
      <c r="BU215" s="199">
        <f t="shared" si="114"/>
        <v>0</v>
      </c>
      <c r="BV215" s="112"/>
      <c r="BW215" s="112">
        <f>VLOOKUP(A215,'[5]Demand inbond in Sep'!$B:$M,12,0)</f>
        <v>0</v>
      </c>
      <c r="BX215" s="112"/>
    </row>
    <row r="216" spans="1:76" ht="15" x14ac:dyDescent="0.35">
      <c r="A216" s="47">
        <v>123251506233357</v>
      </c>
      <c r="B216" s="30" t="s">
        <v>230</v>
      </c>
      <c r="C216" s="46" t="s">
        <v>383</v>
      </c>
      <c r="D216" s="31">
        <v>80812336</v>
      </c>
      <c r="E216" s="47">
        <v>4902430363938</v>
      </c>
      <c r="F216" s="47">
        <v>4902430363938</v>
      </c>
      <c r="G216" s="225" t="s">
        <v>364</v>
      </c>
      <c r="H216" s="1">
        <v>106</v>
      </c>
      <c r="I216" s="1"/>
      <c r="J216" s="226">
        <v>12</v>
      </c>
      <c r="K216" s="5">
        <f>VLOOKUP(E216,'[9]4月'!$D:$Q,13,0)</f>
        <v>1486.8</v>
      </c>
      <c r="L216" s="5">
        <f>VLOOKUP(E216,'[9]4月'!$D:$Q,14,0)</f>
        <v>1441.69074</v>
      </c>
      <c r="M216" s="115"/>
      <c r="N216" s="21"/>
      <c r="O216" s="23">
        <v>100</v>
      </c>
      <c r="P216" s="28"/>
      <c r="Q216" s="28"/>
      <c r="R216" s="28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222">
        <f t="shared" si="119"/>
        <v>0</v>
      </c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>
        <f t="shared" si="115"/>
        <v>0</v>
      </c>
      <c r="AO216" s="31"/>
      <c r="AP216" s="31"/>
      <c r="AQ216" s="31"/>
      <c r="AR216" s="31"/>
      <c r="AS216" s="31"/>
      <c r="AT216" s="31"/>
      <c r="AU216" s="31"/>
      <c r="AV216" s="31"/>
      <c r="AW216" s="31">
        <v>100</v>
      </c>
      <c r="AX216" s="31"/>
      <c r="AY216" s="31"/>
      <c r="AZ216" s="31"/>
      <c r="BA216" s="31"/>
      <c r="BB216" s="31"/>
      <c r="BC216" s="31"/>
      <c r="BD216" s="31">
        <f t="shared" si="116"/>
        <v>100</v>
      </c>
      <c r="BE216" s="29">
        <f t="shared" si="123"/>
        <v>0</v>
      </c>
      <c r="BF216" s="29">
        <f t="shared" si="117"/>
        <v>100</v>
      </c>
      <c r="BG216" s="29">
        <f>VLOOKUP(E216,'[3]Y2604-Y2608_庫存&amp;銷售'!$F:$AJ,23,0)</f>
        <v>0</v>
      </c>
      <c r="BH216" s="29">
        <f>VLOOKUP(E216,'[3]Y2604-Y2608_庫存&amp;銷售'!$F:$AL,25,0)</f>
        <v>0</v>
      </c>
      <c r="BI216" s="29">
        <f>VLOOKUP(E216,'[3]Y2604-Y2608_庫存&amp;銷售'!$F:$AN,30,0)</f>
        <v>0</v>
      </c>
      <c r="BJ216" s="81"/>
      <c r="BK216" s="81"/>
      <c r="BL216" s="81"/>
      <c r="BM216" s="81"/>
      <c r="BN216" s="81"/>
      <c r="BO216" s="81"/>
      <c r="BP216" s="224">
        <f t="shared" si="127"/>
        <v>0</v>
      </c>
      <c r="BQ216" s="224">
        <f t="shared" si="128"/>
        <v>0</v>
      </c>
      <c r="BR216" s="224">
        <f t="shared" si="129"/>
        <v>0</v>
      </c>
      <c r="BS216" s="199">
        <f t="shared" si="118"/>
        <v>148680</v>
      </c>
      <c r="BT216" s="199">
        <f t="shared" si="113"/>
        <v>127200</v>
      </c>
      <c r="BU216" s="199">
        <f t="shared" si="114"/>
        <v>147052.45548</v>
      </c>
      <c r="BV216" s="112"/>
      <c r="BW216" s="112">
        <f>VLOOKUP(A216,'[5]Demand inbond in Sep'!$B:$M,12,0)</f>
        <v>100</v>
      </c>
      <c r="BX216" s="112"/>
    </row>
    <row r="217" spans="1:76" ht="15" x14ac:dyDescent="0.35">
      <c r="A217" s="47">
        <v>123251506233358</v>
      </c>
      <c r="B217" s="30" t="s">
        <v>230</v>
      </c>
      <c r="C217" s="46" t="s">
        <v>383</v>
      </c>
      <c r="D217" s="31">
        <v>83909890</v>
      </c>
      <c r="E217" s="47">
        <v>4902430520294</v>
      </c>
      <c r="F217" s="47">
        <v>4902430520294</v>
      </c>
      <c r="G217" s="225" t="s">
        <v>365</v>
      </c>
      <c r="H217" s="1">
        <v>106</v>
      </c>
      <c r="I217" s="1"/>
      <c r="J217" s="226">
        <v>12</v>
      </c>
      <c r="K217" s="5">
        <f>VLOOKUP(E217,'[9]4月'!$D:$Q,13,0)</f>
        <v>1486.8</v>
      </c>
      <c r="L217" s="5">
        <f>VLOOKUP(E217,'[9]4月'!$D:$Q,14,0)</f>
        <v>1441.69074</v>
      </c>
      <c r="M217" s="115"/>
      <c r="N217" s="21"/>
      <c r="O217" s="23"/>
      <c r="P217" s="28"/>
      <c r="Q217" s="28"/>
      <c r="R217" s="28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222">
        <f t="shared" si="119"/>
        <v>0</v>
      </c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>
        <f t="shared" si="115"/>
        <v>0</v>
      </c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>
        <f t="shared" si="116"/>
        <v>0</v>
      </c>
      <c r="BE217" s="29">
        <f t="shared" si="123"/>
        <v>0</v>
      </c>
      <c r="BF217" s="29">
        <f t="shared" si="117"/>
        <v>0</v>
      </c>
      <c r="BG217" s="29" t="e">
        <f>VLOOKUP(E217,'[3]Y2604-Y2608_庫存&amp;銷售'!$F:$AJ,23,0)</f>
        <v>#N/A</v>
      </c>
      <c r="BH217" s="29" t="e">
        <f>VLOOKUP(E217,'[3]Y2604-Y2608_庫存&amp;銷售'!$F:$AL,25,0)</f>
        <v>#N/A</v>
      </c>
      <c r="BI217" s="29" t="e">
        <f>VLOOKUP(E217,'[3]Y2604-Y2608_庫存&amp;銷售'!$F:$AN,30,0)</f>
        <v>#N/A</v>
      </c>
      <c r="BJ217" s="81"/>
      <c r="BK217" s="81"/>
      <c r="BL217" s="81"/>
      <c r="BM217" s="81"/>
      <c r="BN217" s="81"/>
      <c r="BO217" s="81"/>
      <c r="BP217" s="224">
        <f t="shared" si="127"/>
        <v>0</v>
      </c>
      <c r="BQ217" s="224">
        <f t="shared" si="128"/>
        <v>0</v>
      </c>
      <c r="BR217" s="224">
        <f t="shared" si="129"/>
        <v>0</v>
      </c>
      <c r="BS217" s="199">
        <f t="shared" si="118"/>
        <v>0</v>
      </c>
      <c r="BT217" s="199">
        <f t="shared" si="113"/>
        <v>0</v>
      </c>
      <c r="BU217" s="199">
        <f t="shared" si="114"/>
        <v>0</v>
      </c>
      <c r="BV217" s="112"/>
      <c r="BW217" s="112">
        <f>VLOOKUP(A217,'[5]Demand inbond in Sep'!$B:$M,12,0)</f>
        <v>0</v>
      </c>
      <c r="BX217" s="112"/>
    </row>
    <row r="218" spans="1:76" ht="15" x14ac:dyDescent="0.35">
      <c r="A218" s="47">
        <v>123251564953603</v>
      </c>
      <c r="B218" s="30" t="s">
        <v>230</v>
      </c>
      <c r="C218" s="46" t="s">
        <v>383</v>
      </c>
      <c r="D218" s="31">
        <v>80694935</v>
      </c>
      <c r="E218" s="47">
        <v>4987176030344</v>
      </c>
      <c r="F218" s="47">
        <v>4987176030344</v>
      </c>
      <c r="G218" s="225" t="s">
        <v>366</v>
      </c>
      <c r="H218" s="1">
        <v>105</v>
      </c>
      <c r="I218" s="1"/>
      <c r="J218" s="226">
        <v>24</v>
      </c>
      <c r="K218" s="5">
        <f>VLOOKUP(E218,'[9]4月'!$D:$Q,13,0)</f>
        <v>2896.8</v>
      </c>
      <c r="L218" s="5">
        <f>VLOOKUP(E218,'[9]4月'!$D:$Q,14,0)</f>
        <v>2820.0362400000004</v>
      </c>
      <c r="M218" s="115"/>
      <c r="N218" s="21"/>
      <c r="O218" s="23">
        <f>VLOOKUP(G218,'[2]Data for PV'!$C:$L,10,0)</f>
        <v>0</v>
      </c>
      <c r="P218" s="28"/>
      <c r="Q218" s="28"/>
      <c r="R218" s="28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222">
        <f t="shared" si="119"/>
        <v>0</v>
      </c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>
        <f t="shared" si="115"/>
        <v>0</v>
      </c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>
        <f t="shared" si="116"/>
        <v>0</v>
      </c>
      <c r="BE218" s="29">
        <f t="shared" si="123"/>
        <v>0</v>
      </c>
      <c r="BF218" s="29">
        <f t="shared" si="117"/>
        <v>0</v>
      </c>
      <c r="BG218" s="29" t="e">
        <f>VLOOKUP(E218,'[3]Y2604-Y2608_庫存&amp;銷售'!$F:$AJ,23,0)</f>
        <v>#N/A</v>
      </c>
      <c r="BH218" s="29" t="e">
        <f>VLOOKUP(E218,'[3]Y2604-Y2608_庫存&amp;銷售'!$F:$AL,25,0)</f>
        <v>#N/A</v>
      </c>
      <c r="BI218" s="29" t="e">
        <f>VLOOKUP(E218,'[3]Y2604-Y2608_庫存&amp;銷售'!$F:$AN,30,0)</f>
        <v>#N/A</v>
      </c>
      <c r="BJ218" s="81"/>
      <c r="BK218" s="81"/>
      <c r="BL218" s="81"/>
      <c r="BM218" s="81"/>
      <c r="BN218" s="81"/>
      <c r="BO218" s="81"/>
      <c r="BP218" s="224">
        <f t="shared" si="127"/>
        <v>0</v>
      </c>
      <c r="BQ218" s="224">
        <f t="shared" si="128"/>
        <v>0</v>
      </c>
      <c r="BR218" s="224">
        <f t="shared" si="129"/>
        <v>0</v>
      </c>
      <c r="BS218" s="199">
        <f t="shared" si="118"/>
        <v>0</v>
      </c>
      <c r="BT218" s="199">
        <f t="shared" si="113"/>
        <v>0</v>
      </c>
      <c r="BU218" s="199">
        <f t="shared" si="114"/>
        <v>0</v>
      </c>
      <c r="BV218" s="112"/>
      <c r="BW218" s="112">
        <f>VLOOKUP(A218,'[5]Demand inbond in Sep'!$B:$M,12,0)</f>
        <v>0</v>
      </c>
      <c r="BX218" s="112"/>
    </row>
    <row r="219" spans="1:76" ht="15" x14ac:dyDescent="0.35">
      <c r="A219" s="47">
        <v>123251585925132</v>
      </c>
      <c r="B219" s="30" t="s">
        <v>230</v>
      </c>
      <c r="C219" s="46" t="s">
        <v>383</v>
      </c>
      <c r="D219" s="31">
        <v>80852173</v>
      </c>
      <c r="E219" s="47">
        <v>4902430910255</v>
      </c>
      <c r="F219" s="47">
        <v>4902430910255</v>
      </c>
      <c r="G219" s="225" t="s">
        <v>367</v>
      </c>
      <c r="H219" s="1">
        <v>106</v>
      </c>
      <c r="I219" s="1"/>
      <c r="J219" s="226">
        <v>12</v>
      </c>
      <c r="K219" s="5">
        <f>VLOOKUP(E219,'[9]4月'!$D:$Q,13,0)</f>
        <v>1486.8</v>
      </c>
      <c r="L219" s="5">
        <f>VLOOKUP(E219,'[9]4月'!$D:$Q,14,0)</f>
        <v>1441.69074</v>
      </c>
      <c r="M219" s="115"/>
      <c r="N219" s="21"/>
      <c r="O219" s="23">
        <v>50</v>
      </c>
      <c r="P219" s="28"/>
      <c r="Q219" s="28"/>
      <c r="R219" s="28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222">
        <f t="shared" si="119"/>
        <v>0</v>
      </c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>
        <f t="shared" si="115"/>
        <v>0</v>
      </c>
      <c r="AO219" s="31"/>
      <c r="AP219" s="31"/>
      <c r="AQ219" s="31"/>
      <c r="AR219" s="31"/>
      <c r="AS219" s="31"/>
      <c r="AT219" s="31"/>
      <c r="AU219" s="31"/>
      <c r="AV219" s="31"/>
      <c r="AW219" s="31"/>
      <c r="AX219" s="31">
        <v>25</v>
      </c>
      <c r="AY219" s="31"/>
      <c r="AZ219" s="31"/>
      <c r="BA219" s="31"/>
      <c r="BB219" s="31"/>
      <c r="BC219" s="31"/>
      <c r="BD219" s="31">
        <f t="shared" si="116"/>
        <v>25</v>
      </c>
      <c r="BE219" s="29">
        <f t="shared" si="123"/>
        <v>25</v>
      </c>
      <c r="BF219" s="29">
        <f t="shared" si="117"/>
        <v>0</v>
      </c>
      <c r="BG219" s="29" t="e">
        <f>VLOOKUP(E219,'[3]Y2604-Y2608_庫存&amp;銷售'!$F:$AJ,23,0)</f>
        <v>#N/A</v>
      </c>
      <c r="BH219" s="29" t="e">
        <f>VLOOKUP(E219,'[3]Y2604-Y2608_庫存&amp;銷售'!$F:$AL,25,0)</f>
        <v>#N/A</v>
      </c>
      <c r="BI219" s="29" t="e">
        <f>VLOOKUP(E219,'[3]Y2604-Y2608_庫存&amp;銷售'!$F:$AN,30,0)</f>
        <v>#N/A</v>
      </c>
      <c r="BJ219" s="81"/>
      <c r="BK219" s="81"/>
      <c r="BL219" s="81"/>
      <c r="BM219" s="81"/>
      <c r="BN219" s="81"/>
      <c r="BO219" s="81"/>
      <c r="BP219" s="224">
        <f t="shared" si="127"/>
        <v>0</v>
      </c>
      <c r="BQ219" s="224">
        <f t="shared" si="128"/>
        <v>0</v>
      </c>
      <c r="BR219" s="224">
        <f t="shared" si="129"/>
        <v>0</v>
      </c>
      <c r="BS219" s="199">
        <f t="shared" si="118"/>
        <v>37170</v>
      </c>
      <c r="BT219" s="199">
        <f t="shared" si="113"/>
        <v>31800</v>
      </c>
      <c r="BU219" s="199">
        <f t="shared" si="114"/>
        <v>36763.113870000001</v>
      </c>
      <c r="BV219" s="112"/>
      <c r="BW219" s="112">
        <f>VLOOKUP(A219,'[5]Demand inbond in Sep'!$B:$M,12,0)</f>
        <v>50</v>
      </c>
      <c r="BX219" s="112"/>
    </row>
    <row r="220" spans="1:76" ht="15" x14ac:dyDescent="0.35">
      <c r="A220" s="47">
        <v>123251627868166</v>
      </c>
      <c r="B220" s="30" t="s">
        <v>230</v>
      </c>
      <c r="C220" s="46" t="s">
        <v>383</v>
      </c>
      <c r="D220" s="31">
        <v>83909893</v>
      </c>
      <c r="E220" s="47">
        <v>4902430363921</v>
      </c>
      <c r="F220" s="47">
        <v>4902430363921</v>
      </c>
      <c r="G220" s="225" t="s">
        <v>368</v>
      </c>
      <c r="H220" s="1">
        <v>106</v>
      </c>
      <c r="I220" s="1"/>
      <c r="J220" s="226">
        <v>12</v>
      </c>
      <c r="K220" s="5">
        <f>VLOOKUP(E220,'[9]4月'!$D:$Q,13,0)</f>
        <v>1486.8</v>
      </c>
      <c r="L220" s="5">
        <f>VLOOKUP(E220,'[9]4月'!$D:$Q,14,0)</f>
        <v>1441.69074</v>
      </c>
      <c r="M220" s="115"/>
      <c r="N220" s="21"/>
      <c r="O220" s="23">
        <f>VLOOKUP(G220,'[2]Data for PV'!$C:$L,10,0)</f>
        <v>150</v>
      </c>
      <c r="P220" s="28"/>
      <c r="Q220" s="28"/>
      <c r="R220" s="28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222">
        <f t="shared" si="119"/>
        <v>0</v>
      </c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>
        <f t="shared" si="115"/>
        <v>0</v>
      </c>
      <c r="AO220" s="31"/>
      <c r="AP220" s="31"/>
      <c r="AQ220" s="31"/>
      <c r="AR220" s="31"/>
      <c r="AS220" s="31"/>
      <c r="AT220" s="31"/>
      <c r="AU220" s="31"/>
      <c r="AV220" s="31"/>
      <c r="AW220" s="31">
        <v>100</v>
      </c>
      <c r="AX220" s="31">
        <v>4</v>
      </c>
      <c r="AY220" s="31"/>
      <c r="AZ220" s="31"/>
      <c r="BA220" s="31"/>
      <c r="BB220" s="31"/>
      <c r="BC220" s="31"/>
      <c r="BD220" s="31">
        <f t="shared" si="116"/>
        <v>104</v>
      </c>
      <c r="BE220" s="29">
        <f t="shared" si="123"/>
        <v>46</v>
      </c>
      <c r="BF220" s="29">
        <f t="shared" si="117"/>
        <v>100</v>
      </c>
      <c r="BG220" s="29">
        <f>VLOOKUP(E220,'[3]Y2604-Y2608_庫存&amp;銷售'!$F:$AJ,23,0)</f>
        <v>0</v>
      </c>
      <c r="BH220" s="29">
        <f>VLOOKUP(E220,'[3]Y2604-Y2608_庫存&amp;銷售'!$F:$AL,25,0)</f>
        <v>0</v>
      </c>
      <c r="BI220" s="29">
        <f>VLOOKUP(E220,'[3]Y2604-Y2608_庫存&amp;銷售'!$F:$AN,30,0)</f>
        <v>0</v>
      </c>
      <c r="BJ220" s="81"/>
      <c r="BK220" s="81"/>
      <c r="BL220" s="81"/>
      <c r="BM220" s="81"/>
      <c r="BN220" s="81"/>
      <c r="BO220" s="81"/>
      <c r="BP220" s="224">
        <f t="shared" si="127"/>
        <v>0</v>
      </c>
      <c r="BQ220" s="224">
        <f t="shared" si="128"/>
        <v>0</v>
      </c>
      <c r="BR220" s="224">
        <f t="shared" si="129"/>
        <v>0</v>
      </c>
      <c r="BS220" s="199">
        <f t="shared" si="118"/>
        <v>154627.19999999998</v>
      </c>
      <c r="BT220" s="199">
        <f t="shared" si="113"/>
        <v>132288</v>
      </c>
      <c r="BU220" s="199">
        <f t="shared" si="114"/>
        <v>152934.55369920001</v>
      </c>
      <c r="BV220" s="112"/>
      <c r="BW220" s="112">
        <f>VLOOKUP(A220,'[5]Demand inbond in Sep'!$B:$M,12,0)</f>
        <v>150</v>
      </c>
      <c r="BX220" s="112"/>
    </row>
    <row r="221" spans="1:76" ht="15" x14ac:dyDescent="0.35">
      <c r="A221" s="47">
        <v>123251669811221</v>
      </c>
      <c r="B221" s="30" t="s">
        <v>230</v>
      </c>
      <c r="C221" s="46" t="s">
        <v>383</v>
      </c>
      <c r="D221" s="46">
        <v>83909892</v>
      </c>
      <c r="E221" s="47">
        <v>4902430955102</v>
      </c>
      <c r="F221" s="47">
        <v>4902430955102</v>
      </c>
      <c r="G221" s="225" t="s">
        <v>369</v>
      </c>
      <c r="H221" s="1">
        <v>81</v>
      </c>
      <c r="I221" s="1"/>
      <c r="J221" s="226">
        <v>24</v>
      </c>
      <c r="K221" s="5">
        <f>VLOOKUP(E221,'[9]4月'!$D:$Q,13,0)</f>
        <v>2270.4</v>
      </c>
      <c r="L221" s="5">
        <f>VLOOKUP(E221,'[9]4月'!$D:$Q,14,0)</f>
        <v>2207.6989200000003</v>
      </c>
      <c r="M221" s="115"/>
      <c r="N221" s="21"/>
      <c r="O221" s="23">
        <f>VLOOKUP(G221,'[2]Data for PV'!$C:$L,10,0)</f>
        <v>52</v>
      </c>
      <c r="P221" s="28"/>
      <c r="Q221" s="28"/>
      <c r="R221" s="28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222">
        <f t="shared" si="119"/>
        <v>0</v>
      </c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>
        <f t="shared" si="115"/>
        <v>0</v>
      </c>
      <c r="AO221" s="31"/>
      <c r="AP221" s="31"/>
      <c r="AQ221" s="31"/>
      <c r="AR221" s="31"/>
      <c r="AS221" s="31">
        <v>51</v>
      </c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>
        <f t="shared" si="116"/>
        <v>51</v>
      </c>
      <c r="BE221" s="29">
        <f t="shared" si="123"/>
        <v>1</v>
      </c>
      <c r="BF221" s="29">
        <f t="shared" si="117"/>
        <v>51</v>
      </c>
      <c r="BG221" s="29">
        <f>VLOOKUP(E221,'[3]Y2604-Y2608_庫存&amp;銷售'!$F:$AJ,23,0)</f>
        <v>0</v>
      </c>
      <c r="BH221" s="29">
        <f>VLOOKUP(E221,'[3]Y2604-Y2608_庫存&amp;銷售'!$F:$AL,25,0)</f>
        <v>0</v>
      </c>
      <c r="BI221" s="29">
        <f>VLOOKUP(E221,'[3]Y2604-Y2608_庫存&amp;銷售'!$F:$AN,30,0)</f>
        <v>0</v>
      </c>
      <c r="BJ221" s="81"/>
      <c r="BK221" s="81"/>
      <c r="BL221" s="81"/>
      <c r="BM221" s="81"/>
      <c r="BN221" s="81"/>
      <c r="BO221" s="81"/>
      <c r="BP221" s="224">
        <f t="shared" si="127"/>
        <v>0</v>
      </c>
      <c r="BQ221" s="224">
        <f t="shared" si="128"/>
        <v>0</v>
      </c>
      <c r="BR221" s="224">
        <f t="shared" si="129"/>
        <v>0</v>
      </c>
      <c r="BS221" s="199">
        <f t="shared" si="118"/>
        <v>115790.40000000001</v>
      </c>
      <c r="BT221" s="199">
        <f t="shared" si="113"/>
        <v>99144</v>
      </c>
      <c r="BU221" s="199">
        <f t="shared" si="114"/>
        <v>114844.49781840002</v>
      </c>
      <c r="BV221" s="112"/>
      <c r="BW221" s="112">
        <f>VLOOKUP(A221,'[5]Demand inbond in Sep'!$B:$M,12,0)</f>
        <v>51</v>
      </c>
      <c r="BX221" s="112"/>
    </row>
    <row r="222" spans="1:76" ht="15" x14ac:dyDescent="0.35">
      <c r="A222" s="47">
        <v>123251669811224</v>
      </c>
      <c r="B222" s="30" t="s">
        <v>230</v>
      </c>
      <c r="C222" s="46" t="s">
        <v>383</v>
      </c>
      <c r="D222" s="31">
        <v>80852172</v>
      </c>
      <c r="E222" s="47">
        <v>4902430910279</v>
      </c>
      <c r="F222" s="47">
        <v>4902430910279</v>
      </c>
      <c r="G222" s="225" t="s">
        <v>370</v>
      </c>
      <c r="H222" s="1">
        <v>81</v>
      </c>
      <c r="I222" s="1"/>
      <c r="J222" s="226">
        <v>24</v>
      </c>
      <c r="K222" s="5">
        <f>VLOOKUP(E222,'[9]4月'!$D:$Q,13,0)</f>
        <v>2270.4</v>
      </c>
      <c r="L222" s="5">
        <f>VLOOKUP(E222,'[9]4月'!$D:$Q,14,0)</f>
        <v>2207.6989200000003</v>
      </c>
      <c r="M222" s="115"/>
      <c r="N222" s="21"/>
      <c r="O222" s="23">
        <f>VLOOKUP(G222,'[2]Data for PV'!$C:$L,10,0)</f>
        <v>0</v>
      </c>
      <c r="P222" s="28"/>
      <c r="Q222" s="28"/>
      <c r="R222" s="28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222">
        <f t="shared" si="119"/>
        <v>0</v>
      </c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>
        <f t="shared" si="115"/>
        <v>0</v>
      </c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>
        <f t="shared" si="116"/>
        <v>0</v>
      </c>
      <c r="BE222" s="29">
        <f t="shared" si="123"/>
        <v>0</v>
      </c>
      <c r="BF222" s="29">
        <f t="shared" si="117"/>
        <v>0</v>
      </c>
      <c r="BG222" s="29" t="e">
        <f>VLOOKUP(E222,'[3]Y2604-Y2608_庫存&amp;銷售'!$F:$AJ,23,0)</f>
        <v>#N/A</v>
      </c>
      <c r="BH222" s="29" t="e">
        <f>VLOOKUP(E222,'[3]Y2604-Y2608_庫存&amp;銷售'!$F:$AL,25,0)</f>
        <v>#N/A</v>
      </c>
      <c r="BI222" s="29" t="e">
        <f>VLOOKUP(E222,'[3]Y2604-Y2608_庫存&amp;銷售'!$F:$AN,30,0)</f>
        <v>#N/A</v>
      </c>
      <c r="BJ222" s="81"/>
      <c r="BK222" s="81"/>
      <c r="BL222" s="81"/>
      <c r="BM222" s="81"/>
      <c r="BN222" s="81"/>
      <c r="BO222" s="81"/>
      <c r="BP222" s="224">
        <f t="shared" si="127"/>
        <v>0</v>
      </c>
      <c r="BQ222" s="224">
        <f t="shared" si="128"/>
        <v>0</v>
      </c>
      <c r="BR222" s="224">
        <f t="shared" si="129"/>
        <v>0</v>
      </c>
      <c r="BS222" s="199">
        <f t="shared" si="118"/>
        <v>0</v>
      </c>
      <c r="BT222" s="199">
        <f t="shared" si="113"/>
        <v>0</v>
      </c>
      <c r="BU222" s="199">
        <f t="shared" si="114"/>
        <v>0</v>
      </c>
      <c r="BV222" s="112"/>
      <c r="BW222" s="112">
        <f>VLOOKUP(A222,'[5]Demand inbond in Sep'!$B:$M,12,0)</f>
        <v>0</v>
      </c>
      <c r="BX222" s="112"/>
    </row>
    <row r="223" spans="1:76" ht="15" x14ac:dyDescent="0.35">
      <c r="A223" s="47">
        <v>123251770507265</v>
      </c>
      <c r="B223" s="30" t="s">
        <v>230</v>
      </c>
      <c r="C223" s="46" t="s">
        <v>383</v>
      </c>
      <c r="D223" s="31">
        <v>83909891</v>
      </c>
      <c r="E223" s="47">
        <v>4902430113205</v>
      </c>
      <c r="F223" s="47">
        <v>4902430113205</v>
      </c>
      <c r="G223" s="225" t="s">
        <v>371</v>
      </c>
      <c r="H223" s="1">
        <v>81</v>
      </c>
      <c r="I223" s="1"/>
      <c r="J223" s="226">
        <v>24</v>
      </c>
      <c r="K223" s="5">
        <f>VLOOKUP(E223,'[9]4月'!$D:$Q,13,0)</f>
        <v>2270.4</v>
      </c>
      <c r="L223" s="5">
        <f>VLOOKUP(E223,'[9]4月'!$D:$Q,14,0)</f>
        <v>2207.6989200000003</v>
      </c>
      <c r="M223" s="115"/>
      <c r="N223" s="21"/>
      <c r="O223" s="23">
        <f>VLOOKUP(G223,'[2]Data for PV'!$C:$L,10,0)</f>
        <v>150</v>
      </c>
      <c r="P223" s="28"/>
      <c r="Q223" s="28"/>
      <c r="R223" s="28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222">
        <f t="shared" si="119"/>
        <v>0</v>
      </c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>
        <f t="shared" si="115"/>
        <v>0</v>
      </c>
      <c r="AO223" s="31"/>
      <c r="AP223" s="31"/>
      <c r="AQ223" s="31"/>
      <c r="AR223" s="31"/>
      <c r="AS223" s="31">
        <v>100</v>
      </c>
      <c r="AT223" s="31"/>
      <c r="AU223" s="31"/>
      <c r="AV223" s="31"/>
      <c r="AW223" s="31"/>
      <c r="AX223" s="31">
        <v>50</v>
      </c>
      <c r="AY223" s="31"/>
      <c r="AZ223" s="31">
        <v>0</v>
      </c>
      <c r="BA223" s="31"/>
      <c r="BB223" s="31"/>
      <c r="BC223" s="31"/>
      <c r="BD223" s="31">
        <f t="shared" si="116"/>
        <v>150</v>
      </c>
      <c r="BE223" s="29">
        <f t="shared" si="123"/>
        <v>0</v>
      </c>
      <c r="BF223" s="29">
        <f t="shared" si="117"/>
        <v>100</v>
      </c>
      <c r="BG223" s="29">
        <f>VLOOKUP(E223,'[3]Y2604-Y2608_庫存&amp;銷售'!$F:$AJ,23,0)</f>
        <v>0</v>
      </c>
      <c r="BH223" s="29">
        <f>VLOOKUP(E223,'[3]Y2604-Y2608_庫存&amp;銷售'!$F:$AL,25,0)</f>
        <v>0</v>
      </c>
      <c r="BI223" s="29">
        <f>VLOOKUP(E223,'[3]Y2604-Y2608_庫存&amp;銷售'!$F:$AN,30,0)</f>
        <v>0</v>
      </c>
      <c r="BJ223" s="81"/>
      <c r="BK223" s="81"/>
      <c r="BL223" s="81"/>
      <c r="BM223" s="81"/>
      <c r="BN223" s="81"/>
      <c r="BO223" s="81"/>
      <c r="BP223" s="224">
        <f t="shared" si="127"/>
        <v>0</v>
      </c>
      <c r="BQ223" s="224">
        <f t="shared" si="128"/>
        <v>0</v>
      </c>
      <c r="BR223" s="224">
        <f t="shared" si="129"/>
        <v>0</v>
      </c>
      <c r="BS223" s="199">
        <f t="shared" si="118"/>
        <v>340560</v>
      </c>
      <c r="BT223" s="199">
        <f t="shared" si="113"/>
        <v>291600</v>
      </c>
      <c r="BU223" s="199">
        <f t="shared" si="114"/>
        <v>337777.93476000009</v>
      </c>
      <c r="BV223" s="112"/>
      <c r="BW223" s="112">
        <f>VLOOKUP(A223,'[5]Demand inbond in Sep'!$B:$M,12,0)</f>
        <v>150</v>
      </c>
      <c r="BX223" s="112"/>
    </row>
    <row r="224" spans="1:76" ht="15" x14ac:dyDescent="0.35">
      <c r="A224" s="47">
        <v>123251871154180</v>
      </c>
      <c r="B224" s="30" t="s">
        <v>230</v>
      </c>
      <c r="C224" s="46" t="s">
        <v>383</v>
      </c>
      <c r="D224" s="31">
        <v>80826213</v>
      </c>
      <c r="E224" s="47">
        <v>4987176030368</v>
      </c>
      <c r="F224" s="47">
        <v>4987176030368</v>
      </c>
      <c r="G224" s="225" t="s">
        <v>372</v>
      </c>
      <c r="H224" s="1">
        <v>104</v>
      </c>
      <c r="I224" s="1"/>
      <c r="J224" s="226">
        <v>24</v>
      </c>
      <c r="K224" s="5">
        <f>VLOOKUP(E224,'[9]4月'!$D:$Q,13,0)</f>
        <v>2896.8</v>
      </c>
      <c r="L224" s="5">
        <f>VLOOKUP(E224,'[9]4月'!$D:$Q,14,0)</f>
        <v>2820.0362400000004</v>
      </c>
      <c r="M224" s="115"/>
      <c r="N224" s="21"/>
      <c r="O224" s="23">
        <f>VLOOKUP(G224,'[2]Data for PV'!$C:$L,10,0)</f>
        <v>0</v>
      </c>
      <c r="P224" s="28"/>
      <c r="Q224" s="28"/>
      <c r="R224" s="28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222">
        <f t="shared" si="119"/>
        <v>0</v>
      </c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>
        <f t="shared" si="115"/>
        <v>0</v>
      </c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>
        <f t="shared" si="116"/>
        <v>0</v>
      </c>
      <c r="BE224" s="29">
        <f t="shared" si="123"/>
        <v>0</v>
      </c>
      <c r="BF224" s="29">
        <f t="shared" si="117"/>
        <v>0</v>
      </c>
      <c r="BG224" s="29" t="e">
        <f>VLOOKUP(E224,'[3]Y2604-Y2608_庫存&amp;銷售'!$F:$AJ,23,0)</f>
        <v>#N/A</v>
      </c>
      <c r="BH224" s="29" t="e">
        <f>VLOOKUP(E224,'[3]Y2604-Y2608_庫存&amp;銷售'!$F:$AL,25,0)</f>
        <v>#N/A</v>
      </c>
      <c r="BI224" s="29" t="e">
        <f>VLOOKUP(E224,'[3]Y2604-Y2608_庫存&amp;銷售'!$F:$AN,30,0)</f>
        <v>#N/A</v>
      </c>
      <c r="BJ224" s="81"/>
      <c r="BK224" s="81"/>
      <c r="BL224" s="81"/>
      <c r="BM224" s="81"/>
      <c r="BN224" s="81"/>
      <c r="BO224" s="81"/>
      <c r="BP224" s="224">
        <f t="shared" si="127"/>
        <v>0</v>
      </c>
      <c r="BQ224" s="224">
        <f t="shared" si="128"/>
        <v>0</v>
      </c>
      <c r="BR224" s="224">
        <f t="shared" si="129"/>
        <v>0</v>
      </c>
      <c r="BS224" s="199">
        <f t="shared" si="118"/>
        <v>0</v>
      </c>
      <c r="BT224" s="199">
        <f t="shared" si="113"/>
        <v>0</v>
      </c>
      <c r="BU224" s="199">
        <f t="shared" si="114"/>
        <v>0</v>
      </c>
      <c r="BV224" s="112"/>
      <c r="BW224" s="112">
        <f>VLOOKUP(A224,'[5]Demand inbond in Sep'!$B:$M,12,0)</f>
        <v>0</v>
      </c>
      <c r="BX224" s="112"/>
    </row>
    <row r="225" spans="1:76" ht="15" x14ac:dyDescent="0.35">
      <c r="A225" s="47">
        <v>149777425580032</v>
      </c>
      <c r="B225" s="30" t="s">
        <v>230</v>
      </c>
      <c r="C225" s="46" t="s">
        <v>383</v>
      </c>
      <c r="D225" s="31">
        <v>80694940</v>
      </c>
      <c r="E225" s="47">
        <v>4987176030399</v>
      </c>
      <c r="F225" s="47">
        <v>4987176030399</v>
      </c>
      <c r="G225" s="225" t="s">
        <v>373</v>
      </c>
      <c r="H225" s="1">
        <v>201</v>
      </c>
      <c r="I225" s="1"/>
      <c r="J225" s="226">
        <v>12</v>
      </c>
      <c r="K225" s="5">
        <f>VLOOKUP(E225,'[9]4月'!$D:$Q,13,0)</f>
        <v>2734.8</v>
      </c>
      <c r="L225" s="5">
        <f>VLOOKUP(E225,'[9]4月'!$D:$Q,14,0)</f>
        <v>2661.6731400000003</v>
      </c>
      <c r="M225" s="115"/>
      <c r="N225" s="21"/>
      <c r="O225" s="23">
        <f>VLOOKUP(G225,'[2]Data for PV'!$C:$L,10,0)</f>
        <v>100</v>
      </c>
      <c r="P225" s="28"/>
      <c r="Q225" s="28"/>
      <c r="R225" s="28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222">
        <f t="shared" si="119"/>
        <v>0</v>
      </c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>
        <f t="shared" si="115"/>
        <v>0</v>
      </c>
      <c r="AO225" s="31"/>
      <c r="AP225" s="31"/>
      <c r="AQ225" s="31"/>
      <c r="AR225" s="31"/>
      <c r="AS225" s="31"/>
      <c r="AT225" s="31"/>
      <c r="AU225" s="31"/>
      <c r="AV225" s="31"/>
      <c r="AW225" s="31">
        <v>178</v>
      </c>
      <c r="AX225" s="31"/>
      <c r="AY225" s="31"/>
      <c r="AZ225" s="31"/>
      <c r="BA225" s="31"/>
      <c r="BB225" s="31"/>
      <c r="BC225" s="31"/>
      <c r="BD225" s="31">
        <f t="shared" si="116"/>
        <v>178</v>
      </c>
      <c r="BE225" s="29">
        <f t="shared" si="123"/>
        <v>-78</v>
      </c>
      <c r="BF225" s="29">
        <f t="shared" si="117"/>
        <v>178</v>
      </c>
      <c r="BG225" s="29">
        <f>VLOOKUP(E225,'[3]Y2604-Y2608_庫存&amp;銷售'!$F:$AJ,23,0)</f>
        <v>0</v>
      </c>
      <c r="BH225" s="29">
        <f>VLOOKUP(E225,'[3]Y2604-Y2608_庫存&amp;銷售'!$F:$AL,25,0)</f>
        <v>0</v>
      </c>
      <c r="BI225" s="29">
        <f>VLOOKUP(E225,'[3]Y2604-Y2608_庫存&amp;銷售'!$F:$AN,30,0)</f>
        <v>0</v>
      </c>
      <c r="BJ225" s="81"/>
      <c r="BK225" s="81"/>
      <c r="BL225" s="81"/>
      <c r="BM225" s="81"/>
      <c r="BN225" s="81"/>
      <c r="BO225" s="81"/>
      <c r="BP225" s="224">
        <f t="shared" si="127"/>
        <v>0</v>
      </c>
      <c r="BQ225" s="224">
        <f t="shared" si="128"/>
        <v>0</v>
      </c>
      <c r="BR225" s="224">
        <f t="shared" si="129"/>
        <v>0</v>
      </c>
      <c r="BS225" s="199">
        <f t="shared" si="118"/>
        <v>486794.4</v>
      </c>
      <c r="BT225" s="199">
        <f t="shared" si="113"/>
        <v>429336</v>
      </c>
      <c r="BU225" s="199">
        <f t="shared" si="114"/>
        <v>483253.37529840006</v>
      </c>
      <c r="BV225" s="112"/>
      <c r="BW225" s="112">
        <f>VLOOKUP(A225,'[5]Demand inbond in Sep'!$B:$M,12,0)</f>
        <v>100</v>
      </c>
      <c r="BX225" s="112"/>
    </row>
    <row r="226" spans="1:76" ht="15" x14ac:dyDescent="0.35">
      <c r="A226" s="47">
        <v>149777803100160</v>
      </c>
      <c r="B226" s="30" t="s">
        <v>230</v>
      </c>
      <c r="C226" s="46" t="s">
        <v>383</v>
      </c>
      <c r="D226" s="31">
        <v>80694936</v>
      </c>
      <c r="E226" s="47">
        <v>4987176030351</v>
      </c>
      <c r="F226" s="47">
        <v>4987176030351</v>
      </c>
      <c r="G226" s="225" t="s">
        <v>374</v>
      </c>
      <c r="H226" s="1">
        <v>196</v>
      </c>
      <c r="I226" s="1"/>
      <c r="J226" s="226">
        <v>12</v>
      </c>
      <c r="K226" s="5">
        <f>VLOOKUP(E226,'[9]4月'!$D:$Q,13,0)</f>
        <v>2734.8</v>
      </c>
      <c r="L226" s="5">
        <f>VLOOKUP(E226,'[9]4月'!$D:$Q,14,0)</f>
        <v>2661.6731400000003</v>
      </c>
      <c r="M226" s="115"/>
      <c r="N226" s="21"/>
      <c r="O226" s="23">
        <f>VLOOKUP(G226,'[2]Data for PV'!$C:$L,10,0)</f>
        <v>150</v>
      </c>
      <c r="P226" s="28"/>
      <c r="Q226" s="28"/>
      <c r="R226" s="28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222">
        <f t="shared" si="119"/>
        <v>0</v>
      </c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>
        <f t="shared" si="115"/>
        <v>0</v>
      </c>
      <c r="AO226" s="31"/>
      <c r="AP226" s="31"/>
      <c r="AQ226" s="31"/>
      <c r="AR226" s="31"/>
      <c r="AS226" s="31"/>
      <c r="AT226" s="31"/>
      <c r="AU226" s="31"/>
      <c r="AV226" s="31"/>
      <c r="AW226" s="31">
        <v>100</v>
      </c>
      <c r="AX226" s="31">
        <v>50</v>
      </c>
      <c r="AY226" s="31"/>
      <c r="AZ226" s="31"/>
      <c r="BA226" s="31"/>
      <c r="BB226" s="31"/>
      <c r="BC226" s="31"/>
      <c r="BD226" s="31">
        <f t="shared" si="116"/>
        <v>150</v>
      </c>
      <c r="BE226" s="29">
        <f t="shared" si="123"/>
        <v>0</v>
      </c>
      <c r="BF226" s="29">
        <f t="shared" si="117"/>
        <v>100</v>
      </c>
      <c r="BG226" s="29">
        <f>VLOOKUP(E226,'[3]Y2604-Y2608_庫存&amp;銷售'!$F:$AJ,23,0)</f>
        <v>0</v>
      </c>
      <c r="BH226" s="29">
        <f>VLOOKUP(E226,'[3]Y2604-Y2608_庫存&amp;銷售'!$F:$AL,25,0)</f>
        <v>0</v>
      </c>
      <c r="BI226" s="29">
        <f>VLOOKUP(E226,'[3]Y2604-Y2608_庫存&amp;銷售'!$F:$AN,30,0)</f>
        <v>0</v>
      </c>
      <c r="BJ226" s="81"/>
      <c r="BK226" s="81"/>
      <c r="BL226" s="81"/>
      <c r="BM226" s="81"/>
      <c r="BN226" s="81"/>
      <c r="BO226" s="81"/>
      <c r="BP226" s="224">
        <f t="shared" si="127"/>
        <v>0</v>
      </c>
      <c r="BQ226" s="224">
        <f t="shared" si="128"/>
        <v>0</v>
      </c>
      <c r="BR226" s="224">
        <f t="shared" si="129"/>
        <v>0</v>
      </c>
      <c r="BS226" s="199">
        <f t="shared" si="118"/>
        <v>410220</v>
      </c>
      <c r="BT226" s="199">
        <f t="shared" si="113"/>
        <v>352800</v>
      </c>
      <c r="BU226" s="199">
        <f t="shared" si="114"/>
        <v>407235.99042000005</v>
      </c>
      <c r="BV226" s="112"/>
      <c r="BW226" s="112">
        <f>VLOOKUP(A226,'[5]Demand inbond in Sep'!$B:$M,12,0)</f>
        <v>150</v>
      </c>
      <c r="BX226" s="112"/>
    </row>
    <row r="227" spans="1:76" ht="15" x14ac:dyDescent="0.35">
      <c r="A227" s="47">
        <v>149778167988224</v>
      </c>
      <c r="B227" s="30" t="s">
        <v>230</v>
      </c>
      <c r="C227" s="46" t="s">
        <v>383</v>
      </c>
      <c r="D227" s="31">
        <v>80694938</v>
      </c>
      <c r="E227" s="47">
        <v>4987176030375</v>
      </c>
      <c r="F227" s="47">
        <v>4987176030375</v>
      </c>
      <c r="G227" s="225" t="s">
        <v>375</v>
      </c>
      <c r="H227" s="1">
        <v>197</v>
      </c>
      <c r="I227" s="1"/>
      <c r="J227" s="226">
        <v>12</v>
      </c>
      <c r="K227" s="5">
        <f>VLOOKUP(E227,'[9]4月'!$D:$Q,13,0)</f>
        <v>2734.8</v>
      </c>
      <c r="L227" s="5">
        <f>VLOOKUP(E227,'[9]4月'!$D:$Q,14,0)</f>
        <v>2661.6731400000003</v>
      </c>
      <c r="M227" s="115"/>
      <c r="N227" s="21"/>
      <c r="O227" s="23">
        <f>VLOOKUP(G227,'[2]Data for PV'!$C:$L,10,0)</f>
        <v>100</v>
      </c>
      <c r="P227" s="28"/>
      <c r="Q227" s="28"/>
      <c r="R227" s="28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222">
        <f t="shared" si="119"/>
        <v>0</v>
      </c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>
        <f t="shared" si="115"/>
        <v>0</v>
      </c>
      <c r="AO227" s="31"/>
      <c r="AP227" s="31"/>
      <c r="AQ227" s="31"/>
      <c r="AR227" s="31"/>
      <c r="AS227" s="31">
        <v>100</v>
      </c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>
        <f t="shared" si="116"/>
        <v>100</v>
      </c>
      <c r="BE227" s="29">
        <f t="shared" si="123"/>
        <v>0</v>
      </c>
      <c r="BF227" s="29">
        <f t="shared" si="117"/>
        <v>100</v>
      </c>
      <c r="BG227" s="29">
        <f>VLOOKUP(E227,'[3]Y2604-Y2608_庫存&amp;銷售'!$F:$AJ,23,0)</f>
        <v>0</v>
      </c>
      <c r="BH227" s="29">
        <f>VLOOKUP(E227,'[3]Y2604-Y2608_庫存&amp;銷售'!$F:$AL,25,0)</f>
        <v>0</v>
      </c>
      <c r="BI227" s="29">
        <f>VLOOKUP(E227,'[3]Y2604-Y2608_庫存&amp;銷售'!$F:$AN,30,0)</f>
        <v>0</v>
      </c>
      <c r="BJ227" s="81"/>
      <c r="BK227" s="81"/>
      <c r="BL227" s="81"/>
      <c r="BM227" s="81"/>
      <c r="BN227" s="81"/>
      <c r="BO227" s="81"/>
      <c r="BP227" s="224">
        <f t="shared" si="127"/>
        <v>0</v>
      </c>
      <c r="BQ227" s="224">
        <f t="shared" si="128"/>
        <v>0</v>
      </c>
      <c r="BR227" s="224">
        <f t="shared" si="129"/>
        <v>0</v>
      </c>
      <c r="BS227" s="199">
        <f t="shared" si="118"/>
        <v>273480</v>
      </c>
      <c r="BT227" s="199">
        <f t="shared" si="113"/>
        <v>236400</v>
      </c>
      <c r="BU227" s="199">
        <f t="shared" si="114"/>
        <v>271490.66028000001</v>
      </c>
      <c r="BV227" s="112"/>
      <c r="BW227" s="112">
        <f>VLOOKUP(A227,'[5]Demand inbond in Sep'!$B:$M,12,0)</f>
        <v>100</v>
      </c>
      <c r="BX227" s="112"/>
    </row>
    <row r="228" spans="1:76" ht="15" x14ac:dyDescent="0.35">
      <c r="A228" s="47">
        <v>150831605202944</v>
      </c>
      <c r="B228" s="30" t="s">
        <v>230</v>
      </c>
      <c r="C228" s="46" t="s">
        <v>383</v>
      </c>
      <c r="D228" s="31">
        <v>80768264</v>
      </c>
      <c r="E228" s="47">
        <v>4902430341479</v>
      </c>
      <c r="F228" s="47">
        <v>4902430341479</v>
      </c>
      <c r="G228" s="225" t="s">
        <v>376</v>
      </c>
      <c r="H228" s="1">
        <v>135</v>
      </c>
      <c r="I228" s="1"/>
      <c r="J228" s="226">
        <v>12</v>
      </c>
      <c r="K228" s="5">
        <f>VLOOKUP(E228,'[9]4月'!$D:$Q,13,0)</f>
        <v>1884.3</v>
      </c>
      <c r="L228" s="5">
        <f>VLOOKUP(E228,'[9]4月'!$D:$Q,14,0)</f>
        <v>1830.2668649999998</v>
      </c>
      <c r="M228" s="115"/>
      <c r="N228" s="21"/>
      <c r="O228" s="23">
        <f>VLOOKUP(G228,'[2]Data for PV'!$C:$L,10,0)</f>
        <v>0</v>
      </c>
      <c r="P228" s="28"/>
      <c r="Q228" s="28"/>
      <c r="R228" s="28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222">
        <f t="shared" si="119"/>
        <v>0</v>
      </c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>
        <f t="shared" si="115"/>
        <v>0</v>
      </c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>
        <f t="shared" si="116"/>
        <v>0</v>
      </c>
      <c r="BE228" s="29">
        <f t="shared" si="123"/>
        <v>0</v>
      </c>
      <c r="BF228" s="29">
        <f t="shared" si="117"/>
        <v>0</v>
      </c>
      <c r="BG228" s="29" t="e">
        <f>VLOOKUP(E228,'[3]Y2604-Y2608_庫存&amp;銷售'!$F:$AJ,23,0)</f>
        <v>#N/A</v>
      </c>
      <c r="BH228" s="29" t="e">
        <f>VLOOKUP(E228,'[3]Y2604-Y2608_庫存&amp;銷售'!$F:$AL,25,0)</f>
        <v>#N/A</v>
      </c>
      <c r="BI228" s="29" t="e">
        <f>VLOOKUP(E228,'[3]Y2604-Y2608_庫存&amp;銷售'!$F:$AN,30,0)</f>
        <v>#N/A</v>
      </c>
      <c r="BJ228" s="81"/>
      <c r="BK228" s="81"/>
      <c r="BL228" s="81"/>
      <c r="BM228" s="81"/>
      <c r="BN228" s="81"/>
      <c r="BO228" s="81"/>
      <c r="BP228" s="224">
        <f t="shared" si="127"/>
        <v>0</v>
      </c>
      <c r="BQ228" s="224">
        <f t="shared" si="128"/>
        <v>0</v>
      </c>
      <c r="BR228" s="224">
        <f t="shared" si="129"/>
        <v>0</v>
      </c>
      <c r="BS228" s="199">
        <f t="shared" si="118"/>
        <v>0</v>
      </c>
      <c r="BT228" s="199">
        <f t="shared" si="113"/>
        <v>0</v>
      </c>
      <c r="BU228" s="199">
        <f t="shared" si="114"/>
        <v>0</v>
      </c>
      <c r="BV228" s="112"/>
      <c r="BW228" s="112">
        <f>VLOOKUP(A228,'[5]Demand inbond in Sep'!$B:$M,12,0)</f>
        <v>0</v>
      </c>
      <c r="BX228" s="112"/>
    </row>
    <row r="229" spans="1:76" ht="15" x14ac:dyDescent="0.35">
      <c r="A229" s="47">
        <v>254116773183488</v>
      </c>
      <c r="B229" s="30" t="s">
        <v>230</v>
      </c>
      <c r="C229" s="46" t="s">
        <v>383</v>
      </c>
      <c r="D229" s="31">
        <v>80726007</v>
      </c>
      <c r="E229" s="227">
        <v>4987176156570</v>
      </c>
      <c r="F229" s="47">
        <v>4987176156570</v>
      </c>
      <c r="G229" s="225" t="s">
        <v>377</v>
      </c>
      <c r="H229" s="1">
        <v>118</v>
      </c>
      <c r="I229" s="1"/>
      <c r="J229" s="226">
        <v>24</v>
      </c>
      <c r="K229" s="5">
        <f>VLOOKUP(E229,'[9]4月'!$D:$Q,13,0)</f>
        <v>3285.6</v>
      </c>
      <c r="L229" s="5">
        <f>VLOOKUP(E229,'[9]4月'!$D:$Q,14,0)</f>
        <v>3200.1076800000001</v>
      </c>
      <c r="M229" s="115"/>
      <c r="N229" s="21"/>
      <c r="O229" s="23">
        <f>VLOOKUP(G229,'[2]Data for PV'!$C:$L,10,0)</f>
        <v>0</v>
      </c>
      <c r="P229" s="28"/>
      <c r="Q229" s="28"/>
      <c r="R229" s="28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222">
        <f t="shared" si="119"/>
        <v>0</v>
      </c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>
        <f t="shared" si="115"/>
        <v>0</v>
      </c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>
        <f t="shared" si="116"/>
        <v>0</v>
      </c>
      <c r="BE229" s="29">
        <f t="shared" si="123"/>
        <v>0</v>
      </c>
      <c r="BF229" s="29">
        <f t="shared" si="117"/>
        <v>0</v>
      </c>
      <c r="BG229" s="29" t="e">
        <f>VLOOKUP(E229,'[3]Y2604-Y2608_庫存&amp;銷售'!$F:$AJ,23,0)</f>
        <v>#N/A</v>
      </c>
      <c r="BH229" s="29" t="e">
        <f>VLOOKUP(E229,'[3]Y2604-Y2608_庫存&amp;銷售'!$F:$AL,25,0)</f>
        <v>#N/A</v>
      </c>
      <c r="BI229" s="29" t="e">
        <f>VLOOKUP(E229,'[3]Y2604-Y2608_庫存&amp;銷售'!$F:$AN,30,0)</f>
        <v>#N/A</v>
      </c>
      <c r="BJ229" s="81"/>
      <c r="BK229" s="81"/>
      <c r="BL229" s="81"/>
      <c r="BM229" s="81"/>
      <c r="BN229" s="81"/>
      <c r="BO229" s="81"/>
      <c r="BP229" s="224">
        <f t="shared" si="127"/>
        <v>0</v>
      </c>
      <c r="BQ229" s="224">
        <f t="shared" si="128"/>
        <v>0</v>
      </c>
      <c r="BR229" s="224">
        <f t="shared" si="129"/>
        <v>0</v>
      </c>
      <c r="BS229" s="199">
        <f t="shared" si="118"/>
        <v>0</v>
      </c>
      <c r="BT229" s="199">
        <f t="shared" si="113"/>
        <v>0</v>
      </c>
      <c r="BU229" s="199">
        <f t="shared" si="114"/>
        <v>0</v>
      </c>
      <c r="BV229" s="112"/>
      <c r="BW229" s="112">
        <f>VLOOKUP(A229,'[5]Demand inbond in Sep'!$B:$M,12,0)</f>
        <v>0</v>
      </c>
      <c r="BX229" s="112"/>
    </row>
    <row r="230" spans="1:76" ht="15" x14ac:dyDescent="0.35">
      <c r="A230" s="47">
        <v>254117733711873</v>
      </c>
      <c r="B230" s="30" t="s">
        <v>230</v>
      </c>
      <c r="C230" s="46" t="s">
        <v>383</v>
      </c>
      <c r="D230" s="31">
        <v>80825805</v>
      </c>
      <c r="E230" s="227">
        <v>4987176156587</v>
      </c>
      <c r="F230" s="47">
        <v>4987176156587</v>
      </c>
      <c r="G230" s="225" t="s">
        <v>378</v>
      </c>
      <c r="H230" s="1">
        <v>224</v>
      </c>
      <c r="I230" s="1"/>
      <c r="J230" s="226">
        <v>12</v>
      </c>
      <c r="K230" s="5">
        <f>VLOOKUP(E230,'[9]4月'!$D:$Q,13,0)</f>
        <v>3126.84</v>
      </c>
      <c r="L230" s="5">
        <f>VLOOKUP(E230,'[9]4月'!$D:$Q,14,0)</f>
        <v>3044.911842</v>
      </c>
      <c r="M230" s="115"/>
      <c r="N230" s="21"/>
      <c r="O230" s="23">
        <f>VLOOKUP(G230,'[2]Data for PV'!$C:$L,10,0)</f>
        <v>350</v>
      </c>
      <c r="P230" s="28"/>
      <c r="Q230" s="28"/>
      <c r="R230" s="28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222">
        <f t="shared" si="119"/>
        <v>0</v>
      </c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>
        <f t="shared" si="115"/>
        <v>0</v>
      </c>
      <c r="AO230" s="31"/>
      <c r="AP230" s="31"/>
      <c r="AQ230" s="31"/>
      <c r="AR230" s="31"/>
      <c r="AS230" s="31"/>
      <c r="AT230" s="31"/>
      <c r="AU230" s="31"/>
      <c r="AV230" s="31"/>
      <c r="AW230" s="31">
        <v>100</v>
      </c>
      <c r="AX230" s="31"/>
      <c r="AY230" s="31"/>
      <c r="AZ230" s="31"/>
      <c r="BA230" s="31"/>
      <c r="BB230" s="31"/>
      <c r="BC230" s="31"/>
      <c r="BD230" s="31">
        <f t="shared" si="116"/>
        <v>100</v>
      </c>
      <c r="BE230" s="29">
        <f t="shared" si="123"/>
        <v>250</v>
      </c>
      <c r="BF230" s="29">
        <f t="shared" si="117"/>
        <v>100</v>
      </c>
      <c r="BG230" s="29">
        <f>VLOOKUP(E230,'[3]Y2604-Y2608_庫存&amp;銷售'!$F:$AJ,23,0)</f>
        <v>0</v>
      </c>
      <c r="BH230" s="29">
        <f>VLOOKUP(E230,'[3]Y2604-Y2608_庫存&amp;銷售'!$F:$AL,25,0)</f>
        <v>0</v>
      </c>
      <c r="BI230" s="29">
        <f>VLOOKUP(E230,'[3]Y2604-Y2608_庫存&amp;銷售'!$F:$AN,30,0)</f>
        <v>0</v>
      </c>
      <c r="BJ230" s="81"/>
      <c r="BK230" s="81"/>
      <c r="BL230" s="81"/>
      <c r="BM230" s="81"/>
      <c r="BN230" s="81"/>
      <c r="BO230" s="81"/>
      <c r="BP230" s="224">
        <f t="shared" si="127"/>
        <v>0</v>
      </c>
      <c r="BQ230" s="224">
        <f t="shared" si="128"/>
        <v>0</v>
      </c>
      <c r="BR230" s="224">
        <f t="shared" si="129"/>
        <v>0</v>
      </c>
      <c r="BS230" s="199">
        <f t="shared" si="118"/>
        <v>312684</v>
      </c>
      <c r="BT230" s="199">
        <f t="shared" si="113"/>
        <v>268800</v>
      </c>
      <c r="BU230" s="199">
        <f t="shared" si="114"/>
        <v>310581.00788400002</v>
      </c>
      <c r="BV230" s="112"/>
      <c r="BW230" s="112">
        <f>VLOOKUP(A230,'[5]Demand inbond in Sep'!$B:$M,12,0)</f>
        <v>350</v>
      </c>
      <c r="BX230" s="112"/>
    </row>
    <row r="231" spans="1:76" ht="15" x14ac:dyDescent="0.35">
      <c r="A231" s="47">
        <v>254118593527808</v>
      </c>
      <c r="B231" s="30" t="s">
        <v>230</v>
      </c>
      <c r="C231" s="46" t="s">
        <v>383</v>
      </c>
      <c r="D231" s="31">
        <v>80825803</v>
      </c>
      <c r="E231" s="47">
        <v>4987176156563</v>
      </c>
      <c r="F231" s="47">
        <v>4987176156563</v>
      </c>
      <c r="G231" s="225" t="s">
        <v>379</v>
      </c>
      <c r="H231" s="1">
        <v>126</v>
      </c>
      <c r="I231" s="1"/>
      <c r="J231" s="226">
        <v>24</v>
      </c>
      <c r="K231" s="5">
        <f>VLOOKUP(E231,'[9]4月'!$D:$Q,13,0)</f>
        <v>3285.6</v>
      </c>
      <c r="L231" s="5">
        <f>VLOOKUP(E231,'[9]4月'!$D:$Q,14,0)</f>
        <v>3200.1076800000001</v>
      </c>
      <c r="M231" s="115"/>
      <c r="N231" s="21"/>
      <c r="O231" s="23">
        <f>VLOOKUP(G231,'[2]Data for PV'!$C:$L,10,0)</f>
        <v>6</v>
      </c>
      <c r="P231" s="28"/>
      <c r="Q231" s="28"/>
      <c r="R231" s="28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222">
        <f t="shared" si="119"/>
        <v>0</v>
      </c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>
        <f t="shared" si="115"/>
        <v>0</v>
      </c>
      <c r="AO231" s="31"/>
      <c r="AP231" s="31"/>
      <c r="AQ231" s="31"/>
      <c r="AR231" s="31"/>
      <c r="AS231" s="31"/>
      <c r="AT231" s="31"/>
      <c r="AU231" s="31"/>
      <c r="AV231" s="31"/>
      <c r="AW231" s="31">
        <v>5</v>
      </c>
      <c r="AX231" s="31"/>
      <c r="AY231" s="31"/>
      <c r="AZ231" s="31"/>
      <c r="BA231" s="31"/>
      <c r="BB231" s="31"/>
      <c r="BC231" s="31"/>
      <c r="BD231" s="31">
        <f t="shared" si="116"/>
        <v>5</v>
      </c>
      <c r="BE231" s="29">
        <f t="shared" si="123"/>
        <v>1</v>
      </c>
      <c r="BF231" s="29">
        <f t="shared" si="117"/>
        <v>5</v>
      </c>
      <c r="BG231" s="29">
        <f>VLOOKUP(E231,'[3]Y2604-Y2608_庫存&amp;銷售'!$F:$AJ,23,0)</f>
        <v>0</v>
      </c>
      <c r="BH231" s="29">
        <f>VLOOKUP(E231,'[3]Y2604-Y2608_庫存&amp;銷售'!$F:$AL,25,0)</f>
        <v>0</v>
      </c>
      <c r="BI231" s="29">
        <f>VLOOKUP(E231,'[3]Y2604-Y2608_庫存&amp;銷售'!$F:$AN,30,0)</f>
        <v>0</v>
      </c>
      <c r="BJ231" s="81"/>
      <c r="BK231" s="81"/>
      <c r="BL231" s="81"/>
      <c r="BM231" s="81"/>
      <c r="BN231" s="81"/>
      <c r="BO231" s="81"/>
      <c r="BP231" s="224">
        <f t="shared" si="127"/>
        <v>0</v>
      </c>
      <c r="BQ231" s="224">
        <f t="shared" si="128"/>
        <v>0</v>
      </c>
      <c r="BR231" s="224">
        <f t="shared" si="129"/>
        <v>0</v>
      </c>
      <c r="BS231" s="199">
        <f t="shared" si="118"/>
        <v>16428</v>
      </c>
      <c r="BT231" s="199">
        <f t="shared" si="113"/>
        <v>15120</v>
      </c>
      <c r="BU231" s="199">
        <f t="shared" si="114"/>
        <v>16320.549168</v>
      </c>
      <c r="BV231" s="112"/>
      <c r="BW231" s="112">
        <f>VLOOKUP(A231,'[5]Demand inbond in Sep'!$B:$M,12,0)</f>
        <v>6</v>
      </c>
      <c r="BX231" s="112"/>
    </row>
    <row r="232" spans="1:76" ht="15" x14ac:dyDescent="0.35">
      <c r="A232" s="47">
        <v>254118593527810</v>
      </c>
      <c r="B232" s="30" t="s">
        <v>230</v>
      </c>
      <c r="C232" s="46" t="s">
        <v>383</v>
      </c>
      <c r="D232" s="31">
        <v>80825806</v>
      </c>
      <c r="E232" s="47">
        <v>4987176156594</v>
      </c>
      <c r="F232" s="47">
        <v>4987176156594</v>
      </c>
      <c r="G232" s="225" t="s">
        <v>380</v>
      </c>
      <c r="H232" s="1">
        <v>224</v>
      </c>
      <c r="I232" s="1"/>
      <c r="J232" s="226">
        <v>12</v>
      </c>
      <c r="K232" s="5">
        <f>VLOOKUP(E232,'[9]4月'!$D:$Q,13,0)</f>
        <v>3126.84</v>
      </c>
      <c r="L232" s="5">
        <f>VLOOKUP(E232,'[9]4月'!$D:$Q,14,0)</f>
        <v>3044.911842</v>
      </c>
      <c r="M232" s="115"/>
      <c r="N232" s="21"/>
      <c r="O232" s="23">
        <f>VLOOKUP(G232,'[2]Data for PV'!$C:$L,10,0)</f>
        <v>56</v>
      </c>
      <c r="P232" s="28"/>
      <c r="Q232" s="28"/>
      <c r="R232" s="28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222">
        <f t="shared" si="119"/>
        <v>0</v>
      </c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>
        <f t="shared" si="115"/>
        <v>0</v>
      </c>
      <c r="AO232" s="31"/>
      <c r="AP232" s="31"/>
      <c r="AQ232" s="31"/>
      <c r="AR232" s="31"/>
      <c r="AS232" s="31"/>
      <c r="AT232" s="31"/>
      <c r="AU232" s="31"/>
      <c r="AV232" s="31"/>
      <c r="AW232" s="31">
        <v>55</v>
      </c>
      <c r="AX232" s="31"/>
      <c r="AY232" s="31"/>
      <c r="AZ232" s="31"/>
      <c r="BA232" s="31"/>
      <c r="BB232" s="31"/>
      <c r="BC232" s="31"/>
      <c r="BD232" s="31">
        <f t="shared" si="116"/>
        <v>55</v>
      </c>
      <c r="BE232" s="29">
        <f t="shared" si="123"/>
        <v>1</v>
      </c>
      <c r="BF232" s="29">
        <f t="shared" si="117"/>
        <v>55</v>
      </c>
      <c r="BG232" s="29">
        <f>VLOOKUP(E232,'[3]Y2604-Y2608_庫存&amp;銷售'!$F:$AJ,23,0)</f>
        <v>0</v>
      </c>
      <c r="BH232" s="29">
        <f>VLOOKUP(E232,'[3]Y2604-Y2608_庫存&amp;銷售'!$F:$AL,25,0)</f>
        <v>0</v>
      </c>
      <c r="BI232" s="29">
        <f>VLOOKUP(E232,'[3]Y2604-Y2608_庫存&amp;銷售'!$F:$AN,30,0)</f>
        <v>0</v>
      </c>
      <c r="BJ232" s="81"/>
      <c r="BK232" s="81"/>
      <c r="BL232" s="81"/>
      <c r="BM232" s="81"/>
      <c r="BN232" s="81"/>
      <c r="BO232" s="81"/>
      <c r="BP232" s="224">
        <f t="shared" si="127"/>
        <v>0</v>
      </c>
      <c r="BQ232" s="224">
        <f t="shared" si="128"/>
        <v>0</v>
      </c>
      <c r="BR232" s="224">
        <f t="shared" si="129"/>
        <v>0</v>
      </c>
      <c r="BS232" s="199">
        <f t="shared" si="118"/>
        <v>171976.2</v>
      </c>
      <c r="BT232" s="199">
        <f t="shared" si="113"/>
        <v>147840</v>
      </c>
      <c r="BU232" s="199">
        <f t="shared" si="114"/>
        <v>170819.5543362</v>
      </c>
      <c r="BV232" s="112"/>
      <c r="BW232" s="112">
        <f>VLOOKUP(A232,'[5]Demand inbond in Sep'!$B:$M,12,0)</f>
        <v>55</v>
      </c>
      <c r="BX232" s="112"/>
    </row>
    <row r="233" spans="1:76" ht="15" x14ac:dyDescent="0.35">
      <c r="A233" s="47">
        <v>490667281137664</v>
      </c>
      <c r="B233" s="30" t="s">
        <v>230</v>
      </c>
      <c r="C233" s="46" t="s">
        <v>383</v>
      </c>
      <c r="D233" s="31">
        <v>80829013</v>
      </c>
      <c r="E233" s="47">
        <v>4987176291929</v>
      </c>
      <c r="F233" s="47">
        <v>4987176291929</v>
      </c>
      <c r="G233" s="225" t="s">
        <v>381</v>
      </c>
      <c r="H233" s="1">
        <v>132</v>
      </c>
      <c r="I233" s="1"/>
      <c r="J233" s="226">
        <v>24</v>
      </c>
      <c r="K233" s="5">
        <f>VLOOKUP(E233,'[9]4月'!$D:$Q,13,0)</f>
        <v>3285.6</v>
      </c>
      <c r="L233" s="5">
        <f>VLOOKUP(E233,'[9]4月'!$D:$Q,14,0)</f>
        <v>3200.11</v>
      </c>
      <c r="M233" s="115"/>
      <c r="N233" s="21"/>
      <c r="O233" s="23">
        <f>VLOOKUP(G233,'[2]Data for PV'!$C:$L,10,0)</f>
        <v>27</v>
      </c>
      <c r="P233" s="28"/>
      <c r="Q233" s="28"/>
      <c r="R233" s="28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222">
        <f t="shared" si="119"/>
        <v>0</v>
      </c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>
        <f t="shared" si="115"/>
        <v>0</v>
      </c>
      <c r="AO233" s="31"/>
      <c r="AP233" s="31"/>
      <c r="AQ233" s="31">
        <v>26</v>
      </c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>
        <f t="shared" si="116"/>
        <v>26</v>
      </c>
      <c r="BE233" s="29">
        <f t="shared" si="123"/>
        <v>1</v>
      </c>
      <c r="BF233" s="29">
        <f t="shared" si="117"/>
        <v>26</v>
      </c>
      <c r="BG233" s="29">
        <f>VLOOKUP(E233,'[3]Y2604-Y2608_庫存&amp;銷售'!$F:$AJ,23,0)</f>
        <v>8.3333333333333329E-2</v>
      </c>
      <c r="BH233" s="29">
        <f>VLOOKUP(E233,'[3]Y2604-Y2608_庫存&amp;銷售'!$F:$AL,25,0)</f>
        <v>0</v>
      </c>
      <c r="BI233" s="29">
        <f>VLOOKUP(E233,'[3]Y2604-Y2608_庫存&amp;銷售'!$F:$AN,30,0)</f>
        <v>0</v>
      </c>
      <c r="BJ233" s="81"/>
      <c r="BK233" s="81"/>
      <c r="BL233" s="81"/>
      <c r="BM233" s="81"/>
      <c r="BN233" s="81"/>
      <c r="BO233" s="81"/>
      <c r="BP233" s="224">
        <f t="shared" si="127"/>
        <v>0</v>
      </c>
      <c r="BQ233" s="224">
        <f t="shared" si="128"/>
        <v>0</v>
      </c>
      <c r="BR233" s="224">
        <f t="shared" si="129"/>
        <v>0</v>
      </c>
      <c r="BS233" s="199">
        <f t="shared" si="118"/>
        <v>85425.599999999991</v>
      </c>
      <c r="BT233" s="199">
        <f t="shared" si="113"/>
        <v>82368</v>
      </c>
      <c r="BU233" s="199">
        <f t="shared" si="114"/>
        <v>84866.917199999996</v>
      </c>
      <c r="BV233" s="112"/>
      <c r="BW233" s="112">
        <f>VLOOKUP(A233,'[5]Demand inbond in Sep'!$B:$M,12,0)</f>
        <v>26</v>
      </c>
      <c r="BX233" s="112"/>
    </row>
    <row r="234" spans="1:76" ht="15" x14ac:dyDescent="0.35">
      <c r="A234" s="47">
        <v>490667281186816</v>
      </c>
      <c r="B234" s="30" t="s">
        <v>230</v>
      </c>
      <c r="C234" s="46" t="s">
        <v>383</v>
      </c>
      <c r="D234" s="31">
        <v>80829014</v>
      </c>
      <c r="E234" s="47">
        <v>4987176291936</v>
      </c>
      <c r="F234" s="47">
        <v>4987176291936</v>
      </c>
      <c r="G234" s="225" t="s">
        <v>382</v>
      </c>
      <c r="H234" s="1">
        <v>132</v>
      </c>
      <c r="I234" s="1"/>
      <c r="J234" s="226">
        <v>24</v>
      </c>
      <c r="K234" s="5">
        <f>VLOOKUP(E234,'[9]4月'!$D:$Q,13,0)</f>
        <v>3285.6</v>
      </c>
      <c r="L234" s="5">
        <f>VLOOKUP(E234,'[9]4月'!$D:$Q,14,0)</f>
        <v>3200.11</v>
      </c>
      <c r="M234" s="115"/>
      <c r="N234" s="21"/>
      <c r="O234" s="23">
        <f>VLOOKUP(G234,'[2]Data for PV'!$C:$L,10,0)</f>
        <v>60</v>
      </c>
      <c r="P234" s="28"/>
      <c r="Q234" s="28"/>
      <c r="R234" s="28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222">
        <f t="shared" si="119"/>
        <v>0</v>
      </c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>
        <f t="shared" si="115"/>
        <v>0</v>
      </c>
      <c r="AO234" s="31"/>
      <c r="AP234" s="31"/>
      <c r="AQ234" s="31">
        <v>59</v>
      </c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>
        <f t="shared" si="116"/>
        <v>59</v>
      </c>
      <c r="BE234" s="29">
        <f t="shared" si="123"/>
        <v>1</v>
      </c>
      <c r="BF234" s="29">
        <f t="shared" si="117"/>
        <v>59</v>
      </c>
      <c r="BG234" s="29">
        <f>VLOOKUP(E234,'[3]Y2604-Y2608_庫存&amp;銷售'!$F:$AJ,23,0)</f>
        <v>0.45833333333333331</v>
      </c>
      <c r="BH234" s="29">
        <f>VLOOKUP(E234,'[3]Y2604-Y2608_庫存&amp;銷售'!$F:$AL,25,0)</f>
        <v>0</v>
      </c>
      <c r="BI234" s="29">
        <f>VLOOKUP(E234,'[3]Y2604-Y2608_庫存&amp;銷售'!$F:$AN,30,0)</f>
        <v>0</v>
      </c>
      <c r="BJ234" s="81"/>
      <c r="BK234" s="81"/>
      <c r="BL234" s="81"/>
      <c r="BM234" s="81"/>
      <c r="BN234" s="81"/>
      <c r="BO234" s="81"/>
      <c r="BP234" s="224">
        <f t="shared" si="127"/>
        <v>0</v>
      </c>
      <c r="BQ234" s="224">
        <f t="shared" si="128"/>
        <v>0</v>
      </c>
      <c r="BR234" s="224">
        <f t="shared" si="129"/>
        <v>0</v>
      </c>
      <c r="BS234" s="199">
        <f t="shared" si="118"/>
        <v>193850.4</v>
      </c>
      <c r="BT234" s="199">
        <f t="shared" si="113"/>
        <v>186912</v>
      </c>
      <c r="BU234" s="199">
        <f t="shared" si="114"/>
        <v>192582.61980000001</v>
      </c>
      <c r="BV234" s="112"/>
      <c r="BW234" s="112">
        <f>VLOOKUP(A234,'[5]Demand inbond in Sep'!$B:$M,12,0)</f>
        <v>60</v>
      </c>
      <c r="BX234" s="112"/>
    </row>
    <row r="235" spans="1:76" ht="15" x14ac:dyDescent="0.35">
      <c r="A235" s="240">
        <v>268212218314754</v>
      </c>
      <c r="B235" s="241" t="s">
        <v>234</v>
      </c>
      <c r="C235" s="242" t="s">
        <v>235</v>
      </c>
      <c r="D235" s="162">
        <v>80841667</v>
      </c>
      <c r="E235" s="240">
        <v>4987176252227</v>
      </c>
      <c r="F235" s="240">
        <v>4987176252227</v>
      </c>
      <c r="G235" s="243" t="s">
        <v>384</v>
      </c>
      <c r="H235" s="167">
        <v>91</v>
      </c>
      <c r="I235" s="202" t="s">
        <v>405</v>
      </c>
      <c r="J235" s="226">
        <v>12</v>
      </c>
      <c r="K235" s="5">
        <v>1245.5999999999999</v>
      </c>
      <c r="L235" s="5">
        <v>1205.9100000000001</v>
      </c>
      <c r="M235" s="115"/>
      <c r="N235" s="21"/>
      <c r="O235" s="244">
        <v>0</v>
      </c>
      <c r="P235" s="28"/>
      <c r="Q235" s="28"/>
      <c r="R235" s="28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222">
        <f t="shared" si="119"/>
        <v>0</v>
      </c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>
        <f t="shared" si="115"/>
        <v>0</v>
      </c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>
        <f t="shared" si="116"/>
        <v>0</v>
      </c>
      <c r="BE235" s="29">
        <f t="shared" ref="BE235:BE241" si="130">M235+N235+O235-AC235-AN235-BD235</f>
        <v>0</v>
      </c>
      <c r="BF235" s="29">
        <f t="shared" si="117"/>
        <v>0</v>
      </c>
      <c r="BG235" s="29">
        <f>VLOOKUP(E235,'[3]Y2604-Y2608_庫存&amp;銷售'!$F:$AJ,23,0)</f>
        <v>0</v>
      </c>
      <c r="BH235" s="29">
        <f>VLOOKUP(E235,'[3]Y2604-Y2608_庫存&amp;銷售'!$F:$AL,25,0)</f>
        <v>0</v>
      </c>
      <c r="BI235" s="29">
        <f>VLOOKUP(E235,'[3]Y2604-Y2608_庫存&amp;銷售'!$F:$AN,30,0)</f>
        <v>0</v>
      </c>
      <c r="BJ235" s="81"/>
      <c r="BK235" s="81"/>
      <c r="BL235" s="81"/>
      <c r="BM235" s="81"/>
      <c r="BN235" s="81"/>
      <c r="BO235" s="81"/>
      <c r="BP235" s="224">
        <f t="shared" si="127"/>
        <v>0</v>
      </c>
      <c r="BQ235" s="224">
        <f t="shared" si="128"/>
        <v>0</v>
      </c>
      <c r="BR235" s="224">
        <f t="shared" si="129"/>
        <v>0</v>
      </c>
      <c r="BS235" s="199">
        <f t="shared" si="118"/>
        <v>0</v>
      </c>
      <c r="BT235" s="199">
        <f t="shared" si="113"/>
        <v>0</v>
      </c>
      <c r="BU235" s="199">
        <f t="shared" si="114"/>
        <v>0</v>
      </c>
      <c r="BV235" s="112"/>
      <c r="BW235" s="112">
        <f>VLOOKUP(A235,'[5]Demand inbond in Sep'!$B:$M,12,0)</f>
        <v>0</v>
      </c>
      <c r="BX235" s="112"/>
    </row>
    <row r="236" spans="1:76" ht="15" x14ac:dyDescent="0.35">
      <c r="A236" s="47">
        <v>268213258534917</v>
      </c>
      <c r="B236" s="30" t="s">
        <v>234</v>
      </c>
      <c r="C236" s="46" t="s">
        <v>235</v>
      </c>
      <c r="D236" s="31">
        <v>80807540</v>
      </c>
      <c r="E236" s="47">
        <v>4987176252210</v>
      </c>
      <c r="F236" s="47">
        <v>4987176252210</v>
      </c>
      <c r="G236" s="225" t="s">
        <v>385</v>
      </c>
      <c r="H236" s="1">
        <v>91</v>
      </c>
      <c r="I236" s="1"/>
      <c r="J236" s="226">
        <v>12</v>
      </c>
      <c r="K236" s="5">
        <v>1245.5999999999999</v>
      </c>
      <c r="L236" s="5">
        <v>1205.9100000000001</v>
      </c>
      <c r="M236" s="115"/>
      <c r="N236" s="21"/>
      <c r="O236" s="21">
        <v>20</v>
      </c>
      <c r="P236" s="28"/>
      <c r="Q236" s="28"/>
      <c r="R236" s="28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222">
        <f t="shared" si="119"/>
        <v>0</v>
      </c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>
        <f t="shared" si="115"/>
        <v>0</v>
      </c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>
        <f t="shared" si="116"/>
        <v>0</v>
      </c>
      <c r="BE236" s="29">
        <f t="shared" si="130"/>
        <v>20</v>
      </c>
      <c r="BF236" s="29">
        <f t="shared" si="117"/>
        <v>0</v>
      </c>
      <c r="BG236" s="29" t="e">
        <f>VLOOKUP(E236,'[3]Y2604-Y2608_庫存&amp;銷售'!$F:$AJ,23,0)</f>
        <v>#N/A</v>
      </c>
      <c r="BH236" s="29" t="e">
        <f>VLOOKUP(E236,'[3]Y2604-Y2608_庫存&amp;銷售'!$F:$AL,25,0)</f>
        <v>#N/A</v>
      </c>
      <c r="BI236" s="29" t="e">
        <f>VLOOKUP(E236,'[3]Y2604-Y2608_庫存&amp;銷售'!$F:$AN,30,0)</f>
        <v>#N/A</v>
      </c>
      <c r="BJ236" s="81"/>
      <c r="BK236" s="81"/>
      <c r="BL236" s="81"/>
      <c r="BM236" s="81"/>
      <c r="BN236" s="81"/>
      <c r="BO236" s="81"/>
      <c r="BP236" s="224">
        <f t="shared" si="127"/>
        <v>0</v>
      </c>
      <c r="BQ236" s="224">
        <f t="shared" si="128"/>
        <v>0</v>
      </c>
      <c r="BR236" s="224">
        <f t="shared" si="129"/>
        <v>0</v>
      </c>
      <c r="BS236" s="199">
        <f t="shared" si="118"/>
        <v>0</v>
      </c>
      <c r="BT236" s="199">
        <f t="shared" si="113"/>
        <v>0</v>
      </c>
      <c r="BU236" s="199">
        <f t="shared" si="114"/>
        <v>0</v>
      </c>
      <c r="BV236" s="112"/>
      <c r="BW236" s="112">
        <f>VLOOKUP(A236,'[5]Demand inbond in Sep'!$B:$M,12,0)</f>
        <v>20</v>
      </c>
      <c r="BX236" s="112"/>
    </row>
    <row r="237" spans="1:76" ht="15" x14ac:dyDescent="0.35">
      <c r="A237" s="47">
        <v>270341020565504</v>
      </c>
      <c r="B237" s="30" t="s">
        <v>234</v>
      </c>
      <c r="C237" s="46" t="s">
        <v>235</v>
      </c>
      <c r="D237" s="31">
        <v>80791132</v>
      </c>
      <c r="E237" s="47">
        <v>4987176139429</v>
      </c>
      <c r="F237" s="47">
        <v>4987176139429</v>
      </c>
      <c r="G237" s="225" t="s">
        <v>386</v>
      </c>
      <c r="H237" s="1">
        <v>87</v>
      </c>
      <c r="I237" s="1"/>
      <c r="J237" s="226">
        <v>12</v>
      </c>
      <c r="K237" s="5">
        <v>1245.5999999999999</v>
      </c>
      <c r="L237" s="5">
        <v>1205.9056800000001</v>
      </c>
      <c r="M237" s="115"/>
      <c r="N237" s="21"/>
      <c r="O237" s="21">
        <v>50</v>
      </c>
      <c r="P237" s="28"/>
      <c r="Q237" s="28"/>
      <c r="R237" s="28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222">
        <f t="shared" si="119"/>
        <v>0</v>
      </c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>
        <f t="shared" si="115"/>
        <v>0</v>
      </c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>
        <f t="shared" si="116"/>
        <v>0</v>
      </c>
      <c r="BE237" s="29">
        <f t="shared" si="130"/>
        <v>50</v>
      </c>
      <c r="BF237" s="29">
        <f t="shared" si="117"/>
        <v>0</v>
      </c>
      <c r="BG237" s="29" t="e">
        <f>VLOOKUP(E237,'[3]Y2604-Y2608_庫存&amp;銷售'!$F:$AJ,23,0)</f>
        <v>#N/A</v>
      </c>
      <c r="BH237" s="29" t="e">
        <f>VLOOKUP(E237,'[3]Y2604-Y2608_庫存&amp;銷售'!$F:$AL,25,0)</f>
        <v>#N/A</v>
      </c>
      <c r="BI237" s="29" t="e">
        <f>VLOOKUP(E237,'[3]Y2604-Y2608_庫存&amp;銷售'!$F:$AN,30,0)</f>
        <v>#N/A</v>
      </c>
      <c r="BJ237" s="81"/>
      <c r="BK237" s="81"/>
      <c r="BL237" s="81"/>
      <c r="BM237" s="81"/>
      <c r="BN237" s="81"/>
      <c r="BO237" s="81"/>
      <c r="BP237" s="224">
        <f t="shared" si="127"/>
        <v>0</v>
      </c>
      <c r="BQ237" s="224">
        <f t="shared" si="128"/>
        <v>0</v>
      </c>
      <c r="BR237" s="224">
        <f t="shared" si="129"/>
        <v>0</v>
      </c>
      <c r="BS237" s="199">
        <f t="shared" si="118"/>
        <v>0</v>
      </c>
      <c r="BT237" s="199">
        <f t="shared" si="113"/>
        <v>0</v>
      </c>
      <c r="BU237" s="199">
        <f t="shared" si="114"/>
        <v>0</v>
      </c>
      <c r="BV237" s="112"/>
      <c r="BW237" s="112">
        <f>VLOOKUP(A237,'[5]Demand inbond in Sep'!$B:$M,12,0)</f>
        <v>50</v>
      </c>
      <c r="BX237" s="112"/>
    </row>
    <row r="238" spans="1:76" ht="15" x14ac:dyDescent="0.35">
      <c r="A238" s="47">
        <v>270341960073216</v>
      </c>
      <c r="B238" s="30" t="s">
        <v>234</v>
      </c>
      <c r="C238" s="46" t="s">
        <v>235</v>
      </c>
      <c r="D238" s="31">
        <v>80791133</v>
      </c>
      <c r="E238" s="47">
        <v>4987176139436</v>
      </c>
      <c r="F238" s="47">
        <v>4987176139436</v>
      </c>
      <c r="G238" s="225" t="s">
        <v>387</v>
      </c>
      <c r="H238" s="1">
        <v>91</v>
      </c>
      <c r="I238" s="1"/>
      <c r="J238" s="226">
        <v>12</v>
      </c>
      <c r="K238" s="5">
        <v>1245.5999999999999</v>
      </c>
      <c r="L238" s="5">
        <v>1205.9056800000001</v>
      </c>
      <c r="M238" s="115"/>
      <c r="N238" s="21"/>
      <c r="O238" s="21">
        <v>50</v>
      </c>
      <c r="P238" s="28"/>
      <c r="Q238" s="28"/>
      <c r="R238" s="28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222">
        <f t="shared" si="119"/>
        <v>0</v>
      </c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>
        <f t="shared" si="115"/>
        <v>0</v>
      </c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>
        <f t="shared" si="116"/>
        <v>0</v>
      </c>
      <c r="BE238" s="29">
        <f t="shared" si="130"/>
        <v>50</v>
      </c>
      <c r="BF238" s="29">
        <f t="shared" si="117"/>
        <v>0</v>
      </c>
      <c r="BG238" s="29" t="e">
        <f>VLOOKUP(E238,'[3]Y2604-Y2608_庫存&amp;銷售'!$F:$AJ,23,0)</f>
        <v>#N/A</v>
      </c>
      <c r="BH238" s="29" t="e">
        <f>VLOOKUP(E238,'[3]Y2604-Y2608_庫存&amp;銷售'!$F:$AL,25,0)</f>
        <v>#N/A</v>
      </c>
      <c r="BI238" s="29" t="e">
        <f>VLOOKUP(E238,'[3]Y2604-Y2608_庫存&amp;銷售'!$F:$AN,30,0)</f>
        <v>#N/A</v>
      </c>
      <c r="BJ238" s="81"/>
      <c r="BK238" s="81"/>
      <c r="BL238" s="81"/>
      <c r="BM238" s="81"/>
      <c r="BN238" s="81"/>
      <c r="BO238" s="81"/>
      <c r="BP238" s="224">
        <f t="shared" si="127"/>
        <v>0</v>
      </c>
      <c r="BQ238" s="224">
        <f t="shared" si="128"/>
        <v>0</v>
      </c>
      <c r="BR238" s="224">
        <f t="shared" si="129"/>
        <v>0</v>
      </c>
      <c r="BS238" s="199">
        <f t="shared" si="118"/>
        <v>0</v>
      </c>
      <c r="BT238" s="199">
        <f t="shared" si="113"/>
        <v>0</v>
      </c>
      <c r="BU238" s="199">
        <f t="shared" si="114"/>
        <v>0</v>
      </c>
      <c r="BV238" s="112"/>
      <c r="BW238" s="112">
        <f>VLOOKUP(A238,'[5]Demand inbond in Sep'!$B:$M,12,0)</f>
        <v>50</v>
      </c>
      <c r="BX238" s="112"/>
    </row>
    <row r="239" spans="1:76" ht="15" x14ac:dyDescent="0.35">
      <c r="A239" s="47">
        <v>333402565738496</v>
      </c>
      <c r="B239" s="30" t="s">
        <v>234</v>
      </c>
      <c r="C239" s="46" t="s">
        <v>235</v>
      </c>
      <c r="D239" s="31">
        <v>80776824</v>
      </c>
      <c r="E239" s="47">
        <v>24987176191568</v>
      </c>
      <c r="F239" s="47">
        <v>24987176191568</v>
      </c>
      <c r="G239" s="225" t="s">
        <v>388</v>
      </c>
      <c r="H239" s="1">
        <v>516</v>
      </c>
      <c r="I239" s="1"/>
      <c r="J239" s="226">
        <v>2</v>
      </c>
      <c r="K239" s="5">
        <v>1216.8</v>
      </c>
      <c r="L239" s="5">
        <v>1177.75224</v>
      </c>
      <c r="M239" s="115"/>
      <c r="N239" s="21"/>
      <c r="O239" s="21">
        <v>100</v>
      </c>
      <c r="P239" s="28"/>
      <c r="Q239" s="28"/>
      <c r="R239" s="28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222">
        <f t="shared" si="119"/>
        <v>0</v>
      </c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>
        <f t="shared" si="115"/>
        <v>0</v>
      </c>
      <c r="AO239" s="31"/>
      <c r="AP239" s="31"/>
      <c r="AQ239" s="31">
        <v>100</v>
      </c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>
        <f t="shared" si="116"/>
        <v>100</v>
      </c>
      <c r="BE239" s="29">
        <f t="shared" si="130"/>
        <v>0</v>
      </c>
      <c r="BF239" s="29">
        <f t="shared" si="117"/>
        <v>100</v>
      </c>
      <c r="BG239" s="29">
        <f>VLOOKUP(E239,'[3]Y2604-Y2608_庫存&amp;銷售'!$F:$AJ,23,0)</f>
        <v>3</v>
      </c>
      <c r="BH239" s="29">
        <f>VLOOKUP(E239,'[3]Y2604-Y2608_庫存&amp;銷售'!$F:$AL,25,0)</f>
        <v>0</v>
      </c>
      <c r="BI239" s="29">
        <f>VLOOKUP(E239,'[3]Y2604-Y2608_庫存&amp;銷售'!$F:$AN,30,0)</f>
        <v>0</v>
      </c>
      <c r="BJ239" s="81"/>
      <c r="BK239" s="81"/>
      <c r="BL239" s="81"/>
      <c r="BM239" s="81"/>
      <c r="BN239" s="81"/>
      <c r="BO239" s="81"/>
      <c r="BP239" s="224">
        <f t="shared" si="127"/>
        <v>0</v>
      </c>
      <c r="BQ239" s="224">
        <f t="shared" si="128"/>
        <v>0</v>
      </c>
      <c r="BR239" s="224">
        <f t="shared" si="129"/>
        <v>0</v>
      </c>
      <c r="BS239" s="199">
        <f t="shared" si="118"/>
        <v>121680</v>
      </c>
      <c r="BT239" s="199">
        <f t="shared" si="113"/>
        <v>103200</v>
      </c>
      <c r="BU239" s="199">
        <f t="shared" si="114"/>
        <v>120130.72848000002</v>
      </c>
      <c r="BV239" s="112"/>
      <c r="BW239" s="112">
        <f>VLOOKUP(A239,'[5]Demand inbond in Sep'!$B:$M,12,0)</f>
        <v>100</v>
      </c>
      <c r="BX239" s="112"/>
    </row>
    <row r="240" spans="1:76" ht="15" x14ac:dyDescent="0.35">
      <c r="A240" s="47">
        <v>253758785159168</v>
      </c>
      <c r="B240" s="30" t="s">
        <v>234</v>
      </c>
      <c r="C240" s="46" t="s">
        <v>345</v>
      </c>
      <c r="D240" s="31">
        <v>80846545</v>
      </c>
      <c r="E240" s="47">
        <v>4902430789646</v>
      </c>
      <c r="F240" s="47">
        <v>4902430789646</v>
      </c>
      <c r="G240" s="225" t="s">
        <v>389</v>
      </c>
      <c r="H240" s="1">
        <v>68</v>
      </c>
      <c r="I240" s="1"/>
      <c r="J240" s="226">
        <v>24</v>
      </c>
      <c r="K240" s="5">
        <v>1857.6</v>
      </c>
      <c r="L240" s="5">
        <v>1804.1662800000001</v>
      </c>
      <c r="M240" s="115"/>
      <c r="N240" s="21"/>
      <c r="O240" s="21">
        <v>100</v>
      </c>
      <c r="P240" s="28"/>
      <c r="Q240" s="28"/>
      <c r="R240" s="28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222">
        <f t="shared" si="119"/>
        <v>0</v>
      </c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>
        <f t="shared" si="115"/>
        <v>0</v>
      </c>
      <c r="AO240" s="31"/>
      <c r="AP240" s="31"/>
      <c r="AQ240" s="31">
        <v>80</v>
      </c>
      <c r="AR240" s="31"/>
      <c r="AS240" s="31"/>
      <c r="AT240" s="31"/>
      <c r="AU240" s="31"/>
      <c r="AV240" s="31"/>
      <c r="AW240" s="31"/>
      <c r="AX240" s="31">
        <v>20</v>
      </c>
      <c r="AY240" s="31"/>
      <c r="AZ240" s="31"/>
      <c r="BA240" s="31"/>
      <c r="BB240" s="31"/>
      <c r="BC240" s="31"/>
      <c r="BD240" s="31">
        <f t="shared" si="116"/>
        <v>100</v>
      </c>
      <c r="BE240" s="29">
        <f t="shared" si="130"/>
        <v>0</v>
      </c>
      <c r="BF240" s="29">
        <f t="shared" si="117"/>
        <v>80</v>
      </c>
      <c r="BG240" s="29">
        <f>VLOOKUP(E240,'[3]Y2604-Y2608_庫存&amp;銷售'!$F:$AJ,23,0)</f>
        <v>1.625</v>
      </c>
      <c r="BH240" s="29">
        <f>VLOOKUP(E240,'[3]Y2604-Y2608_庫存&amp;銷售'!$F:$AL,25,0)</f>
        <v>0</v>
      </c>
      <c r="BI240" s="29">
        <f>VLOOKUP(E240,'[3]Y2604-Y2608_庫存&amp;銷售'!$F:$AN,30,0)</f>
        <v>0</v>
      </c>
      <c r="BJ240" s="81"/>
      <c r="BK240" s="81"/>
      <c r="BL240" s="81"/>
      <c r="BM240" s="81"/>
      <c r="BN240" s="81"/>
      <c r="BO240" s="81"/>
      <c r="BP240" s="224">
        <f t="shared" si="127"/>
        <v>0</v>
      </c>
      <c r="BQ240" s="224">
        <f t="shared" si="128"/>
        <v>0</v>
      </c>
      <c r="BR240" s="224">
        <f t="shared" si="129"/>
        <v>0</v>
      </c>
      <c r="BS240" s="199">
        <f t="shared" si="118"/>
        <v>185760</v>
      </c>
      <c r="BT240" s="199">
        <f t="shared" si="113"/>
        <v>163200</v>
      </c>
      <c r="BU240" s="199">
        <f t="shared" si="114"/>
        <v>184024.96056000004</v>
      </c>
      <c r="BV240" s="112"/>
      <c r="BW240" s="112">
        <f>VLOOKUP(A240,'[5]Demand inbond in Sep'!$B:$M,12,0)</f>
        <v>100</v>
      </c>
      <c r="BX240" s="112"/>
    </row>
    <row r="241" spans="1:76" ht="15" x14ac:dyDescent="0.35">
      <c r="A241" s="228">
        <v>253758785159169</v>
      </c>
      <c r="B241" s="212" t="s">
        <v>234</v>
      </c>
      <c r="C241" s="229" t="s">
        <v>345</v>
      </c>
      <c r="D241" s="222">
        <v>80846544</v>
      </c>
      <c r="E241" s="228">
        <v>4902430789639</v>
      </c>
      <c r="F241" s="228">
        <v>4902430789639</v>
      </c>
      <c r="G241" s="230" t="s">
        <v>390</v>
      </c>
      <c r="H241" s="218">
        <v>65</v>
      </c>
      <c r="I241" s="218"/>
      <c r="J241" s="231">
        <v>24</v>
      </c>
      <c r="K241" s="219">
        <v>1857.6</v>
      </c>
      <c r="L241" s="219">
        <v>1804.1662800000001</v>
      </c>
      <c r="M241" s="115"/>
      <c r="N241" s="221"/>
      <c r="O241" s="248">
        <v>19</v>
      </c>
      <c r="P241" s="232"/>
      <c r="Q241" s="232"/>
      <c r="R241" s="232"/>
      <c r="S241" s="222"/>
      <c r="T241" s="222"/>
      <c r="U241" s="222"/>
      <c r="V241" s="222"/>
      <c r="W241" s="222"/>
      <c r="X241" s="222"/>
      <c r="Y241" s="222"/>
      <c r="Z241" s="222"/>
      <c r="AA241" s="222"/>
      <c r="AB241" s="222"/>
      <c r="AC241" s="222">
        <f t="shared" si="119"/>
        <v>0</v>
      </c>
      <c r="AD241" s="222"/>
      <c r="AE241" s="222"/>
      <c r="AF241" s="222"/>
      <c r="AG241" s="222"/>
      <c r="AH241" s="222"/>
      <c r="AI241" s="222"/>
      <c r="AJ241" s="222"/>
      <c r="AK241" s="222"/>
      <c r="AL241" s="222"/>
      <c r="AM241" s="222"/>
      <c r="AN241" s="31">
        <f t="shared" si="115"/>
        <v>0</v>
      </c>
      <c r="AO241" s="31"/>
      <c r="AP241" s="31"/>
      <c r="AQ241" s="31">
        <v>19</v>
      </c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222"/>
      <c r="BC241" s="222"/>
      <c r="BD241" s="31">
        <f t="shared" si="116"/>
        <v>19</v>
      </c>
      <c r="BE241" s="29">
        <f t="shared" si="130"/>
        <v>0</v>
      </c>
      <c r="BF241" s="29">
        <f t="shared" si="117"/>
        <v>19</v>
      </c>
      <c r="BG241" s="29">
        <f>VLOOKUP(E241,'[3]Y2604-Y2608_庫存&amp;銷售'!$F:$AJ,23,0)</f>
        <v>4.458333333333333</v>
      </c>
      <c r="BH241" s="29">
        <f>VLOOKUP(E241,'[3]Y2604-Y2608_庫存&amp;銷售'!$F:$AL,25,0)</f>
        <v>0</v>
      </c>
      <c r="BI241" s="29">
        <f>VLOOKUP(E241,'[3]Y2604-Y2608_庫存&amp;銷售'!$F:$AN,30,0)</f>
        <v>0</v>
      </c>
      <c r="BJ241" s="224"/>
      <c r="BK241" s="224"/>
      <c r="BL241" s="224"/>
      <c r="BM241" s="224"/>
      <c r="BN241" s="224"/>
      <c r="BO241" s="224"/>
      <c r="BP241" s="224">
        <f t="shared" si="127"/>
        <v>0</v>
      </c>
      <c r="BQ241" s="224">
        <f t="shared" si="128"/>
        <v>0</v>
      </c>
      <c r="BR241" s="224">
        <f t="shared" si="129"/>
        <v>0</v>
      </c>
      <c r="BS241" s="199">
        <f t="shared" si="118"/>
        <v>35294.400000000001</v>
      </c>
      <c r="BT241" s="199">
        <f t="shared" si="113"/>
        <v>29640</v>
      </c>
      <c r="BU241" s="199">
        <f t="shared" si="114"/>
        <v>34964.742506400005</v>
      </c>
      <c r="BV241" s="112"/>
      <c r="BW241" s="112">
        <f>VLOOKUP(A241,'[5]Demand inbond in Sep'!$B:$M,12,0)</f>
        <v>20</v>
      </c>
      <c r="BX241" s="112"/>
    </row>
    <row r="242" spans="1:76" ht="15" x14ac:dyDescent="0.35">
      <c r="A242" s="47">
        <v>522244896468533</v>
      </c>
      <c r="B242" s="30" t="s">
        <v>225</v>
      </c>
      <c r="C242" s="46"/>
      <c r="D242" s="31">
        <v>80896456</v>
      </c>
      <c r="E242" s="47">
        <v>4987176381279</v>
      </c>
      <c r="F242" s="47">
        <v>4987176381279</v>
      </c>
      <c r="G242" s="225" t="s">
        <v>395</v>
      </c>
      <c r="H242" s="1">
        <v>280</v>
      </c>
      <c r="I242" s="1"/>
      <c r="J242" s="226">
        <v>12</v>
      </c>
      <c r="K242" s="5">
        <v>3556.8</v>
      </c>
      <c r="L242" s="5">
        <v>3465.22</v>
      </c>
      <c r="M242" s="115"/>
      <c r="N242" s="21"/>
      <c r="O242" s="23">
        <f>VLOOKUP(E242,'[5]Demand inbond in Sep'!$C:$M,11,0)</f>
        <v>5</v>
      </c>
      <c r="P242" s="28"/>
      <c r="Q242" s="28"/>
      <c r="R242" s="28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>
        <f t="shared" si="115"/>
        <v>0</v>
      </c>
      <c r="AO242" s="31"/>
      <c r="AP242" s="31"/>
      <c r="AQ242" s="31"/>
      <c r="AR242" s="31"/>
      <c r="AS242" s="31"/>
      <c r="AT242" s="31"/>
      <c r="AU242" s="31"/>
      <c r="AV242" s="31"/>
      <c r="AW242" s="31"/>
      <c r="AX242" s="31">
        <v>2</v>
      </c>
      <c r="AY242" s="31"/>
      <c r="AZ242" s="31"/>
      <c r="BA242" s="31"/>
      <c r="BB242" s="31"/>
      <c r="BC242" s="31"/>
      <c r="BD242" s="31">
        <f t="shared" si="116"/>
        <v>2</v>
      </c>
      <c r="BE242" s="223">
        <f>O242-BD242</f>
        <v>3</v>
      </c>
      <c r="BF242" s="29">
        <f t="shared" si="117"/>
        <v>0</v>
      </c>
      <c r="BG242" s="29" t="e">
        <f>VLOOKUP(E242,'[3]Y2604-Y2608_庫存&amp;銷售'!$F:$AJ,23,0)</f>
        <v>#N/A</v>
      </c>
      <c r="BH242" s="29" t="e">
        <f>VLOOKUP(E242,'[3]Y2604-Y2608_庫存&amp;銷售'!$F:$AL,25,0)</f>
        <v>#N/A</v>
      </c>
      <c r="BI242" s="29" t="e">
        <f>VLOOKUP(E242,'[3]Y2604-Y2608_庫存&amp;銷售'!$F:$AN,30,0)</f>
        <v>#N/A</v>
      </c>
      <c r="BJ242" s="81"/>
      <c r="BK242" s="81"/>
      <c r="BL242" s="81"/>
      <c r="BM242" s="81"/>
      <c r="BN242" s="81"/>
      <c r="BO242" s="81"/>
      <c r="BP242" s="81"/>
      <c r="BQ242" s="81"/>
      <c r="BR242" s="81">
        <f t="shared" si="129"/>
        <v>0</v>
      </c>
      <c r="BS242" s="199">
        <f t="shared" si="118"/>
        <v>7113.6</v>
      </c>
      <c r="BT242" s="199">
        <f t="shared" si="113"/>
        <v>6720</v>
      </c>
      <c r="BU242" s="199">
        <f t="shared" si="114"/>
        <v>7069.0487999999996</v>
      </c>
      <c r="BV242" s="112"/>
      <c r="BW242" s="112">
        <f>VLOOKUP(A242,'[5]Demand inbond in Sep'!$B:$M,12,0)</f>
        <v>5</v>
      </c>
      <c r="BX242" s="112"/>
    </row>
    <row r="243" spans="1:76" ht="15" x14ac:dyDescent="0.35">
      <c r="A243" s="47">
        <v>522244896468467</v>
      </c>
      <c r="B243" s="30" t="s">
        <v>225</v>
      </c>
      <c r="C243" s="46"/>
      <c r="D243" s="31">
        <v>80896455</v>
      </c>
      <c r="E243" s="47">
        <v>4987176381262</v>
      </c>
      <c r="F243" s="47">
        <v>4987176381262</v>
      </c>
      <c r="G243" s="225" t="s">
        <v>396</v>
      </c>
      <c r="H243" s="1">
        <v>280</v>
      </c>
      <c r="I243" s="1"/>
      <c r="J243" s="226">
        <v>12</v>
      </c>
      <c r="K243" s="5">
        <v>3556.8</v>
      </c>
      <c r="L243" s="5">
        <v>3465.22</v>
      </c>
      <c r="M243" s="115"/>
      <c r="N243" s="21"/>
      <c r="O243" s="23">
        <f>VLOOKUP(E243,'[5]Demand inbond in Sep'!$C:$M,11,0)</f>
        <v>5</v>
      </c>
      <c r="P243" s="28"/>
      <c r="Q243" s="28"/>
      <c r="R243" s="28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>
        <f t="shared" si="115"/>
        <v>0</v>
      </c>
      <c r="AO243" s="31"/>
      <c r="AP243" s="31"/>
      <c r="AQ243" s="31"/>
      <c r="AR243" s="31"/>
      <c r="AS243" s="31"/>
      <c r="AT243" s="31"/>
      <c r="AU243" s="31"/>
      <c r="AV243" s="31"/>
      <c r="AW243" s="31"/>
      <c r="AX243" s="31">
        <v>2</v>
      </c>
      <c r="AY243" s="31"/>
      <c r="AZ243" s="31"/>
      <c r="BA243" s="31"/>
      <c r="BB243" s="31"/>
      <c r="BC243" s="31"/>
      <c r="BD243" s="31">
        <f t="shared" si="116"/>
        <v>2</v>
      </c>
      <c r="BE243" s="223">
        <f>O243-BD243</f>
        <v>3</v>
      </c>
      <c r="BF243" s="29">
        <f t="shared" si="117"/>
        <v>0</v>
      </c>
      <c r="BG243" s="29" t="e">
        <f>VLOOKUP(E243,'[3]Y2604-Y2608_庫存&amp;銷售'!$F:$AJ,23,0)</f>
        <v>#N/A</v>
      </c>
      <c r="BH243" s="29" t="e">
        <f>VLOOKUP(E243,'[3]Y2604-Y2608_庫存&amp;銷售'!$F:$AL,25,0)</f>
        <v>#N/A</v>
      </c>
      <c r="BI243" s="29" t="e">
        <f>VLOOKUP(E243,'[3]Y2604-Y2608_庫存&amp;銷售'!$F:$AN,30,0)</f>
        <v>#N/A</v>
      </c>
      <c r="BJ243" s="81"/>
      <c r="BK243" s="81"/>
      <c r="BL243" s="81"/>
      <c r="BM243" s="81"/>
      <c r="BN243" s="81"/>
      <c r="BO243" s="81"/>
      <c r="BP243" s="81"/>
      <c r="BQ243" s="81"/>
      <c r="BR243" s="81">
        <f t="shared" si="129"/>
        <v>0</v>
      </c>
      <c r="BS243" s="199">
        <f t="shared" si="118"/>
        <v>7113.6</v>
      </c>
      <c r="BT243" s="199">
        <f t="shared" si="113"/>
        <v>6720</v>
      </c>
      <c r="BU243" s="199">
        <f t="shared" si="114"/>
        <v>7069.0487999999996</v>
      </c>
      <c r="BV243" s="112"/>
      <c r="BW243" s="112">
        <f>VLOOKUP(A243,'[5]Demand inbond in Sep'!$B:$M,12,0)</f>
        <v>5</v>
      </c>
      <c r="BX243" s="112"/>
    </row>
    <row r="244" spans="1:76" s="79" customFormat="1" x14ac:dyDescent="0.3">
      <c r="M244" s="116"/>
      <c r="P244" s="80"/>
      <c r="Q244" s="80"/>
      <c r="R244" s="80"/>
      <c r="V244" s="79">
        <f>SUM(V2:V212)</f>
        <v>882</v>
      </c>
      <c r="W244" s="79">
        <f>SUM(W2:W212)</f>
        <v>1954</v>
      </c>
      <c r="X244" s="79">
        <f>SUM(X2:X212)</f>
        <v>451</v>
      </c>
      <c r="Y244" s="79">
        <f>SUM(Y2:Y212)</f>
        <v>1918</v>
      </c>
      <c r="Z244" s="79">
        <f>SUM(Z2:Z212)</f>
        <v>578</v>
      </c>
      <c r="AA244" s="79">
        <f t="shared" ref="AA244:AB244" si="131">SUM(AA2:AA212)</f>
        <v>621</v>
      </c>
      <c r="AB244" s="79">
        <f t="shared" si="131"/>
        <v>1796</v>
      </c>
      <c r="AC244" s="127">
        <f>SUM(AC2:AC243)</f>
        <v>8200</v>
      </c>
      <c r="AD244" s="127">
        <f t="shared" ref="AD244:BU244" si="132">SUM(AD2:AD243)</f>
        <v>3155</v>
      </c>
      <c r="AE244" s="127">
        <f t="shared" si="132"/>
        <v>1862</v>
      </c>
      <c r="AF244" s="127">
        <f t="shared" si="132"/>
        <v>849</v>
      </c>
      <c r="AG244" s="127">
        <f t="shared" si="132"/>
        <v>2556</v>
      </c>
      <c r="AH244" s="127">
        <f t="shared" si="132"/>
        <v>2351</v>
      </c>
      <c r="AI244" s="127">
        <f t="shared" si="132"/>
        <v>781</v>
      </c>
      <c r="AJ244" s="127">
        <f t="shared" si="132"/>
        <v>1935</v>
      </c>
      <c r="AK244" s="127">
        <f t="shared" si="132"/>
        <v>1672</v>
      </c>
      <c r="AL244" s="127">
        <f t="shared" si="132"/>
        <v>5419</v>
      </c>
      <c r="AM244" s="127">
        <f t="shared" si="132"/>
        <v>856</v>
      </c>
      <c r="AN244" s="127">
        <f t="shared" si="132"/>
        <v>21436</v>
      </c>
      <c r="AO244" s="127">
        <f t="shared" si="132"/>
        <v>754</v>
      </c>
      <c r="AP244" s="127">
        <f t="shared" si="132"/>
        <v>8127</v>
      </c>
      <c r="AQ244" s="127">
        <f t="shared" si="132"/>
        <v>1208</v>
      </c>
      <c r="AR244" s="127">
        <f t="shared" si="132"/>
        <v>3912</v>
      </c>
      <c r="AS244" s="127">
        <f t="shared" si="132"/>
        <v>5495</v>
      </c>
      <c r="AT244" s="127">
        <f t="shared" si="132"/>
        <v>1453</v>
      </c>
      <c r="AU244" s="127">
        <f t="shared" si="132"/>
        <v>1241</v>
      </c>
      <c r="AV244" s="127">
        <f t="shared" si="132"/>
        <v>900</v>
      </c>
      <c r="AW244" s="127">
        <f t="shared" ref="AW244" si="133">SUM(AW2:AW243)</f>
        <v>1098</v>
      </c>
      <c r="AX244" s="127">
        <f>SUM(AX2:AX243)</f>
        <v>1209</v>
      </c>
      <c r="AY244" s="127">
        <f>SUM(AY2:AY243)</f>
        <v>41.291666666666664</v>
      </c>
      <c r="AZ244" s="127">
        <f t="shared" si="132"/>
        <v>4906</v>
      </c>
      <c r="BA244" s="127">
        <f t="shared" si="132"/>
        <v>0</v>
      </c>
      <c r="BB244" s="127">
        <f t="shared" si="132"/>
        <v>0</v>
      </c>
      <c r="BC244" s="127">
        <f t="shared" si="132"/>
        <v>0</v>
      </c>
      <c r="BD244" s="127">
        <f t="shared" si="132"/>
        <v>30344.291666666668</v>
      </c>
      <c r="BE244" s="127">
        <f t="shared" si="132"/>
        <v>8197.9868292542524</v>
      </c>
      <c r="BF244" s="127"/>
      <c r="BG244" s="127"/>
      <c r="BH244" s="127"/>
      <c r="BI244" s="127"/>
      <c r="BJ244" s="127">
        <f t="shared" si="132"/>
        <v>22419144.858090531</v>
      </c>
      <c r="BK244" s="127" t="e">
        <f t="shared" si="132"/>
        <v>#VALUE!</v>
      </c>
      <c r="BL244" s="127">
        <f t="shared" si="132"/>
        <v>48037919.368793875</v>
      </c>
      <c r="BM244" s="127">
        <f t="shared" si="132"/>
        <v>11579589.540000008</v>
      </c>
      <c r="BN244" s="127">
        <f t="shared" si="132"/>
        <v>10459477</v>
      </c>
      <c r="BO244" s="127">
        <f t="shared" si="132"/>
        <v>11396461.728728639</v>
      </c>
      <c r="BP244" s="127">
        <f t="shared" si="132"/>
        <v>32802289.890000004</v>
      </c>
      <c r="BQ244" s="127">
        <f t="shared" si="132"/>
        <v>29393062</v>
      </c>
      <c r="BR244" s="127">
        <f t="shared" si="132"/>
        <v>32286529.115891289</v>
      </c>
      <c r="BS244" s="127">
        <f t="shared" si="132"/>
        <v>46091227.314930581</v>
      </c>
      <c r="BT244" s="127">
        <f t="shared" si="132"/>
        <v>41252548</v>
      </c>
      <c r="BU244" s="127">
        <f t="shared" si="132"/>
        <v>45345657.686132833</v>
      </c>
      <c r="BV244" s="113"/>
      <c r="BW244" s="113"/>
      <c r="BX244" s="113"/>
    </row>
    <row r="297" spans="21:21" x14ac:dyDescent="0.3">
      <c r="U297" t="s">
        <v>411</v>
      </c>
    </row>
  </sheetData>
  <autoFilter ref="A1:CV244" xr:uid="{75EEA506-5117-44A7-A5AA-0E61354F06B1}"/>
  <mergeCells count="3">
    <mergeCell ref="BZ3:BZ6"/>
    <mergeCell ref="BZ9:BZ12"/>
    <mergeCell ref="BZ15:BZ16"/>
  </mergeCells>
  <phoneticPr fontId="6" type="noConversion"/>
  <conditionalFormatting sqref="I28:J28 J100 J105 J91 J129 B186 J167:J178 G105 G100 G27:G44 I2:L2 D3:E3 F73:F178 J27 I30:J30 J29 I33:J37 J31:J32 I43:J43 J38:J42 J44 F186:F198 G45:H67 A92:E178 B91:E91 F69:F70 J114 J109 G69:H99 A24:D25 J22:J25 A68:C68 A69:E69 A71:E90 B70:E70 G106:H128 G130:H178 I106:J108 I92:J99 J60:J67 I45:J59 I26:J26 G101:J104 K211:L234 F3:F23 A4:E23 G2:H26 K3:L199 I167:I176 I3:J19 I21:J21 J20 A26:F67 I69:J70 I73:J90 J71:J72 I110:J113 I115:J128 I130:J166">
    <cfRule type="expression" dxfId="141" priority="315">
      <formula>$CM2="Human validation"</formula>
    </cfRule>
  </conditionalFormatting>
  <conditionalFormatting sqref="G1">
    <cfRule type="duplicateValues" dxfId="140" priority="313"/>
    <cfRule type="duplicateValues" dxfId="139" priority="314"/>
  </conditionalFormatting>
  <conditionalFormatting sqref="I1">
    <cfRule type="duplicateValues" dxfId="138" priority="312"/>
  </conditionalFormatting>
  <conditionalFormatting sqref="D69:D91 D54:D67">
    <cfRule type="duplicateValues" dxfId="137" priority="311"/>
  </conditionalFormatting>
  <conditionalFormatting sqref="A54:A69 A71:A90">
    <cfRule type="duplicateValues" dxfId="136" priority="310"/>
  </conditionalFormatting>
  <conditionalFormatting sqref="A2:C3">
    <cfRule type="expression" dxfId="135" priority="309">
      <formula>$CM2="Human validation"</formula>
    </cfRule>
  </conditionalFormatting>
  <conditionalFormatting sqref="D2:F2">
    <cfRule type="expression" dxfId="134" priority="308">
      <formula>$CM2="Human validation"</formula>
    </cfRule>
  </conditionalFormatting>
  <conditionalFormatting sqref="B2:C3">
    <cfRule type="expression" dxfId="133" priority="307">
      <formula>$CM2="Human validation"</formula>
    </cfRule>
  </conditionalFormatting>
  <conditionalFormatting sqref="I177:I178">
    <cfRule type="expression" dxfId="132" priority="303">
      <formula>$CM177="Human validation"</formula>
    </cfRule>
  </conditionalFormatting>
  <conditionalFormatting sqref="I91">
    <cfRule type="expression" dxfId="131" priority="302">
      <formula>$CM91="Human validation"</formula>
    </cfRule>
  </conditionalFormatting>
  <conditionalFormatting sqref="I129">
    <cfRule type="expression" dxfId="130" priority="300">
      <formula>$CM129="Human validation"</formula>
    </cfRule>
  </conditionalFormatting>
  <conditionalFormatting sqref="H129">
    <cfRule type="expression" dxfId="129" priority="299">
      <formula>$CM129="Human validation"</formula>
    </cfRule>
  </conditionalFormatting>
  <conditionalFormatting sqref="E186:E198">
    <cfRule type="duplicateValues" dxfId="128" priority="298"/>
  </conditionalFormatting>
  <conditionalFormatting sqref="A186:C198">
    <cfRule type="expression" dxfId="127" priority="297">
      <formula>$CM186="Human validation"</formula>
    </cfRule>
  </conditionalFormatting>
  <conditionalFormatting sqref="B187:B198">
    <cfRule type="expression" dxfId="126" priority="296">
      <formula>$CM187="Human validation"</formula>
    </cfRule>
  </conditionalFormatting>
  <conditionalFormatting sqref="I188">
    <cfRule type="expression" dxfId="125" priority="295">
      <formula>$CM188="Human validation"</formula>
    </cfRule>
  </conditionalFormatting>
  <conditionalFormatting sqref="H186:H199">
    <cfRule type="expression" dxfId="124" priority="292">
      <formula>$CM186="Human validation"</formula>
    </cfRule>
  </conditionalFormatting>
  <conditionalFormatting sqref="J186:J198">
    <cfRule type="expression" dxfId="123" priority="291">
      <formula>$CM186="Human validation"</formula>
    </cfRule>
  </conditionalFormatting>
  <conditionalFormatting sqref="B199">
    <cfRule type="expression" dxfId="122" priority="290">
      <formula>$CM199="Human validation"</formula>
    </cfRule>
  </conditionalFormatting>
  <conditionalFormatting sqref="J199">
    <cfRule type="expression" dxfId="121" priority="288">
      <formula>$CM199="Human validation"</formula>
    </cfRule>
  </conditionalFormatting>
  <conditionalFormatting sqref="F71:F72">
    <cfRule type="expression" dxfId="120" priority="287">
      <formula>$CM71="Human validation"</formula>
    </cfRule>
  </conditionalFormatting>
  <conditionalFormatting sqref="I22:I25">
    <cfRule type="expression" dxfId="119" priority="285">
      <formula>$CM22="Human validation"</formula>
    </cfRule>
  </conditionalFormatting>
  <conditionalFormatting sqref="H100">
    <cfRule type="expression" dxfId="118" priority="284">
      <formula>$CM100="Human validation"</formula>
    </cfRule>
  </conditionalFormatting>
  <conditionalFormatting sqref="A179:I185">
    <cfRule type="expression" dxfId="117" priority="283">
      <formula>$AC179="Human validation"</formula>
    </cfRule>
  </conditionalFormatting>
  <conditionalFormatting sqref="E179:E185">
    <cfRule type="duplicateValues" dxfId="116" priority="282"/>
  </conditionalFormatting>
  <conditionalFormatting sqref="E179:E185">
    <cfRule type="duplicateValues" dxfId="115" priority="281"/>
  </conditionalFormatting>
  <conditionalFormatting sqref="J179:J185">
    <cfRule type="expression" dxfId="114" priority="280">
      <formula>$AC179="Human validation"</formula>
    </cfRule>
  </conditionalFormatting>
  <conditionalFormatting sqref="F179:F185">
    <cfRule type="duplicateValues" dxfId="113" priority="279"/>
  </conditionalFormatting>
  <conditionalFormatting sqref="F179:F185">
    <cfRule type="duplicateValues" dxfId="112" priority="278"/>
  </conditionalFormatting>
  <conditionalFormatting sqref="G24:G25">
    <cfRule type="duplicateValues" dxfId="111" priority="276"/>
  </conditionalFormatting>
  <conditionalFormatting sqref="B208 J211:J212 I208:I234 B241">
    <cfRule type="expression" dxfId="110" priority="274">
      <formula>$BM208="Human validation"</formula>
    </cfRule>
  </conditionalFormatting>
  <conditionalFormatting sqref="F208:F212">
    <cfRule type="duplicateValues" dxfId="109" priority="271"/>
  </conditionalFormatting>
  <conditionalFormatting sqref="F208:F212">
    <cfRule type="duplicateValues" dxfId="108" priority="272"/>
  </conditionalFormatting>
  <conditionalFormatting sqref="B209:B212">
    <cfRule type="expression" dxfId="107" priority="268">
      <formula>$BM209="Human validation"</formula>
    </cfRule>
  </conditionalFormatting>
  <conditionalFormatting sqref="J208:J209">
    <cfRule type="expression" dxfId="106" priority="270">
      <formula>$BM208="Human validation"</formula>
    </cfRule>
  </conditionalFormatting>
  <conditionalFormatting sqref="J210">
    <cfRule type="expression" dxfId="105" priority="269">
      <formula>$BM210="Human validation"</formula>
    </cfRule>
  </conditionalFormatting>
  <conditionalFormatting sqref="B200:B207">
    <cfRule type="expression" dxfId="104" priority="264">
      <formula>$BM200="Human validation"</formula>
    </cfRule>
  </conditionalFormatting>
  <conditionalFormatting sqref="J200:J207">
    <cfRule type="expression" dxfId="103" priority="262">
      <formula>$BM200="Human validation"</formula>
    </cfRule>
  </conditionalFormatting>
  <conditionalFormatting sqref="F200:F205 F208:F212">
    <cfRule type="duplicateValues" dxfId="102" priority="261"/>
  </conditionalFormatting>
  <conditionalFormatting sqref="F200:F205">
    <cfRule type="duplicateValues" dxfId="101" priority="260"/>
  </conditionalFormatting>
  <conditionalFormatting sqref="E199">
    <cfRule type="duplicateValues" dxfId="100" priority="316"/>
  </conditionalFormatting>
  <conditionalFormatting sqref="F199">
    <cfRule type="duplicateValues" dxfId="99" priority="317"/>
  </conditionalFormatting>
  <conditionalFormatting sqref="A208:A212">
    <cfRule type="duplicateValues" dxfId="98" priority="258"/>
  </conditionalFormatting>
  <conditionalFormatting sqref="E208:E212">
    <cfRule type="duplicateValues" dxfId="97" priority="255"/>
  </conditionalFormatting>
  <conditionalFormatting sqref="E208:E212">
    <cfRule type="duplicateValues" dxfId="96" priority="256"/>
  </conditionalFormatting>
  <conditionalFormatting sqref="E200:E205 E208:E212">
    <cfRule type="duplicateValues" dxfId="95" priority="254"/>
  </conditionalFormatting>
  <conditionalFormatting sqref="E200:E205">
    <cfRule type="duplicateValues" dxfId="94" priority="253"/>
  </conditionalFormatting>
  <conditionalFormatting sqref="H208:H212">
    <cfRule type="expression" dxfId="93" priority="252">
      <formula>$BM208="Human validation"</formula>
    </cfRule>
  </conditionalFormatting>
  <conditionalFormatting sqref="H200:H207">
    <cfRule type="expression" dxfId="92" priority="251">
      <formula>$BM200="Human validation"</formula>
    </cfRule>
  </conditionalFormatting>
  <conditionalFormatting sqref="I200:I207">
    <cfRule type="expression" dxfId="91" priority="250">
      <formula>$BM200="Human validation"</formula>
    </cfRule>
  </conditionalFormatting>
  <conditionalFormatting sqref="K200:L207">
    <cfRule type="expression" dxfId="90" priority="249">
      <formula>$CM200="Human validation"</formula>
    </cfRule>
  </conditionalFormatting>
  <conditionalFormatting sqref="K208:L210">
    <cfRule type="expression" dxfId="89" priority="248">
      <formula>$CM208="Human validation"</formula>
    </cfRule>
  </conditionalFormatting>
  <conditionalFormatting sqref="A213">
    <cfRule type="duplicateValues" dxfId="88" priority="182"/>
  </conditionalFormatting>
  <conditionalFormatting sqref="A213">
    <cfRule type="duplicateValues" dxfId="87" priority="183"/>
  </conditionalFormatting>
  <conditionalFormatting sqref="A213">
    <cfRule type="duplicateValues" dxfId="86" priority="184"/>
  </conditionalFormatting>
  <conditionalFormatting sqref="A213">
    <cfRule type="duplicateValues" dxfId="85" priority="185"/>
  </conditionalFormatting>
  <conditionalFormatting sqref="A213">
    <cfRule type="duplicateValues" dxfId="84" priority="186"/>
  </conditionalFormatting>
  <conditionalFormatting sqref="A213">
    <cfRule type="duplicateValues" dxfId="83" priority="187"/>
    <cfRule type="duplicateValues" dxfId="82" priority="188"/>
  </conditionalFormatting>
  <conditionalFormatting sqref="A214">
    <cfRule type="duplicateValues" dxfId="81" priority="175"/>
  </conditionalFormatting>
  <conditionalFormatting sqref="A214">
    <cfRule type="duplicateValues" dxfId="80" priority="177"/>
    <cfRule type="duplicateValues" dxfId="79" priority="178"/>
  </conditionalFormatting>
  <conditionalFormatting sqref="A214">
    <cfRule type="duplicateValues" dxfId="78" priority="165"/>
    <cfRule type="duplicateValues" dxfId="77" priority="166"/>
    <cfRule type="duplicateValues" dxfId="76" priority="167"/>
  </conditionalFormatting>
  <conditionalFormatting sqref="B213:B214 I68:J68 J213:J234 H213:H243">
    <cfRule type="expression" dxfId="75" priority="155">
      <formula>$BE68="Human validation"</formula>
    </cfRule>
  </conditionalFormatting>
  <conditionalFormatting sqref="E213">
    <cfRule type="duplicateValues" dxfId="74" priority="154"/>
  </conditionalFormatting>
  <conditionalFormatting sqref="E213">
    <cfRule type="duplicateValues" dxfId="73" priority="153"/>
  </conditionalFormatting>
  <conditionalFormatting sqref="F213">
    <cfRule type="duplicateValues" dxfId="72" priority="152"/>
  </conditionalFormatting>
  <conditionalFormatting sqref="F213">
    <cfRule type="duplicateValues" dxfId="71" priority="151"/>
  </conditionalFormatting>
  <conditionalFormatting sqref="D214">
    <cfRule type="duplicateValues" dxfId="70" priority="150"/>
  </conditionalFormatting>
  <conditionalFormatting sqref="E214">
    <cfRule type="duplicateValues" dxfId="69" priority="139"/>
  </conditionalFormatting>
  <conditionalFormatting sqref="F214">
    <cfRule type="duplicateValues" dxfId="68" priority="140"/>
    <cfRule type="duplicateValues" dxfId="67" priority="141"/>
    <cfRule type="duplicateValues" dxfId="66" priority="142"/>
  </conditionalFormatting>
  <conditionalFormatting sqref="F214">
    <cfRule type="duplicateValues" dxfId="65" priority="143"/>
  </conditionalFormatting>
  <conditionalFormatting sqref="A91">
    <cfRule type="expression" dxfId="64" priority="135">
      <formula>$BE91="Human validation"</formula>
    </cfRule>
  </conditionalFormatting>
  <conditionalFormatting sqref="A91">
    <cfRule type="duplicateValues" dxfId="63" priority="134"/>
  </conditionalFormatting>
  <conditionalFormatting sqref="G68:H68">
    <cfRule type="expression" dxfId="62" priority="132">
      <formula>$BE68="Human validation"</formula>
    </cfRule>
  </conditionalFormatting>
  <conditionalFormatting sqref="E68">
    <cfRule type="duplicateValues" dxfId="61" priority="133"/>
  </conditionalFormatting>
  <conditionalFormatting sqref="A199">
    <cfRule type="expression" dxfId="60" priority="131">
      <formula>$CM199="Human validation"</formula>
    </cfRule>
  </conditionalFormatting>
  <conditionalFormatting sqref="A200:A205">
    <cfRule type="expression" dxfId="59" priority="127">
      <formula>$CM200="Human validation"</formula>
    </cfRule>
  </conditionalFormatting>
  <conditionalFormatting sqref="E24:F25">
    <cfRule type="expression" dxfId="58" priority="126">
      <formula>$CM24="Human validation"</formula>
    </cfRule>
  </conditionalFormatting>
  <conditionalFormatting sqref="E206">
    <cfRule type="duplicateValues" dxfId="57" priority="123"/>
  </conditionalFormatting>
  <conditionalFormatting sqref="E206">
    <cfRule type="duplicateValues" dxfId="56" priority="124"/>
    <cfRule type="duplicateValues" dxfId="55" priority="125"/>
  </conditionalFormatting>
  <conditionalFormatting sqref="F206">
    <cfRule type="duplicateValues" dxfId="54" priority="120"/>
  </conditionalFormatting>
  <conditionalFormatting sqref="F206">
    <cfRule type="duplicateValues" dxfId="53" priority="121"/>
    <cfRule type="duplicateValues" dxfId="52" priority="122"/>
  </conditionalFormatting>
  <conditionalFormatting sqref="E207">
    <cfRule type="duplicateValues" dxfId="51" priority="117"/>
  </conditionalFormatting>
  <conditionalFormatting sqref="E207">
    <cfRule type="duplicateValues" dxfId="50" priority="118"/>
    <cfRule type="duplicateValues" dxfId="49" priority="119"/>
  </conditionalFormatting>
  <conditionalFormatting sqref="A206">
    <cfRule type="duplicateValues" dxfId="48" priority="114"/>
    <cfRule type="duplicateValues" dxfId="47" priority="115"/>
  </conditionalFormatting>
  <conditionalFormatting sqref="A206">
    <cfRule type="duplicateValues" dxfId="46" priority="116"/>
  </conditionalFormatting>
  <conditionalFormatting sqref="A206">
    <cfRule type="duplicateValues" dxfId="45" priority="113"/>
  </conditionalFormatting>
  <conditionalFormatting sqref="A206">
    <cfRule type="duplicateValues" dxfId="44" priority="111"/>
    <cfRule type="duplicateValues" dxfId="43" priority="112"/>
  </conditionalFormatting>
  <conditionalFormatting sqref="A206">
    <cfRule type="duplicateValues" dxfId="42" priority="110"/>
  </conditionalFormatting>
  <conditionalFormatting sqref="E244:E1048576 E1:E214">
    <cfRule type="duplicateValues" dxfId="41" priority="67"/>
  </conditionalFormatting>
  <conditionalFormatting sqref="E244:E1048576 E1:E23 E69:E199 E26:E67">
    <cfRule type="duplicateValues" dxfId="40" priority="318"/>
  </conditionalFormatting>
  <conditionalFormatting sqref="E244:E1048576 E1:E23 E26:E205 E208:E214">
    <cfRule type="duplicateValues" dxfId="39" priority="325"/>
  </conditionalFormatting>
  <conditionalFormatting sqref="A70">
    <cfRule type="expression" dxfId="38" priority="60">
      <formula>$CM70="Human validation"</formula>
    </cfRule>
  </conditionalFormatting>
  <conditionalFormatting sqref="A70">
    <cfRule type="duplicateValues" dxfId="37" priority="59"/>
  </conditionalFormatting>
  <conditionalFormatting sqref="F207">
    <cfRule type="duplicateValues" dxfId="36" priority="56"/>
  </conditionalFormatting>
  <conditionalFormatting sqref="F207">
    <cfRule type="duplicateValues" dxfId="35" priority="57"/>
    <cfRule type="duplicateValues" dxfId="34" priority="58"/>
  </conditionalFormatting>
  <conditionalFormatting sqref="F207">
    <cfRule type="duplicateValues" dxfId="33" priority="55"/>
  </conditionalFormatting>
  <conditionalFormatting sqref="A244:A1048576 A1:A214">
    <cfRule type="duplicateValues" dxfId="32" priority="46"/>
  </conditionalFormatting>
  <conditionalFormatting sqref="A215:A234">
    <cfRule type="duplicateValues" dxfId="31" priority="45"/>
  </conditionalFormatting>
  <conditionalFormatting sqref="A215:A234">
    <cfRule type="duplicateValues" dxfId="30" priority="44"/>
  </conditionalFormatting>
  <conditionalFormatting sqref="F215:F234">
    <cfRule type="duplicateValues" dxfId="29" priority="43"/>
  </conditionalFormatting>
  <conditionalFormatting sqref="F215:F234">
    <cfRule type="duplicateValues" dxfId="28" priority="42"/>
  </conditionalFormatting>
  <conditionalFormatting sqref="E215:E234">
    <cfRule type="duplicateValues" dxfId="27" priority="41"/>
  </conditionalFormatting>
  <conditionalFormatting sqref="E215:E234">
    <cfRule type="duplicateValues" dxfId="26" priority="40"/>
  </conditionalFormatting>
  <conditionalFormatting sqref="B215:B234">
    <cfRule type="expression" dxfId="25" priority="39">
      <formula>$BM215="Human validation"</formula>
    </cfRule>
  </conditionalFormatting>
  <conditionalFormatting sqref="A244:A1048576 A1:A234">
    <cfRule type="duplicateValues" dxfId="24" priority="32"/>
  </conditionalFormatting>
  <conditionalFormatting sqref="K235:L243">
    <cfRule type="expression" dxfId="23" priority="28">
      <formula>$CM235="Human validation"</formula>
    </cfRule>
  </conditionalFormatting>
  <conditionalFormatting sqref="I235:I243">
    <cfRule type="expression" dxfId="22" priority="27">
      <formula>$BM235="Human validation"</formula>
    </cfRule>
  </conditionalFormatting>
  <conditionalFormatting sqref="J235:J243">
    <cfRule type="expression" dxfId="21" priority="26">
      <formula>$BE235="Human validation"</formula>
    </cfRule>
  </conditionalFormatting>
  <conditionalFormatting sqref="A235:A243">
    <cfRule type="duplicateValues" dxfId="20" priority="25"/>
  </conditionalFormatting>
  <conditionalFormatting sqref="A235:A243">
    <cfRule type="duplicateValues" dxfId="19" priority="24"/>
  </conditionalFormatting>
  <conditionalFormatting sqref="F235:F243">
    <cfRule type="duplicateValues" dxfId="18" priority="23"/>
  </conditionalFormatting>
  <conditionalFormatting sqref="F235:F243">
    <cfRule type="duplicateValues" dxfId="17" priority="22"/>
  </conditionalFormatting>
  <conditionalFormatting sqref="E235:E243">
    <cfRule type="duplicateValues" dxfId="16" priority="21"/>
  </conditionalFormatting>
  <conditionalFormatting sqref="E235:E243">
    <cfRule type="duplicateValues" dxfId="15" priority="20"/>
  </conditionalFormatting>
  <conditionalFormatting sqref="A235:A243">
    <cfRule type="duplicateValues" dxfId="14" priority="18"/>
  </conditionalFormatting>
  <conditionalFormatting sqref="E1:E1048576">
    <cfRule type="duplicateValues" dxfId="13" priority="17"/>
  </conditionalFormatting>
  <conditionalFormatting sqref="B235:B239">
    <cfRule type="expression" dxfId="12" priority="16">
      <formula>$BM235="Human validation"</formula>
    </cfRule>
  </conditionalFormatting>
  <conditionalFormatting sqref="B240">
    <cfRule type="expression" dxfId="11" priority="15">
      <formula>$BM240="Human validation"</formula>
    </cfRule>
  </conditionalFormatting>
  <conditionalFormatting sqref="B244:D244">
    <cfRule type="duplicateValues" dxfId="10" priority="14"/>
  </conditionalFormatting>
  <conditionalFormatting sqref="B244:D244">
    <cfRule type="duplicateValues" dxfId="9" priority="13"/>
  </conditionalFormatting>
  <conditionalFormatting sqref="E248:E1048576">
    <cfRule type="duplicateValues" dxfId="8" priority="10"/>
  </conditionalFormatting>
  <conditionalFormatting sqref="D247">
    <cfRule type="duplicateValues" dxfId="7" priority="332"/>
  </conditionalFormatting>
  <conditionalFormatting sqref="F20:F21">
    <cfRule type="duplicateValues" dxfId="6" priority="5"/>
  </conditionalFormatting>
  <conditionalFormatting sqref="F20:F21">
    <cfRule type="duplicateValues" dxfId="5" priority="6"/>
  </conditionalFormatting>
  <conditionalFormatting sqref="F20:F21">
    <cfRule type="duplicateValues" dxfId="4" priority="7"/>
  </conditionalFormatting>
  <conditionalFormatting sqref="F20:F21">
    <cfRule type="duplicateValues" dxfId="3" priority="4"/>
  </conditionalFormatting>
  <conditionalFormatting sqref="B242:B243">
    <cfRule type="expression" dxfId="2" priority="3">
      <formula>$BE242="Human validation"</formula>
    </cfRule>
  </conditionalFormatting>
  <conditionalFormatting sqref="I20">
    <cfRule type="expression" dxfId="1" priority="2">
      <formula>$CM20="Human validation"</formula>
    </cfRule>
  </conditionalFormatting>
  <conditionalFormatting sqref="I60:I63">
    <cfRule type="expression" dxfId="0" priority="1">
      <formula>$BE60="Human validation"</formula>
    </cfRule>
  </conditionalFormatting>
  <pageMargins left="0.7" right="0.7" top="0.75" bottom="0.75" header="0.3" footer="0.3"/>
  <pageSetup paperSize="9" orientation="portrait" r:id="rId1"/>
  <headerFooter>
    <oddHeader>&amp;R&amp;"Aptos"&amp;10&amp;K000000 Highly Restricted&amp;1#_x000D_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D9F57-8DEA-44CC-94C9-C7836CE82C8D}">
  <dimension ref="A1:E7"/>
  <sheetViews>
    <sheetView topLeftCell="A10" workbookViewId="0">
      <selection activeCell="H19" sqref="H19"/>
    </sheetView>
  </sheetViews>
  <sheetFormatPr defaultRowHeight="14.5" x14ac:dyDescent="0.3"/>
  <cols>
    <col min="2" max="2" width="22.3984375" style="152" bestFit="1" customWidth="1"/>
    <col min="3" max="3" width="20" style="152" bestFit="1" customWidth="1"/>
    <col min="4" max="4" width="27.8984375" customWidth="1"/>
  </cols>
  <sheetData>
    <row r="1" spans="1:5" ht="16" thickBot="1" x14ac:dyDescent="0.35">
      <c r="A1" s="129" t="s">
        <v>310</v>
      </c>
      <c r="B1" s="150" t="s">
        <v>2</v>
      </c>
      <c r="C1" s="150" t="s">
        <v>311</v>
      </c>
      <c r="D1" s="130" t="s">
        <v>312</v>
      </c>
      <c r="E1" s="131" t="s">
        <v>313</v>
      </c>
    </row>
    <row r="2" spans="1:5" ht="15" thickBot="1" x14ac:dyDescent="0.35">
      <c r="A2" s="132" t="s">
        <v>177</v>
      </c>
      <c r="B2" s="151">
        <v>341387966922752</v>
      </c>
      <c r="C2" s="151">
        <v>4987176134578</v>
      </c>
      <c r="D2" s="133" t="s">
        <v>314</v>
      </c>
      <c r="E2" s="134">
        <v>41</v>
      </c>
    </row>
    <row r="3" spans="1:5" ht="15" thickBot="1" x14ac:dyDescent="0.35">
      <c r="A3" s="132" t="s">
        <v>177</v>
      </c>
      <c r="B3" s="151">
        <v>410946287665152</v>
      </c>
      <c r="C3" s="151">
        <v>4902430340526</v>
      </c>
      <c r="D3" s="133" t="s">
        <v>315</v>
      </c>
      <c r="E3" s="134">
        <v>4</v>
      </c>
    </row>
    <row r="4" spans="1:5" ht="15" thickBot="1" x14ac:dyDescent="0.35">
      <c r="A4" s="132" t="s">
        <v>177</v>
      </c>
      <c r="B4" s="151">
        <v>410946287681536</v>
      </c>
      <c r="C4" s="151">
        <v>4902430341820</v>
      </c>
      <c r="D4" s="133" t="s">
        <v>316</v>
      </c>
      <c r="E4" s="134">
        <v>12</v>
      </c>
    </row>
    <row r="5" spans="1:5" ht="15" thickBot="1" x14ac:dyDescent="0.35">
      <c r="A5" s="132" t="s">
        <v>177</v>
      </c>
      <c r="B5" s="151">
        <v>410946291843072</v>
      </c>
      <c r="C5" s="151">
        <v>4987176247681</v>
      </c>
      <c r="D5" s="133" t="s">
        <v>317</v>
      </c>
      <c r="E5" s="134">
        <v>12</v>
      </c>
    </row>
    <row r="6" spans="1:5" ht="15" thickBot="1" x14ac:dyDescent="0.35">
      <c r="A6" s="132" t="s">
        <v>177</v>
      </c>
      <c r="B6" s="151">
        <v>412848148660224</v>
      </c>
      <c r="C6" s="151">
        <v>4987176132185</v>
      </c>
      <c r="D6" s="133" t="s">
        <v>318</v>
      </c>
      <c r="E6" s="134">
        <v>24</v>
      </c>
    </row>
    <row r="7" spans="1:5" ht="15" thickBot="1" x14ac:dyDescent="0.35">
      <c r="A7" s="132" t="s">
        <v>177</v>
      </c>
      <c r="B7" s="151">
        <v>522244895785282</v>
      </c>
      <c r="C7" s="151">
        <v>4987176294395</v>
      </c>
      <c r="D7" s="133" t="s">
        <v>319</v>
      </c>
      <c r="E7" s="134">
        <v>145</v>
      </c>
    </row>
  </sheetData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Sheet1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Kris</dc:creator>
  <cp:lastModifiedBy>Nicole.Chou(周亭瑜)</cp:lastModifiedBy>
  <dcterms:created xsi:type="dcterms:W3CDTF">2026-07-01T10:31:44Z</dcterms:created>
  <dcterms:modified xsi:type="dcterms:W3CDTF">2026-09-10T04:46:47Z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b8f4d7-14bc-4a30-8a91-299e587fa409_Enabled">
    <vt:lpwstr>true</vt:lpwstr>
  </property>
  <property fmtid="{D5CDD505-2E9C-101B-9397-08002B2CF9AE}" pid="3" name="MSIP_Label_d5b8f4d7-14bc-4a30-8a91-299e587fa409_SetDate">
    <vt:lpwstr>2026-07-01T10:41:51Z</vt:lpwstr>
  </property>
  <property fmtid="{D5CDD505-2E9C-101B-9397-08002B2CF9AE}" pid="4" name="MSIP_Label_d5b8f4d7-14bc-4a30-8a91-299e587fa409_Method">
    <vt:lpwstr>Privileged</vt:lpwstr>
  </property>
  <property fmtid="{D5CDD505-2E9C-101B-9397-08002B2CF9AE}" pid="5" name="MSIP_Label_d5b8f4d7-14bc-4a30-8a91-299e587fa409_Name">
    <vt:lpwstr>PG - Restricted</vt:lpwstr>
  </property>
  <property fmtid="{D5CDD505-2E9C-101B-9397-08002B2CF9AE}" pid="6" name="MSIP_Label_d5b8f4d7-14bc-4a30-8a91-299e587fa409_SiteId">
    <vt:lpwstr>3596192b-fdf5-4e2c-a6fa-acb706c963d8</vt:lpwstr>
  </property>
  <property fmtid="{D5CDD505-2E9C-101B-9397-08002B2CF9AE}" pid="7" name="MSIP_Label_d5b8f4d7-14bc-4a30-8a91-299e587fa409_ActionId">
    <vt:lpwstr>faaf83dd-6e6b-4147-8137-2e6f0288bd7e</vt:lpwstr>
  </property>
  <property fmtid="{D5CDD505-2E9C-101B-9397-08002B2CF9AE}" pid="8" name="MSIP_Label_d5b8f4d7-14bc-4a30-8a91-299e587fa409_ContentBits">
    <vt:lpwstr>1</vt:lpwstr>
  </property>
  <property fmtid="{D5CDD505-2E9C-101B-9397-08002B2CF9AE}" pid="9" name="MSIP_Label_d5b8f4d7-14bc-4a30-8a91-299e587fa409_Tag">
    <vt:lpwstr>10, 0, 1, 1</vt:lpwstr>
  </property>
</Properties>
</file>