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drawings/drawing3.xml" ContentType="application/vnd.openxmlformats-officedocument.drawing+xml"/>
  <Override PartName="/xl/tables/table22.xml" ContentType="application/vnd.openxmlformats-officedocument.spreadsheetml.table+xml"/>
  <Override PartName="/xl/tables/table2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4.xml" ContentType="application/vnd.openxmlformats-officedocument.spreadsheetml.table+xml"/>
  <Override PartName="/xl/tables/table25.xml" ContentType="application/vnd.openxmlformats-officedocument.spreadsheetml.table+xml"/>
  <Override PartName="/xl/drawings/drawing4.xml" ContentType="application/vnd.openxmlformats-officedocument.drawing+xml"/>
  <Override PartName="/xl/tables/table26.xml" ContentType="application/vnd.openxmlformats-officedocument.spreadsheetml.table+xml"/>
  <Override PartName="/xl/tables/table27.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PNHa/Library/CloudStorage/OneDrive-Personal/International Finance/"/>
    </mc:Choice>
  </mc:AlternateContent>
  <xr:revisionPtr revIDLastSave="0" documentId="8_{B35F87BB-7360-8246-812F-86776546FD9F}" xr6:coauthVersionLast="47" xr6:coauthVersionMax="47" xr10:uidLastSave="{00000000-0000-0000-0000-000000000000}"/>
  <bookViews>
    <workbookView xWindow="8760" yWindow="500" windowWidth="18700" windowHeight="16400" activeTab="3" xr2:uid="{12C34917-0D89-9C40-8CCA-E79E10DA5BEE}"/>
  </bookViews>
  <sheets>
    <sheet name="Sheet1" sheetId="1" r:id="rId1"/>
    <sheet name="Hedging" sheetId="17" r:id="rId2"/>
    <sheet name="NPV IRR" sheetId="10" r:id="rId3"/>
    <sheet name="Exchange Rate Variables" sheetId="4" r:id="rId4"/>
    <sheet name="Vietnam" sheetId="5" r:id="rId5"/>
    <sheet name="The U.S" sheetId="6" r:id="rId6"/>
    <sheet name="Philippines" sheetId="7" r:id="rId7"/>
    <sheet name="Forecast Exchange Rate" sheetId="16" r:id="rId8"/>
    <sheet name="PHPUSD Macro Model" sheetId="13" r:id="rId9"/>
    <sheet name="PHPUSD Macroeconomic Variables" sheetId="8" r:id="rId10"/>
    <sheet name="VNDUSD Macroeconomic Variables" sheetId="9" r:id="rId11"/>
    <sheet name="VNDUSD Macro Model" sheetId="15" r:id="rId12"/>
    <sheet name="WACC" sheetId="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17" l="1"/>
  <c r="D46" i="17" s="1"/>
  <c r="C45" i="17"/>
  <c r="D45" i="17" s="1"/>
  <c r="D44" i="17"/>
  <c r="D25" i="17" a="1"/>
  <c r="D25" i="17" s="1"/>
  <c r="C33" i="17" s="1"/>
  <c r="J49" i="10" a="1"/>
  <c r="J49" i="10" s="1"/>
  <c r="J50" i="10" s="1" a="1"/>
  <c r="J50" i="10" s="1"/>
  <c r="B3" i="3"/>
  <c r="B28" i="17"/>
  <c r="I73" i="10"/>
  <c r="O93" i="10"/>
  <c r="H78" i="10"/>
  <c r="J43" i="10"/>
  <c r="O2" i="16"/>
  <c r="O3" i="16"/>
  <c r="O4" i="16"/>
  <c r="O5" i="16"/>
  <c r="O6" i="16"/>
  <c r="O7" i="16"/>
  <c r="O8" i="16"/>
  <c r="O9" i="16"/>
  <c r="O10" i="16"/>
  <c r="O11" i="16"/>
  <c r="N11" i="16"/>
  <c r="N10" i="16"/>
  <c r="N9" i="16"/>
  <c r="N8" i="16"/>
  <c r="N7" i="16"/>
  <c r="N6" i="16"/>
  <c r="N5" i="16"/>
  <c r="N4" i="16"/>
  <c r="N3" i="16"/>
  <c r="N2" i="16"/>
  <c r="J71" i="10"/>
  <c r="I67" i="10"/>
  <c r="J26" i="10"/>
  <c r="K26" i="10" s="1"/>
  <c r="L26" i="10" s="1"/>
  <c r="M26" i="10" s="1"/>
  <c r="N26" i="10" s="1"/>
  <c r="O26" i="10" s="1"/>
  <c r="J27" i="10"/>
  <c r="K27" i="10" s="1"/>
  <c r="L27" i="10" s="1"/>
  <c r="M27" i="10" s="1"/>
  <c r="N27" i="10" s="1"/>
  <c r="O27" i="10" s="1"/>
  <c r="J25" i="10"/>
  <c r="K25" i="10" s="1"/>
  <c r="L25" i="10" s="1"/>
  <c r="M25" i="10" s="1"/>
  <c r="N25" i="10" s="1"/>
  <c r="O25" i="10" s="1"/>
  <c r="J36" i="10"/>
  <c r="K52" i="10"/>
  <c r="J4" i="10"/>
  <c r="J10" i="10" s="1"/>
  <c r="P49" i="10" a="1"/>
  <c r="P49" i="10" s="1"/>
  <c r="P50" i="10" s="1" a="1"/>
  <c r="P50" i="10" s="1"/>
  <c r="O49" i="10" a="1"/>
  <c r="O49" i="10" s="1"/>
  <c r="O50" i="10" s="1" a="1"/>
  <c r="O50" i="10" s="1"/>
  <c r="N49" i="10" a="1"/>
  <c r="N49" i="10" s="1"/>
  <c r="N50" i="10" s="1" a="1"/>
  <c r="N50" i="10" s="1"/>
  <c r="M49" i="10" a="1"/>
  <c r="M49" i="10" s="1"/>
  <c r="M50" i="10" s="1" a="1"/>
  <c r="M50" i="10" s="1"/>
  <c r="K49" i="10" a="1"/>
  <c r="K49" i="10" s="1"/>
  <c r="K50" i="10" s="1" a="1"/>
  <c r="K50" i="10" s="1"/>
  <c r="L49" i="10" a="1"/>
  <c r="L49" i="10" s="1"/>
  <c r="L50" i="10" s="1" a="1"/>
  <c r="L50" i="10" s="1"/>
  <c r="J11" i="10"/>
  <c r="K11" i="10" s="1"/>
  <c r="L11" i="10" s="1"/>
  <c r="M11" i="10" s="1"/>
  <c r="N11" i="10" s="1"/>
  <c r="O11" i="10" s="1"/>
  <c r="L52" i="10"/>
  <c r="M52" i="10"/>
  <c r="N52" i="10"/>
  <c r="O52" i="10"/>
  <c r="P52" i="10"/>
  <c r="K53" i="10"/>
  <c r="L53" i="10"/>
  <c r="M53" i="10"/>
  <c r="N53" i="10"/>
  <c r="O53" i="10"/>
  <c r="P53" i="10"/>
  <c r="K54" i="10"/>
  <c r="L54" i="10"/>
  <c r="M54" i="10"/>
  <c r="N54" i="10"/>
  <c r="O54" i="10"/>
  <c r="P54" i="10"/>
  <c r="K55" i="10"/>
  <c r="L55" i="10"/>
  <c r="M55" i="10"/>
  <c r="N55" i="10"/>
  <c r="O55" i="10"/>
  <c r="P55" i="10"/>
  <c r="J55" i="10"/>
  <c r="J54" i="10"/>
  <c r="J53" i="10"/>
  <c r="J52" i="10"/>
  <c r="E10" i="10" a="1"/>
  <c r="E10" i="10" s="1"/>
  <c r="D10" i="10" a="1"/>
  <c r="D10" i="10" s="1"/>
  <c r="C10" i="10" a="1"/>
  <c r="C10" i="10" s="1"/>
  <c r="B10" i="10" a="1"/>
  <c r="B10" i="10" s="1"/>
  <c r="J46" i="10"/>
  <c r="K46" i="10" s="1"/>
  <c r="L46" i="10" s="1"/>
  <c r="M46" i="10" s="1"/>
  <c r="N46" i="10" s="1"/>
  <c r="O46" i="10" s="1"/>
  <c r="P46" i="10" s="1"/>
  <c r="J45" i="10"/>
  <c r="K45" i="10" s="1"/>
  <c r="L45" i="10" s="1"/>
  <c r="M45" i="10" s="1"/>
  <c r="N45" i="10" s="1"/>
  <c r="O45" i="10" s="1"/>
  <c r="P45" i="10" s="1"/>
  <c r="J44" i="10"/>
  <c r="K44" i="10" s="1"/>
  <c r="L44" i="10" s="1"/>
  <c r="M44" i="10" s="1"/>
  <c r="N44" i="10" s="1"/>
  <c r="O44" i="10" s="1"/>
  <c r="P44" i="10" s="1"/>
  <c r="K43" i="10"/>
  <c r="L43" i="10" s="1"/>
  <c r="M43" i="10" s="1"/>
  <c r="N43" i="10" s="1"/>
  <c r="O43" i="10" s="1"/>
  <c r="P43" i="10" s="1"/>
  <c r="J3" i="10"/>
  <c r="J9" i="10" s="1"/>
  <c r="K9" i="10" s="1"/>
  <c r="L9" i="10" s="1"/>
  <c r="J39" i="10"/>
  <c r="J37" i="10"/>
  <c r="J38" i="10"/>
  <c r="J24" i="10"/>
  <c r="B12" i="10" a="1"/>
  <c r="B12" i="10" s="1"/>
  <c r="E8" i="10" a="1"/>
  <c r="E8" i="10" s="1"/>
  <c r="D8" i="10" a="1"/>
  <c r="D8" i="10" s="1"/>
  <c r="C8" i="10" a="1"/>
  <c r="C8" i="10" s="1"/>
  <c r="B8" i="10" a="1"/>
  <c r="B8" i="10" s="1"/>
  <c r="D7" i="10"/>
  <c r="I13" i="10"/>
  <c r="J6" i="10"/>
  <c r="J12" i="10" s="1"/>
  <c r="E12" i="10" a="1"/>
  <c r="E12" i="10" s="1"/>
  <c r="D12" i="10" a="1"/>
  <c r="D12" i="10" s="1"/>
  <c r="C12" i="10" a="1"/>
  <c r="C12" i="10" s="1"/>
  <c r="C34" i="17" l="1"/>
  <c r="J47" i="10"/>
  <c r="K47" i="10" s="1"/>
  <c r="J40" i="10"/>
  <c r="K39" i="10"/>
  <c r="K37" i="10"/>
  <c r="K24" i="10"/>
  <c r="L24" i="10" s="1"/>
  <c r="M24" i="10" s="1"/>
  <c r="N24" i="10" s="1"/>
  <c r="O24" i="10" s="1"/>
  <c r="K38" i="10"/>
  <c r="O51" i="10"/>
  <c r="M51" i="10"/>
  <c r="P51" i="10"/>
  <c r="J51" i="10"/>
  <c r="N51" i="10"/>
  <c r="L51" i="10"/>
  <c r="K51" i="10"/>
  <c r="M39" i="10"/>
  <c r="K36" i="10"/>
  <c r="L37" i="10"/>
  <c r="L38" i="10"/>
  <c r="M9" i="10"/>
  <c r="N9" i="10" s="1"/>
  <c r="O9" i="10" s="1"/>
  <c r="J13" i="10"/>
  <c r="K10" i="10"/>
  <c r="K12" i="10"/>
  <c r="M36" i="10" l="1"/>
  <c r="K40" i="10"/>
  <c r="L36" i="10"/>
  <c r="L39" i="10"/>
  <c r="J41" i="10"/>
  <c r="M37" i="10"/>
  <c r="M38" i="10"/>
  <c r="N39" i="10"/>
  <c r="N36" i="10"/>
  <c r="K13" i="10"/>
  <c r="L12" i="10"/>
  <c r="L10" i="10"/>
  <c r="L40" i="10" l="1"/>
  <c r="M40" i="10"/>
  <c r="J48" i="10"/>
  <c r="J56" i="10" s="1"/>
  <c r="J57" i="10" s="1"/>
  <c r="L47" i="10"/>
  <c r="K41" i="10"/>
  <c r="O39" i="10"/>
  <c r="P39" i="10"/>
  <c r="O36" i="10"/>
  <c r="L13" i="10"/>
  <c r="M10" i="10"/>
  <c r="M12" i="10"/>
  <c r="J58" i="10" l="1"/>
  <c r="J59" i="10" s="1"/>
  <c r="J60" i="10" s="1"/>
  <c r="J61" i="10" s="1"/>
  <c r="J64" i="10" s="1"/>
  <c r="J65" i="10" s="1"/>
  <c r="K48" i="10"/>
  <c r="K56" i="10" s="1"/>
  <c r="K57" i="10" s="1"/>
  <c r="M47" i="10"/>
  <c r="L41" i="10"/>
  <c r="N37" i="10"/>
  <c r="N38" i="10"/>
  <c r="P36" i="10"/>
  <c r="M13" i="10"/>
  <c r="N10" i="10"/>
  <c r="N12" i="10"/>
  <c r="K58" i="10" l="1"/>
  <c r="K59" i="10" s="1"/>
  <c r="K60" i="10" s="1"/>
  <c r="K61" i="10" s="1"/>
  <c r="K64" i="10" s="1"/>
  <c r="K65" i="10" s="1"/>
  <c r="N40" i="10"/>
  <c r="L48" i="10"/>
  <c r="L56" i="10" s="1"/>
  <c r="L57" i="10" s="1"/>
  <c r="N47" i="10"/>
  <c r="M41" i="10"/>
  <c r="O38" i="10"/>
  <c r="P38" i="10"/>
  <c r="O37" i="10"/>
  <c r="P37" i="10"/>
  <c r="N13" i="10"/>
  <c r="O12" i="10"/>
  <c r="O10" i="10"/>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2" i="16"/>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B130" i="16"/>
  <c r="B131" i="16"/>
  <c r="B130" i="15"/>
  <c r="B130" i="13"/>
  <c r="B132" i="16"/>
  <c r="B131" i="13"/>
  <c r="B131" i="15"/>
  <c r="B133" i="16"/>
  <c r="B132" i="13"/>
  <c r="B132" i="15"/>
  <c r="B134" i="16"/>
  <c r="B135" i="16"/>
  <c r="B133" i="15"/>
  <c r="B133" i="13"/>
  <c r="B136" i="16"/>
  <c r="B137" i="16"/>
  <c r="B138" i="16"/>
  <c r="B139" i="16"/>
  <c r="B134" i="15"/>
  <c r="B135" i="15"/>
  <c r="B136" i="15"/>
  <c r="B137" i="15"/>
  <c r="B134" i="13"/>
  <c r="B135" i="13"/>
  <c r="B136" i="13"/>
  <c r="B137" i="13"/>
  <c r="B140" i="16"/>
  <c r="B138" i="15"/>
  <c r="B139" i="15"/>
  <c r="B140" i="15"/>
  <c r="B138" i="13"/>
  <c r="B139" i="13"/>
  <c r="B141" i="16"/>
  <c r="B142" i="16"/>
  <c r="B141" i="15"/>
  <c r="B140" i="13"/>
  <c r="B143" i="16"/>
  <c r="B142" i="15"/>
  <c r="B141" i="13"/>
  <c r="B142" i="13"/>
  <c r="B143" i="13"/>
  <c r="B144" i="16"/>
  <c r="B143" i="15"/>
  <c r="B144" i="15"/>
  <c r="B144" i="13"/>
  <c r="P11" i="16" l="1"/>
  <c r="P9" i="16"/>
  <c r="P7" i="16"/>
  <c r="P4" i="16"/>
  <c r="P2" i="16"/>
  <c r="P10" i="16"/>
  <c r="P8" i="16"/>
  <c r="P6" i="16"/>
  <c r="P5" i="16"/>
  <c r="P3" i="16"/>
  <c r="L58" i="10"/>
  <c r="L59" i="10" s="1"/>
  <c r="L60" i="10" s="1"/>
  <c r="L61" i="10" s="1"/>
  <c r="L64" i="10" s="1"/>
  <c r="L65" i="10" s="1"/>
  <c r="P40" i="10"/>
  <c r="P41" i="10" s="1"/>
  <c r="M48" i="10"/>
  <c r="M56" i="10" s="1"/>
  <c r="M57" i="10" s="1"/>
  <c r="O40" i="10"/>
  <c r="O47" i="10"/>
  <c r="N41" i="10"/>
  <c r="O13" i="10"/>
  <c r="B145" i="13"/>
  <c r="B146" i="13" s="1"/>
  <c r="B145" i="15"/>
  <c r="B145" i="16"/>
  <c r="C130" i="16"/>
  <c r="B146" i="15"/>
  <c r="B146" i="16"/>
  <c r="C131" i="16"/>
  <c r="C132" i="16"/>
  <c r="B147" i="16"/>
  <c r="B148" i="16"/>
  <c r="C133" i="16"/>
  <c r="C134" i="16"/>
  <c r="C135" i="16"/>
  <c r="C136" i="16"/>
  <c r="C137" i="16"/>
  <c r="B149" i="16"/>
  <c r="C138" i="16"/>
  <c r="B150" i="16"/>
  <c r="C139" i="16"/>
  <c r="B151" i="16"/>
  <c r="C140" i="16"/>
  <c r="C141" i="16"/>
  <c r="B152" i="16"/>
  <c r="C142" i="16"/>
  <c r="C143" i="16"/>
  <c r="C144" i="16"/>
  <c r="B153" i="16"/>
  <c r="B154" i="16"/>
  <c r="B155" i="16"/>
  <c r="B156" i="16"/>
  <c r="B157" i="16"/>
  <c r="B158" i="16"/>
  <c r="B159" i="16"/>
  <c r="B160" i="16"/>
  <c r="B161" i="16"/>
  <c r="B162" i="16"/>
  <c r="B163" i="16"/>
  <c r="B164" i="16"/>
  <c r="B165" i="16"/>
  <c r="B166" i="16"/>
  <c r="B167" i="16"/>
  <c r="B168" i="16"/>
  <c r="B169" i="16"/>
  <c r="B170" i="16"/>
  <c r="B171" i="16"/>
  <c r="B172" i="16"/>
  <c r="B173" i="16"/>
  <c r="B174" i="16"/>
  <c r="B175" i="16"/>
  <c r="B176" i="16"/>
  <c r="B177" i="16"/>
  <c r="B178" i="16"/>
  <c r="B179" i="16"/>
  <c r="B180" i="16"/>
  <c r="B181" i="16"/>
  <c r="B182" i="16"/>
  <c r="B183" i="16"/>
  <c r="B184" i="16"/>
  <c r="B185" i="16"/>
  <c r="B186" i="16"/>
  <c r="B187" i="16"/>
  <c r="B188" i="16"/>
  <c r="B189" i="16"/>
  <c r="B190" i="16"/>
  <c r="B191" i="16"/>
  <c r="B192" i="16"/>
  <c r="B193" i="16"/>
  <c r="B194" i="16"/>
  <c r="B195" i="16"/>
  <c r="B196" i="16"/>
  <c r="B197" i="16"/>
  <c r="B198" i="16"/>
  <c r="B199" i="16"/>
  <c r="B200" i="16"/>
  <c r="B201" i="16"/>
  <c r="B202" i="16"/>
  <c r="B203" i="16"/>
  <c r="B204" i="16"/>
  <c r="B205" i="16"/>
  <c r="B206" i="16"/>
  <c r="B207" i="16"/>
  <c r="B208" i="16"/>
  <c r="B209" i="16"/>
  <c r="B210" i="16"/>
  <c r="B211" i="16"/>
  <c r="B212" i="16"/>
  <c r="B213" i="16"/>
  <c r="B214" i="16"/>
  <c r="B215" i="16"/>
  <c r="B216" i="16"/>
  <c r="B217" i="16"/>
  <c r="B218" i="16" s="1"/>
  <c r="N19" i="16" l="1"/>
  <c r="H8" i="16"/>
  <c r="H7" i="16"/>
  <c r="N18" i="16"/>
  <c r="N17" i="16"/>
  <c r="H6" i="16"/>
  <c r="N16" i="16"/>
  <c r="H5" i="16"/>
  <c r="N15" i="16"/>
  <c r="H4" i="16"/>
  <c r="D144" i="16"/>
  <c r="D143" i="16"/>
  <c r="D142" i="16"/>
  <c r="D141" i="16"/>
  <c r="D140" i="16"/>
  <c r="D139" i="16"/>
  <c r="D138" i="16"/>
  <c r="D137" i="16"/>
  <c r="D136" i="16"/>
  <c r="D135" i="16"/>
  <c r="D134" i="16"/>
  <c r="D133" i="16"/>
  <c r="H3" i="16"/>
  <c r="N14" i="16"/>
  <c r="D132" i="16"/>
  <c r="D131" i="16"/>
  <c r="D130" i="16"/>
  <c r="N12" i="16"/>
  <c r="H2" i="16"/>
  <c r="N13" i="16"/>
  <c r="B147" i="15"/>
  <c r="M58" i="10"/>
  <c r="M59" i="10" s="1"/>
  <c r="M60" i="10" s="1"/>
  <c r="M61" i="10" s="1"/>
  <c r="M64" i="10" s="1"/>
  <c r="M65" i="10" s="1"/>
  <c r="N48" i="10"/>
  <c r="N56" i="10" s="1"/>
  <c r="N57" i="10" s="1"/>
  <c r="P48" i="10"/>
  <c r="P47" i="10"/>
  <c r="O41" i="10"/>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D218" i="16" l="1"/>
  <c r="D217" i="16"/>
  <c r="D216" i="16"/>
  <c r="D215" i="16"/>
  <c r="D214" i="16"/>
  <c r="D213" i="16"/>
  <c r="D212" i="16"/>
  <c r="D211" i="16"/>
  <c r="D210" i="16"/>
  <c r="D209" i="16"/>
  <c r="D208" i="16"/>
  <c r="I8" i="16"/>
  <c r="D207" i="16"/>
  <c r="O19" i="16"/>
  <c r="D206" i="16"/>
  <c r="D205" i="16"/>
  <c r="D204" i="16"/>
  <c r="D203" i="16"/>
  <c r="D202" i="16"/>
  <c r="D201" i="16"/>
  <c r="D200" i="16"/>
  <c r="D199" i="16"/>
  <c r="D198" i="16"/>
  <c r="D197" i="16"/>
  <c r="D196" i="16"/>
  <c r="I7" i="16"/>
  <c r="O18" i="16"/>
  <c r="D195" i="16"/>
  <c r="D194" i="16"/>
  <c r="D193" i="16"/>
  <c r="D192" i="16"/>
  <c r="D191" i="16"/>
  <c r="D190" i="16"/>
  <c r="D189" i="16"/>
  <c r="D188" i="16"/>
  <c r="D187" i="16"/>
  <c r="D186" i="16"/>
  <c r="D185" i="16"/>
  <c r="D184" i="16"/>
  <c r="O17" i="16"/>
  <c r="D183" i="16"/>
  <c r="I6" i="16"/>
  <c r="D182" i="16"/>
  <c r="D181" i="16"/>
  <c r="D180" i="16"/>
  <c r="D179" i="16"/>
  <c r="D178" i="16"/>
  <c r="D177" i="16"/>
  <c r="D176" i="16"/>
  <c r="D175" i="16"/>
  <c r="D174" i="16"/>
  <c r="D173" i="16"/>
  <c r="D172" i="16"/>
  <c r="O16" i="16"/>
  <c r="D171" i="16"/>
  <c r="I5" i="16"/>
  <c r="D170" i="16"/>
  <c r="D169" i="16"/>
  <c r="D168" i="16"/>
  <c r="D167" i="16"/>
  <c r="D166" i="16"/>
  <c r="D165" i="16"/>
  <c r="D164" i="16"/>
  <c r="D163" i="16"/>
  <c r="D162" i="16"/>
  <c r="D161" i="16"/>
  <c r="D160" i="16"/>
  <c r="D159" i="16"/>
  <c r="I4" i="16"/>
  <c r="O15" i="16"/>
  <c r="D158" i="16"/>
  <c r="D157" i="16"/>
  <c r="D156" i="16"/>
  <c r="D155" i="16"/>
  <c r="D154" i="16"/>
  <c r="D153" i="16"/>
  <c r="D152" i="16"/>
  <c r="D151" i="16"/>
  <c r="D150" i="16"/>
  <c r="D149" i="16"/>
  <c r="P12" i="16" s="1"/>
  <c r="D148" i="16"/>
  <c r="O14" i="16"/>
  <c r="I3" i="16"/>
  <c r="D147" i="16"/>
  <c r="D146" i="16"/>
  <c r="P13" i="16" s="1"/>
  <c r="D145" i="16"/>
  <c r="O13" i="16"/>
  <c r="I2" i="16"/>
  <c r="O12" i="16"/>
  <c r="N58" i="10"/>
  <c r="N59" i="10" s="1"/>
  <c r="N60" i="10" s="1"/>
  <c r="N61" i="10" s="1"/>
  <c r="N64" i="10" s="1"/>
  <c r="N65" i="10" s="1"/>
  <c r="P56" i="10"/>
  <c r="P57" i="10" s="1"/>
  <c r="O48" i="10"/>
  <c r="O56" i="10" s="1"/>
  <c r="O57" i="10" s="1"/>
  <c r="I133" i="13"/>
  <c r="I134" i="13"/>
  <c r="I135" i="13"/>
  <c r="J135" i="13" s="1"/>
  <c r="K135" i="13" s="1"/>
  <c r="L135" i="13" s="1"/>
  <c r="I136" i="13"/>
  <c r="J136" i="13" s="1"/>
  <c r="K136" i="13" s="1"/>
  <c r="L136" i="13" s="1"/>
  <c r="I137" i="13"/>
  <c r="J137" i="13" s="1"/>
  <c r="K137" i="13" s="1"/>
  <c r="L137" i="13" s="1"/>
  <c r="I138" i="13"/>
  <c r="J138" i="13" s="1"/>
  <c r="K138" i="13" s="1"/>
  <c r="L138" i="13" s="1"/>
  <c r="I139" i="13"/>
  <c r="J139" i="13" s="1"/>
  <c r="K139" i="13" s="1"/>
  <c r="L139" i="13" s="1"/>
  <c r="I140" i="13"/>
  <c r="J140" i="13" s="1"/>
  <c r="K140" i="13" s="1"/>
  <c r="L140" i="13" s="1"/>
  <c r="I141" i="13"/>
  <c r="I142" i="13"/>
  <c r="I143" i="13"/>
  <c r="J143" i="13" s="1"/>
  <c r="K143" i="13" s="1"/>
  <c r="L143" i="13" s="1"/>
  <c r="I144" i="13"/>
  <c r="J144" i="13" s="1"/>
  <c r="K144" i="13" s="1"/>
  <c r="L144" i="13" s="1"/>
  <c r="I145" i="13"/>
  <c r="J145" i="13" s="1"/>
  <c r="K145" i="13" s="1"/>
  <c r="L145" i="13" s="1"/>
  <c r="I146" i="13"/>
  <c r="J146" i="13" s="1"/>
  <c r="K146" i="13" s="1"/>
  <c r="L146" i="13" s="1"/>
  <c r="J133" i="13"/>
  <c r="K133" i="13" s="1"/>
  <c r="L133" i="13" s="1"/>
  <c r="J134" i="13"/>
  <c r="K134" i="13" s="1"/>
  <c r="L134" i="13" s="1"/>
  <c r="J141" i="13"/>
  <c r="K141" i="13" s="1"/>
  <c r="L141" i="13" s="1"/>
  <c r="J142" i="13"/>
  <c r="K142" i="13" s="1"/>
  <c r="L142" i="13" s="1"/>
  <c r="I130" i="13"/>
  <c r="J2" i="13"/>
  <c r="K2" i="13" s="1"/>
  <c r="L2" i="13" s="1"/>
  <c r="I3" i="13"/>
  <c r="J3" i="13" s="1"/>
  <c r="K3" i="13" s="1"/>
  <c r="I4" i="13"/>
  <c r="J4" i="13" s="1"/>
  <c r="K4" i="13" s="1"/>
  <c r="L4" i="13" s="1"/>
  <c r="I5" i="13"/>
  <c r="J5" i="13" s="1"/>
  <c r="K5" i="13" s="1"/>
  <c r="L5" i="13" s="1"/>
  <c r="I6" i="13"/>
  <c r="J6" i="13" s="1"/>
  <c r="K6" i="13" s="1"/>
  <c r="L6" i="13" s="1"/>
  <c r="I7" i="13"/>
  <c r="J7" i="13" s="1"/>
  <c r="K7" i="13" s="1"/>
  <c r="L7" i="13" s="1"/>
  <c r="I8" i="13"/>
  <c r="J8" i="13" s="1"/>
  <c r="K8" i="13" s="1"/>
  <c r="L8" i="13" s="1"/>
  <c r="I9" i="13"/>
  <c r="J9" i="13" s="1"/>
  <c r="K9" i="13" s="1"/>
  <c r="L9" i="13" s="1"/>
  <c r="I10" i="13"/>
  <c r="J10" i="13" s="1"/>
  <c r="K10" i="13" s="1"/>
  <c r="L10" i="13" s="1"/>
  <c r="I11" i="13"/>
  <c r="J11" i="13" s="1"/>
  <c r="K11" i="13" s="1"/>
  <c r="L11" i="13" s="1"/>
  <c r="I12" i="13"/>
  <c r="J12" i="13" s="1"/>
  <c r="K12" i="13" s="1"/>
  <c r="L12" i="13" s="1"/>
  <c r="I13" i="13"/>
  <c r="J13" i="13" s="1"/>
  <c r="K13" i="13" s="1"/>
  <c r="L13" i="13" s="1"/>
  <c r="I14" i="13"/>
  <c r="J14" i="13" s="1"/>
  <c r="K14" i="13" s="1"/>
  <c r="L14" i="13" s="1"/>
  <c r="I15" i="13"/>
  <c r="J15" i="13" s="1"/>
  <c r="K15" i="13" s="1"/>
  <c r="L15" i="13" s="1"/>
  <c r="I16" i="13"/>
  <c r="J16" i="13" s="1"/>
  <c r="K16" i="13" s="1"/>
  <c r="L16" i="13" s="1"/>
  <c r="I17" i="13"/>
  <c r="J17" i="13" s="1"/>
  <c r="K17" i="13" s="1"/>
  <c r="L17" i="13" s="1"/>
  <c r="I18" i="13"/>
  <c r="J18" i="13" s="1"/>
  <c r="K18" i="13" s="1"/>
  <c r="L18" i="13" s="1"/>
  <c r="I19" i="13"/>
  <c r="J19" i="13" s="1"/>
  <c r="K19" i="13" s="1"/>
  <c r="L19" i="13" s="1"/>
  <c r="I20" i="13"/>
  <c r="J20" i="13" s="1"/>
  <c r="K20" i="13" s="1"/>
  <c r="L20" i="13" s="1"/>
  <c r="I21" i="13"/>
  <c r="J21" i="13" s="1"/>
  <c r="K21" i="13" s="1"/>
  <c r="L21" i="13" s="1"/>
  <c r="I22" i="13"/>
  <c r="J22" i="13" s="1"/>
  <c r="K22" i="13" s="1"/>
  <c r="L22" i="13" s="1"/>
  <c r="I23" i="13"/>
  <c r="J23" i="13" s="1"/>
  <c r="K23" i="13" s="1"/>
  <c r="L23" i="13" s="1"/>
  <c r="I24" i="13"/>
  <c r="J24" i="13" s="1"/>
  <c r="K24" i="13" s="1"/>
  <c r="L24" i="13" s="1"/>
  <c r="I25" i="13"/>
  <c r="J25" i="13" s="1"/>
  <c r="K25" i="13" s="1"/>
  <c r="L25" i="13" s="1"/>
  <c r="I26" i="13"/>
  <c r="J26" i="13" s="1"/>
  <c r="K26" i="13" s="1"/>
  <c r="L26" i="13" s="1"/>
  <c r="I27" i="13"/>
  <c r="J27" i="13" s="1"/>
  <c r="K27" i="13" s="1"/>
  <c r="L27" i="13" s="1"/>
  <c r="I28" i="13"/>
  <c r="J28" i="13" s="1"/>
  <c r="K28" i="13" s="1"/>
  <c r="L28" i="13" s="1"/>
  <c r="I29" i="13"/>
  <c r="J29" i="13" s="1"/>
  <c r="K29" i="13" s="1"/>
  <c r="L29" i="13" s="1"/>
  <c r="I30" i="13"/>
  <c r="J30" i="13" s="1"/>
  <c r="K30" i="13" s="1"/>
  <c r="L30" i="13" s="1"/>
  <c r="I31" i="13"/>
  <c r="J31" i="13" s="1"/>
  <c r="K31" i="13" s="1"/>
  <c r="L31" i="13" s="1"/>
  <c r="I32" i="13"/>
  <c r="J32" i="13" s="1"/>
  <c r="K32" i="13" s="1"/>
  <c r="L32" i="13" s="1"/>
  <c r="I33" i="13"/>
  <c r="J33" i="13" s="1"/>
  <c r="K33" i="13" s="1"/>
  <c r="L33" i="13" s="1"/>
  <c r="I34" i="13"/>
  <c r="J34" i="13" s="1"/>
  <c r="K34" i="13" s="1"/>
  <c r="L34" i="13" s="1"/>
  <c r="I35" i="13"/>
  <c r="J35" i="13" s="1"/>
  <c r="K35" i="13" s="1"/>
  <c r="L35" i="13" s="1"/>
  <c r="I36" i="13"/>
  <c r="J36" i="13" s="1"/>
  <c r="K36" i="13" s="1"/>
  <c r="L36" i="13" s="1"/>
  <c r="I37" i="13"/>
  <c r="J37" i="13" s="1"/>
  <c r="K37" i="13" s="1"/>
  <c r="L37" i="13" s="1"/>
  <c r="I38" i="13"/>
  <c r="J38" i="13" s="1"/>
  <c r="K38" i="13" s="1"/>
  <c r="L38" i="13" s="1"/>
  <c r="I39" i="13"/>
  <c r="J39" i="13" s="1"/>
  <c r="K39" i="13" s="1"/>
  <c r="L39" i="13" s="1"/>
  <c r="I40" i="13"/>
  <c r="J40" i="13" s="1"/>
  <c r="K40" i="13" s="1"/>
  <c r="L40" i="13" s="1"/>
  <c r="I41" i="13"/>
  <c r="J41" i="13" s="1"/>
  <c r="K41" i="13" s="1"/>
  <c r="L41" i="13" s="1"/>
  <c r="I42" i="13"/>
  <c r="J42" i="13" s="1"/>
  <c r="K42" i="13" s="1"/>
  <c r="L42" i="13" s="1"/>
  <c r="I43" i="13"/>
  <c r="J43" i="13" s="1"/>
  <c r="K43" i="13" s="1"/>
  <c r="L43" i="13" s="1"/>
  <c r="I44" i="13"/>
  <c r="J44" i="13" s="1"/>
  <c r="K44" i="13" s="1"/>
  <c r="L44" i="13" s="1"/>
  <c r="I45" i="13"/>
  <c r="J45" i="13" s="1"/>
  <c r="K45" i="13" s="1"/>
  <c r="L45" i="13" s="1"/>
  <c r="I46" i="13"/>
  <c r="J46" i="13" s="1"/>
  <c r="K46" i="13" s="1"/>
  <c r="L46" i="13" s="1"/>
  <c r="I47" i="13"/>
  <c r="J47" i="13" s="1"/>
  <c r="K47" i="13" s="1"/>
  <c r="L47" i="13" s="1"/>
  <c r="I48" i="13"/>
  <c r="J48" i="13" s="1"/>
  <c r="K48" i="13" s="1"/>
  <c r="L48" i="13" s="1"/>
  <c r="I49" i="13"/>
  <c r="J49" i="13" s="1"/>
  <c r="K49" i="13" s="1"/>
  <c r="L49" i="13" s="1"/>
  <c r="I50" i="13"/>
  <c r="J50" i="13" s="1"/>
  <c r="K50" i="13" s="1"/>
  <c r="L50" i="13" s="1"/>
  <c r="I51" i="13"/>
  <c r="J51" i="13" s="1"/>
  <c r="K51" i="13" s="1"/>
  <c r="L51" i="13" s="1"/>
  <c r="I52" i="13"/>
  <c r="J52" i="13" s="1"/>
  <c r="K52" i="13" s="1"/>
  <c r="L52" i="13" s="1"/>
  <c r="I53" i="13"/>
  <c r="J53" i="13" s="1"/>
  <c r="K53" i="13" s="1"/>
  <c r="L53" i="13" s="1"/>
  <c r="I54" i="13"/>
  <c r="J54" i="13" s="1"/>
  <c r="K54" i="13" s="1"/>
  <c r="L54" i="13" s="1"/>
  <c r="I55" i="13"/>
  <c r="J55" i="13" s="1"/>
  <c r="K55" i="13" s="1"/>
  <c r="L55" i="13" s="1"/>
  <c r="I56" i="13"/>
  <c r="J56" i="13" s="1"/>
  <c r="K56" i="13" s="1"/>
  <c r="L56" i="13" s="1"/>
  <c r="I57" i="13"/>
  <c r="J57" i="13" s="1"/>
  <c r="K57" i="13" s="1"/>
  <c r="L57" i="13" s="1"/>
  <c r="I58" i="13"/>
  <c r="J58" i="13" s="1"/>
  <c r="K58" i="13" s="1"/>
  <c r="L58" i="13" s="1"/>
  <c r="I59" i="13"/>
  <c r="J59" i="13" s="1"/>
  <c r="K59" i="13" s="1"/>
  <c r="L59" i="13" s="1"/>
  <c r="I60" i="13"/>
  <c r="J60" i="13" s="1"/>
  <c r="K60" i="13" s="1"/>
  <c r="L60" i="13" s="1"/>
  <c r="I61" i="13"/>
  <c r="J61" i="13" s="1"/>
  <c r="K61" i="13" s="1"/>
  <c r="L61" i="13" s="1"/>
  <c r="I62" i="13"/>
  <c r="J62" i="13" s="1"/>
  <c r="K62" i="13" s="1"/>
  <c r="L62" i="13" s="1"/>
  <c r="I63" i="13"/>
  <c r="J63" i="13" s="1"/>
  <c r="K63" i="13" s="1"/>
  <c r="L63" i="13" s="1"/>
  <c r="I64" i="13"/>
  <c r="J64" i="13" s="1"/>
  <c r="K64" i="13" s="1"/>
  <c r="L64" i="13" s="1"/>
  <c r="I65" i="13"/>
  <c r="J65" i="13" s="1"/>
  <c r="K65" i="13" s="1"/>
  <c r="L65" i="13" s="1"/>
  <c r="I66" i="13"/>
  <c r="J66" i="13" s="1"/>
  <c r="K66" i="13" s="1"/>
  <c r="L66" i="13" s="1"/>
  <c r="I67" i="13"/>
  <c r="J67" i="13" s="1"/>
  <c r="K67" i="13" s="1"/>
  <c r="L67" i="13" s="1"/>
  <c r="I68" i="13"/>
  <c r="J68" i="13" s="1"/>
  <c r="K68" i="13" s="1"/>
  <c r="L68" i="13" s="1"/>
  <c r="I69" i="13"/>
  <c r="J69" i="13" s="1"/>
  <c r="K69" i="13" s="1"/>
  <c r="L69" i="13" s="1"/>
  <c r="I70" i="13"/>
  <c r="J70" i="13" s="1"/>
  <c r="K70" i="13" s="1"/>
  <c r="L70" i="13" s="1"/>
  <c r="I71" i="13"/>
  <c r="J71" i="13" s="1"/>
  <c r="K71" i="13" s="1"/>
  <c r="L71" i="13" s="1"/>
  <c r="I72" i="13"/>
  <c r="J72" i="13" s="1"/>
  <c r="K72" i="13" s="1"/>
  <c r="L72" i="13" s="1"/>
  <c r="I73" i="13"/>
  <c r="J73" i="13" s="1"/>
  <c r="K73" i="13" s="1"/>
  <c r="L73" i="13" s="1"/>
  <c r="I74" i="13"/>
  <c r="J74" i="13" s="1"/>
  <c r="K74" i="13" s="1"/>
  <c r="L74" i="13" s="1"/>
  <c r="I75" i="13"/>
  <c r="J75" i="13" s="1"/>
  <c r="K75" i="13" s="1"/>
  <c r="L75" i="13" s="1"/>
  <c r="I76" i="13"/>
  <c r="J76" i="13" s="1"/>
  <c r="K76" i="13" s="1"/>
  <c r="L76" i="13" s="1"/>
  <c r="I77" i="13"/>
  <c r="J77" i="13" s="1"/>
  <c r="K77" i="13" s="1"/>
  <c r="L77" i="13" s="1"/>
  <c r="I78" i="13"/>
  <c r="J78" i="13" s="1"/>
  <c r="K78" i="13" s="1"/>
  <c r="L78" i="13" s="1"/>
  <c r="I79" i="13"/>
  <c r="J79" i="13" s="1"/>
  <c r="K79" i="13" s="1"/>
  <c r="L79" i="13" s="1"/>
  <c r="I80" i="13"/>
  <c r="J80" i="13" s="1"/>
  <c r="K80" i="13" s="1"/>
  <c r="L80" i="13" s="1"/>
  <c r="I81" i="13"/>
  <c r="J81" i="13" s="1"/>
  <c r="K81" i="13" s="1"/>
  <c r="L81" i="13" s="1"/>
  <c r="I82" i="13"/>
  <c r="J82" i="13" s="1"/>
  <c r="K82" i="13" s="1"/>
  <c r="L82" i="13" s="1"/>
  <c r="I83" i="13"/>
  <c r="J83" i="13" s="1"/>
  <c r="K83" i="13" s="1"/>
  <c r="L83" i="13" s="1"/>
  <c r="I84" i="13"/>
  <c r="J84" i="13" s="1"/>
  <c r="K84" i="13" s="1"/>
  <c r="L84" i="13" s="1"/>
  <c r="I85" i="13"/>
  <c r="J85" i="13" s="1"/>
  <c r="K85" i="13" s="1"/>
  <c r="L85" i="13" s="1"/>
  <c r="I86" i="13"/>
  <c r="J86" i="13" s="1"/>
  <c r="K86" i="13" s="1"/>
  <c r="L86" i="13" s="1"/>
  <c r="I87" i="13"/>
  <c r="J87" i="13" s="1"/>
  <c r="K87" i="13" s="1"/>
  <c r="L87" i="13" s="1"/>
  <c r="I88" i="13"/>
  <c r="J88" i="13" s="1"/>
  <c r="K88" i="13" s="1"/>
  <c r="L88" i="13" s="1"/>
  <c r="I89" i="13"/>
  <c r="J89" i="13" s="1"/>
  <c r="K89" i="13" s="1"/>
  <c r="L89" i="13" s="1"/>
  <c r="I90" i="13"/>
  <c r="J90" i="13" s="1"/>
  <c r="K90" i="13" s="1"/>
  <c r="L90" i="13" s="1"/>
  <c r="I91" i="13"/>
  <c r="J91" i="13" s="1"/>
  <c r="K91" i="13" s="1"/>
  <c r="L91" i="13" s="1"/>
  <c r="I92" i="13"/>
  <c r="J92" i="13" s="1"/>
  <c r="K92" i="13" s="1"/>
  <c r="L92" i="13" s="1"/>
  <c r="I93" i="13"/>
  <c r="J93" i="13" s="1"/>
  <c r="K93" i="13" s="1"/>
  <c r="L93" i="13" s="1"/>
  <c r="I94" i="13"/>
  <c r="J94" i="13" s="1"/>
  <c r="K94" i="13" s="1"/>
  <c r="L94" i="13" s="1"/>
  <c r="I95" i="13"/>
  <c r="J95" i="13" s="1"/>
  <c r="K95" i="13" s="1"/>
  <c r="L95" i="13" s="1"/>
  <c r="I96" i="13"/>
  <c r="J96" i="13" s="1"/>
  <c r="K96" i="13" s="1"/>
  <c r="L96" i="13" s="1"/>
  <c r="I97" i="13"/>
  <c r="J97" i="13" s="1"/>
  <c r="K97" i="13" s="1"/>
  <c r="L97" i="13" s="1"/>
  <c r="I98" i="13"/>
  <c r="J98" i="13" s="1"/>
  <c r="K98" i="13" s="1"/>
  <c r="L98" i="13" s="1"/>
  <c r="I99" i="13"/>
  <c r="J99" i="13" s="1"/>
  <c r="K99" i="13" s="1"/>
  <c r="L99" i="13" s="1"/>
  <c r="I100" i="13"/>
  <c r="J100" i="13" s="1"/>
  <c r="K100" i="13" s="1"/>
  <c r="L100" i="13" s="1"/>
  <c r="I101" i="13"/>
  <c r="J101" i="13" s="1"/>
  <c r="K101" i="13" s="1"/>
  <c r="L101" i="13" s="1"/>
  <c r="I102" i="13"/>
  <c r="J102" i="13" s="1"/>
  <c r="K102" i="13" s="1"/>
  <c r="L102" i="13" s="1"/>
  <c r="I103" i="13"/>
  <c r="J103" i="13" s="1"/>
  <c r="K103" i="13" s="1"/>
  <c r="L103" i="13" s="1"/>
  <c r="I104" i="13"/>
  <c r="J104" i="13" s="1"/>
  <c r="K104" i="13" s="1"/>
  <c r="L104" i="13" s="1"/>
  <c r="I105" i="13"/>
  <c r="J105" i="13" s="1"/>
  <c r="K105" i="13" s="1"/>
  <c r="L105" i="13" s="1"/>
  <c r="I106" i="13"/>
  <c r="J106" i="13" s="1"/>
  <c r="K106" i="13" s="1"/>
  <c r="L106" i="13" s="1"/>
  <c r="I107" i="13"/>
  <c r="J107" i="13" s="1"/>
  <c r="K107" i="13" s="1"/>
  <c r="L107" i="13" s="1"/>
  <c r="I108" i="13"/>
  <c r="J108" i="13" s="1"/>
  <c r="K108" i="13" s="1"/>
  <c r="L108" i="13" s="1"/>
  <c r="I109" i="13"/>
  <c r="J109" i="13" s="1"/>
  <c r="K109" i="13" s="1"/>
  <c r="L109" i="13" s="1"/>
  <c r="I110" i="13"/>
  <c r="J110" i="13" s="1"/>
  <c r="K110" i="13" s="1"/>
  <c r="L110" i="13" s="1"/>
  <c r="I111" i="13"/>
  <c r="J111" i="13" s="1"/>
  <c r="K111" i="13" s="1"/>
  <c r="L111" i="13" s="1"/>
  <c r="I112" i="13"/>
  <c r="J112" i="13" s="1"/>
  <c r="K112" i="13" s="1"/>
  <c r="L112" i="13" s="1"/>
  <c r="I113" i="13"/>
  <c r="J113" i="13" s="1"/>
  <c r="K113" i="13" s="1"/>
  <c r="L113" i="13" s="1"/>
  <c r="I114" i="13"/>
  <c r="J114" i="13" s="1"/>
  <c r="K114" i="13" s="1"/>
  <c r="L114" i="13" s="1"/>
  <c r="I115" i="13"/>
  <c r="J115" i="13" s="1"/>
  <c r="K115" i="13" s="1"/>
  <c r="L115" i="13" s="1"/>
  <c r="I116" i="13"/>
  <c r="J116" i="13" s="1"/>
  <c r="K116" i="13" s="1"/>
  <c r="L116" i="13" s="1"/>
  <c r="I117" i="13"/>
  <c r="J117" i="13" s="1"/>
  <c r="K117" i="13" s="1"/>
  <c r="L117" i="13" s="1"/>
  <c r="I118" i="13"/>
  <c r="J118" i="13" s="1"/>
  <c r="K118" i="13" s="1"/>
  <c r="L118" i="13" s="1"/>
  <c r="I119" i="13"/>
  <c r="J119" i="13" s="1"/>
  <c r="K119" i="13" s="1"/>
  <c r="L119" i="13" s="1"/>
  <c r="I120" i="13"/>
  <c r="J120" i="13" s="1"/>
  <c r="K120" i="13" s="1"/>
  <c r="L120" i="13" s="1"/>
  <c r="I121" i="13"/>
  <c r="J121" i="13" s="1"/>
  <c r="K121" i="13" s="1"/>
  <c r="L121" i="13" s="1"/>
  <c r="I122" i="13"/>
  <c r="J122" i="13" s="1"/>
  <c r="K122" i="13" s="1"/>
  <c r="L122" i="13" s="1"/>
  <c r="I123" i="13"/>
  <c r="J123" i="13" s="1"/>
  <c r="K123" i="13" s="1"/>
  <c r="L123" i="13" s="1"/>
  <c r="I124" i="13"/>
  <c r="J124" i="13" s="1"/>
  <c r="K124" i="13" s="1"/>
  <c r="L124" i="13" s="1"/>
  <c r="I125" i="13"/>
  <c r="J125" i="13" s="1"/>
  <c r="K125" i="13" s="1"/>
  <c r="L125" i="13" s="1"/>
  <c r="I126" i="13"/>
  <c r="J126" i="13" s="1"/>
  <c r="K126" i="13" s="1"/>
  <c r="L126" i="13" s="1"/>
  <c r="I127" i="13"/>
  <c r="J127" i="13" s="1"/>
  <c r="K127" i="13" s="1"/>
  <c r="L127" i="13" s="1"/>
  <c r="I128" i="13"/>
  <c r="J128" i="13" s="1"/>
  <c r="K128" i="13" s="1"/>
  <c r="L128" i="13" s="1"/>
  <c r="I129" i="13"/>
  <c r="J129" i="13" s="1"/>
  <c r="K129" i="13" s="1"/>
  <c r="L129" i="13" s="1"/>
  <c r="J4" i="15"/>
  <c r="K4" i="15" s="1"/>
  <c r="L4" i="15" s="1"/>
  <c r="J5" i="15"/>
  <c r="K5" i="15" s="1"/>
  <c r="L5" i="15" s="1"/>
  <c r="J6" i="15"/>
  <c r="K6" i="15" s="1"/>
  <c r="L6" i="15" s="1"/>
  <c r="J7" i="15"/>
  <c r="K7" i="15" s="1"/>
  <c r="L7" i="15" s="1"/>
  <c r="J8" i="15"/>
  <c r="K8" i="15" s="1"/>
  <c r="L8" i="15" s="1"/>
  <c r="J9" i="15"/>
  <c r="K9" i="15" s="1"/>
  <c r="L9" i="15" s="1"/>
  <c r="J10" i="15"/>
  <c r="K10" i="15" s="1"/>
  <c r="L10" i="15" s="1"/>
  <c r="J11" i="15"/>
  <c r="K11" i="15" s="1"/>
  <c r="L11" i="15" s="1"/>
  <c r="J12" i="15"/>
  <c r="K12" i="15" s="1"/>
  <c r="L12" i="15" s="1"/>
  <c r="J13" i="15"/>
  <c r="K13" i="15" s="1"/>
  <c r="L13" i="15" s="1"/>
  <c r="J14" i="15"/>
  <c r="K14" i="15" s="1"/>
  <c r="L14" i="15" s="1"/>
  <c r="J15" i="15"/>
  <c r="K15" i="15" s="1"/>
  <c r="L15" i="15" s="1"/>
  <c r="J16" i="15"/>
  <c r="K16" i="15" s="1"/>
  <c r="L16" i="15" s="1"/>
  <c r="J17" i="15"/>
  <c r="K17" i="15" s="1"/>
  <c r="L17" i="15" s="1"/>
  <c r="J18" i="15"/>
  <c r="K18" i="15" s="1"/>
  <c r="L18" i="15" s="1"/>
  <c r="J19" i="15"/>
  <c r="K19" i="15" s="1"/>
  <c r="L19" i="15" s="1"/>
  <c r="J20" i="15"/>
  <c r="K20" i="15" s="1"/>
  <c r="L20" i="15" s="1"/>
  <c r="J21" i="15"/>
  <c r="K21" i="15" s="1"/>
  <c r="L21" i="15" s="1"/>
  <c r="J22" i="15"/>
  <c r="K22" i="15" s="1"/>
  <c r="L22" i="15" s="1"/>
  <c r="J23" i="15"/>
  <c r="K23" i="15" s="1"/>
  <c r="L23" i="15" s="1"/>
  <c r="J24" i="15"/>
  <c r="K24" i="15" s="1"/>
  <c r="L24" i="15" s="1"/>
  <c r="J25" i="15"/>
  <c r="K25" i="15" s="1"/>
  <c r="L25" i="15" s="1"/>
  <c r="J26" i="15"/>
  <c r="K26" i="15" s="1"/>
  <c r="L26" i="15" s="1"/>
  <c r="J27" i="15"/>
  <c r="K27" i="15" s="1"/>
  <c r="L27" i="15" s="1"/>
  <c r="J28" i="15"/>
  <c r="K28" i="15" s="1"/>
  <c r="L28" i="15" s="1"/>
  <c r="J29" i="15"/>
  <c r="K29" i="15" s="1"/>
  <c r="L29" i="15" s="1"/>
  <c r="J30" i="15"/>
  <c r="K30" i="15" s="1"/>
  <c r="L30" i="15" s="1"/>
  <c r="J31" i="15"/>
  <c r="K31" i="15" s="1"/>
  <c r="L31" i="15" s="1"/>
  <c r="J32" i="15"/>
  <c r="K32" i="15" s="1"/>
  <c r="L32" i="15" s="1"/>
  <c r="J33" i="15"/>
  <c r="K33" i="15" s="1"/>
  <c r="L33" i="15" s="1"/>
  <c r="J34" i="15"/>
  <c r="K34" i="15" s="1"/>
  <c r="L34" i="15" s="1"/>
  <c r="J35" i="15"/>
  <c r="K35" i="15" s="1"/>
  <c r="L35" i="15" s="1"/>
  <c r="J36" i="15"/>
  <c r="K36" i="15" s="1"/>
  <c r="L36" i="15" s="1"/>
  <c r="J37" i="15"/>
  <c r="K37" i="15" s="1"/>
  <c r="L37" i="15" s="1"/>
  <c r="J38" i="15"/>
  <c r="K38" i="15" s="1"/>
  <c r="L38" i="15" s="1"/>
  <c r="J39" i="15"/>
  <c r="K39" i="15" s="1"/>
  <c r="L39" i="15" s="1"/>
  <c r="J40" i="15"/>
  <c r="K40" i="15" s="1"/>
  <c r="L40" i="15" s="1"/>
  <c r="J41" i="15"/>
  <c r="K41" i="15" s="1"/>
  <c r="L41" i="15" s="1"/>
  <c r="J42" i="15"/>
  <c r="K42" i="15" s="1"/>
  <c r="L42" i="15" s="1"/>
  <c r="J43" i="15"/>
  <c r="K43" i="15" s="1"/>
  <c r="L43" i="15" s="1"/>
  <c r="J44" i="15"/>
  <c r="K44" i="15" s="1"/>
  <c r="L44" i="15" s="1"/>
  <c r="J45" i="15"/>
  <c r="K45" i="15" s="1"/>
  <c r="L45" i="15" s="1"/>
  <c r="J46" i="15"/>
  <c r="K46" i="15" s="1"/>
  <c r="L46" i="15" s="1"/>
  <c r="J47" i="15"/>
  <c r="K47" i="15" s="1"/>
  <c r="L47" i="15" s="1"/>
  <c r="J48" i="15"/>
  <c r="K48" i="15" s="1"/>
  <c r="L48" i="15" s="1"/>
  <c r="J49" i="15"/>
  <c r="K49" i="15" s="1"/>
  <c r="L49" i="15" s="1"/>
  <c r="J50" i="15"/>
  <c r="K50" i="15" s="1"/>
  <c r="L50" i="15" s="1"/>
  <c r="J51" i="15"/>
  <c r="K51" i="15" s="1"/>
  <c r="L51" i="15" s="1"/>
  <c r="J52" i="15"/>
  <c r="K52" i="15" s="1"/>
  <c r="L52" i="15" s="1"/>
  <c r="J53" i="15"/>
  <c r="K53" i="15" s="1"/>
  <c r="L53" i="15" s="1"/>
  <c r="J54" i="15"/>
  <c r="K54" i="15" s="1"/>
  <c r="L54" i="15" s="1"/>
  <c r="J55" i="15"/>
  <c r="K55" i="15" s="1"/>
  <c r="L55" i="15" s="1"/>
  <c r="J56" i="15"/>
  <c r="K56" i="15" s="1"/>
  <c r="L56" i="15" s="1"/>
  <c r="J57" i="15"/>
  <c r="K57" i="15" s="1"/>
  <c r="L57" i="15" s="1"/>
  <c r="J58" i="15"/>
  <c r="K58" i="15" s="1"/>
  <c r="L58" i="15" s="1"/>
  <c r="J59" i="15"/>
  <c r="K59" i="15" s="1"/>
  <c r="L59" i="15" s="1"/>
  <c r="J60" i="15"/>
  <c r="K60" i="15" s="1"/>
  <c r="L60" i="15" s="1"/>
  <c r="J61" i="15"/>
  <c r="K61" i="15" s="1"/>
  <c r="L61" i="15" s="1"/>
  <c r="J62" i="15"/>
  <c r="K62" i="15" s="1"/>
  <c r="L62" i="15" s="1"/>
  <c r="J63" i="15"/>
  <c r="K63" i="15" s="1"/>
  <c r="L63" i="15" s="1"/>
  <c r="J64" i="15"/>
  <c r="K64" i="15" s="1"/>
  <c r="L64" i="15" s="1"/>
  <c r="J65" i="15"/>
  <c r="K65" i="15" s="1"/>
  <c r="L65" i="15" s="1"/>
  <c r="J66" i="15"/>
  <c r="K66" i="15" s="1"/>
  <c r="L66" i="15" s="1"/>
  <c r="J67" i="15"/>
  <c r="K67" i="15" s="1"/>
  <c r="L67" i="15" s="1"/>
  <c r="J68" i="15"/>
  <c r="K68" i="15" s="1"/>
  <c r="L68" i="15" s="1"/>
  <c r="J69" i="15"/>
  <c r="K69" i="15" s="1"/>
  <c r="L69" i="15" s="1"/>
  <c r="J70" i="15"/>
  <c r="K70" i="15" s="1"/>
  <c r="L70" i="15" s="1"/>
  <c r="J71" i="15"/>
  <c r="K71" i="15" s="1"/>
  <c r="L71" i="15" s="1"/>
  <c r="J72" i="15"/>
  <c r="K72" i="15" s="1"/>
  <c r="L72" i="15" s="1"/>
  <c r="J73" i="15"/>
  <c r="K73" i="15" s="1"/>
  <c r="L73" i="15" s="1"/>
  <c r="J74" i="15"/>
  <c r="K74" i="15" s="1"/>
  <c r="L74" i="15" s="1"/>
  <c r="J75" i="15"/>
  <c r="K75" i="15" s="1"/>
  <c r="L75" i="15" s="1"/>
  <c r="J76" i="15"/>
  <c r="K76" i="15" s="1"/>
  <c r="L76" i="15" s="1"/>
  <c r="J77" i="15"/>
  <c r="K77" i="15" s="1"/>
  <c r="L77" i="15" s="1"/>
  <c r="J78" i="15"/>
  <c r="K78" i="15" s="1"/>
  <c r="L78" i="15" s="1"/>
  <c r="J79" i="15"/>
  <c r="K79" i="15" s="1"/>
  <c r="L79" i="15" s="1"/>
  <c r="J80" i="15"/>
  <c r="K80" i="15" s="1"/>
  <c r="L80" i="15" s="1"/>
  <c r="J81" i="15"/>
  <c r="K81" i="15" s="1"/>
  <c r="L81" i="15" s="1"/>
  <c r="J82" i="15"/>
  <c r="K82" i="15" s="1"/>
  <c r="L82" i="15" s="1"/>
  <c r="J83" i="15"/>
  <c r="K83" i="15" s="1"/>
  <c r="L83" i="15" s="1"/>
  <c r="J84" i="15"/>
  <c r="K84" i="15" s="1"/>
  <c r="L84" i="15" s="1"/>
  <c r="J85" i="15"/>
  <c r="K85" i="15" s="1"/>
  <c r="L85" i="15" s="1"/>
  <c r="J86" i="15"/>
  <c r="K86" i="15" s="1"/>
  <c r="L86" i="15" s="1"/>
  <c r="J87" i="15"/>
  <c r="K87" i="15" s="1"/>
  <c r="L87" i="15" s="1"/>
  <c r="J88" i="15"/>
  <c r="K88" i="15" s="1"/>
  <c r="L88" i="15" s="1"/>
  <c r="J89" i="15"/>
  <c r="K89" i="15" s="1"/>
  <c r="L89" i="15" s="1"/>
  <c r="J90" i="15"/>
  <c r="K90" i="15" s="1"/>
  <c r="L90" i="15" s="1"/>
  <c r="J91" i="15"/>
  <c r="K91" i="15" s="1"/>
  <c r="L91" i="15" s="1"/>
  <c r="J92" i="15"/>
  <c r="K92" i="15" s="1"/>
  <c r="L92" i="15" s="1"/>
  <c r="J93" i="15"/>
  <c r="K93" i="15" s="1"/>
  <c r="L93" i="15" s="1"/>
  <c r="J94" i="15"/>
  <c r="K94" i="15" s="1"/>
  <c r="L94" i="15" s="1"/>
  <c r="J95" i="15"/>
  <c r="K95" i="15" s="1"/>
  <c r="L95" i="15" s="1"/>
  <c r="J96" i="15"/>
  <c r="K96" i="15" s="1"/>
  <c r="L96" i="15" s="1"/>
  <c r="J97" i="15"/>
  <c r="K97" i="15" s="1"/>
  <c r="L97" i="15" s="1"/>
  <c r="J98" i="15"/>
  <c r="K98" i="15" s="1"/>
  <c r="L98" i="15" s="1"/>
  <c r="J99" i="15"/>
  <c r="K99" i="15" s="1"/>
  <c r="L99" i="15" s="1"/>
  <c r="J100" i="15"/>
  <c r="K100" i="15" s="1"/>
  <c r="L100" i="15" s="1"/>
  <c r="J101" i="15"/>
  <c r="K101" i="15" s="1"/>
  <c r="L101" i="15" s="1"/>
  <c r="J102" i="15"/>
  <c r="K102" i="15" s="1"/>
  <c r="L102" i="15" s="1"/>
  <c r="J103" i="15"/>
  <c r="K103" i="15" s="1"/>
  <c r="L103" i="15" s="1"/>
  <c r="J104" i="15"/>
  <c r="K104" i="15" s="1"/>
  <c r="L104" i="15" s="1"/>
  <c r="J105" i="15"/>
  <c r="K105" i="15" s="1"/>
  <c r="L105" i="15" s="1"/>
  <c r="J106" i="15"/>
  <c r="K106" i="15" s="1"/>
  <c r="L106" i="15" s="1"/>
  <c r="J107" i="15"/>
  <c r="K107" i="15" s="1"/>
  <c r="L107" i="15" s="1"/>
  <c r="J108" i="15"/>
  <c r="K108" i="15" s="1"/>
  <c r="L108" i="15" s="1"/>
  <c r="J109" i="15"/>
  <c r="K109" i="15" s="1"/>
  <c r="L109" i="15" s="1"/>
  <c r="J110" i="15"/>
  <c r="K110" i="15" s="1"/>
  <c r="L110" i="15" s="1"/>
  <c r="J111" i="15"/>
  <c r="K111" i="15" s="1"/>
  <c r="L111" i="15" s="1"/>
  <c r="J112" i="15"/>
  <c r="K112" i="15" s="1"/>
  <c r="L112" i="15" s="1"/>
  <c r="J113" i="15"/>
  <c r="K113" i="15" s="1"/>
  <c r="L113" i="15" s="1"/>
  <c r="J114" i="15"/>
  <c r="K114" i="15" s="1"/>
  <c r="L114" i="15" s="1"/>
  <c r="J115" i="15"/>
  <c r="K115" i="15" s="1"/>
  <c r="L115" i="15" s="1"/>
  <c r="J116" i="15"/>
  <c r="K116" i="15" s="1"/>
  <c r="L116" i="15" s="1"/>
  <c r="J117" i="15"/>
  <c r="K117" i="15" s="1"/>
  <c r="L117" i="15" s="1"/>
  <c r="J118" i="15"/>
  <c r="K118" i="15" s="1"/>
  <c r="L118" i="15" s="1"/>
  <c r="J119" i="15"/>
  <c r="K119" i="15" s="1"/>
  <c r="L119" i="15" s="1"/>
  <c r="J120" i="15"/>
  <c r="K120" i="15" s="1"/>
  <c r="L120" i="15" s="1"/>
  <c r="J121" i="15"/>
  <c r="K121" i="15" s="1"/>
  <c r="L121" i="15" s="1"/>
  <c r="J122" i="15"/>
  <c r="K122" i="15" s="1"/>
  <c r="L122" i="15" s="1"/>
  <c r="J123" i="15"/>
  <c r="K123" i="15" s="1"/>
  <c r="L123" i="15" s="1"/>
  <c r="J124" i="15"/>
  <c r="K124" i="15" s="1"/>
  <c r="L124" i="15" s="1"/>
  <c r="J125" i="15"/>
  <c r="K125" i="15" s="1"/>
  <c r="L125" i="15" s="1"/>
  <c r="J126" i="15"/>
  <c r="K126" i="15" s="1"/>
  <c r="L126" i="15" s="1"/>
  <c r="J127" i="15"/>
  <c r="K127" i="15" s="1"/>
  <c r="L127" i="15" s="1"/>
  <c r="J128" i="15"/>
  <c r="K128" i="15" s="1"/>
  <c r="L128" i="15" s="1"/>
  <c r="J129" i="15"/>
  <c r="K129" i="15" s="1"/>
  <c r="L129" i="15" s="1"/>
  <c r="J3" i="15"/>
  <c r="K3" i="15" s="1"/>
  <c r="C3"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C10" i="15"/>
  <c r="C9" i="15"/>
  <c r="C8" i="15"/>
  <c r="C7" i="15"/>
  <c r="C6" i="15"/>
  <c r="C5" i="15"/>
  <c r="C4" i="15"/>
  <c r="C129" i="9"/>
  <c r="F130" i="9"/>
  <c r="F131" i="9"/>
  <c r="F132" i="9"/>
  <c r="I130" i="9"/>
  <c r="I131" i="9"/>
  <c r="I132" i="9"/>
  <c r="L130" i="9"/>
  <c r="L131" i="9"/>
  <c r="L132" i="9"/>
  <c r="O130" i="9"/>
  <c r="O131" i="9"/>
  <c r="O132" i="9"/>
  <c r="L3" i="9"/>
  <c r="I3" i="9"/>
  <c r="L3" i="8"/>
  <c r="O3" i="8"/>
  <c r="O4" i="9"/>
  <c r="O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F124" i="8"/>
  <c r="F123" i="8"/>
  <c r="F116" i="8"/>
  <c r="F115" i="8"/>
  <c r="F108" i="8"/>
  <c r="F107" i="8"/>
  <c r="F92" i="8"/>
  <c r="F91" i="8"/>
  <c r="F84" i="8"/>
  <c r="F83" i="8"/>
  <c r="F76" i="8"/>
  <c r="F75" i="8"/>
  <c r="F60" i="8"/>
  <c r="F59" i="8"/>
  <c r="F52" i="8"/>
  <c r="F51" i="8"/>
  <c r="F44" i="8"/>
  <c r="F43" i="8"/>
  <c r="F28" i="8"/>
  <c r="F27" i="8"/>
  <c r="F20" i="8"/>
  <c r="F19" i="8"/>
  <c r="F12" i="8"/>
  <c r="F11" i="8"/>
  <c r="F94" i="9"/>
  <c r="F70" i="9"/>
  <c r="F46" i="9"/>
  <c r="F30" i="9"/>
  <c r="F14" i="9"/>
  <c r="F6" i="9"/>
  <c r="F100" i="8"/>
  <c r="F99" i="8"/>
  <c r="F68" i="8"/>
  <c r="F67" i="8"/>
  <c r="F36" i="8"/>
  <c r="F35" i="8"/>
  <c r="F4" i="8"/>
  <c r="F3" i="8"/>
  <c r="D126"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7" i="6"/>
  <c r="D128" i="6"/>
  <c r="D129" i="6"/>
  <c r="D2" i="6"/>
  <c r="F3" i="9"/>
  <c r="C4" i="9"/>
  <c r="C5" i="9"/>
  <c r="C6" i="9"/>
  <c r="F7" i="9" s="1"/>
  <c r="C7" i="9"/>
  <c r="F8" i="9" s="1"/>
  <c r="C8" i="9"/>
  <c r="F9" i="9" s="1"/>
  <c r="C9" i="9"/>
  <c r="F10" i="9" s="1"/>
  <c r="C10" i="9"/>
  <c r="C11" i="9"/>
  <c r="F12" i="9" s="1"/>
  <c r="C12" i="9"/>
  <c r="C13" i="9"/>
  <c r="C14" i="9"/>
  <c r="F15" i="9" s="1"/>
  <c r="C15" i="9"/>
  <c r="F16" i="9" s="1"/>
  <c r="C16" i="9"/>
  <c r="F17" i="9" s="1"/>
  <c r="C17" i="9"/>
  <c r="F18" i="9" s="1"/>
  <c r="C18" i="9"/>
  <c r="F19" i="9" s="1"/>
  <c r="C19" i="9"/>
  <c r="F20" i="9" s="1"/>
  <c r="C20" i="9"/>
  <c r="C21" i="9"/>
  <c r="F22" i="9" s="1"/>
  <c r="C22" i="9"/>
  <c r="F23" i="9" s="1"/>
  <c r="C23" i="9"/>
  <c r="F24" i="9" s="1"/>
  <c r="C24" i="9"/>
  <c r="F25" i="9" s="1"/>
  <c r="C25" i="9"/>
  <c r="F26" i="9" s="1"/>
  <c r="C26" i="9"/>
  <c r="F27" i="9" s="1"/>
  <c r="C27" i="9"/>
  <c r="F28" i="9" s="1"/>
  <c r="C28" i="9"/>
  <c r="C29" i="9"/>
  <c r="C30" i="9"/>
  <c r="F31" i="9" s="1"/>
  <c r="C31" i="9"/>
  <c r="F32" i="9" s="1"/>
  <c r="C32" i="9"/>
  <c r="F33" i="9" s="1"/>
  <c r="C33" i="9"/>
  <c r="F34" i="9" s="1"/>
  <c r="C34" i="9"/>
  <c r="F35" i="9" s="1"/>
  <c r="C35" i="9"/>
  <c r="F36" i="9" s="1"/>
  <c r="C36" i="9"/>
  <c r="C37" i="9"/>
  <c r="F38" i="9" s="1"/>
  <c r="C38" i="9"/>
  <c r="F39" i="9" s="1"/>
  <c r="C39" i="9"/>
  <c r="F40" i="9" s="1"/>
  <c r="C40" i="9"/>
  <c r="F41" i="9" s="1"/>
  <c r="C41" i="9"/>
  <c r="F42" i="9" s="1"/>
  <c r="C42" i="9"/>
  <c r="F43" i="9" s="1"/>
  <c r="C43" i="9"/>
  <c r="F44" i="9" s="1"/>
  <c r="C44" i="9"/>
  <c r="C45" i="9"/>
  <c r="C46" i="9"/>
  <c r="F47" i="9" s="1"/>
  <c r="C47" i="9"/>
  <c r="F48" i="9" s="1"/>
  <c r="C48" i="9"/>
  <c r="F49" i="9" s="1"/>
  <c r="C49" i="9"/>
  <c r="F50" i="9" s="1"/>
  <c r="C50" i="9"/>
  <c r="F51" i="9" s="1"/>
  <c r="C51" i="9"/>
  <c r="F52" i="9" s="1"/>
  <c r="C52" i="9"/>
  <c r="C53" i="9"/>
  <c r="F54" i="9" s="1"/>
  <c r="C54" i="9"/>
  <c r="F55" i="9" s="1"/>
  <c r="C55" i="9"/>
  <c r="F56" i="9" s="1"/>
  <c r="C56" i="9"/>
  <c r="F57" i="9" s="1"/>
  <c r="C57" i="9"/>
  <c r="F58" i="9" s="1"/>
  <c r="C58" i="9"/>
  <c r="F59" i="9" s="1"/>
  <c r="C59" i="9"/>
  <c r="F60" i="9" s="1"/>
  <c r="C60" i="9"/>
  <c r="C61" i="9"/>
  <c r="F62" i="9" s="1"/>
  <c r="C62" i="9"/>
  <c r="F63" i="9" s="1"/>
  <c r="C63" i="9"/>
  <c r="F64" i="9" s="1"/>
  <c r="C64" i="9"/>
  <c r="F65" i="9" s="1"/>
  <c r="C65" i="9"/>
  <c r="F66" i="9" s="1"/>
  <c r="C66" i="9"/>
  <c r="F67" i="9" s="1"/>
  <c r="C67" i="9"/>
  <c r="F68" i="9" s="1"/>
  <c r="C68" i="9"/>
  <c r="C69" i="9"/>
  <c r="C70" i="9"/>
  <c r="F71" i="9" s="1"/>
  <c r="C71" i="9"/>
  <c r="F72" i="9" s="1"/>
  <c r="C72" i="9"/>
  <c r="F73" i="9" s="1"/>
  <c r="C73" i="9"/>
  <c r="F74" i="9" s="1"/>
  <c r="C74" i="9"/>
  <c r="F75" i="9" s="1"/>
  <c r="C75" i="9"/>
  <c r="F76" i="9" s="1"/>
  <c r="C76" i="9"/>
  <c r="C77" i="9"/>
  <c r="F78" i="9" s="1"/>
  <c r="C78" i="9"/>
  <c r="F79" i="9" s="1"/>
  <c r="C79" i="9"/>
  <c r="F80" i="9" s="1"/>
  <c r="C80" i="9"/>
  <c r="F81" i="9" s="1"/>
  <c r="C81" i="9"/>
  <c r="F82" i="9" s="1"/>
  <c r="C82" i="9"/>
  <c r="F83" i="9" s="1"/>
  <c r="C83" i="9"/>
  <c r="F84" i="9" s="1"/>
  <c r="C84" i="9"/>
  <c r="C85" i="9"/>
  <c r="F86" i="9" s="1"/>
  <c r="C86" i="9"/>
  <c r="F87" i="9" s="1"/>
  <c r="C87" i="9"/>
  <c r="F88" i="9" s="1"/>
  <c r="C88" i="9"/>
  <c r="F89" i="9" s="1"/>
  <c r="C89" i="9"/>
  <c r="F90" i="9" s="1"/>
  <c r="C90" i="9"/>
  <c r="F91" i="9" s="1"/>
  <c r="C91" i="9"/>
  <c r="F92" i="9" s="1"/>
  <c r="C92" i="9"/>
  <c r="C93" i="9"/>
  <c r="C94" i="9"/>
  <c r="F95" i="9" s="1"/>
  <c r="C95" i="9"/>
  <c r="F96" i="9" s="1"/>
  <c r="C96" i="9"/>
  <c r="F97" i="9" s="1"/>
  <c r="C97" i="9"/>
  <c r="F98" i="9" s="1"/>
  <c r="C98" i="9"/>
  <c r="F99" i="9" s="1"/>
  <c r="C99" i="9"/>
  <c r="F100" i="9" s="1"/>
  <c r="C100" i="9"/>
  <c r="C101" i="9"/>
  <c r="F102" i="9" s="1"/>
  <c r="C102" i="9"/>
  <c r="F103" i="9" s="1"/>
  <c r="C103" i="9"/>
  <c r="F104" i="9" s="1"/>
  <c r="C104" i="9"/>
  <c r="F105" i="9" s="1"/>
  <c r="C105" i="9"/>
  <c r="F106" i="9" s="1"/>
  <c r="C106" i="9"/>
  <c r="F107" i="9" s="1"/>
  <c r="C107" i="9"/>
  <c r="F108" i="9" s="1"/>
  <c r="C108" i="9"/>
  <c r="C109" i="9"/>
  <c r="F110" i="9" s="1"/>
  <c r="C110" i="9"/>
  <c r="F111" i="9" s="1"/>
  <c r="C111" i="9"/>
  <c r="F112" i="9" s="1"/>
  <c r="C112" i="9"/>
  <c r="F113" i="9" s="1"/>
  <c r="C113" i="9"/>
  <c r="F114" i="9" s="1"/>
  <c r="C114" i="9"/>
  <c r="F115" i="9" s="1"/>
  <c r="C115" i="9"/>
  <c r="F116" i="9" s="1"/>
  <c r="C116" i="9"/>
  <c r="C117" i="9"/>
  <c r="F118" i="9" s="1"/>
  <c r="C118" i="9"/>
  <c r="F119" i="9" s="1"/>
  <c r="C119" i="9"/>
  <c r="F120" i="9" s="1"/>
  <c r="C120" i="9"/>
  <c r="F121" i="9" s="1"/>
  <c r="C121" i="9"/>
  <c r="F122" i="9" s="1"/>
  <c r="C122" i="9"/>
  <c r="F123" i="9" s="1"/>
  <c r="C123" i="9"/>
  <c r="F124" i="9" s="1"/>
  <c r="C124" i="9"/>
  <c r="C125" i="9"/>
  <c r="F126" i="9" s="1"/>
  <c r="C126" i="9"/>
  <c r="F127" i="9" s="1"/>
  <c r="C127" i="9"/>
  <c r="F128" i="9" s="1"/>
  <c r="C128" i="9"/>
  <c r="F129" i="9" s="1"/>
  <c r="C3" i="9"/>
  <c r="F4" i="9" s="1"/>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I129" i="8"/>
  <c r="F5" i="8"/>
  <c r="F6" i="8"/>
  <c r="F7" i="8"/>
  <c r="F8" i="8"/>
  <c r="F9" i="8"/>
  <c r="F10" i="8"/>
  <c r="F13" i="8"/>
  <c r="F14" i="8"/>
  <c r="F15" i="8"/>
  <c r="F16" i="8"/>
  <c r="F17" i="8"/>
  <c r="F18" i="8"/>
  <c r="F21" i="8"/>
  <c r="F22" i="8"/>
  <c r="F23" i="8"/>
  <c r="F24" i="8"/>
  <c r="F25" i="8"/>
  <c r="F26" i="8"/>
  <c r="F29" i="8"/>
  <c r="F30" i="8"/>
  <c r="F31" i="8"/>
  <c r="F32" i="8"/>
  <c r="F33" i="8"/>
  <c r="F34" i="8"/>
  <c r="F37" i="8"/>
  <c r="F38" i="8"/>
  <c r="F39" i="8"/>
  <c r="F40" i="8"/>
  <c r="F41" i="8"/>
  <c r="F42" i="8"/>
  <c r="F45" i="8"/>
  <c r="F46" i="8"/>
  <c r="F47" i="8"/>
  <c r="F48" i="8"/>
  <c r="F49" i="8"/>
  <c r="F50" i="8"/>
  <c r="F53" i="8"/>
  <c r="F54" i="8"/>
  <c r="F55" i="8"/>
  <c r="F56" i="8"/>
  <c r="F57" i="8"/>
  <c r="F58" i="8"/>
  <c r="F61" i="8"/>
  <c r="F62" i="8"/>
  <c r="F63" i="8"/>
  <c r="F64" i="8"/>
  <c r="F65" i="8"/>
  <c r="F66" i="8"/>
  <c r="F69" i="8"/>
  <c r="F70" i="8"/>
  <c r="F71" i="8"/>
  <c r="F72" i="8"/>
  <c r="F73" i="8"/>
  <c r="F74" i="8"/>
  <c r="F77" i="8"/>
  <c r="F78" i="8"/>
  <c r="F79" i="8"/>
  <c r="F80" i="8"/>
  <c r="F81" i="8"/>
  <c r="F82" i="8"/>
  <c r="F85" i="8"/>
  <c r="F86" i="8"/>
  <c r="F87" i="8"/>
  <c r="F88" i="8"/>
  <c r="F89" i="8"/>
  <c r="F90" i="8"/>
  <c r="F93" i="8"/>
  <c r="F94" i="8"/>
  <c r="F95" i="8"/>
  <c r="F96" i="8"/>
  <c r="F97" i="8"/>
  <c r="F98" i="8"/>
  <c r="F101" i="8"/>
  <c r="F102" i="8"/>
  <c r="F103" i="8"/>
  <c r="F104" i="8"/>
  <c r="F105" i="8"/>
  <c r="F106" i="8"/>
  <c r="F109" i="8"/>
  <c r="F110" i="8"/>
  <c r="F111" i="8"/>
  <c r="F112" i="8"/>
  <c r="F113" i="8"/>
  <c r="F114" i="8"/>
  <c r="F117" i="8"/>
  <c r="F118" i="8"/>
  <c r="F119" i="8"/>
  <c r="F120" i="8"/>
  <c r="F121" i="8"/>
  <c r="F122" i="8"/>
  <c r="F125" i="8"/>
  <c r="F126" i="8"/>
  <c r="F127" i="8"/>
  <c r="F128" i="8"/>
  <c r="F129" i="8"/>
  <c r="F129" i="7"/>
  <c r="D129" i="7"/>
  <c r="L3" i="13" l="1"/>
  <c r="J5" i="16"/>
  <c r="P16" i="16"/>
  <c r="J2" i="16"/>
  <c r="P19" i="16"/>
  <c r="J8" i="16"/>
  <c r="L3" i="15"/>
  <c r="O3" i="15" s="1"/>
  <c r="N3" i="15"/>
  <c r="J3" i="16"/>
  <c r="P14" i="16"/>
  <c r="J4" i="16"/>
  <c r="P15" i="16"/>
  <c r="P18" i="16"/>
  <c r="J7" i="16"/>
  <c r="J6" i="16"/>
  <c r="P17" i="16"/>
  <c r="O58" i="10"/>
  <c r="O59" i="10" s="1"/>
  <c r="O60" i="10" s="1"/>
  <c r="O61" i="10" s="1"/>
  <c r="O64" i="10" s="1"/>
  <c r="O65" i="10" s="1"/>
  <c r="P58" i="10"/>
  <c r="P59" i="10" s="1"/>
  <c r="I132" i="13"/>
  <c r="J132" i="13" s="1"/>
  <c r="K132" i="13" s="1"/>
  <c r="L132" i="13" s="1"/>
  <c r="I131" i="13"/>
  <c r="J131" i="13" s="1"/>
  <c r="K131" i="13" s="1"/>
  <c r="L131" i="13" s="1"/>
  <c r="J130" i="13"/>
  <c r="K130" i="13" s="1"/>
  <c r="L130" i="13" s="1"/>
  <c r="F125" i="9"/>
  <c r="F117" i="9"/>
  <c r="F109" i="9"/>
  <c r="F101" i="9"/>
  <c r="F93" i="9"/>
  <c r="F85" i="9"/>
  <c r="F77" i="9"/>
  <c r="F69" i="9"/>
  <c r="F61" i="9"/>
  <c r="F53" i="9"/>
  <c r="F45" i="9"/>
  <c r="F37" i="9"/>
  <c r="F29" i="9"/>
  <c r="F21" i="9"/>
  <c r="F13" i="9"/>
  <c r="F5" i="9"/>
  <c r="F11" i="9"/>
  <c r="P60" i="10" l="1"/>
  <c r="P61" i="10" s="1"/>
  <c r="O3" i="13"/>
  <c r="P3" i="13"/>
  <c r="P64" i="10" l="1"/>
  <c r="P65" i="10" s="1"/>
  <c r="J68" i="10" s="1"/>
  <c r="I128" i="8"/>
  <c r="I127" i="8"/>
  <c r="I126" i="8"/>
  <c r="I125" i="8"/>
  <c r="I124" i="8"/>
  <c r="I123" i="8"/>
  <c r="I122" i="8"/>
  <c r="I121" i="8"/>
  <c r="I120" i="8"/>
  <c r="I119" i="8"/>
  <c r="I118" i="8"/>
  <c r="I117" i="8"/>
  <c r="I11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I5" i="8"/>
  <c r="I4" i="8"/>
  <c r="I3" i="8"/>
  <c r="F20" i="7"/>
  <c r="F4" i="7"/>
  <c r="F5" i="7"/>
  <c r="F6" i="7"/>
  <c r="F7" i="7"/>
  <c r="F8" i="7"/>
  <c r="F9" i="7"/>
  <c r="F10" i="7"/>
  <c r="F11" i="7"/>
  <c r="F12" i="7"/>
  <c r="F13" i="7"/>
  <c r="F14" i="7"/>
  <c r="F15" i="7"/>
  <c r="F16" i="7"/>
  <c r="F17" i="7"/>
  <c r="F18" i="7"/>
  <c r="F19"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3" i="7"/>
  <c r="D2"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3" i="7"/>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3" i="6"/>
  <c r="D2"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3" i="5" l="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B54" i="3"/>
  <c r="B32" i="3"/>
  <c r="B33" i="3" s="1"/>
  <c r="C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<sst xmlns="http://schemas.openxmlformats.org/spreadsheetml/2006/main" count="1117" uniqueCount="361">
  <si>
    <t xml:space="preserve">Supermarkets and hypermarkets </t>
  </si>
  <si>
    <t>Convenience stores</t>
  </si>
  <si>
    <t xml:space="preserve"> Movie theaters </t>
  </si>
  <si>
    <t>E-commerce</t>
  </si>
  <si>
    <t>Hotel minibars</t>
  </si>
  <si>
    <t xml:space="preserve">Distribution Channel </t>
  </si>
  <si>
    <t>Share</t>
  </si>
  <si>
    <t>Category</t>
  </si>
  <si>
    <t>Philippines</t>
  </si>
  <si>
    <t>Vietnam</t>
  </si>
  <si>
    <t>Referenced Banks</t>
  </si>
  <si>
    <t>Year</t>
  </si>
  <si>
    <t>SBV</t>
  </si>
  <si>
    <t>BSP</t>
  </si>
  <si>
    <t>Lending Rate</t>
  </si>
  <si>
    <t>Total Interest Payment in Year 2</t>
  </si>
  <si>
    <r>
      <t>k</t>
    </r>
    <r>
      <rPr>
        <i/>
        <vertAlign val="subscript"/>
        <sz val="24"/>
        <color rgb="FF000054"/>
        <rFont val="Arial"/>
        <family val="2"/>
      </rPr>
      <t>e</t>
    </r>
    <r>
      <rPr>
        <sz val="24"/>
        <color rgb="FF000054"/>
        <rFont val="Arial"/>
        <family val="2"/>
      </rPr>
      <t xml:space="preserve"> = </t>
    </r>
    <r>
      <rPr>
        <i/>
        <sz val="24"/>
        <color rgb="FF000054"/>
        <rFont val="Arial"/>
        <family val="2"/>
      </rPr>
      <t>R</t>
    </r>
    <r>
      <rPr>
        <i/>
        <vertAlign val="subscript"/>
        <sz val="24"/>
        <color rgb="FF000054"/>
        <rFont val="Arial"/>
        <family val="2"/>
      </rPr>
      <t>f</t>
    </r>
    <r>
      <rPr>
        <sz val="24"/>
        <color rgb="FF000054"/>
        <rFont val="Arial"/>
        <family val="2"/>
      </rPr>
      <t xml:space="preserve"> + </t>
    </r>
    <r>
      <rPr>
        <i/>
        <sz val="24"/>
        <color rgb="FF000054"/>
        <rFont val="Arial"/>
        <family val="2"/>
      </rPr>
      <t>B</t>
    </r>
    <r>
      <rPr>
        <sz val="24"/>
        <color rgb="FF000054"/>
        <rFont val="Arial"/>
        <family val="2"/>
      </rPr>
      <t>(</t>
    </r>
    <r>
      <rPr>
        <i/>
        <sz val="24"/>
        <color rgb="FF000054"/>
        <rFont val="Arial"/>
        <family val="2"/>
      </rPr>
      <t>R</t>
    </r>
    <r>
      <rPr>
        <i/>
        <vertAlign val="subscript"/>
        <sz val="24"/>
        <color rgb="FF000054"/>
        <rFont val="Arial"/>
        <family val="2"/>
      </rPr>
      <t>m</t>
    </r>
    <r>
      <rPr>
        <sz val="24"/>
        <color rgb="FF000054"/>
        <rFont val="Arial"/>
        <family val="2"/>
      </rPr>
      <t xml:space="preserve"> − </t>
    </r>
    <r>
      <rPr>
        <i/>
        <sz val="24"/>
        <color rgb="FF000054"/>
        <rFont val="Arial"/>
        <family val="2"/>
      </rPr>
      <t>R</t>
    </r>
    <r>
      <rPr>
        <i/>
        <vertAlign val="subscript"/>
        <sz val="24"/>
        <color rgb="FF000054"/>
        <rFont val="Arial"/>
        <family val="2"/>
      </rPr>
      <t>f</t>
    </r>
    <r>
      <rPr>
        <sz val="24"/>
        <color rgb="FF000054"/>
        <rFont val="Arial"/>
        <family val="2"/>
      </rPr>
      <t>)</t>
    </r>
  </si>
  <si>
    <t>Cost of Equity Components</t>
  </si>
  <si>
    <t>Value</t>
  </si>
  <si>
    <t>Details</t>
  </si>
  <si>
    <t>Cost of Equity</t>
  </si>
  <si>
    <t>Risk-free rate of return</t>
  </si>
  <si>
    <t>Market Return</t>
  </si>
  <si>
    <t>Beta of Stock</t>
  </si>
  <si>
    <t>WACC variables</t>
  </si>
  <si>
    <t>Discount Rate</t>
  </si>
  <si>
    <t>This cost of equity incorporates the Philippines opportunities and threats for the development of Mondelez's distribution network</t>
  </si>
  <si>
    <t xml:space="preserve">MoonCake </t>
  </si>
  <si>
    <t xml:space="preserve">Cosybiscuits </t>
  </si>
  <si>
    <t xml:space="preserve">Solite soft cakes </t>
  </si>
  <si>
    <t xml:space="preserve">AFC crackers </t>
  </si>
  <si>
    <t xml:space="preserve">Expected Volume (kg) to sell in PH in Year 1 </t>
  </si>
  <si>
    <t xml:space="preserve">Extra Investment needed in Year 2 </t>
  </si>
  <si>
    <t xml:space="preserve">Raw material and packing cost (% within COGS) </t>
  </si>
  <si>
    <t xml:space="preserve">Other costs (% within COGS) </t>
  </si>
  <si>
    <t xml:space="preserve">Annual delivery cost from VN to PH </t>
  </si>
  <si>
    <t xml:space="preserve">0.3% Gross Revenue </t>
  </si>
  <si>
    <t xml:space="preserve">Annual overhead cost % of net revenue </t>
  </si>
  <si>
    <t xml:space="preserve">Annual advertisement cost % of net revenue </t>
  </si>
  <si>
    <t>Indonesia</t>
  </si>
  <si>
    <t>Thailand</t>
  </si>
  <si>
    <t>Malaysia</t>
  </si>
  <si>
    <t xml:space="preserve">Ratio of Similar Snacks Taste Preference to Philippines </t>
  </si>
  <si>
    <t>Ratio</t>
  </si>
  <si>
    <t xml:space="preserve">Singapore </t>
  </si>
  <si>
    <t>Countries</t>
  </si>
  <si>
    <t>Sales Tax Rate</t>
  </si>
  <si>
    <t>Taken from TradingView (2024)</t>
  </si>
  <si>
    <t>The expected market return is assumed to align with CAGR in the next 7 years (USDA 2024)</t>
  </si>
  <si>
    <t>Risk-free rate is taken from Philippines' Government Bond yield, aligning with risk-free rate of Philippines (MacroMicro 2024)</t>
  </si>
  <si>
    <t xml:space="preserve">FMLP (2024) </t>
  </si>
  <si>
    <t xml:space="preserve">IRAS (2024) </t>
  </si>
  <si>
    <t>Sources</t>
  </si>
  <si>
    <t>Self-calculation</t>
  </si>
  <si>
    <t>Weighted Equity</t>
  </si>
  <si>
    <t xml:space="preserve">Cost of Equity </t>
  </si>
  <si>
    <t xml:space="preserve">Weighted Debt </t>
  </si>
  <si>
    <t xml:space="preserve">Cost of Debt </t>
  </si>
  <si>
    <t xml:space="preserve">Tax </t>
  </si>
  <si>
    <t>Inflation Rate Differential</t>
  </si>
  <si>
    <t>Interest Rate Differential</t>
  </si>
  <si>
    <t>Relative Trade Balance Change</t>
  </si>
  <si>
    <t>Relative Foreign Reserves Change</t>
  </si>
  <si>
    <t>Exchange Rate</t>
  </si>
  <si>
    <t>PHP/USD, VND/USD are taken from Investing (2024)</t>
  </si>
  <si>
    <t>M</t>
  </si>
  <si>
    <t>Goods, Value of Exports, US Dollars</t>
  </si>
  <si>
    <t>Goods, Value of Imports, CIF,  US Dollars</t>
  </si>
  <si>
    <t>Consumer Prices</t>
  </si>
  <si>
    <t>Total Reserves excluding Gold, US Dollars</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</si>
  <si>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</si>
  <si>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</si>
  <si>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</si>
  <si>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</si>
  <si>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</si>
  <si>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</si>
  <si>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</si>
  <si>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</si>
  <si>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</si>
  <si>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</si>
  <si>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</si>
  <si>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</si>
  <si>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</si>
  <si>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</si>
  <si>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</si>
  <si>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</si>
  <si>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</si>
  <si>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</si>
  <si>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</si>
  <si>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</si>
  <si>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</si>
  <si>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</si>
  <si>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</si>
  <si>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</si>
  <si>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</si>
  <si>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</si>
  <si>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</si>
  <si>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</si>
  <si>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</si>
  <si>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</si>
  <si>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</si>
  <si>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</si>
  <si>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</si>
  <si>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</si>
  <si>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</si>
  <si>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</si>
  <si>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</si>
  <si>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</si>
  <si>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</si>
  <si>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</si>
  <si>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</si>
  <si>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</si>
  <si>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</si>
  <si>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</si>
  <si>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</si>
  <si>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</si>
  <si>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</si>
  <si>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</si>
  <si>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</si>
  <si>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</si>
  <si>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</si>
  <si>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</si>
  <si>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</si>
  <si>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</si>
  <si>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</si>
  <si>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</si>
  <si>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</si>
  <si>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</si>
  <si>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</si>
  <si>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</si>
  <si>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</si>
  <si>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</si>
  <si>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</si>
  <si>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</si>
  <si>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</si>
  <si>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</si>
  <si>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</si>
  <si>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</si>
  <si>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</si>
  <si>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</si>
  <si>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</si>
  <si>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</si>
  <si>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</si>
  <si>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</si>
  <si>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</si>
  <si>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</si>
  <si>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</si>
  <si>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</si>
  <si>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</si>
  <si>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</si>
  <si>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</si>
  <si>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</si>
  <si>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</si>
  <si>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</si>
  <si>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</si>
  <si>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</si>
  <si>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</si>
  <si>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</si>
  <si>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</si>
  <si>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</si>
  <si>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</si>
  <si>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</si>
  <si>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</si>
  <si>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</si>
  <si>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</si>
  <si>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</si>
  <si>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</si>
  <si>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</si>
  <si>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</si>
  <si>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</si>
  <si>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</si>
  <si>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</si>
  <si>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</si>
  <si>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</si>
  <si>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</si>
  <si>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</si>
  <si>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</si>
  <si>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</si>
  <si>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</si>
  <si>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</si>
  <si>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</si>
  <si>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</si>
  <si>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</si>
  <si>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</si>
  <si>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</si>
  <si>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</si>
  <si>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</si>
  <si>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</si>
  <si>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</si>
  <si>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</si>
  <si>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</si>
  <si>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</si>
  <si>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</si>
  <si>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</si>
  <si>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</si>
  <si>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</si>
  <si>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</si>
  <si>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</si>
  <si>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Data Sources and Explanation</t>
  </si>
  <si>
    <t>2013M12</t>
  </si>
  <si>
    <t>Vietnam Trade Balance</t>
  </si>
  <si>
    <t>Vietnam Inflation Rate</t>
  </si>
  <si>
    <t>Vietnam Total Reserves excluding Gold, US Dollars</t>
  </si>
  <si>
    <t>Vietnam Interest Rate</t>
  </si>
  <si>
    <t>The U.S Interest Rate</t>
  </si>
  <si>
    <t>The U.S Inflation Rate</t>
  </si>
  <si>
    <t>The U.S Trade Balance</t>
  </si>
  <si>
    <t>Philippines Interest Rate</t>
  </si>
  <si>
    <t>Philippines Inflation Rate</t>
  </si>
  <si>
    <t>Philippines Trade Balance</t>
  </si>
  <si>
    <t>PHP/USD</t>
  </si>
  <si>
    <t>Philippines Total Reserves excluding Gold, US Dollars</t>
  </si>
  <si>
    <t>The U.S Total Reserves excluding Gold, US Dollars</t>
  </si>
  <si>
    <t>Vietnam Inflation</t>
  </si>
  <si>
    <t>Philippines Inflation</t>
  </si>
  <si>
    <t>The U.S Inflation</t>
  </si>
  <si>
    <t>Lagged Interest Differential</t>
  </si>
  <si>
    <t>Lagged Inflation Differential</t>
  </si>
  <si>
    <t>% Change in Spot</t>
  </si>
  <si>
    <t>Time</t>
  </si>
  <si>
    <t>VND/USD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</si>
  <si>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</si>
  <si>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</si>
  <si>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</si>
  <si>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</si>
  <si>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</si>
  <si>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</si>
  <si>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</si>
  <si>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</si>
  <si>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</si>
  <si>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</si>
  <si>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</si>
  <si>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</si>
  <si>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</si>
  <si>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</si>
  <si>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</si>
  <si>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</si>
  <si>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</si>
  <si>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</si>
  <si>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</si>
  <si>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</si>
  <si>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</si>
  <si>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</si>
  <si>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</si>
  <si>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</si>
  <si>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</si>
  <si>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</si>
  <si>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 Change in Spot</t>
  </si>
  <si>
    <t>Residuals</t>
  </si>
  <si>
    <t>Predicted Y (% Change in Spot Rate)</t>
  </si>
  <si>
    <t>Change of PHP/USD</t>
  </si>
  <si>
    <t>Change of VND/USD</t>
  </si>
  <si>
    <t>PHP/USD SUMMARY OUTPUT</t>
  </si>
  <si>
    <t>Moon Cake</t>
  </si>
  <si>
    <t>Cosy Biscuits</t>
  </si>
  <si>
    <t>Solite Soft cake</t>
  </si>
  <si>
    <t>AFC Crackers</t>
  </si>
  <si>
    <t>X Variable 1</t>
  </si>
  <si>
    <t>X Variable 2</t>
  </si>
  <si>
    <t>X Variable 3</t>
  </si>
  <si>
    <t>X Variable 4</t>
  </si>
  <si>
    <t>Predicted Y</t>
  </si>
  <si>
    <t>Predicted - Actual</t>
  </si>
  <si>
    <t>Absolute Forecast Error</t>
  </si>
  <si>
    <t>Absolute Squared Error</t>
  </si>
  <si>
    <t>Predicted VND/USD</t>
  </si>
  <si>
    <t>Model owns Adj R2 of 3.3%, reflecting that 96.7% of PHP/USD change is explained by factors outside of chosen variables. The result discovered that Lagged Interest Differential are significant at 90% confidence level with p-value of 0.097870936.</t>
  </si>
  <si>
    <t>Key Regression Output</t>
  </si>
  <si>
    <t>Monthly inflation of Philippines, Vietnam, The U.S from January 2014 to July 2024 are taken from IMF (2024). Data will be used as lagged variables because</t>
  </si>
  <si>
    <t>Monthly Interest Rate of Philippines, Vietnam, The U.S from January 2014 to July 2024 are taken from IMF (2024).</t>
  </si>
  <si>
    <t>Note: All the variables are lagged to account for their delayed impact on changes in the exchange rate, ensuring that the model accurately reflects the time it takes for these factors to influence currency movements.</t>
  </si>
  <si>
    <t>Monthly Trade Balance of Philippines, Vietnam, The U.S  is calculated by subtracting monthly Total Imports from monthly Total Exports from January 2014 to July 2024 are taken from IMF (2024).</t>
  </si>
  <si>
    <t>Monthly Foreign Reserves of Philippines, Vietnam, The U.S from January 2014 to July 2024 are taken from IMF (2024)</t>
  </si>
  <si>
    <t>Macroeconomic Variables</t>
  </si>
  <si>
    <t xml:space="preserve">Predicted Y (% Change in Spot Rate) </t>
  </si>
  <si>
    <t>Predicted PHP/USD</t>
  </si>
  <si>
    <t>Model owns  Adj  R2  of 1.05%, showing that 98.95% of VND/USD change is explained by attribiutes outside of chosen variables. No variables are found significant to the model, yet, Lagged Interest Differential's p-value of 0.455645013  was the only variable lying in 50% confidence level.</t>
  </si>
  <si>
    <t>VND/PHP</t>
  </si>
  <si>
    <t>2025</t>
  </si>
  <si>
    <t>Rate</t>
  </si>
  <si>
    <t>In PHP</t>
  </si>
  <si>
    <t>Exchange rate USD 0.0171246/PHP</t>
  </si>
  <si>
    <t xml:space="preserve">Percentage on Gross Revenue to pay for the distributor as Commission </t>
  </si>
  <si>
    <t>Expected Selling Price per kg (in $) in 2026-2031</t>
  </si>
  <si>
    <t>Only Filipino-Chinese (44.4% of the 108.67 million households) celebrate Mid-Autumn Festival in Philippines (Postman 2024; PSA 2024). So, annual Filipino-Chinese population growth (0.679%) will be used to assume as the consistent annual sales growth of Moon Cake in Philippines (Macrotrends 2024).</t>
  </si>
  <si>
    <t xml:space="preserve">Similarly, AFC crackers, savory biscuits, will likely follow 4.102% CAGR of overall retail sales of savoury biscuits in Philippines from 2026 to 2031 (Statista 2024), since retail channels comprise 97% of snack sales (USDA 2024). </t>
  </si>
  <si>
    <t>Expected Volume (kg) to sell in PH in 2026-2031</t>
  </si>
  <si>
    <t xml:space="preserve">Expected Volume (kg) to sell in PH </t>
  </si>
  <si>
    <t>Growth in Expected Selling Price per kg (in $) in 2026-2031</t>
  </si>
  <si>
    <t>To impress local tastes and educate customers on Mondelez's new brand entry, pricing must be attractive. A case study is Oishi snacks from Philippines into Vietnam, which has kept stable pricing in Vietnam since 2014 till 2024 to attract local people (Oishi 2024). Thus, Mondelez's product prices (Cosy Biscuits, Solite Soft Cake, AFC Crackers) are expected to remain similarly steady from 2026 to 2031.</t>
  </si>
  <si>
    <t>Similar explanation to Cosy Biscuits</t>
  </si>
  <si>
    <t>Growth Rate Assumption</t>
  </si>
  <si>
    <t xml:space="preserve">Total Revenue </t>
  </si>
  <si>
    <t>2026</t>
  </si>
  <si>
    <t>2027</t>
  </si>
  <si>
    <t>2028</t>
  </si>
  <si>
    <t>2029</t>
  </si>
  <si>
    <t>2030</t>
  </si>
  <si>
    <t>2031</t>
  </si>
  <si>
    <t>Solite Soft Cake</t>
  </si>
  <si>
    <t>Net Revenue</t>
  </si>
  <si>
    <t>Gross Revenue in HP</t>
  </si>
  <si>
    <t xml:space="preserve">Total Expected Volume (kg) to sell in PH </t>
  </si>
  <si>
    <t>Total Variable Costs</t>
  </si>
  <si>
    <t>Fixed Cost</t>
  </si>
  <si>
    <t>Before‑tax earnings of subsidiary in PHP</t>
  </si>
  <si>
    <t>Interest expense converted into PHP</t>
  </si>
  <si>
    <t>Interest expense of Vietnam loan in VND</t>
  </si>
  <si>
    <t>Total Expenses</t>
  </si>
  <si>
    <t xml:space="preserve">Cost of goods sold PHP/kg excluding depreciation and delivery cost </t>
  </si>
  <si>
    <t xml:space="preserve">Current depreciation of the investment PHP/kg applicable for Year 1 </t>
  </si>
  <si>
    <t xml:space="preserve">Expected Selling Price per kg (in PHP) in Year 1 </t>
  </si>
  <si>
    <t>Soft cakes' convenience and shelf life make them household staples, leading to a 5.3% CAGR (IMARC 2024).</t>
  </si>
  <si>
    <t>Cosy Biscuits, being sweet biscuits, will likely follow 8% CAGR of overall retail sales of sweet biscuit in the Philippines from 2026 to 2031 (Statista 2024), because retail channels comprise 97% of snacks sales (USDA 2024).</t>
  </si>
  <si>
    <t xml:space="preserve">Mooncake prices (seasonal for Mid-Autumn Festival) tend to inflate 3.23% annually (Aug-Sept inflation reflects peak demand), assumed for 2026-2031 growth (PSA 2024).  </t>
  </si>
  <si>
    <t>Host Government Tax (25%)</t>
  </si>
  <si>
    <t>After‑tax earnings of subsidiary in PHP</t>
  </si>
  <si>
    <t>Noncash Expense (Depreciation)</t>
  </si>
  <si>
    <t>Net Cash Flow to Subsidiary</t>
  </si>
  <si>
    <t>PHP Remitted by Subsidiary (100% of CF)</t>
  </si>
  <si>
    <t>Salvage Value</t>
  </si>
  <si>
    <t>Exchange Rate of 1 PHP = 0.017124567 USD</t>
  </si>
  <si>
    <t>Cash Flows to Parent</t>
  </si>
  <si>
    <t>PV of Parent Cash Flow</t>
  </si>
  <si>
    <t>(6.191% of Discount Rate)</t>
  </si>
  <si>
    <t>Initial Investment by Parent</t>
  </si>
  <si>
    <t>Year 0</t>
  </si>
  <si>
    <t>Culmulative NPV of Cash Flows</t>
  </si>
  <si>
    <t xml:space="preserve">NPV </t>
  </si>
  <si>
    <t>IRR</t>
  </si>
  <si>
    <t xml:space="preserve"> Profitability Metrics</t>
  </si>
  <si>
    <t>Result</t>
  </si>
  <si>
    <t>Cost of Capital</t>
  </si>
  <si>
    <t>Effect on Exchange Rate2</t>
  </si>
  <si>
    <t>Expected Sign</t>
  </si>
  <si>
    <t>Depreciation if the home country has higher inflation, leading to a decrease in demand for its currency; 
Appreciation if the home country has lower inflation, making its currency more attractive</t>
  </si>
  <si>
    <t>+ or -</t>
  </si>
  <si>
    <t>+</t>
  </si>
  <si>
    <t>-</t>
  </si>
  <si>
    <t>Appreciation of the currency due to higher interest rates attracting capital inflows</t>
  </si>
  <si>
    <t>Depreciation if a country has a trade deficit, as it increases the supply of the home country's currency in the forex market; 
Appreciation if a country has a trade surplus, as it increases the demand for the home country's currency</t>
  </si>
  <si>
    <t>Appreciation if foreign reserves increase, signaling confidence in the currency; 
Depreciation if foreign reserves decrease, potentially signaling economic instability or currency crises</t>
  </si>
  <si>
    <t>Macroeconomics Model Backtest Errors</t>
  </si>
  <si>
    <t>Mean Absolute Error</t>
  </si>
  <si>
    <t>Mean Squared Error</t>
  </si>
  <si>
    <t>Fixed Costs</t>
  </si>
  <si>
    <t>Variables Costs</t>
  </si>
  <si>
    <t>Variable Costs</t>
  </si>
  <si>
    <t xml:space="preserve">USD/VND  </t>
  </si>
  <si>
    <t>1-year Forward Exchange Rate</t>
  </si>
  <si>
    <t>Currency Pair</t>
  </si>
  <si>
    <t>Forward rate in USD</t>
  </si>
  <si>
    <t>USD/PHP</t>
  </si>
  <si>
    <t>2025 Forward Exchange Rate</t>
  </si>
  <si>
    <t xml:space="preserve">2024 Spot Exchange Rate </t>
  </si>
  <si>
    <t>Cost of Buying using 1-year Forward Contract (PHP)</t>
  </si>
  <si>
    <t>2025 Forecasted Spot Exchange Rate</t>
  </si>
  <si>
    <t>2024 Spot rate</t>
  </si>
  <si>
    <t>Net Revenue Receivables in PHP</t>
  </si>
  <si>
    <t>Net Revenue Receivables in USD</t>
  </si>
  <si>
    <t>VND/USD SUMMARY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</si>
</sst>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_([$$-409]* #,##0.00_);_([$$-409]* \(#,##0.00\);_([$$-409]* &quot;-&quot;??_);_(@_)"/>
    <numFmt numFmtId="165" formatCode="0.000%"/>
    <numFmt numFmtId="166" formatCode="0.000000000"/>
    <numFmt numFmtId="167" formatCode="0.0000000000"/>
    <numFmt numFmtId="168" formatCode="0.00000"/>
    <numFmt numFmtId="169" formatCode="0.000000"/>
    <numFmt numFmtId="170" formatCode="0.0000000"/>
    <numFmt numFmtId="171" formatCode="_-* #,##0_-;\-* #,##0_-;_-* &quot;-&quot;??_-;_-@_-"/>
  </numFmts>
  <fonts count="20" x14ac:knownFonts="1">
    <font>
      <sz val="12"/>
      <color theme="1"/>
      <name val="Aptos Narrow"/>
      <family val="2"/>
      <scheme val="minor"/>
    </font>
    <font>
      <sz val="12"/>
      <color theme="1"/>
      <name val="Aptos Narrow"/>
      <family val="2"/>
      <scheme val="minor"/>
    </font>
    <font>
      <sz val="12"/>
      <color theme="1"/>
      <name val="Times New Roman"/>
      <family val="1"/>
    </font>
    <font>
      <b/>
      <sz val="12"/>
      <color theme="1"/>
      <name val="Times New Roman"/>
      <family val="1"/>
    </font>
    <font>
      <b/>
      <sz val="12"/>
      <color theme="0"/>
      <name val="Times New Roman"/>
      <family val="1"/>
    </font>
    <font>
      <i/>
      <sz val="24"/>
      <color rgb="FF000054"/>
      <name val="Arial"/>
      <family val="2"/>
    </font>
    <font>
      <i/>
      <vertAlign val="subscript"/>
      <sz val="24"/>
      <color rgb="FF000054"/>
      <name val="Arial"/>
      <family val="2"/>
    </font>
    <font>
      <sz val="24"/>
      <color rgb="FF000054"/>
      <name val="Arial"/>
      <family val="2"/>
    </font>
    <font>
      <sz val="12"/>
      <color rgb="FF000000"/>
      <name val="Times New Roman"/>
      <family val="1"/>
    </font>
    <font>
      <sz val="23"/>
      <color rgb="FF060A45"/>
      <name val="Arial"/>
      <family val="2"/>
    </font>
    <font>
      <sz val="12"/>
      <name val="Times New Roman"/>
      <family val="1"/>
    </font>
    <font>
      <sz val="11"/>
      <color rgb="FF000000"/>
      <name val="Times New Roman"/>
      <family val="1"/>
    </font>
    <font>
      <sz val="8"/>
      <name val="Aptos Narrow"/>
      <family val="2"/>
      <scheme val="minor"/>
    </font>
    <font>
      <i/>
      <sz val="12"/>
      <color theme="1"/>
      <name val="Aptos Narrow"/>
      <family val="2"/>
      <scheme val="minor"/>
    </font>
    <font>
      <sz val="12"/>
      <color theme="0"/>
      <name val="Times New Roman"/>
      <family val="1"/>
    </font>
    <font>
      <b/>
      <sz val="12"/>
      <color theme="6" tint="-0.499984740745262"/>
      <name val="Times New Roman"/>
      <family val="1"/>
    </font>
    <font>
      <b/>
      <sz val="11"/>
      <color theme="1"/>
      <name val="Aptos Narrow"/>
      <family val="2"/>
      <scheme val="minor"/>
    </font>
    <font>
      <b/>
      <sz val="11"/>
      <color theme="1"/>
      <name val="Times New Roman"/>
      <family val="1"/>
    </font>
    <font>
      <sz val="11"/>
      <color theme="1"/>
      <name val="Times New Roman"/>
      <family val="1"/>
    </font>
    <font>
      <i/>
      <sz val="12"/>
      <color theme="1"/>
      <name val="Times New Roman"/>
      <family val="1"/>
    </font>
  </fonts>
  <fills count="10">
    <fill>
      <patternFill patternType="none"/>
    </fill>
    <fill>
      <patternFill patternType="gray125"/>
    </fill>
    <fill>
      <patternFill patternType="solid">
        <fgColor theme="0"/>
        <bgColor indexed="64"/>
      </patternFill>
    </fill>
    <fill>
      <patternFill patternType="solid">
        <fgColor theme="6"/>
        <bgColor theme="6"/>
      </patternFill>
    </fill>
    <fill>
      <patternFill patternType="solid">
        <fgColor theme="6" tint="0.79998168889431442"/>
        <bgColor theme="6" tint="0.79998168889431442"/>
      </patternFill>
    </fill>
    <fill>
      <patternFill patternType="solid">
        <fgColor theme="9" tint="0.79998168889431442"/>
        <bgColor indexed="64"/>
      </patternFill>
    </fill>
    <fill>
      <patternFill patternType="solid">
        <fgColor rgb="FF196B24"/>
        <bgColor indexed="64"/>
      </patternFill>
    </fill>
    <fill>
      <patternFill patternType="solid">
        <fgColor rgb="FFC1F0C8"/>
        <bgColor indexed="64"/>
      </patternFill>
    </fill>
    <fill>
      <patternFill patternType="solid">
        <fgColor rgb="FF196B24"/>
        <bgColor theme="6"/>
      </patternFill>
    </fill>
    <fill>
      <patternFill patternType="solid">
        <fgColor theme="0"/>
        <bgColor rgb="FFC1F0C8"/>
      </patternFill>
    </fill>
  </fills>
  <borders count="23">
    <border>
      <left/>
      <right/>
      <top/>
      <bottom/>
      <diagonal/>
    </border>
    <border>
      <left/>
      <right/>
      <top style="thin">
        <color theme="6" tint="0.39997558519241921"/>
      </top>
      <bottom style="thin">
        <color theme="6" tint="0.39997558519241921"/>
      </bottom>
      <diagonal/>
    </border>
    <border>
      <left/>
      <right/>
      <top/>
      <bottom style="medium">
        <color indexed="64"/>
      </bottom>
      <diagonal/>
    </border>
    <border>
      <left style="thin">
        <color theme="6"/>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style="thin">
        <color theme="6"/>
      </right>
      <top style="thin">
        <color theme="6"/>
      </top>
      <bottom style="thin">
        <color theme="6"/>
      </bottom>
      <diagonal/>
    </border>
    <border>
      <left/>
      <right/>
      <top style="thin">
        <color theme="6"/>
      </top>
      <bottom/>
      <diagonal/>
    </border>
    <border>
      <left/>
      <right/>
      <top style="thin">
        <color theme="6"/>
      </top>
      <bottom style="thin">
        <color theme="6"/>
      </bottom>
      <diagonal/>
    </border>
    <border>
      <left/>
      <right/>
      <top style="medium">
        <color indexed="64"/>
      </top>
      <bottom style="thin">
        <color indexed="64"/>
      </bottom>
      <diagonal/>
    </border>
    <border>
      <left style="thin">
        <color rgb="FF47D359"/>
      </left>
      <right/>
      <top/>
      <bottom/>
      <diagonal/>
    </border>
    <border>
      <left style="thin">
        <color rgb="FF47D359"/>
      </left>
      <right/>
      <top style="thin">
        <color rgb="FF47D359"/>
      </top>
      <bottom/>
      <diagonal/>
    </border>
    <border>
      <left/>
      <right style="thin">
        <color rgb="FF47D359"/>
      </right>
      <top style="thin">
        <color rgb="FF47D359"/>
      </top>
      <bottom/>
      <diagonal/>
    </border>
    <border>
      <left/>
      <right style="thin">
        <color rgb="FF47D359"/>
      </right>
      <top/>
      <bottom/>
      <diagonal/>
    </border>
    <border>
      <left style="thin">
        <color rgb="FF47D359"/>
      </left>
      <right/>
      <top/>
      <bottom style="thin">
        <color rgb="FF47D359"/>
      </bottom>
      <diagonal/>
    </border>
    <border>
      <left/>
      <right style="thin">
        <color rgb="FF47D359"/>
      </right>
      <top/>
      <bottom style="thin">
        <color rgb="FF47D359"/>
      </bottom>
      <diagonal/>
    </border>
    <border>
      <left style="thin">
        <color rgb="FF47D359"/>
      </left>
      <right/>
      <top style="thin">
        <color rgb="FF47D359"/>
      </top>
      <bottom style="thin">
        <color rgb="FF47D359"/>
      </bottom>
      <diagonal/>
    </border>
    <border>
      <left/>
      <right style="thin">
        <color rgb="FF47D359"/>
      </right>
      <top style="thin">
        <color rgb="FF47D359"/>
      </top>
      <bottom style="thin">
        <color rgb="FF47D359"/>
      </bottom>
      <diagonal/>
    </border>
    <border>
      <left/>
      <right/>
      <top style="thin">
        <color rgb="FF47D359"/>
      </top>
      <bottom style="thin">
        <color rgb="FF47D359"/>
      </bottom>
      <diagonal/>
    </border>
    <border>
      <left style="medium">
        <color rgb="FF196B24"/>
      </left>
      <right/>
      <top style="medium">
        <color rgb="FF196B24"/>
      </top>
      <bottom style="medium">
        <color rgb="FF196B24"/>
      </bottom>
      <diagonal/>
    </border>
    <border>
      <left/>
      <right/>
      <top style="medium">
        <color rgb="FF196B24"/>
      </top>
      <bottom style="medium">
        <color rgb="FF196B24"/>
      </bottom>
      <diagonal/>
    </border>
    <border>
      <left style="medium">
        <color rgb="FF196B24"/>
      </left>
      <right/>
      <top style="thin">
        <color theme="6"/>
      </top>
      <bottom/>
      <diagonal/>
    </border>
    <border>
      <left/>
      <right style="thin">
        <color theme="6"/>
      </right>
      <top/>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cellStyleXfs>
  <cellXfs count="166">
    <xf numFmtId="0" fontId="0" fillId="0" borderId="0" xfId="0"/>
    <xf numFmtId="0" fontId="2" fillId="0" borderId="0" xfId="0" applyFont="1"/>
    <xf numFmtId="9" fontId="2" fillId="0" borderId="0" xfId="0" applyNumberFormat="1" applyFont="1"/>
    <xf numFmtId="0" fontId="2" fillId="2" borderId="0" xfId="0" applyFont="1" applyFill="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4" fontId="2" fillId="0" borderId="0" xfId="0" applyNumberFormat="1" applyFont="1"/>
    <xf numFmtId="10" fontId="2" fillId="0" borderId="0" xfId="0" applyNumberFormat="1" applyFont="1" applyAlignment="1">
      <alignment horizontal="center" vertical="center"/>
    </xf>
    <xf numFmtId="0" fontId="2" fillId="0" borderId="0" xfId="0" applyFont="1" applyAlignment="1">
      <alignment horizontal="center" vertical="center"/>
    </xf>
    <xf numFmtId="164" fontId="2" fillId="2" borderId="0" xfId="2" applyNumberFormat="1" applyFont="1" applyFill="1" applyAlignment="1">
      <alignment horizontal="center" vertical="center"/>
    </xf>
    <xf numFmtId="0" fontId="5" fillId="0" borderId="0" xfId="0" applyFont="1" applyAlignment="1">
      <alignment horizontal="left" vertical="center" readingOrder="1"/>
    </xf>
    <xf numFmtId="165" fontId="2" fillId="0" borderId="0" xfId="0" applyNumberFormat="1" applyFont="1"/>
    <xf numFmtId="9" fontId="2" fillId="0" borderId="0" xfId="0" applyNumberFormat="1" applyFont="1" applyAlignment="1">
      <alignment vertical="center"/>
    </xf>
    <xf numFmtId="9" fontId="2" fillId="2" borderId="0" xfId="0" applyNumberFormat="1" applyFont="1" applyFill="1" applyAlignment="1">
      <alignment vertical="center"/>
    </xf>
    <xf numFmtId="0" fontId="2" fillId="2" borderId="0" xfId="0" applyFont="1" applyFill="1" applyAlignment="1">
      <alignment vertical="center" wrapText="1"/>
    </xf>
    <xf numFmtId="3" fontId="2" fillId="0" borderId="0" xfId="0" applyNumberFormat="1" applyFont="1"/>
    <xf numFmtId="0" fontId="9" fillId="0" borderId="0" xfId="0" applyFont="1"/>
    <xf numFmtId="165" fontId="2" fillId="2" borderId="0" xfId="3" applyNumberFormat="1" applyFont="1" applyFill="1" applyAlignment="1">
      <alignment vertical="center"/>
    </xf>
    <xf numFmtId="0" fontId="2" fillId="2" borderId="0" xfId="0" applyFont="1" applyFill="1" applyAlignment="1">
      <alignment horizontal="right"/>
    </xf>
    <xf numFmtId="165" fontId="2" fillId="0" borderId="0" xfId="3" applyNumberFormat="1" applyFont="1" applyAlignment="1">
      <alignment horizontal="right"/>
    </xf>
    <xf numFmtId="165" fontId="2" fillId="2" borderId="0" xfId="3" applyNumberFormat="1" applyFont="1" applyFill="1" applyAlignment="1">
      <alignment horizontal="right"/>
    </xf>
    <xf numFmtId="0" fontId="0" fillId="0" borderId="0" xfId="0" applyAlignment="1">
      <alignment vertical="center"/>
    </xf>
    <xf numFmtId="0" fontId="2"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0" fillId="0" borderId="0" xfId="0" applyAlignment="1">
      <alignment horizontal="left" vertical="center"/>
    </xf>
    <xf numFmtId="0" fontId="2" fillId="0" borderId="0" xfId="0" applyFont="1" applyAlignment="1">
      <alignment horizontal="left"/>
    </xf>
    <xf numFmtId="166" fontId="2" fillId="0" borderId="0" xfId="0" applyNumberFormat="1" applyFont="1"/>
    <xf numFmtId="167" fontId="2" fillId="0" borderId="0" xfId="0" applyNumberFormat="1" applyFont="1"/>
    <xf numFmtId="4" fontId="10" fillId="0" borderId="0" xfId="0" applyNumberFormat="1" applyFont="1" applyAlignment="1" applyProtection="1">
      <alignment horizontal="right" vertical="top" wrapText="1"/>
      <protection locked="0"/>
    </xf>
    <xf numFmtId="168" fontId="2" fillId="0" borderId="0" xfId="0" applyNumberFormat="1" applyFont="1"/>
    <xf numFmtId="169" fontId="2" fillId="0" borderId="0" xfId="0" applyNumberFormat="1" applyFont="1"/>
    <xf numFmtId="0" fontId="11" fillId="0" borderId="0" xfId="0" applyFont="1" applyAlignment="1">
      <alignment vertical="center"/>
    </xf>
    <xf numFmtId="0" fontId="0" fillId="0" borderId="2" xfId="0" applyBorder="1"/>
    <xf numFmtId="0" fontId="13" fillId="0" borderId="9" xfId="0" applyFont="1" applyBorder="1" applyAlignment="1">
      <alignment horizontal="center"/>
    </xf>
    <xf numFmtId="0" fontId="13" fillId="0" borderId="9" xfId="0" applyFont="1" applyBorder="1" applyAlignment="1">
      <alignment horizontal="centerContinuous"/>
    </xf>
    <xf numFmtId="0" fontId="2" fillId="0" borderId="7" xfId="0" applyFont="1" applyBorder="1"/>
    <xf numFmtId="168" fontId="2" fillId="0" borderId="7" xfId="0" applyNumberFormat="1" applyFont="1" applyBorder="1"/>
    <xf numFmtId="166" fontId="2" fillId="0" borderId="7" xfId="0" applyNumberFormat="1" applyFont="1" applyBorder="1"/>
    <xf numFmtId="166" fontId="0" fillId="0" borderId="0" xfId="0" applyNumberFormat="1"/>
    <xf numFmtId="0" fontId="2" fillId="0" borderId="2" xfId="0" applyFont="1" applyBorder="1"/>
    <xf numFmtId="0" fontId="2" fillId="0" borderId="10" xfId="0" applyFont="1" applyBorder="1"/>
    <xf numFmtId="0" fontId="2" fillId="0" borderId="13" xfId="0" applyFont="1" applyBorder="1"/>
    <xf numFmtId="0" fontId="2" fillId="0" borderId="10"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14" fontId="0" fillId="0" borderId="0" xfId="0" applyNumberFormat="1" applyAlignment="1">
      <alignment vertical="center"/>
    </xf>
    <xf numFmtId="14" fontId="0" fillId="5" borderId="0" xfId="0" applyNumberFormat="1" applyFill="1" applyAlignment="1">
      <alignment vertical="center"/>
    </xf>
    <xf numFmtId="0" fontId="2" fillId="5" borderId="0" xfId="0" applyFont="1" applyFill="1"/>
    <xf numFmtId="167" fontId="2" fillId="5" borderId="0" xfId="0" applyNumberFormat="1" applyFont="1" applyFill="1"/>
    <xf numFmtId="0" fontId="0" fillId="5" borderId="0" xfId="0" applyFill="1"/>
    <xf numFmtId="166" fontId="2" fillId="5" borderId="0" xfId="0" applyNumberFormat="1" applyFont="1" applyFill="1"/>
    <xf numFmtId="170" fontId="2" fillId="5" borderId="0" xfId="0" applyNumberFormat="1" applyFont="1" applyFill="1"/>
    <xf numFmtId="170" fontId="2" fillId="0" borderId="0" xfId="0" applyNumberFormat="1" applyFont="1"/>
    <xf numFmtId="168" fontId="2" fillId="5" borderId="0" xfId="0" applyNumberFormat="1" applyFont="1" applyFill="1"/>
    <xf numFmtId="166" fontId="2" fillId="5" borderId="7" xfId="0" applyNumberFormat="1" applyFont="1" applyFill="1" applyBorder="1"/>
    <xf numFmtId="0" fontId="2" fillId="5" borderId="7" xfId="0" applyFont="1" applyFill="1" applyBorder="1"/>
    <xf numFmtId="0" fontId="4" fillId="3" borderId="7" xfId="0" applyFont="1" applyFill="1" applyBorder="1"/>
    <xf numFmtId="168" fontId="2" fillId="5" borderId="7" xfId="0" applyNumberFormat="1" applyFont="1" applyFill="1" applyBorder="1"/>
    <xf numFmtId="166" fontId="2" fillId="0" borderId="8" xfId="0" applyNumberFormat="1" applyFont="1" applyBorder="1"/>
    <xf numFmtId="0" fontId="4" fillId="3" borderId="0" xfId="0" applyFont="1" applyFill="1"/>
    <xf numFmtId="14" fontId="2" fillId="0" borderId="7" xfId="0" applyNumberFormat="1" applyFont="1" applyBorder="1" applyAlignment="1">
      <alignment vertical="center"/>
    </xf>
    <xf numFmtId="14" fontId="2" fillId="5" borderId="7" xfId="0" applyNumberFormat="1" applyFont="1" applyFill="1" applyBorder="1" applyAlignment="1">
      <alignment vertical="center"/>
    </xf>
    <xf numFmtId="9" fontId="2" fillId="2" borderId="0" xfId="0" applyNumberFormat="1" applyFont="1" applyFill="1"/>
    <xf numFmtId="3" fontId="2" fillId="0" borderId="0" xfId="0" applyNumberFormat="1" applyFont="1" applyAlignment="1">
      <alignment vertical="center"/>
    </xf>
    <xf numFmtId="41" fontId="2" fillId="0" borderId="0" xfId="2" applyFont="1"/>
    <xf numFmtId="10" fontId="2" fillId="0" borderId="0" xfId="0" applyNumberFormat="1" applyFont="1" applyAlignment="1">
      <alignment vertical="center" wrapText="1"/>
    </xf>
    <xf numFmtId="43" fontId="2" fillId="0" borderId="0" xfId="0" applyNumberFormat="1" applyFont="1"/>
    <xf numFmtId="0" fontId="3" fillId="0" borderId="0" xfId="0" applyFont="1" applyAlignment="1">
      <alignment vertical="center"/>
    </xf>
    <xf numFmtId="0" fontId="8" fillId="0" borderId="0" xfId="0" applyFont="1" applyAlignment="1">
      <alignment wrapText="1"/>
    </xf>
    <xf numFmtId="0" fontId="2" fillId="7" borderId="16" xfId="0" applyFont="1" applyFill="1" applyBorder="1"/>
    <xf numFmtId="10" fontId="2" fillId="7" borderId="17" xfId="0" applyNumberFormat="1" applyFont="1" applyFill="1" applyBorder="1"/>
    <xf numFmtId="0" fontId="2" fillId="2" borderId="11" xfId="0" applyFont="1" applyFill="1" applyBorder="1" applyAlignment="1">
      <alignment vertical="center"/>
    </xf>
    <xf numFmtId="0" fontId="2" fillId="2" borderId="14" xfId="0" applyFont="1" applyFill="1" applyBorder="1" applyAlignment="1">
      <alignment vertical="center"/>
    </xf>
    <xf numFmtId="0" fontId="2" fillId="7" borderId="10" xfId="0" applyFont="1" applyFill="1" applyBorder="1" applyAlignment="1">
      <alignment vertical="center"/>
    </xf>
    <xf numFmtId="0" fontId="2" fillId="7" borderId="17" xfId="0" applyFont="1" applyFill="1" applyBorder="1" applyAlignment="1">
      <alignment wrapText="1"/>
    </xf>
    <xf numFmtId="0" fontId="2" fillId="2" borderId="12" xfId="0" applyFont="1" applyFill="1" applyBorder="1" applyAlignment="1">
      <alignment vertical="center" wrapText="1"/>
    </xf>
    <xf numFmtId="0" fontId="2" fillId="7" borderId="13" xfId="0" applyFont="1" applyFill="1" applyBorder="1" applyAlignment="1">
      <alignment vertical="center" wrapText="1"/>
    </xf>
    <xf numFmtId="0" fontId="2" fillId="2" borderId="15" xfId="0" applyFont="1" applyFill="1" applyBorder="1" applyAlignment="1">
      <alignment vertical="center" wrapText="1"/>
    </xf>
    <xf numFmtId="165" fontId="2" fillId="0" borderId="0" xfId="3" applyNumberFormat="1" applyFont="1" applyAlignment="1">
      <alignment vertical="center"/>
    </xf>
    <xf numFmtId="0" fontId="2" fillId="6" borderId="0" xfId="0" applyFont="1" applyFill="1"/>
    <xf numFmtId="3" fontId="14" fillId="6" borderId="0" xfId="0" applyNumberFormat="1" applyFont="1" applyFill="1"/>
    <xf numFmtId="0" fontId="4" fillId="6" borderId="11" xfId="0" applyFont="1" applyFill="1" applyBorder="1"/>
    <xf numFmtId="0" fontId="4" fillId="6" borderId="12" xfId="0" applyFont="1" applyFill="1" applyBorder="1"/>
    <xf numFmtId="0" fontId="4" fillId="6" borderId="3"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7" xfId="0" applyFont="1" applyFill="1" applyBorder="1" applyAlignment="1">
      <alignment horizontal="center" vertical="center"/>
    </xf>
    <xf numFmtId="0" fontId="4" fillId="6" borderId="4" xfId="0" applyFont="1" applyFill="1" applyBorder="1" applyAlignment="1">
      <alignment horizontal="center" vertical="center"/>
    </xf>
    <xf numFmtId="0" fontId="14" fillId="6" borderId="5" xfId="0" applyFont="1" applyFill="1" applyBorder="1"/>
    <xf numFmtId="3" fontId="14" fillId="6" borderId="8" xfId="0" applyNumberFormat="1" applyFont="1" applyFill="1" applyBorder="1"/>
    <xf numFmtId="3" fontId="14" fillId="6" borderId="6" xfId="0" applyNumberFormat="1" applyFont="1" applyFill="1" applyBorder="1"/>
    <xf numFmtId="43" fontId="2" fillId="2" borderId="0" xfId="0" applyNumberFormat="1" applyFont="1" applyFill="1"/>
    <xf numFmtId="41" fontId="2" fillId="2" borderId="0" xfId="2" applyFont="1" applyFill="1" applyAlignment="1">
      <alignment vertical="center"/>
    </xf>
    <xf numFmtId="3" fontId="2" fillId="7" borderId="20" xfId="0" applyNumberFormat="1" applyFont="1" applyFill="1" applyBorder="1" applyAlignment="1">
      <alignment vertical="center"/>
    </xf>
    <xf numFmtId="0" fontId="14" fillId="6" borderId="0" xfId="0" applyFont="1" applyFill="1" applyAlignment="1">
      <alignment horizontal="center" vertical="center" wrapText="1"/>
    </xf>
    <xf numFmtId="0" fontId="14" fillId="6" borderId="0" xfId="0" applyFont="1" applyFill="1" applyAlignment="1">
      <alignment horizontal="center" vertical="center"/>
    </xf>
    <xf numFmtId="3" fontId="2" fillId="2" borderId="0" xfId="0" applyNumberFormat="1" applyFont="1" applyFill="1" applyAlignment="1">
      <alignment vertical="center"/>
    </xf>
    <xf numFmtId="41" fontId="2" fillId="2" borderId="0" xfId="2" applyFont="1" applyFill="1" applyBorder="1" applyAlignment="1">
      <alignment vertical="center"/>
    </xf>
    <xf numFmtId="43" fontId="2" fillId="2" borderId="0" xfId="0" applyNumberFormat="1" applyFont="1" applyFill="1" applyAlignment="1">
      <alignment vertical="center"/>
    </xf>
    <xf numFmtId="0" fontId="2" fillId="7" borderId="20" xfId="0" applyFont="1" applyFill="1" applyBorder="1" applyAlignment="1">
      <alignment vertical="center" wrapText="1"/>
    </xf>
    <xf numFmtId="166" fontId="2" fillId="0" borderId="0" xfId="0" applyNumberFormat="1" applyFont="1" applyAlignment="1">
      <alignment vertical="center"/>
    </xf>
    <xf numFmtId="9" fontId="2" fillId="7" borderId="13" xfId="0" applyNumberFormat="1" applyFont="1" applyFill="1" applyBorder="1"/>
    <xf numFmtId="9" fontId="2" fillId="2" borderId="15" xfId="0" applyNumberFormat="1" applyFont="1" applyFill="1" applyBorder="1"/>
    <xf numFmtId="9" fontId="2" fillId="2" borderId="12" xfId="0" applyNumberFormat="1" applyFont="1" applyFill="1" applyBorder="1"/>
    <xf numFmtId="0" fontId="14" fillId="6" borderId="19" xfId="0" applyFont="1" applyFill="1" applyBorder="1" applyAlignment="1">
      <alignment vertical="center" wrapText="1"/>
    </xf>
    <xf numFmtId="3" fontId="14" fillId="6" borderId="20" xfId="0" applyNumberFormat="1" applyFont="1" applyFill="1" applyBorder="1" applyAlignment="1">
      <alignment vertical="center"/>
    </xf>
    <xf numFmtId="0" fontId="14" fillId="6" borderId="21" xfId="0" applyFont="1" applyFill="1" applyBorder="1" applyAlignment="1">
      <alignment vertical="center"/>
    </xf>
    <xf numFmtId="3" fontId="14" fillId="6" borderId="7" xfId="0" applyNumberFormat="1" applyFont="1" applyFill="1" applyBorder="1" applyAlignment="1">
      <alignment wrapText="1"/>
    </xf>
    <xf numFmtId="0" fontId="14" fillId="6" borderId="0" xfId="0" applyFont="1" applyFill="1" applyAlignment="1">
      <alignment vertical="center"/>
    </xf>
    <xf numFmtId="167" fontId="2" fillId="0" borderId="0" xfId="0" applyNumberFormat="1" applyFont="1" applyAlignment="1">
      <alignment vertical="center"/>
    </xf>
    <xf numFmtId="0" fontId="14" fillId="6" borderId="20" xfId="0" applyFont="1" applyFill="1" applyBorder="1" applyAlignment="1">
      <alignment vertical="center" wrapText="1"/>
    </xf>
    <xf numFmtId="0" fontId="14" fillId="6" borderId="7" xfId="0" applyFont="1" applyFill="1" applyBorder="1" applyAlignment="1">
      <alignment vertical="center"/>
    </xf>
    <xf numFmtId="41" fontId="2" fillId="0" borderId="0" xfId="2" applyFont="1" applyBorder="1"/>
    <xf numFmtId="164" fontId="2" fillId="0" borderId="0" xfId="2" applyNumberFormat="1" applyFont="1"/>
    <xf numFmtId="0" fontId="2" fillId="0" borderId="0" xfId="0" quotePrefix="1" applyFont="1" applyAlignment="1">
      <alignment horizontal="left" vertical="center"/>
    </xf>
    <xf numFmtId="0" fontId="2" fillId="0" borderId="0" xfId="0" quotePrefix="1" applyFont="1" applyAlignment="1">
      <alignment horizontal="left" vertical="center" wrapText="1"/>
    </xf>
    <xf numFmtId="0" fontId="2" fillId="2" borderId="0" xfId="0" quotePrefix="1" applyFont="1" applyFill="1" applyAlignment="1">
      <alignment horizontal="left" vertical="center" wrapText="1"/>
    </xf>
    <xf numFmtId="0" fontId="4" fillId="8" borderId="7" xfId="0" applyFont="1" applyFill="1" applyBorder="1"/>
    <xf numFmtId="170" fontId="8" fillId="0" borderId="18" xfId="0" applyNumberFormat="1" applyFont="1" applyBorder="1"/>
    <xf numFmtId="0" fontId="2" fillId="0" borderId="13"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xf>
    <xf numFmtId="167" fontId="2" fillId="0" borderId="15" xfId="0" applyNumberFormat="1" applyFont="1" applyBorder="1" applyAlignment="1">
      <alignment horizontal="center" vertical="center"/>
    </xf>
    <xf numFmtId="170" fontId="2" fillId="2" borderId="0" xfId="0" applyNumberFormat="1" applyFont="1" applyFill="1"/>
    <xf numFmtId="170" fontId="8" fillId="2" borderId="18" xfId="0" applyNumberFormat="1" applyFont="1" applyFill="1" applyBorder="1"/>
    <xf numFmtId="170" fontId="8" fillId="9" borderId="18" xfId="0" applyNumberFormat="1" applyFont="1" applyFill="1" applyBorder="1"/>
    <xf numFmtId="0" fontId="4" fillId="6" borderId="0" xfId="0" applyFont="1" applyFill="1" applyAlignment="1">
      <alignment horizontal="center" vertical="center" wrapText="1"/>
    </xf>
    <xf numFmtId="0" fontId="4" fillId="6" borderId="0" xfId="0" applyFont="1" applyFill="1" applyAlignment="1">
      <alignment horizontal="center" vertical="center"/>
    </xf>
    <xf numFmtId="0" fontId="4" fillId="6" borderId="22" xfId="0" applyFont="1" applyFill="1" applyBorder="1" applyAlignment="1">
      <alignment horizontal="center" vertical="center"/>
    </xf>
    <xf numFmtId="0" fontId="0" fillId="0" borderId="0" xfId="0" applyAlignment="1">
      <alignment horizontal="left" wrapText="1"/>
    </xf>
    <xf numFmtId="171" fontId="0" fillId="0" borderId="0" xfId="1" applyNumberFormat="1" applyFont="1"/>
    <xf numFmtId="171" fontId="2" fillId="0" borderId="0" xfId="1" applyNumberFormat="1" applyFont="1"/>
    <xf numFmtId="3" fontId="8" fillId="0" borderId="0" xfId="0" applyNumberFormat="1" applyFont="1" applyAlignment="1">
      <alignment horizontal="center" vertical="center" wrapText="1"/>
    </xf>
    <xf numFmtId="4" fontId="2" fillId="2" borderId="0" xfId="0" applyNumberFormat="1" applyFont="1" applyFill="1" applyAlignment="1">
      <alignment horizontal="center" vertical="center"/>
    </xf>
    <xf numFmtId="171" fontId="2" fillId="4" borderId="1" xfId="1" applyNumberFormat="1" applyFont="1" applyFill="1" applyBorder="1" applyAlignment="1">
      <alignment horizontal="center" vertical="center"/>
    </xf>
    <xf numFmtId="169" fontId="2" fillId="0" borderId="0" xfId="0" applyNumberFormat="1" applyFont="1" applyAlignment="1">
      <alignment horizontal="center"/>
    </xf>
    <xf numFmtId="0" fontId="2" fillId="2" borderId="0" xfId="0" applyFont="1" applyFill="1" applyAlignment="1">
      <alignment horizontal="center"/>
    </xf>
    <xf numFmtId="4" fontId="2" fillId="0" borderId="0" xfId="0" applyNumberFormat="1" applyFont="1" applyAlignment="1">
      <alignment horizontal="center"/>
    </xf>
    <xf numFmtId="0" fontId="16" fillId="0" borderId="0" xfId="0" applyFont="1"/>
    <xf numFmtId="171" fontId="18" fillId="0" borderId="0" xfId="0" applyNumberFormat="1" applyFont="1"/>
    <xf numFmtId="171" fontId="2" fillId="2" borderId="0" xfId="1" applyNumberFormat="1" applyFont="1" applyFill="1"/>
    <xf numFmtId="0" fontId="17" fillId="0" borderId="0" xfId="0" applyFont="1" applyAlignment="1">
      <alignment horizontal="left" vertical="center" wrapText="1"/>
    </xf>
    <xf numFmtId="0" fontId="15" fillId="2" borderId="11" xfId="0" applyFont="1" applyFill="1" applyBorder="1" applyAlignment="1">
      <alignment horizontal="center" vertical="center"/>
    </xf>
    <xf numFmtId="0" fontId="15" fillId="2" borderId="12" xfId="0" applyFont="1" applyFill="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6" fillId="0" borderId="0" xfId="0" applyFont="1" applyFill="1" applyAlignment="1">
      <alignment horizontal="left" wrapText="1"/>
    </xf>
    <xf numFmtId="171" fontId="16" fillId="0" borderId="0" xfId="0" applyNumberFormat="1" applyFont="1" applyFill="1"/>
    <xf numFmtId="0" fontId="19" fillId="0" borderId="9" xfId="0" applyFont="1" applyBorder="1" applyAlignment="1">
      <alignment horizontal="centerContinuous"/>
    </xf>
    <xf numFmtId="0" fontId="19" fillId="0" borderId="9" xfId="0" applyFont="1" applyBorder="1" applyAlignment="1">
      <alignment horizontal="center"/>
    </xf>
    <xf numFmtId="0" fontId="2" fillId="7" borderId="0" xfId="0" applyFont="1" applyFill="1"/>
    <xf numFmtId="3" fontId="2" fillId="2" borderId="0" xfId="0" applyNumberFormat="1" applyFont="1" applyFill="1"/>
    <xf numFmtId="10" fontId="2" fillId="2" borderId="0" xfId="0" applyNumberFormat="1" applyFont="1" applyFill="1"/>
    <xf numFmtId="3" fontId="2" fillId="2" borderId="0" xfId="0" applyNumberFormat="1" applyFont="1" applyFill="1" applyAlignment="1">
      <alignment vertical="center" wrapText="1"/>
    </xf>
    <xf numFmtId="41" fontId="2" fillId="2" borderId="0" xfId="2" applyFont="1" applyFill="1"/>
    <xf numFmtId="9" fontId="2" fillId="2" borderId="0" xfId="0" applyNumberFormat="1" applyFont="1" applyFill="1" applyAlignment="1">
      <alignment horizontal="center" vertical="center"/>
    </xf>
    <xf numFmtId="165" fontId="2" fillId="2" borderId="0" xfId="0" applyNumberFormat="1" applyFont="1" applyFill="1" applyAlignment="1">
      <alignment horizontal="center" vertical="center"/>
    </xf>
  </cellXfs>
  <cellStyles count="4">
    <cellStyle name="Comma" xfId="1" builtinId="3"/>
    <cellStyle name="Comma [0]" xfId="2" builtinId="6"/>
    <cellStyle name="Normal" xfId="0" builtinId="0"/>
    <cellStyle name="Percent" xfId="3" builtinId="5"/>
  </cellStyles>
  <dxfs count="214">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indent="0" justifyLastLine="0" shrinkToFit="0" readingOrder="0"/>
    </dxf>
    <dxf>
      <font>
        <strike val="0"/>
        <outline val="0"/>
        <shadow val="0"/>
        <u val="none"/>
        <vertAlign val="baseline"/>
        <sz val="12"/>
        <color theme="1"/>
        <name val="Times New Roman"/>
        <family val="1"/>
        <scheme val="none"/>
      </font>
      <alignment horizontal="right" vertical="bottom" textRotation="0" wrapText="0" indent="0" justifyLastLine="0" shrinkToFit="0" readingOrder="0"/>
    </dxf>
    <dxf>
      <font>
        <strike val="0"/>
        <outline val="0"/>
        <shadow val="0"/>
        <u val="none"/>
        <vertAlign val="baseline"/>
        <sz val="12"/>
        <color theme="1"/>
        <name val="Times New Roman"/>
        <family val="1"/>
        <scheme val="none"/>
      </font>
      <numFmt numFmtId="165" formatCode="0.000%"/>
      <alignment horizontal="right" vertical="bottom" textRotation="0" wrapText="0" indent="0" justifyLastLine="0" shrinkToFit="0" readingOrder="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vertical="center" textRotation="0" indent="0" justifyLastLine="0" shrinkToFit="0" readingOrder="0"/>
    </dxf>
    <dxf>
      <font>
        <strike val="0"/>
        <outline val="0"/>
        <shadow val="0"/>
        <u val="none"/>
        <vertAlign val="baseline"/>
        <sz val="12"/>
        <color theme="1"/>
        <name val="Times New Roman"/>
        <family val="1"/>
        <scheme val="none"/>
      </font>
      <alignment vertical="center" textRotation="0" indent="0" justifyLastLine="0" shrinkToFit="0" readingOrder="0"/>
    </dxf>
    <dxf>
      <font>
        <strike val="0"/>
        <outline val="0"/>
        <shadow val="0"/>
        <u val="none"/>
        <vertAlign val="baseline"/>
        <sz val="12"/>
        <color theme="1"/>
        <name val="Times New Roman"/>
        <family val="1"/>
        <scheme val="none"/>
      </font>
      <alignment vertical="center" textRotation="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numFmt numFmtId="166" formatCode="0.000000000"/>
    </dxf>
    <dxf>
      <font>
        <strike val="0"/>
        <outline val="0"/>
        <shadow val="0"/>
        <u val="none"/>
        <vertAlign val="baseline"/>
        <sz val="12"/>
        <color theme="1"/>
        <name val="Times New Roman"/>
        <family val="1"/>
        <scheme val="none"/>
      </font>
      <numFmt numFmtId="166" formatCode="0.000000000"/>
    </dxf>
    <dxf>
      <font>
        <strike val="0"/>
        <outline val="0"/>
        <shadow val="0"/>
        <u val="none"/>
        <vertAlign val="baseline"/>
        <sz val="12"/>
        <color theme="1"/>
        <name val="Times New Roman"/>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border diagonalUp="0" diagonalDown="0" outline="0">
        <left/>
        <right/>
        <top style="thin">
          <color theme="6"/>
        </top>
        <bottom/>
      </border>
    </dxf>
    <dxf>
      <font>
        <b val="0"/>
        <i val="0"/>
        <strike val="0"/>
        <condense val="0"/>
        <extend val="0"/>
        <outline val="0"/>
        <shadow val="0"/>
        <u val="none"/>
        <vertAlign val="baseline"/>
        <sz val="12"/>
        <color theme="1"/>
        <name val="Times New Roman"/>
        <family val="1"/>
        <scheme val="none"/>
      </font>
      <numFmt numFmtId="166" formatCode="0.000000000"/>
      <border diagonalUp="0" diagonalDown="0" outline="0">
        <left/>
        <right/>
        <top style="thin">
          <color theme="6"/>
        </top>
        <bottom/>
      </border>
    </dxf>
    <dxf>
      <font>
        <strike val="0"/>
        <outline val="0"/>
        <shadow val="0"/>
        <u val="none"/>
        <vertAlign val="baseline"/>
        <sz val="12"/>
        <color theme="1"/>
        <name val="Times New Roman"/>
        <family val="1"/>
        <scheme val="none"/>
      </font>
      <numFmt numFmtId="19" formatCode="dd/mm/yyyy"/>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68" formatCode="0.0000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67" formatCode="0.000000000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b val="0"/>
        <i val="0"/>
        <strike val="0"/>
        <condense val="0"/>
        <extend val="0"/>
        <outline val="0"/>
        <shadow val="0"/>
        <u val="none"/>
        <vertAlign val="baseline"/>
        <sz val="12"/>
        <color theme="1"/>
        <name val="Times New Roman"/>
        <family val="1"/>
        <scheme val="none"/>
      </font>
      <numFmt numFmtId="167" formatCode="0.0000000000"/>
    </dxf>
    <dxf>
      <font>
        <strike val="0"/>
        <outline val="0"/>
        <shadow val="0"/>
        <u val="none"/>
        <vertAlign val="baseline"/>
        <sz val="12"/>
        <color theme="1"/>
        <name val="Times New Roman"/>
        <family val="1"/>
        <scheme val="none"/>
      </font>
      <numFmt numFmtId="167" formatCode="0.0000000000"/>
    </dxf>
    <dxf>
      <font>
        <b val="0"/>
        <i val="0"/>
        <strike val="0"/>
        <condense val="0"/>
        <extend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b val="0"/>
        <i val="0"/>
        <strike val="0"/>
        <condense val="0"/>
        <extend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b val="0"/>
        <i val="0"/>
        <strike val="0"/>
        <condense val="0"/>
        <extend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numFmt numFmtId="19" formatCode="dd/mm/yyyy"/>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numFmt numFmtId="170" formatCode="0.0000000"/>
    </dxf>
    <dxf>
      <font>
        <strike val="0"/>
        <outline val="0"/>
        <shadow val="0"/>
        <u val="none"/>
        <vertAlign val="baseline"/>
        <sz val="12"/>
        <color theme="1"/>
        <name val="Times New Roman"/>
        <family val="1"/>
        <scheme val="none"/>
      </font>
      <numFmt numFmtId="170" formatCode="0.0000000"/>
    </dxf>
    <dxf>
      <font>
        <strike val="0"/>
        <outline val="0"/>
        <shadow val="0"/>
        <u val="none"/>
        <vertAlign val="baseline"/>
        <sz val="12"/>
        <color theme="1"/>
        <name val="Times New Roman"/>
        <family val="1"/>
        <scheme val="none"/>
      </font>
      <numFmt numFmtId="170" formatCode="0.000000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numFmt numFmtId="170" formatCode="0.0000000"/>
    </dxf>
    <dxf>
      <font>
        <strike val="0"/>
        <outline val="0"/>
        <shadow val="0"/>
        <u val="none"/>
        <vertAlign val="baseline"/>
        <sz val="12"/>
        <color theme="1"/>
        <name val="Times New Roman"/>
        <family val="1"/>
        <scheme val="none"/>
      </font>
      <numFmt numFmtId="170" formatCode="0.0000000"/>
    </dxf>
    <dxf>
      <font>
        <strike val="0"/>
        <outline val="0"/>
        <shadow val="0"/>
        <u val="none"/>
        <vertAlign val="baseline"/>
        <sz val="12"/>
        <color theme="1"/>
        <name val="Times New Roman"/>
        <family val="1"/>
        <scheme val="none"/>
      </font>
      <numFmt numFmtId="170" formatCode="0.000000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numFmt numFmtId="170" formatCode="0.0000000"/>
    </dxf>
    <dxf>
      <font>
        <b val="0"/>
        <i val="0"/>
        <strike val="0"/>
        <condense val="0"/>
        <extend val="0"/>
        <outline val="0"/>
        <shadow val="0"/>
        <u val="none"/>
        <vertAlign val="baseline"/>
        <sz val="12"/>
        <color theme="1"/>
        <name val="Times New Roman"/>
        <family val="1"/>
        <scheme val="none"/>
      </font>
      <numFmt numFmtId="166" formatCode="0.000000000"/>
      <border diagonalUp="0" diagonalDown="0" outline="0">
        <left/>
        <right/>
        <top style="thin">
          <color theme="6"/>
        </top>
        <bottom/>
      </border>
    </dxf>
    <dxf>
      <font>
        <b val="0"/>
        <i val="0"/>
        <strike val="0"/>
        <condense val="0"/>
        <extend val="0"/>
        <outline val="0"/>
        <shadow val="0"/>
        <u val="none"/>
        <vertAlign val="baseline"/>
        <sz val="12"/>
        <color theme="1"/>
        <name val="Times New Roman"/>
        <family val="1"/>
        <scheme val="none"/>
      </font>
      <numFmt numFmtId="168" formatCode="0.00000"/>
      <border diagonalUp="0" diagonalDown="0" outline="0">
        <left/>
        <right/>
        <top style="thin">
          <color theme="6"/>
        </top>
        <bottom/>
      </border>
    </dxf>
    <dxf>
      <font>
        <b val="0"/>
        <i val="0"/>
        <strike val="0"/>
        <condense val="0"/>
        <extend val="0"/>
        <outline val="0"/>
        <shadow val="0"/>
        <u val="none"/>
        <vertAlign val="baseline"/>
        <sz val="12"/>
        <color theme="1"/>
        <name val="Times New Roman"/>
        <family val="1"/>
        <scheme val="none"/>
      </font>
      <numFmt numFmtId="19" formatCode="dd/mm/yyyy"/>
      <alignment horizontal="general" vertical="center" textRotation="0" wrapText="0" indent="0" justifyLastLine="0" shrinkToFit="0" readingOrder="0"/>
      <border diagonalUp="0" diagonalDown="0" outline="0">
        <left/>
        <right/>
        <top style="thin">
          <color theme="6"/>
        </top>
        <bottom/>
      </border>
    </dxf>
    <dxf>
      <border outline="0">
        <left style="thin">
          <color theme="6"/>
        </left>
      </border>
    </dxf>
    <dxf>
      <font>
        <strike val="0"/>
        <outline val="0"/>
        <shadow val="0"/>
        <u val="none"/>
        <vertAlign val="baseline"/>
        <sz val="12"/>
        <color theme="1"/>
        <name val="Times New Roman"/>
        <family val="1"/>
        <scheme val="none"/>
      </font>
    </dxf>
    <dxf>
      <font>
        <b/>
        <i val="0"/>
        <strike val="0"/>
        <condense val="0"/>
        <extend val="0"/>
        <outline val="0"/>
        <shadow val="0"/>
        <u val="none"/>
        <vertAlign val="baseline"/>
        <sz val="12"/>
        <color theme="0"/>
        <name val="Times New Roman"/>
        <family val="1"/>
        <scheme val="none"/>
      </font>
      <fill>
        <patternFill patternType="solid">
          <fgColor theme="6"/>
          <bgColor theme="6"/>
        </patternFill>
      </fill>
    </dxf>
    <dxf>
      <font>
        <strike val="0"/>
        <outline val="0"/>
        <shadow val="0"/>
        <u val="none"/>
        <vertAlign val="baseline"/>
        <sz val="12"/>
        <color theme="1"/>
        <name val="Times New Roman"/>
        <family val="1"/>
        <scheme val="none"/>
      </font>
      <alignment horizontal="center" vertical="center" textRotation="0" indent="0" justifyLastLine="0" shrinkToFit="0" readingOrder="0"/>
    </dxf>
    <dxf>
      <font>
        <strike val="0"/>
        <outline val="0"/>
        <shadow val="0"/>
        <u val="none"/>
        <vertAlign val="baseline"/>
        <sz val="12"/>
        <color theme="1"/>
        <name val="Times New Roman"/>
        <family val="1"/>
        <scheme val="none"/>
      </font>
      <alignment horizontal="left" vertical="center" textRotation="0" indent="0" justifyLastLine="0" shrinkToFit="0" readingOrder="0"/>
    </dxf>
    <dxf>
      <font>
        <strike val="0"/>
        <outline val="0"/>
        <shadow val="0"/>
        <u val="none"/>
        <vertAlign val="baseline"/>
        <sz val="12"/>
        <color theme="1"/>
        <name val="Times New Roman"/>
        <family val="1"/>
        <scheme val="none"/>
      </font>
      <alignment horizontal="left" vertical="center" textRotation="0" indent="0" justifyLastLine="0" shrinkToFit="0" readingOrder="0"/>
    </dxf>
    <dxf>
      <font>
        <strike val="0"/>
        <outline val="0"/>
        <shadow val="0"/>
        <u val="none"/>
        <vertAlign val="baseline"/>
        <sz val="12"/>
        <color theme="1"/>
        <name val="Times New Roman"/>
        <family val="1"/>
        <scheme val="none"/>
      </font>
      <alignment horizontal="center" vertical="center" textRotation="0" indent="0" justifyLastLine="0" shrinkToFit="0" readingOrder="0"/>
    </dxf>
    <dxf>
      <font>
        <strike val="0"/>
        <outline val="0"/>
        <shadow val="0"/>
        <u val="none"/>
        <vertAlign val="baseline"/>
        <sz val="12"/>
        <color theme="1"/>
        <name val="Times New Roman"/>
        <family val="1"/>
        <scheme val="none"/>
      </font>
      <alignment horizontal="center" vertical="center" textRotation="0" indent="0" justifyLastLine="0" shrinkToFit="0" readingOrder="0"/>
    </dxf>
    <dxf>
      <font>
        <strike val="0"/>
        <outline val="0"/>
        <shadow val="0"/>
        <u val="none"/>
        <vertAlign val="baseline"/>
        <sz val="12"/>
        <color theme="1"/>
        <name val="Times New Roman"/>
        <family val="1"/>
        <scheme val="none"/>
      </font>
      <alignment horizontal="left" vertical="center" textRotation="0" indent="0" justifyLastLine="0" shrinkToFit="0" readingOrder="0"/>
    </dxf>
    <dxf>
      <font>
        <strike val="0"/>
        <outline val="0"/>
        <shadow val="0"/>
        <u val="none"/>
        <vertAlign val="baseline"/>
        <sz val="12"/>
        <color theme="1"/>
        <name val="Times New Roman"/>
        <family val="1"/>
        <scheme val="none"/>
      </font>
      <alignment horizontal="left" vertical="center" textRotation="0" indent="0" justifyLastLine="0" shrinkToFit="0" readingOrder="0"/>
    </dxf>
    <dxf>
      <font>
        <strike val="0"/>
        <outline val="0"/>
        <shadow val="0"/>
        <u val="none"/>
        <vertAlign val="baseline"/>
        <sz val="12"/>
        <color theme="1"/>
        <name val="Times New Roman"/>
        <family val="1"/>
        <scheme val="none"/>
      </font>
      <alignment horizontal="center" vertical="center" textRotation="0" indent="0" justifyLastLine="0" shrinkToFit="0" readingOrder="0"/>
    </dxf>
    <dxf>
      <font>
        <strike val="0"/>
        <outline val="0"/>
        <shadow val="0"/>
        <u val="none"/>
        <vertAlign val="baseline"/>
        <sz val="12"/>
        <color theme="1"/>
        <name val="Times New Roman"/>
        <family val="1"/>
        <scheme val="none"/>
      </font>
      <alignment horizontal="center" vertical="center" textRotation="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alignment horizontal="left" vertical="center" textRotation="0" indent="0" justifyLastLine="0" shrinkToFit="0" readingOrder="0"/>
    </dxf>
    <dxf>
      <font>
        <strike val="0"/>
        <outline val="0"/>
        <shadow val="0"/>
        <u val="none"/>
        <vertAlign val="baseline"/>
        <sz val="12"/>
        <color theme="1"/>
        <name val="Times New Roman"/>
        <family val="1"/>
        <scheme val="none"/>
      </font>
      <alignment horizontal="left" vertical="center" textRotation="0" indent="0" justifyLastLine="0" shrinkToFit="0" readingOrder="0"/>
    </dxf>
    <dxf>
      <font>
        <strike val="0"/>
        <outline val="0"/>
        <shadow val="0"/>
        <u val="none"/>
        <vertAlign val="baseline"/>
        <sz val="12"/>
        <color theme="1"/>
        <name val="Times New Roman"/>
        <family val="1"/>
        <scheme val="none"/>
      </font>
      <alignment horizontal="center" vertical="center" textRotation="0" indent="0" justifyLastLine="0" shrinkToFit="0" readingOrder="0"/>
    </dxf>
    <dxf>
      <font>
        <strike val="0"/>
        <outline val="0"/>
        <shadow val="0"/>
        <u val="none"/>
        <vertAlign val="baseline"/>
        <sz val="12"/>
        <color theme="1"/>
        <name val="Times New Roman"/>
        <family val="1"/>
        <scheme val="none"/>
      </font>
      <alignment horizontal="center" vertical="center" textRotation="0" indent="0" justifyLastLine="0" shrinkToFit="0" readingOrder="0"/>
    </dxf>
    <dxf>
      <font>
        <b val="0"/>
        <i val="0"/>
        <strike val="0"/>
        <condense val="0"/>
        <extend val="0"/>
        <outline val="0"/>
        <shadow val="0"/>
        <u val="none"/>
        <vertAlign val="baseline"/>
        <sz val="12"/>
        <color theme="1"/>
        <name val="Times New Roman"/>
        <family val="1"/>
        <scheme val="none"/>
      </font>
      <fill>
        <patternFill patternType="none">
          <fgColor indexed="64"/>
          <bgColor indexed="65"/>
        </patternFill>
      </fill>
    </dxf>
    <dxf>
      <font>
        <b val="0"/>
        <i val="0"/>
        <strike val="0"/>
        <condense val="0"/>
        <extend val="0"/>
        <outline val="0"/>
        <shadow val="0"/>
        <u val="none"/>
        <vertAlign val="baseline"/>
        <sz val="12"/>
        <color theme="1"/>
        <name val="Times New Roman"/>
        <family val="1"/>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Times New Roman"/>
        <family val="1"/>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Times New Roman"/>
        <family val="1"/>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Times New Roman"/>
        <family val="1"/>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Times New Roman"/>
        <family val="1"/>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Times New Roman"/>
        <family val="1"/>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Times New Roman"/>
        <family val="1"/>
        <scheme val="none"/>
      </font>
      <fill>
        <patternFill patternType="none">
          <fgColor indexed="64"/>
          <bgColor indexed="65"/>
        </patternFill>
      </fill>
    </dxf>
    <dxf>
      <border outline="0">
        <left style="thin">
          <color theme="6"/>
        </left>
        <top style="thin">
          <color theme="6"/>
        </top>
      </border>
    </dxf>
    <dxf>
      <font>
        <b val="0"/>
        <i val="0"/>
        <strike val="0"/>
        <condense val="0"/>
        <extend val="0"/>
        <outline val="0"/>
        <shadow val="0"/>
        <u val="none"/>
        <vertAlign val="baseline"/>
        <sz val="12"/>
        <color theme="1"/>
        <name val="Times New Roman"/>
        <family val="1"/>
        <scheme val="none"/>
      </font>
      <fill>
        <patternFill patternType="none">
          <fgColor indexed="64"/>
          <bgColor indexed="65"/>
        </patternFill>
      </fill>
    </dxf>
    <dxf>
      <font>
        <b/>
        <i val="0"/>
        <strike val="0"/>
        <condense val="0"/>
        <extend val="0"/>
        <outline val="0"/>
        <shadow val="0"/>
        <u val="none"/>
        <vertAlign val="baseline"/>
        <sz val="12"/>
        <color theme="0"/>
        <name val="Times New Roman"/>
        <family val="1"/>
        <scheme val="none"/>
      </font>
      <fill>
        <patternFill patternType="solid">
          <fgColor indexed="64"/>
          <bgColor rgb="FF196B24"/>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fill>
        <patternFill patternType="solid">
          <fgColor indexed="64"/>
          <bgColor rgb="FF196B24"/>
        </patternFill>
      </fill>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67" formatCode="0.0000000000"/>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166" formatCode="0.000000000"/>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3" formatCode="#,##0"/>
    </dxf>
    <dxf>
      <font>
        <b val="0"/>
        <i val="0"/>
        <strike val="0"/>
        <condense val="0"/>
        <extend val="0"/>
        <outline val="0"/>
        <shadow val="0"/>
        <u val="none"/>
        <vertAlign val="baseline"/>
        <sz val="12"/>
        <color theme="1"/>
        <name val="Times New Roman"/>
        <family val="1"/>
        <scheme val="none"/>
      </font>
      <numFmt numFmtId="3" formatCode="#,##0"/>
    </dxf>
    <dxf>
      <font>
        <b val="0"/>
        <i val="0"/>
        <strike val="0"/>
        <condense val="0"/>
        <extend val="0"/>
        <outline val="0"/>
        <shadow val="0"/>
        <u val="none"/>
        <vertAlign val="baseline"/>
        <sz val="12"/>
        <color theme="1"/>
        <name val="Times New Roman"/>
        <family val="1"/>
        <scheme val="none"/>
      </font>
      <numFmt numFmtId="3" formatCode="#,##0"/>
    </dxf>
    <dxf>
      <font>
        <b val="0"/>
        <i val="0"/>
        <strike val="0"/>
        <condense val="0"/>
        <extend val="0"/>
        <outline val="0"/>
        <shadow val="0"/>
        <u val="none"/>
        <vertAlign val="baseline"/>
        <sz val="12"/>
        <color theme="1"/>
        <name val="Times New Roman"/>
        <family val="1"/>
        <scheme val="none"/>
      </font>
      <numFmt numFmtId="3" formatCode="#,##0"/>
    </dxf>
    <dxf>
      <font>
        <b val="0"/>
        <i val="0"/>
        <strike val="0"/>
        <condense val="0"/>
        <extend val="0"/>
        <outline val="0"/>
        <shadow val="0"/>
        <u val="none"/>
        <vertAlign val="baseline"/>
        <sz val="12"/>
        <color theme="1"/>
        <name val="Times New Roman"/>
        <family val="1"/>
        <scheme val="none"/>
      </font>
      <numFmt numFmtId="3" formatCode="#,##0"/>
    </dxf>
    <dxf>
      <font>
        <b val="0"/>
        <i val="0"/>
        <strike val="0"/>
        <condense val="0"/>
        <extend val="0"/>
        <outline val="0"/>
        <shadow val="0"/>
        <u val="none"/>
        <vertAlign val="baseline"/>
        <sz val="12"/>
        <color theme="1"/>
        <name val="Times New Roman"/>
        <family val="1"/>
        <scheme val="none"/>
      </font>
      <numFmt numFmtId="3" formatCode="#,##0"/>
    </dxf>
    <dxf>
      <font>
        <b val="0"/>
        <i val="0"/>
        <strike val="0"/>
        <condense val="0"/>
        <extend val="0"/>
        <outline val="0"/>
        <shadow val="0"/>
        <u val="none"/>
        <vertAlign val="baseline"/>
        <sz val="12"/>
        <color theme="1"/>
        <name val="Times New Roman"/>
        <family val="1"/>
        <scheme val="none"/>
      </font>
      <numFmt numFmtId="3" formatCode="#,##0"/>
    </dxf>
    <dxf>
      <font>
        <b val="0"/>
        <i val="0"/>
        <strike val="0"/>
        <condense val="0"/>
        <extend val="0"/>
        <outline val="0"/>
        <shadow val="0"/>
        <u val="none"/>
        <vertAlign val="baseline"/>
        <sz val="12"/>
        <color theme="1"/>
        <name val="Times New Roman"/>
        <family val="1"/>
        <scheme val="none"/>
      </font>
      <numFmt numFmtId="14" formatCode="0.00%"/>
    </dxf>
    <dxf>
      <font>
        <b val="0"/>
        <i val="0"/>
        <strike val="0"/>
        <condense val="0"/>
        <extend val="0"/>
        <outline val="0"/>
        <shadow val="0"/>
        <u val="none"/>
        <vertAlign val="baseline"/>
        <sz val="12"/>
        <color theme="1"/>
        <name val="Times New Roman"/>
        <family val="1"/>
        <scheme val="none"/>
      </font>
    </dxf>
    <dxf>
      <border diagonalUp="0" diagonalDown="0">
        <left style="medium">
          <color rgb="FF196B24"/>
        </left>
        <right style="medium">
          <color rgb="FF196B24"/>
        </right>
        <top style="medium">
          <color rgb="FF196B24"/>
        </top>
        <bottom style="medium">
          <color rgb="FF196B24"/>
        </bottom>
      </border>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0"/>
        <name val="Times New Roman"/>
        <family val="1"/>
        <scheme val="none"/>
      </font>
      <fill>
        <patternFill patternType="solid">
          <fgColor indexed="64"/>
          <bgColor rgb="FF196B24"/>
        </patternFill>
      </fill>
      <alignment horizontal="center" vertical="center" textRotation="0" indent="0" justifyLastLine="0" shrinkToFit="0" readingOrder="0"/>
    </dxf>
    <dxf>
      <font>
        <b val="0"/>
        <i val="0"/>
        <strike val="0"/>
        <condense val="0"/>
        <extend val="0"/>
        <outline val="0"/>
        <shadow val="0"/>
        <u val="none"/>
        <vertAlign val="baseline"/>
        <sz val="12"/>
        <color theme="1"/>
        <name val="Times New Roman"/>
        <family val="1"/>
        <scheme val="none"/>
      </font>
      <numFmt numFmtId="165" formatCode="0.000%"/>
      <alignment horizontal="general" vertical="center" textRotation="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2"/>
        <color theme="1"/>
        <name val="Times New Roman"/>
        <family val="1"/>
        <scheme val="none"/>
      </font>
      <numFmt numFmtId="1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1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1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1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71" formatCode="_-* #,##0_-;\-* #,##0_-;_-* &quot;-&quot;??_-;_-@_-"/>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alignment vertical="center" textRotation="0" indent="0" justifyLastLine="0" shrinkToFit="0" readingOrder="0"/>
    </dxf>
    <dxf>
      <font>
        <strike val="0"/>
        <outline val="0"/>
        <shadow val="0"/>
        <u val="none"/>
        <vertAlign val="baseline"/>
        <color theme="1"/>
        <name val="Times New Roman"/>
        <family val="1"/>
        <scheme val="none"/>
      </font>
      <alignment horizontal="center" textRotation="0" indent="0" justifyLastLine="0" shrinkToFit="0" readingOrder="0"/>
    </dxf>
    <dxf>
      <font>
        <strike val="0"/>
        <outline val="0"/>
        <shadow val="0"/>
        <u val="none"/>
        <vertAlign val="baseline"/>
        <color theme="1"/>
        <name val="Times New Roman"/>
        <family val="1"/>
        <scheme val="none"/>
      </font>
      <alignment horizontal="center" textRotation="0" indent="0" justifyLastLine="0" shrinkToFit="0" readingOrder="0"/>
    </dxf>
    <dxf>
      <font>
        <strike val="0"/>
        <outline val="0"/>
        <shadow val="0"/>
        <u val="none"/>
        <vertAlign val="baseline"/>
        <color theme="1"/>
        <name val="Times New Roman"/>
        <family val="1"/>
        <scheme val="none"/>
      </font>
      <alignment horizontal="left" textRotation="0" indent="0" justifyLastLine="0" shrinkToFit="0" readingOrder="0"/>
    </dxf>
    <dxf>
      <font>
        <strike val="0"/>
        <outline val="0"/>
        <shadow val="0"/>
        <u val="none"/>
        <vertAlign val="baseline"/>
        <color theme="1"/>
        <name val="Times New Roman"/>
        <family val="1"/>
        <scheme val="none"/>
      </font>
      <alignment horizontal="center" textRotation="0" indent="0" justifyLastLine="0" shrinkToFit="0" readingOrder="0"/>
    </dxf>
    <dxf>
      <font>
        <strike val="0"/>
        <outline val="0"/>
        <shadow val="0"/>
        <u val="none"/>
        <vertAlign val="baseline"/>
        <color theme="1"/>
        <name val="Times New Roman"/>
        <family val="1"/>
        <scheme val="none"/>
      </font>
      <alignment horizontal="center" vertical="center" textRotation="0" wrapText="1" indent="0" justifyLastLine="0" shrinkToFit="0" readingOrder="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numFmt numFmtId="169" formatCode="0.000000"/>
    </dxf>
    <dxf>
      <font>
        <strike val="0"/>
        <outline val="0"/>
        <shadow val="0"/>
        <u val="none"/>
        <vertAlign val="baseline"/>
        <sz val="12"/>
        <color theme="1"/>
        <name val="Times New Roman"/>
        <family val="1"/>
        <scheme val="none"/>
      </font>
      <numFmt numFmtId="169" formatCode="0.000000"/>
    </dxf>
    <dxf>
      <font>
        <strike val="0"/>
        <outline val="0"/>
        <shadow val="0"/>
        <u val="none"/>
        <vertAlign val="baseline"/>
        <sz val="12"/>
        <color theme="1"/>
        <name val="Times New Roman"/>
        <family val="1"/>
        <scheme val="none"/>
      </font>
      <numFmt numFmtId="169" formatCode="0.000000"/>
    </dxf>
    <dxf>
      <font>
        <b val="0"/>
        <i val="0"/>
        <strike val="0"/>
        <condense val="0"/>
        <extend val="0"/>
        <outline val="0"/>
        <shadow val="0"/>
        <u val="none"/>
        <vertAlign val="baseline"/>
        <sz val="12"/>
        <color theme="1"/>
        <name val="Times New Roman"/>
        <family val="1"/>
        <scheme val="none"/>
      </font>
      <numFmt numFmtId="13" formatCode="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3" formatCode="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colors>
    <mruColors>
      <color rgb="FFC1F0C8"/>
      <color rgb="FF47D359"/>
      <color rgb="FF196B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200">
                <a:latin typeface="Times New Roman" panose="02020603050405020304" pitchFamily="18" charset="0"/>
                <a:cs typeface="Times New Roman" panose="02020603050405020304" pitchFamily="18" charset="0"/>
              </a:rPr>
              <a:t>Share of </a:t>
            </a:r>
            <a:r>
              <a:rPr lang="en-GB" sz="1200" b="1" i="0" u="none" strike="noStrike" cap="all" baseline="0">
                <a:effectLst/>
              </a:rPr>
              <a:t>distribution channel for snack foods</a:t>
            </a:r>
            <a:r>
              <a:rPr lang="en-VN" sz="1200" b="1" i="0" u="none" strike="noStrike" cap="all" baseline="0">
                <a:effectLst/>
              </a:rPr>
              <a:t> </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c:f>
              <c:strCache>
                <c:ptCount val="1"/>
                <c:pt idx="0">
                  <c:v>Share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F168-BC42-B537-AD102F8675FF}"/>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F168-BC42-B537-AD102F8675FF}"/>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F168-BC42-B537-AD102F8675FF}"/>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F168-BC42-B537-AD102F8675FF}"/>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F168-BC42-B537-AD102F8675FF}"/>
              </c:ext>
            </c:extLst>
          </c:dPt>
          <c:dLbls>
            <c:dLbl>
              <c:idx val="0"/>
              <c:layout>
                <c:manualLayout>
                  <c:x val="-1.4490187752892264E-2"/>
                  <c:y val="2.020910665356490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Times New Roman" panose="02020603050405020304" pitchFamily="18" charset="0"/>
                      <a:ea typeface="+mn-ea"/>
                      <a:cs typeface="Times New Roman" panose="02020603050405020304" pitchFamily="18" charset="0"/>
                    </a:defRPr>
                  </a:pPr>
                  <a:endParaRPr lang="en-VN"/>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168-BC42-B537-AD102F8675FF}"/>
                </c:ext>
              </c:extLst>
            </c:dLbl>
            <c:dLbl>
              <c:idx val="1"/>
              <c:layout>
                <c:manualLayout>
                  <c:x val="5.099836162379346E-2"/>
                  <c:y val="-5.643793831239073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Times New Roman" panose="02020603050405020304" pitchFamily="18" charset="0"/>
                      <a:ea typeface="+mn-ea"/>
                      <a:cs typeface="Times New Roman" panose="02020603050405020304" pitchFamily="18" charset="0"/>
                    </a:defRPr>
                  </a:pPr>
                  <a:endParaRPr lang="en-VN"/>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168-BC42-B537-AD102F8675FF}"/>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Times New Roman" panose="02020603050405020304" pitchFamily="18" charset="0"/>
                      <a:ea typeface="+mn-ea"/>
                      <a:cs typeface="Times New Roman" panose="02020603050405020304" pitchFamily="18" charset="0"/>
                    </a:defRPr>
                  </a:pPr>
                  <a:endParaRPr lang="en-VN"/>
                </a:p>
              </c:txPr>
              <c:showLegendKey val="0"/>
              <c:showVal val="0"/>
              <c:showCatName val="0"/>
              <c:showSerName val="0"/>
              <c:showPercent val="1"/>
              <c:showBubbleSize val="0"/>
              <c:extLst>
                <c:ext xmlns:c16="http://schemas.microsoft.com/office/drawing/2014/chart" uri="{C3380CC4-5D6E-409C-BE32-E72D297353CC}">
                  <c16:uniqueId val="{00000005-F168-BC42-B537-AD102F8675FF}"/>
                </c:ext>
              </c:extLst>
            </c:dLbl>
            <c:dLbl>
              <c:idx val="3"/>
              <c:layout>
                <c:manualLayout>
                  <c:x val="1.5200627725564273E-2"/>
                  <c:y val="-5.22968421067742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4"/>
                      </a:solidFill>
                      <a:latin typeface="Times New Roman" panose="02020603050405020304" pitchFamily="18" charset="0"/>
                      <a:ea typeface="+mn-ea"/>
                      <a:cs typeface="Times New Roman" panose="02020603050405020304" pitchFamily="18" charset="0"/>
                    </a:defRPr>
                  </a:pPr>
                  <a:endParaRPr lang="en-VN"/>
                </a:p>
              </c:txPr>
              <c:showLegendKey val="0"/>
              <c:showVal val="0"/>
              <c:showCatName val="0"/>
              <c:showSerName val="0"/>
              <c:showPercent val="1"/>
              <c:showBubbleSize val="0"/>
              <c:extLst>
                <c:ext xmlns:c15="http://schemas.microsoft.com/office/drawing/2012/chart" uri="{CE6537A1-D6FC-4f65-9D91-7224C49458BB}">
                  <c15:layout>
                    <c:manualLayout>
                      <c:w val="5.9895189910992179E-2"/>
                      <c:h val="7.9973357047857546E-2"/>
                    </c:manualLayout>
                  </c15:layout>
                </c:ext>
                <c:ext xmlns:c16="http://schemas.microsoft.com/office/drawing/2014/chart" uri="{C3380CC4-5D6E-409C-BE32-E72D297353CC}">
                  <c16:uniqueId val="{00000002-F168-BC42-B537-AD102F8675FF}"/>
                </c:ext>
              </c:extLst>
            </c:dLbl>
            <c:dLbl>
              <c:idx val="4"/>
              <c:layout>
                <c:manualLayout>
                  <c:x val="2.4128365076108452E-2"/>
                  <c:y val="-1.04999931813565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Times New Roman" panose="02020603050405020304" pitchFamily="18" charset="0"/>
                      <a:ea typeface="+mn-ea"/>
                      <a:cs typeface="Times New Roman" panose="02020603050405020304" pitchFamily="18" charset="0"/>
                    </a:defRPr>
                  </a:pPr>
                  <a:endParaRPr lang="en-VN"/>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168-BC42-B537-AD102F8675F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Times New Roman" panose="02020603050405020304" pitchFamily="18" charset="0"/>
                    <a:ea typeface="+mn-ea"/>
                    <a:cs typeface="Times New Roman" panose="02020603050405020304" pitchFamily="18" charset="0"/>
                  </a:defRPr>
                </a:pPr>
                <a:endParaRPr lang="en-VN"/>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Sheet1!$A$2:$A$6</c:f>
              <c:strCache>
                <c:ptCount val="5"/>
                <c:pt idx="0">
                  <c:v>Supermarkets and hypermarkets </c:v>
                </c:pt>
                <c:pt idx="1">
                  <c:v>Convenience stores</c:v>
                </c:pt>
                <c:pt idx="2">
                  <c:v>E-commerce</c:v>
                </c:pt>
                <c:pt idx="3">
                  <c:v> Movie theaters </c:v>
                </c:pt>
                <c:pt idx="4">
                  <c:v>Hotel minibars</c:v>
                </c:pt>
              </c:strCache>
            </c:strRef>
          </c:cat>
          <c:val>
            <c:numRef>
              <c:f>Sheet1!$B$2:$B$6</c:f>
              <c:numCache>
                <c:formatCode>0%</c:formatCode>
                <c:ptCount val="5"/>
                <c:pt idx="0">
                  <c:v>0.7</c:v>
                </c:pt>
                <c:pt idx="1">
                  <c:v>0.25</c:v>
                </c:pt>
                <c:pt idx="2">
                  <c:v>0.02</c:v>
                </c:pt>
                <c:pt idx="3">
                  <c:v>0.02</c:v>
                </c:pt>
                <c:pt idx="4">
                  <c:v>0.01</c:v>
                </c:pt>
              </c:numCache>
            </c:numRef>
          </c:val>
          <c:extLst>
            <c:ext xmlns:c16="http://schemas.microsoft.com/office/drawing/2014/chart" uri="{C3380CC4-5D6E-409C-BE32-E72D297353CC}">
              <c16:uniqueId val="{00000000-F168-BC42-B537-AD102F8675FF}"/>
            </c:ext>
          </c:extLst>
        </c:ser>
        <c:dLbls>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autoTitleDeleted val="0"/>
    <c:plotArea>
      <c:layout/>
      <c:lineChart>
        <c:grouping val="standard"/>
        <c:varyColors val="0"/>
        <c:ser>
          <c:idx val="0"/>
          <c:order val="0"/>
          <c:tx>
            <c:strRef>
              <c:f>'NPV IRR'!$S$31</c:f>
              <c:strCache>
                <c:ptCount val="1"/>
                <c:pt idx="0">
                  <c:v>Net Revenue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'NPV IRR'!$T$30:$Z$30</c:f>
              <c:strCache>
                <c:ptCount val="7"/>
                <c:pt idx="0">
                  <c:v>2025</c:v>
                </c:pt>
                <c:pt idx="1">
                  <c:v>2026</c:v>
                </c:pt>
                <c:pt idx="2">
                  <c:v>2027</c:v>
                </c:pt>
                <c:pt idx="3">
                  <c:v>2028</c:v>
                </c:pt>
                <c:pt idx="4">
                  <c:v>2029</c:v>
                </c:pt>
                <c:pt idx="5">
                  <c:v>2030</c:v>
                </c:pt>
                <c:pt idx="6">
                  <c:v>2031</c:v>
                </c:pt>
              </c:strCache>
            </c:strRef>
          </c:cat>
          <c:val>
            <c:numRef>
              <c:f>'NPV IRR'!$T$31:$Z$31</c:f>
              <c:numCache>
                <c:formatCode>#,##0</c:formatCode>
                <c:ptCount val="7"/>
                <c:pt idx="0">
                  <c:v>1572959487.5001626</c:v>
                </c:pt>
                <c:pt idx="1">
                  <c:v>1656020651.3126359</c:v>
                </c:pt>
                <c:pt idx="2">
                  <c:v>1743934739.3471003</c:v>
                </c:pt>
                <c:pt idx="3">
                  <c:v>1837002297.3855579</c:v>
                </c:pt>
                <c:pt idx="4">
                  <c:v>1935543157.6950979</c:v>
                </c:pt>
                <c:pt idx="5">
                  <c:v>2039897705.2550888</c:v>
                </c:pt>
                <c:pt idx="6">
                  <c:v>2150428228.375392</c:v>
                </c:pt>
              </c:numCache>
            </c:numRef>
          </c:val>
          <c:smooth val="0"/>
          <c:extLst>
            <c:ext xmlns:c16="http://schemas.microsoft.com/office/drawing/2014/chart" uri="{C3380CC4-5D6E-409C-BE32-E72D297353CC}">
              <c16:uniqueId val="{00000000-F1BF-E544-8CAF-62D536B027A0}"/>
            </c:ext>
          </c:extLst>
        </c:ser>
        <c:dLbls>
          <c:showLegendKey val="0"/>
          <c:showVal val="0"/>
          <c:showCatName val="0"/>
          <c:showSerName val="0"/>
          <c:showPercent val="0"/>
          <c:showBubbleSize val="0"/>
        </c:dLbls>
        <c:smooth val="0"/>
        <c:axId val="1321233552"/>
        <c:axId val="983269744"/>
      </c:lineChart>
      <c:catAx>
        <c:axId val="13212335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983269744"/>
        <c:crosses val="autoZero"/>
        <c:auto val="1"/>
        <c:lblAlgn val="ctr"/>
        <c:lblOffset val="100"/>
        <c:noMultiLvlLbl val="0"/>
      </c:catAx>
      <c:valAx>
        <c:axId val="983269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in PHP</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132123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Cost of Goods Sold Forecast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autoTitleDeleted val="0"/>
    <c:plotArea>
      <c:layout/>
      <c:lineChart>
        <c:grouping val="standard"/>
        <c:varyColors val="0"/>
        <c:ser>
          <c:idx val="0"/>
          <c:order val="0"/>
          <c:tx>
            <c:strRef>
              <c:f>'NPV IRR'!$S$36</c:f>
              <c:strCache>
                <c:ptCount val="1"/>
                <c:pt idx="0">
                  <c:v>Cash Flows to Parent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'NPV IRR'!$T$35:$Z$35</c:f>
              <c:strCache>
                <c:ptCount val="7"/>
                <c:pt idx="0">
                  <c:v>2025</c:v>
                </c:pt>
                <c:pt idx="1">
                  <c:v>2026</c:v>
                </c:pt>
                <c:pt idx="2">
                  <c:v>2027</c:v>
                </c:pt>
                <c:pt idx="3">
                  <c:v>2028</c:v>
                </c:pt>
                <c:pt idx="4">
                  <c:v>2029</c:v>
                </c:pt>
                <c:pt idx="5">
                  <c:v>2030</c:v>
                </c:pt>
                <c:pt idx="6">
                  <c:v>2031</c:v>
                </c:pt>
              </c:strCache>
            </c:strRef>
          </c:cat>
          <c:val>
            <c:numRef>
              <c:f>'NPV IRR'!$T$36:$Y$36</c:f>
              <c:numCache>
                <c:formatCode>#,##0</c:formatCode>
                <c:ptCount val="6"/>
                <c:pt idx="0">
                  <c:v>2885906.2946306691</c:v>
                </c:pt>
                <c:pt idx="1">
                  <c:v>3256334.8986902279</c:v>
                </c:pt>
                <c:pt idx="2">
                  <c:v>3766994.475450193</c:v>
                </c:pt>
                <c:pt idx="3">
                  <c:v>4316598.3619051678</c:v>
                </c:pt>
                <c:pt idx="4">
                  <c:v>4974163.8665113486</c:v>
                </c:pt>
                <c:pt idx="5">
                  <c:v>5818439.3871912705</c:v>
                </c:pt>
              </c:numCache>
            </c:numRef>
          </c:val>
          <c:smooth val="0"/>
          <c:extLst>
            <c:ext xmlns:c16="http://schemas.microsoft.com/office/drawing/2014/chart" uri="{C3380CC4-5D6E-409C-BE32-E72D297353CC}">
              <c16:uniqueId val="{00000000-B521-1348-8002-30F322C2B23C}"/>
            </c:ext>
          </c:extLst>
        </c:ser>
        <c:dLbls>
          <c:showLegendKey val="0"/>
          <c:showVal val="0"/>
          <c:showCatName val="0"/>
          <c:showSerName val="0"/>
          <c:showPercent val="0"/>
          <c:showBubbleSize val="0"/>
        </c:dLbls>
        <c:smooth val="0"/>
        <c:axId val="1531703424"/>
        <c:axId val="1531719280"/>
      </c:lineChart>
      <c:catAx>
        <c:axId val="1531703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1531719280"/>
        <c:crosses val="autoZero"/>
        <c:auto val="1"/>
        <c:lblAlgn val="ctr"/>
        <c:lblOffset val="100"/>
        <c:noMultiLvlLbl val="0"/>
      </c:catAx>
      <c:valAx>
        <c:axId val="153171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In PHP</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153170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PHP/USD Forecast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dPt>
            <c:idx val="127"/>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FCC-F84A-BA51-C7FF19F1335D}"/>
              </c:ext>
            </c:extLst>
          </c:dPt>
          <c:dPt>
            <c:idx val="128"/>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FCC-F84A-BA51-C7FF19F1335D}"/>
              </c:ext>
            </c:extLst>
          </c:dPt>
          <c:dPt>
            <c:idx val="129"/>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FCC-F84A-BA51-C7FF19F1335D}"/>
              </c:ext>
            </c:extLst>
          </c:dPt>
          <c:dPt>
            <c:idx val="130"/>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FFCC-F84A-BA51-C7FF19F1335D}"/>
              </c:ext>
            </c:extLst>
          </c:dPt>
          <c:dPt>
            <c:idx val="131"/>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FCC-F84A-BA51-C7FF19F1335D}"/>
              </c:ext>
            </c:extLst>
          </c:dPt>
          <c:dPt>
            <c:idx val="132"/>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FFCC-F84A-BA51-C7FF19F1335D}"/>
              </c:ext>
            </c:extLst>
          </c:dPt>
          <c:dPt>
            <c:idx val="133"/>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FCC-F84A-BA51-C7FF19F1335D}"/>
              </c:ext>
            </c:extLst>
          </c:dPt>
          <c:dPt>
            <c:idx val="134"/>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FFCC-F84A-BA51-C7FF19F1335D}"/>
              </c:ext>
            </c:extLst>
          </c:dPt>
          <c:dPt>
            <c:idx val="135"/>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FCC-F84A-BA51-C7FF19F1335D}"/>
              </c:ext>
            </c:extLst>
          </c:dPt>
          <c:dPt>
            <c:idx val="136"/>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FFCC-F84A-BA51-C7FF19F1335D}"/>
              </c:ext>
            </c:extLst>
          </c:dPt>
          <c:dPt>
            <c:idx val="137"/>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FCC-F84A-BA51-C7FF19F1335D}"/>
              </c:ext>
            </c:extLst>
          </c:dPt>
          <c:dPt>
            <c:idx val="138"/>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FFCC-F84A-BA51-C7FF19F1335D}"/>
              </c:ext>
            </c:extLst>
          </c:dPt>
          <c:dPt>
            <c:idx val="139"/>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FFCC-F84A-BA51-C7FF19F1335D}"/>
              </c:ext>
            </c:extLst>
          </c:dPt>
          <c:dPt>
            <c:idx val="140"/>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FFCC-F84A-BA51-C7FF19F1335D}"/>
              </c:ext>
            </c:extLst>
          </c:dPt>
          <c:dPt>
            <c:idx val="141"/>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FFCC-F84A-BA51-C7FF19F1335D}"/>
              </c:ext>
            </c:extLst>
          </c:dPt>
          <c:dPt>
            <c:idx val="142"/>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FFCC-F84A-BA51-C7FF19F1335D}"/>
              </c:ext>
            </c:extLst>
          </c:dPt>
          <c:dPt>
            <c:idx val="143"/>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FFCC-F84A-BA51-C7FF19F1335D}"/>
              </c:ext>
            </c:extLst>
          </c:dPt>
          <c:dPt>
            <c:idx val="144"/>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FFCC-F84A-BA51-C7FF19F1335D}"/>
              </c:ext>
            </c:extLst>
          </c:dPt>
          <c:cat>
            <c:numRef>
              <c:f>'PHPUSD Macro Model'!$A$2:$A$146</c:f>
              <c:numCache>
                <c:formatCode>m/d/yy</c:formatCode>
                <c:ptCount val="145"/>
                <c:pt idx="0">
                  <c:v>41609</c:v>
                </c:pt>
                <c:pt idx="1">
                  <c:v>41640</c:v>
                </c:pt>
                <c:pt idx="2">
                  <c:v>41671</c:v>
                </c:pt>
                <c:pt idx="3">
                  <c:v>41699</c:v>
                </c:pt>
                <c:pt idx="4">
                  <c:v>41730</c:v>
                </c:pt>
                <c:pt idx="5">
                  <c:v>41760</c:v>
                </c:pt>
                <c:pt idx="6">
                  <c:v>41791</c:v>
                </c:pt>
                <c:pt idx="7">
                  <c:v>41821</c:v>
                </c:pt>
                <c:pt idx="8">
                  <c:v>41852</c:v>
                </c:pt>
                <c:pt idx="9">
                  <c:v>41883</c:v>
                </c:pt>
                <c:pt idx="10">
                  <c:v>41913</c:v>
                </c:pt>
                <c:pt idx="11">
                  <c:v>41944</c:v>
                </c:pt>
                <c:pt idx="12">
                  <c:v>41974</c:v>
                </c:pt>
                <c:pt idx="13">
                  <c:v>42005</c:v>
                </c:pt>
                <c:pt idx="14">
                  <c:v>42036</c:v>
                </c:pt>
                <c:pt idx="15">
                  <c:v>42064</c:v>
                </c:pt>
                <c:pt idx="16">
                  <c:v>42095</c:v>
                </c:pt>
                <c:pt idx="17">
                  <c:v>42125</c:v>
                </c:pt>
                <c:pt idx="18">
                  <c:v>42156</c:v>
                </c:pt>
                <c:pt idx="19">
                  <c:v>42186</c:v>
                </c:pt>
                <c:pt idx="20">
                  <c:v>42217</c:v>
                </c:pt>
                <c:pt idx="21">
                  <c:v>42248</c:v>
                </c:pt>
                <c:pt idx="22">
                  <c:v>42278</c:v>
                </c:pt>
                <c:pt idx="23">
                  <c:v>42309</c:v>
                </c:pt>
                <c:pt idx="24">
                  <c:v>42339</c:v>
                </c:pt>
                <c:pt idx="25">
                  <c:v>42370</c:v>
                </c:pt>
                <c:pt idx="26">
                  <c:v>42401</c:v>
                </c:pt>
                <c:pt idx="27">
                  <c:v>42430</c:v>
                </c:pt>
                <c:pt idx="28">
                  <c:v>42461</c:v>
                </c:pt>
                <c:pt idx="29">
                  <c:v>42491</c:v>
                </c:pt>
                <c:pt idx="30">
                  <c:v>42522</c:v>
                </c:pt>
                <c:pt idx="31">
                  <c:v>42552</c:v>
                </c:pt>
                <c:pt idx="32">
                  <c:v>42583</c:v>
                </c:pt>
                <c:pt idx="33">
                  <c:v>42614</c:v>
                </c:pt>
                <c:pt idx="34">
                  <c:v>42644</c:v>
                </c:pt>
                <c:pt idx="35">
                  <c:v>42675</c:v>
                </c:pt>
                <c:pt idx="36">
                  <c:v>42705</c:v>
                </c:pt>
                <c:pt idx="37">
                  <c:v>42736</c:v>
                </c:pt>
                <c:pt idx="38">
                  <c:v>42767</c:v>
                </c:pt>
                <c:pt idx="39">
                  <c:v>42795</c:v>
                </c:pt>
                <c:pt idx="40">
                  <c:v>42826</c:v>
                </c:pt>
                <c:pt idx="41">
                  <c:v>42856</c:v>
                </c:pt>
                <c:pt idx="42">
                  <c:v>42887</c:v>
                </c:pt>
                <c:pt idx="43">
                  <c:v>42917</c:v>
                </c:pt>
                <c:pt idx="44">
                  <c:v>42948</c:v>
                </c:pt>
                <c:pt idx="45">
                  <c:v>42979</c:v>
                </c:pt>
                <c:pt idx="46">
                  <c:v>43009</c:v>
                </c:pt>
                <c:pt idx="47">
                  <c:v>43040</c:v>
                </c:pt>
                <c:pt idx="48">
                  <c:v>43070</c:v>
                </c:pt>
                <c:pt idx="49">
                  <c:v>43101</c:v>
                </c:pt>
                <c:pt idx="50">
                  <c:v>43132</c:v>
                </c:pt>
                <c:pt idx="51">
                  <c:v>43160</c:v>
                </c:pt>
                <c:pt idx="52">
                  <c:v>43191</c:v>
                </c:pt>
                <c:pt idx="53">
                  <c:v>43221</c:v>
                </c:pt>
                <c:pt idx="54">
                  <c:v>43252</c:v>
                </c:pt>
                <c:pt idx="55">
                  <c:v>43282</c:v>
                </c:pt>
                <c:pt idx="56">
                  <c:v>43313</c:v>
                </c:pt>
                <c:pt idx="57">
                  <c:v>43344</c:v>
                </c:pt>
                <c:pt idx="58">
                  <c:v>43374</c:v>
                </c:pt>
                <c:pt idx="59">
                  <c:v>43405</c:v>
                </c:pt>
                <c:pt idx="60">
                  <c:v>43435</c:v>
                </c:pt>
                <c:pt idx="61">
                  <c:v>43466</c:v>
                </c:pt>
                <c:pt idx="62">
                  <c:v>43497</c:v>
                </c:pt>
                <c:pt idx="63">
                  <c:v>43525</c:v>
                </c:pt>
                <c:pt idx="64">
                  <c:v>43556</c:v>
                </c:pt>
                <c:pt idx="65">
                  <c:v>43586</c:v>
                </c:pt>
                <c:pt idx="66">
                  <c:v>43617</c:v>
                </c:pt>
                <c:pt idx="67">
                  <c:v>43647</c:v>
                </c:pt>
                <c:pt idx="68">
                  <c:v>43678</c:v>
                </c:pt>
                <c:pt idx="69">
                  <c:v>43709</c:v>
                </c:pt>
                <c:pt idx="70">
                  <c:v>43739</c:v>
                </c:pt>
                <c:pt idx="71">
                  <c:v>43770</c:v>
                </c:pt>
                <c:pt idx="72">
                  <c:v>43800</c:v>
                </c:pt>
                <c:pt idx="73">
                  <c:v>43831</c:v>
                </c:pt>
                <c:pt idx="74">
                  <c:v>43862</c:v>
                </c:pt>
                <c:pt idx="75">
                  <c:v>43891</c:v>
                </c:pt>
                <c:pt idx="76">
                  <c:v>43922</c:v>
                </c:pt>
                <c:pt idx="77">
                  <c:v>43952</c:v>
                </c:pt>
                <c:pt idx="78">
                  <c:v>43983</c:v>
                </c:pt>
                <c:pt idx="79">
                  <c:v>44013</c:v>
                </c:pt>
                <c:pt idx="80">
                  <c:v>44044</c:v>
                </c:pt>
                <c:pt idx="81">
                  <c:v>44075</c:v>
                </c:pt>
                <c:pt idx="82">
                  <c:v>44105</c:v>
                </c:pt>
                <c:pt idx="83">
                  <c:v>44136</c:v>
                </c:pt>
                <c:pt idx="84">
                  <c:v>44166</c:v>
                </c:pt>
                <c:pt idx="85">
                  <c:v>44197</c:v>
                </c:pt>
                <c:pt idx="86">
                  <c:v>44228</c:v>
                </c:pt>
                <c:pt idx="87">
                  <c:v>44256</c:v>
                </c:pt>
                <c:pt idx="88">
                  <c:v>44287</c:v>
                </c:pt>
                <c:pt idx="89">
                  <c:v>44317</c:v>
                </c:pt>
                <c:pt idx="90">
                  <c:v>44348</c:v>
                </c:pt>
                <c:pt idx="91">
                  <c:v>44378</c:v>
                </c:pt>
                <c:pt idx="92">
                  <c:v>44409</c:v>
                </c:pt>
                <c:pt idx="93">
                  <c:v>44440</c:v>
                </c:pt>
                <c:pt idx="94">
                  <c:v>44470</c:v>
                </c:pt>
                <c:pt idx="95">
                  <c:v>44501</c:v>
                </c:pt>
                <c:pt idx="96">
                  <c:v>44531</c:v>
                </c:pt>
                <c:pt idx="97">
                  <c:v>44562</c:v>
                </c:pt>
                <c:pt idx="98">
                  <c:v>44593</c:v>
                </c:pt>
                <c:pt idx="99">
                  <c:v>44621</c:v>
                </c:pt>
                <c:pt idx="100">
                  <c:v>44652</c:v>
                </c:pt>
                <c:pt idx="101">
                  <c:v>44682</c:v>
                </c:pt>
                <c:pt idx="102">
                  <c:v>44713</c:v>
                </c:pt>
                <c:pt idx="103">
                  <c:v>44743</c:v>
                </c:pt>
                <c:pt idx="104">
                  <c:v>44774</c:v>
                </c:pt>
                <c:pt idx="105">
                  <c:v>44805</c:v>
                </c:pt>
                <c:pt idx="106">
                  <c:v>44835</c:v>
                </c:pt>
                <c:pt idx="107">
                  <c:v>44866</c:v>
                </c:pt>
                <c:pt idx="108">
                  <c:v>44896</c:v>
                </c:pt>
                <c:pt idx="109">
                  <c:v>44927</c:v>
                </c:pt>
                <c:pt idx="110">
                  <c:v>44958</c:v>
                </c:pt>
                <c:pt idx="111">
                  <c:v>44986</c:v>
                </c:pt>
                <c:pt idx="112">
                  <c:v>45017</c:v>
                </c:pt>
                <c:pt idx="113">
                  <c:v>45047</c:v>
                </c:pt>
                <c:pt idx="114">
                  <c:v>45078</c:v>
                </c:pt>
                <c:pt idx="115">
                  <c:v>45108</c:v>
                </c:pt>
                <c:pt idx="116">
                  <c:v>45139</c:v>
                </c:pt>
                <c:pt idx="117">
                  <c:v>45170</c:v>
                </c:pt>
                <c:pt idx="118">
                  <c:v>45200</c:v>
                </c:pt>
                <c:pt idx="119">
                  <c:v>45231</c:v>
                </c:pt>
                <c:pt idx="120">
                  <c:v>45261</c:v>
                </c:pt>
                <c:pt idx="121">
                  <c:v>45292</c:v>
                </c:pt>
                <c:pt idx="122">
                  <c:v>45323</c:v>
                </c:pt>
                <c:pt idx="123">
                  <c:v>45352</c:v>
                </c:pt>
                <c:pt idx="124">
                  <c:v>45383</c:v>
                </c:pt>
                <c:pt idx="125">
                  <c:v>45413</c:v>
                </c:pt>
                <c:pt idx="126">
                  <c:v>45444</c:v>
                </c:pt>
                <c:pt idx="127">
                  <c:v>45474</c:v>
                </c:pt>
                <c:pt idx="128">
                  <c:v>45505</c:v>
                </c:pt>
                <c:pt idx="129">
                  <c:v>45536</c:v>
                </c:pt>
                <c:pt idx="130">
                  <c:v>45566</c:v>
                </c:pt>
                <c:pt idx="131">
                  <c:v>45597</c:v>
                </c:pt>
                <c:pt idx="132">
                  <c:v>45627</c:v>
                </c:pt>
                <c:pt idx="133">
                  <c:v>45658</c:v>
                </c:pt>
                <c:pt idx="134">
                  <c:v>45689</c:v>
                </c:pt>
                <c:pt idx="135">
                  <c:v>45717</c:v>
                </c:pt>
                <c:pt idx="136">
                  <c:v>45748</c:v>
                </c:pt>
                <c:pt idx="137">
                  <c:v>45778</c:v>
                </c:pt>
                <c:pt idx="138">
                  <c:v>45809</c:v>
                </c:pt>
                <c:pt idx="139">
                  <c:v>45839</c:v>
                </c:pt>
                <c:pt idx="140">
                  <c:v>45870</c:v>
                </c:pt>
                <c:pt idx="141">
                  <c:v>45901</c:v>
                </c:pt>
                <c:pt idx="142">
                  <c:v>45931</c:v>
                </c:pt>
                <c:pt idx="143">
                  <c:v>45962</c:v>
                </c:pt>
                <c:pt idx="144">
                  <c:v>45992</c:v>
                </c:pt>
              </c:numCache>
            </c:numRef>
          </c:cat>
          <c:val>
            <c:numRef>
              <c:f>'PHPUSD Macro Model'!$B$2:$B$146</c:f>
              <c:numCache>
                <c:formatCode>General</c:formatCode>
                <c:ptCount val="145"/>
                <c:pt idx="0">
                  <c:v>2.2200000000000001E-2</c:v>
                </c:pt>
                <c:pt idx="1">
                  <c:v>2.24E-2</c:v>
                </c:pt>
                <c:pt idx="2">
                  <c:v>2.23E-2</c:v>
                </c:pt>
                <c:pt idx="3">
                  <c:v>2.2499999999999999E-2</c:v>
                </c:pt>
                <c:pt idx="4">
                  <c:v>2.2800000000000001E-2</c:v>
                </c:pt>
                <c:pt idx="5">
                  <c:v>2.29E-2</c:v>
                </c:pt>
                <c:pt idx="6">
                  <c:v>2.3099999999999999E-2</c:v>
                </c:pt>
                <c:pt idx="7">
                  <c:v>2.3E-2</c:v>
                </c:pt>
                <c:pt idx="8">
                  <c:v>2.23E-2</c:v>
                </c:pt>
                <c:pt idx="9">
                  <c:v>2.23E-2</c:v>
                </c:pt>
                <c:pt idx="10">
                  <c:v>2.2200000000000001E-2</c:v>
                </c:pt>
                <c:pt idx="11">
                  <c:v>2.24E-2</c:v>
                </c:pt>
                <c:pt idx="12">
                  <c:v>2.2700000000000001E-2</c:v>
                </c:pt>
                <c:pt idx="13">
                  <c:v>2.2700000000000001E-2</c:v>
                </c:pt>
                <c:pt idx="14">
                  <c:v>2.24E-2</c:v>
                </c:pt>
                <c:pt idx="15">
                  <c:v>2.2700000000000001E-2</c:v>
                </c:pt>
                <c:pt idx="16">
                  <c:v>2.2499999999999999E-2</c:v>
                </c:pt>
                <c:pt idx="17">
                  <c:v>2.2200000000000001E-2</c:v>
                </c:pt>
                <c:pt idx="18">
                  <c:v>2.1899999999999999E-2</c:v>
                </c:pt>
                <c:pt idx="19">
                  <c:v>2.1399999999999999E-2</c:v>
                </c:pt>
                <c:pt idx="20">
                  <c:v>2.1399999999999999E-2</c:v>
                </c:pt>
                <c:pt idx="21">
                  <c:v>2.1399999999999999E-2</c:v>
                </c:pt>
                <c:pt idx="22">
                  <c:v>2.12E-2</c:v>
                </c:pt>
                <c:pt idx="23">
                  <c:v>2.1399999999999999E-2</c:v>
                </c:pt>
                <c:pt idx="24">
                  <c:v>2.0799999999999999E-2</c:v>
                </c:pt>
                <c:pt idx="25">
                  <c:v>2.1100000000000001E-2</c:v>
                </c:pt>
                <c:pt idx="26">
                  <c:v>2.1899999999999999E-2</c:v>
                </c:pt>
                <c:pt idx="27">
                  <c:v>2.1299999999999999E-2</c:v>
                </c:pt>
                <c:pt idx="28">
                  <c:v>2.1399999999999999E-2</c:v>
                </c:pt>
                <c:pt idx="29">
                  <c:v>2.1399999999999999E-2</c:v>
                </c:pt>
                <c:pt idx="30">
                  <c:v>2.1299999999999999E-2</c:v>
                </c:pt>
                <c:pt idx="31">
                  <c:v>2.1499999999999998E-2</c:v>
                </c:pt>
                <c:pt idx="32">
                  <c:v>2.0799999999999999E-2</c:v>
                </c:pt>
                <c:pt idx="33">
                  <c:v>2.06E-2</c:v>
                </c:pt>
                <c:pt idx="34">
                  <c:v>2.0199999999999999E-2</c:v>
                </c:pt>
                <c:pt idx="35">
                  <c:v>2.0199999999999999E-2</c:v>
                </c:pt>
                <c:pt idx="36">
                  <c:v>2.01E-2</c:v>
                </c:pt>
                <c:pt idx="37">
                  <c:v>0.02</c:v>
                </c:pt>
                <c:pt idx="38">
                  <c:v>0.02</c:v>
                </c:pt>
                <c:pt idx="39">
                  <c:v>1.9900000000000001E-2</c:v>
                </c:pt>
                <c:pt idx="40">
                  <c:v>2.01E-2</c:v>
                </c:pt>
                <c:pt idx="41">
                  <c:v>1.9800000000000002E-2</c:v>
                </c:pt>
                <c:pt idx="42">
                  <c:v>1.9800000000000002E-2</c:v>
                </c:pt>
                <c:pt idx="43">
                  <c:v>1.9599999999999999E-2</c:v>
                </c:pt>
                <c:pt idx="44">
                  <c:v>1.95E-2</c:v>
                </c:pt>
                <c:pt idx="45">
                  <c:v>1.9400000000000001E-2</c:v>
                </c:pt>
                <c:pt idx="46">
                  <c:v>1.9900000000000001E-2</c:v>
                </c:pt>
                <c:pt idx="47">
                  <c:v>0.02</c:v>
                </c:pt>
                <c:pt idx="48">
                  <c:v>1.95E-2</c:v>
                </c:pt>
                <c:pt idx="49">
                  <c:v>1.9199999999999998E-2</c:v>
                </c:pt>
                <c:pt idx="50">
                  <c:v>1.9199999999999998E-2</c:v>
                </c:pt>
                <c:pt idx="51">
                  <c:v>1.9400000000000001E-2</c:v>
                </c:pt>
                <c:pt idx="52">
                  <c:v>1.9E-2</c:v>
                </c:pt>
                <c:pt idx="53">
                  <c:v>1.8700000000000001E-2</c:v>
                </c:pt>
                <c:pt idx="54">
                  <c:v>1.89E-2</c:v>
                </c:pt>
                <c:pt idx="55">
                  <c:v>1.8700000000000001E-2</c:v>
                </c:pt>
                <c:pt idx="56">
                  <c:v>1.8599999999999998E-2</c:v>
                </c:pt>
                <c:pt idx="57">
                  <c:v>1.8700000000000001E-2</c:v>
                </c:pt>
                <c:pt idx="58">
                  <c:v>1.9099999999999999E-2</c:v>
                </c:pt>
                <c:pt idx="59">
                  <c:v>1.9E-2</c:v>
                </c:pt>
                <c:pt idx="60">
                  <c:v>1.9199999999999998E-2</c:v>
                </c:pt>
                <c:pt idx="61">
                  <c:v>1.9300000000000001E-2</c:v>
                </c:pt>
                <c:pt idx="62">
                  <c:v>1.9E-2</c:v>
                </c:pt>
                <c:pt idx="63">
                  <c:v>1.9199999999999998E-2</c:v>
                </c:pt>
                <c:pt idx="64">
                  <c:v>1.9199999999999998E-2</c:v>
                </c:pt>
                <c:pt idx="65">
                  <c:v>1.9599999999999999E-2</c:v>
                </c:pt>
                <c:pt idx="66">
                  <c:v>1.9699999999999999E-2</c:v>
                </c:pt>
                <c:pt idx="67">
                  <c:v>1.9199999999999998E-2</c:v>
                </c:pt>
                <c:pt idx="68">
                  <c:v>1.9300000000000001E-2</c:v>
                </c:pt>
                <c:pt idx="69">
                  <c:v>1.9699999999999999E-2</c:v>
                </c:pt>
                <c:pt idx="70">
                  <c:v>1.9699999999999999E-2</c:v>
                </c:pt>
                <c:pt idx="71">
                  <c:v>1.9699999999999999E-2</c:v>
                </c:pt>
                <c:pt idx="72">
                  <c:v>1.9699999999999999E-2</c:v>
                </c:pt>
                <c:pt idx="73">
                  <c:v>1.9599999999999999E-2</c:v>
                </c:pt>
                <c:pt idx="74">
                  <c:v>1.95E-2</c:v>
                </c:pt>
                <c:pt idx="75">
                  <c:v>1.9800000000000002E-2</c:v>
                </c:pt>
                <c:pt idx="76">
                  <c:v>1.9699999999999999E-2</c:v>
                </c:pt>
                <c:pt idx="77">
                  <c:v>2.01E-2</c:v>
                </c:pt>
                <c:pt idx="78">
                  <c:v>2.0400000000000001E-2</c:v>
                </c:pt>
                <c:pt idx="79">
                  <c:v>2.07E-2</c:v>
                </c:pt>
                <c:pt idx="80">
                  <c:v>2.07E-2</c:v>
                </c:pt>
                <c:pt idx="81">
                  <c:v>2.07E-2</c:v>
                </c:pt>
                <c:pt idx="82">
                  <c:v>2.0799999999999999E-2</c:v>
                </c:pt>
                <c:pt idx="83">
                  <c:v>2.0799999999999999E-2</c:v>
                </c:pt>
                <c:pt idx="84">
                  <c:v>2.0799999999999999E-2</c:v>
                </c:pt>
                <c:pt idx="85">
                  <c:v>2.0400000000000001E-2</c:v>
                </c:pt>
                <c:pt idx="86">
                  <c:v>2.06E-2</c:v>
                </c:pt>
                <c:pt idx="87">
                  <c:v>2.06E-2</c:v>
                </c:pt>
                <c:pt idx="88">
                  <c:v>2.0899999999999998E-2</c:v>
                </c:pt>
                <c:pt idx="89">
                  <c:v>2.0500000000000001E-2</c:v>
                </c:pt>
                <c:pt idx="90">
                  <c:v>1.9900000000000001E-2</c:v>
                </c:pt>
                <c:pt idx="91">
                  <c:v>0.02</c:v>
                </c:pt>
                <c:pt idx="92">
                  <c:v>1.9599999999999999E-2</c:v>
                </c:pt>
                <c:pt idx="93">
                  <c:v>1.9699999999999999E-2</c:v>
                </c:pt>
                <c:pt idx="94">
                  <c:v>1.9900000000000001E-2</c:v>
                </c:pt>
                <c:pt idx="95">
                  <c:v>1.95E-2</c:v>
                </c:pt>
                <c:pt idx="96">
                  <c:v>1.9599999999999999E-2</c:v>
                </c:pt>
                <c:pt idx="97">
                  <c:v>1.95E-2</c:v>
                </c:pt>
                <c:pt idx="98">
                  <c:v>1.9199999999999998E-2</c:v>
                </c:pt>
                <c:pt idx="99">
                  <c:v>1.9E-2</c:v>
                </c:pt>
                <c:pt idx="100">
                  <c:v>1.9099999999999999E-2</c:v>
                </c:pt>
                <c:pt idx="101">
                  <c:v>1.8200000000000001E-2</c:v>
                </c:pt>
                <c:pt idx="102">
                  <c:v>1.7899999999999999E-2</c:v>
                </c:pt>
                <c:pt idx="103">
                  <c:v>1.78E-2</c:v>
                </c:pt>
                <c:pt idx="104">
                  <c:v>1.7100000000000001E-2</c:v>
                </c:pt>
                <c:pt idx="105">
                  <c:v>1.7299999999999999E-2</c:v>
                </c:pt>
                <c:pt idx="106">
                  <c:v>1.77E-2</c:v>
                </c:pt>
                <c:pt idx="107">
                  <c:v>1.7999999999999999E-2</c:v>
                </c:pt>
                <c:pt idx="108">
                  <c:v>1.83E-2</c:v>
                </c:pt>
                <c:pt idx="109">
                  <c:v>1.8100000000000002E-2</c:v>
                </c:pt>
                <c:pt idx="110">
                  <c:v>1.84E-2</c:v>
                </c:pt>
                <c:pt idx="111">
                  <c:v>1.8100000000000002E-2</c:v>
                </c:pt>
                <c:pt idx="112">
                  <c:v>1.77E-2</c:v>
                </c:pt>
                <c:pt idx="113">
                  <c:v>1.7999999999999999E-2</c:v>
                </c:pt>
                <c:pt idx="114">
                  <c:v>1.8200000000000001E-2</c:v>
                </c:pt>
                <c:pt idx="115">
                  <c:v>1.7600000000000001E-2</c:v>
                </c:pt>
                <c:pt idx="116">
                  <c:v>1.77E-2</c:v>
                </c:pt>
                <c:pt idx="117">
                  <c:v>1.7600000000000001E-2</c:v>
                </c:pt>
                <c:pt idx="118">
                  <c:v>1.8100000000000002E-2</c:v>
                </c:pt>
                <c:pt idx="119">
                  <c:v>1.8100000000000002E-2</c:v>
                </c:pt>
                <c:pt idx="120">
                  <c:v>1.78E-2</c:v>
                </c:pt>
                <c:pt idx="121">
                  <c:v>1.78E-2</c:v>
                </c:pt>
                <c:pt idx="122">
                  <c:v>1.78E-2</c:v>
                </c:pt>
                <c:pt idx="123">
                  <c:v>1.7299999999999999E-2</c:v>
                </c:pt>
                <c:pt idx="124">
                  <c:v>1.7100000000000001E-2</c:v>
                </c:pt>
                <c:pt idx="125">
                  <c:v>1.7100000000000001E-2</c:v>
                </c:pt>
                <c:pt idx="126">
                  <c:v>1.7100000000000001E-2</c:v>
                </c:pt>
                <c:pt idx="127">
                  <c:v>1.78E-2</c:v>
                </c:pt>
                <c:pt idx="128" formatCode="0.00000">
                  <c:v>1.7689880675075584E-2</c:v>
                </c:pt>
                <c:pt idx="129" formatCode="0.00000">
                  <c:v>1.7625778908733382E-2</c:v>
                </c:pt>
                <c:pt idx="130" formatCode="0.00000">
                  <c:v>1.753222835727274E-2</c:v>
                </c:pt>
                <c:pt idx="131" formatCode="0.00000">
                  <c:v>1.73971787393285E-2</c:v>
                </c:pt>
                <c:pt idx="132" formatCode="0.00000">
                  <c:v>1.7360305540007122E-2</c:v>
                </c:pt>
                <c:pt idx="133" formatCode="0.00000">
                  <c:v>1.732439691027295E-2</c:v>
                </c:pt>
                <c:pt idx="134" formatCode="0.00000">
                  <c:v>1.7288208109975826E-2</c:v>
                </c:pt>
                <c:pt idx="135" formatCode="0.00000">
                  <c:v>1.7251920042864678E-2</c:v>
                </c:pt>
                <c:pt idx="136" formatCode="0.00000">
                  <c:v>1.721561166299701E-2</c:v>
                </c:pt>
                <c:pt idx="137" formatCode="0.00000">
                  <c:v>1.7179283784271193E-2</c:v>
                </c:pt>
                <c:pt idx="138" formatCode="0.00000">
                  <c:v>1.7142937180574507E-2</c:v>
                </c:pt>
                <c:pt idx="139" formatCode="0.00000">
                  <c:v>1.7106496331481834E-2</c:v>
                </c:pt>
                <c:pt idx="140" formatCode="0.00000">
                  <c:v>1.7070121977601788E-2</c:v>
                </c:pt>
                <c:pt idx="141" formatCode="0.00000">
                  <c:v>1.7033650409583531E-2</c:v>
                </c:pt>
                <c:pt idx="142" formatCode="0.00000">
                  <c:v>1.6997179698423698E-2</c:v>
                </c:pt>
                <c:pt idx="143" formatCode="0.00000">
                  <c:v>1.6960755818733266E-2</c:v>
                </c:pt>
                <c:pt idx="144" formatCode="0.00000">
                  <c:v>1.6924240662191632E-2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FFCC-F84A-BA51-C7FF19F1335D}"/>
            </c:ext>
          </c:extLst>
        </c:ser>
        <c:dLbls>
          <c:showLegendKey val="0"/>
          <c:showVal val="0"/>
          <c:showCatName val="0"/>
          <c:showSerName val="0"/>
          <c:showPercent val="0"/>
          <c:showBubbleSize val="0"/>
        </c:dLbls>
        <c:smooth val="0"/>
        <c:axId val="360295759"/>
        <c:axId val="349730735"/>
      </c:lineChart>
      <c:dateAx>
        <c:axId val="360295759"/>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349730735"/>
        <c:crosses val="autoZero"/>
        <c:auto val="1"/>
        <c:lblOffset val="100"/>
        <c:baseTimeUnit val="months"/>
      </c:dateAx>
      <c:valAx>
        <c:axId val="34973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360295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VND/USD Forecast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autoTitleDeleted val="0"/>
    <c:plotArea>
      <c:layout/>
      <c:lineChart>
        <c:grouping val="standard"/>
        <c:varyColors val="0"/>
        <c:ser>
          <c:idx val="0"/>
          <c:order val="0"/>
          <c:tx>
            <c:strRef>
              <c:f>'VNDUSD Macro Model'!$B$1</c:f>
              <c:strCache>
                <c:ptCount val="1"/>
                <c:pt idx="0">
                  <c:v>Exchange Rate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Pt>
            <c:idx val="126"/>
            <c:marker>
              <c:symbol val="none"/>
            </c:marker>
            <c:bubble3D val="0"/>
            <c:extLst>
              <c:ext xmlns:c16="http://schemas.microsoft.com/office/drawing/2014/chart" uri="{C3380CC4-5D6E-409C-BE32-E72D297353CC}">
                <c16:uniqueId val="{00000001-7AD9-4F48-895F-2C94AF3BCF62}"/>
              </c:ext>
            </c:extLst>
          </c:dPt>
          <c:dPt>
            <c:idx val="127"/>
            <c:marker>
              <c:symbol val="none"/>
            </c:marker>
            <c:bubble3D val="0"/>
            <c:extLst>
              <c:ext xmlns:c16="http://schemas.microsoft.com/office/drawing/2014/chart" uri="{C3380CC4-5D6E-409C-BE32-E72D297353CC}">
                <c16:uniqueId val="{00000003-7AD9-4F48-895F-2C94AF3BCF62}"/>
              </c:ext>
            </c:extLst>
          </c:dPt>
          <c:dPt>
            <c:idx val="128"/>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7AD9-4F48-895F-2C94AF3BCF62}"/>
              </c:ext>
            </c:extLst>
          </c:dPt>
          <c:dPt>
            <c:idx val="129"/>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AD9-4F48-895F-2C94AF3BCF62}"/>
              </c:ext>
            </c:extLst>
          </c:dPt>
          <c:dPt>
            <c:idx val="130"/>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AD9-4F48-895F-2C94AF3BCF62}"/>
              </c:ext>
            </c:extLst>
          </c:dPt>
          <c:dPt>
            <c:idx val="131"/>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AD9-4F48-895F-2C94AF3BCF62}"/>
              </c:ext>
            </c:extLst>
          </c:dPt>
          <c:dPt>
            <c:idx val="132"/>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AD9-4F48-895F-2C94AF3BCF62}"/>
              </c:ext>
            </c:extLst>
          </c:dPt>
          <c:dPt>
            <c:idx val="133"/>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7AD9-4F48-895F-2C94AF3BCF62}"/>
              </c:ext>
            </c:extLst>
          </c:dPt>
          <c:dPt>
            <c:idx val="134"/>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7AD9-4F48-895F-2C94AF3BCF62}"/>
              </c:ext>
            </c:extLst>
          </c:dPt>
          <c:dPt>
            <c:idx val="135"/>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AD9-4F48-895F-2C94AF3BCF62}"/>
              </c:ext>
            </c:extLst>
          </c:dPt>
          <c:dPt>
            <c:idx val="136"/>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7AD9-4F48-895F-2C94AF3BCF62}"/>
              </c:ext>
            </c:extLst>
          </c:dPt>
          <c:dPt>
            <c:idx val="137"/>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7AD9-4F48-895F-2C94AF3BCF62}"/>
              </c:ext>
            </c:extLst>
          </c:dPt>
          <c:dPt>
            <c:idx val="138"/>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AD9-4F48-895F-2C94AF3BCF62}"/>
              </c:ext>
            </c:extLst>
          </c:dPt>
          <c:dPt>
            <c:idx val="139"/>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AD9-4F48-895F-2C94AF3BCF62}"/>
              </c:ext>
            </c:extLst>
          </c:dPt>
          <c:dPt>
            <c:idx val="140"/>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7AD9-4F48-895F-2C94AF3BCF62}"/>
              </c:ext>
            </c:extLst>
          </c:dPt>
          <c:dPt>
            <c:idx val="141"/>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7AD9-4F48-895F-2C94AF3BCF62}"/>
              </c:ext>
            </c:extLst>
          </c:dPt>
          <c:dPt>
            <c:idx val="142"/>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AD9-4F48-895F-2C94AF3BCF62}"/>
              </c:ext>
            </c:extLst>
          </c:dPt>
          <c:dPt>
            <c:idx val="143"/>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AD9-4F48-895F-2C94AF3BCF62}"/>
              </c:ext>
            </c:extLst>
          </c:dPt>
          <c:dPt>
            <c:idx val="144"/>
            <c:marker>
              <c:symbol val="none"/>
            </c:marker>
            <c:bubble3D val="0"/>
            <c:spPr>
              <a:ln w="34925" cap="rnd">
                <a:solidFill>
                  <a:schemeClr val="accent6">
                    <a:lumMod val="60000"/>
                    <a:lumOff val="40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7AD9-4F48-895F-2C94AF3BCF62}"/>
              </c:ext>
            </c:extLst>
          </c:dPt>
          <c:cat>
            <c:numRef>
              <c:f>'VNDUSD Macro Model'!$A$2:$A$146</c:f>
              <c:numCache>
                <c:formatCode>m/d/yy</c:formatCode>
                <c:ptCount val="145"/>
                <c:pt idx="0">
                  <c:v>41609</c:v>
                </c:pt>
                <c:pt idx="1">
                  <c:v>41640</c:v>
                </c:pt>
                <c:pt idx="2">
                  <c:v>41671</c:v>
                </c:pt>
                <c:pt idx="3">
                  <c:v>41699</c:v>
                </c:pt>
                <c:pt idx="4">
                  <c:v>41730</c:v>
                </c:pt>
                <c:pt idx="5">
                  <c:v>41760</c:v>
                </c:pt>
                <c:pt idx="6">
                  <c:v>41791</c:v>
                </c:pt>
                <c:pt idx="7">
                  <c:v>41821</c:v>
                </c:pt>
                <c:pt idx="8">
                  <c:v>41852</c:v>
                </c:pt>
                <c:pt idx="9">
                  <c:v>41883</c:v>
                </c:pt>
                <c:pt idx="10">
                  <c:v>41913</c:v>
                </c:pt>
                <c:pt idx="11">
                  <c:v>41944</c:v>
                </c:pt>
                <c:pt idx="12">
                  <c:v>41974</c:v>
                </c:pt>
                <c:pt idx="13">
                  <c:v>42005</c:v>
                </c:pt>
                <c:pt idx="14">
                  <c:v>42036</c:v>
                </c:pt>
                <c:pt idx="15">
                  <c:v>42064</c:v>
                </c:pt>
                <c:pt idx="16">
                  <c:v>42095</c:v>
                </c:pt>
                <c:pt idx="17">
                  <c:v>42125</c:v>
                </c:pt>
                <c:pt idx="18">
                  <c:v>42156</c:v>
                </c:pt>
                <c:pt idx="19">
                  <c:v>42186</c:v>
                </c:pt>
                <c:pt idx="20">
                  <c:v>42217</c:v>
                </c:pt>
                <c:pt idx="21">
                  <c:v>42248</c:v>
                </c:pt>
                <c:pt idx="22">
                  <c:v>42278</c:v>
                </c:pt>
                <c:pt idx="23">
                  <c:v>42309</c:v>
                </c:pt>
                <c:pt idx="24">
                  <c:v>42339</c:v>
                </c:pt>
                <c:pt idx="25">
                  <c:v>42370</c:v>
                </c:pt>
                <c:pt idx="26">
                  <c:v>42401</c:v>
                </c:pt>
                <c:pt idx="27">
                  <c:v>42430</c:v>
                </c:pt>
                <c:pt idx="28">
                  <c:v>42461</c:v>
                </c:pt>
                <c:pt idx="29">
                  <c:v>42491</c:v>
                </c:pt>
                <c:pt idx="30">
                  <c:v>42522</c:v>
                </c:pt>
                <c:pt idx="31">
                  <c:v>42552</c:v>
                </c:pt>
                <c:pt idx="32">
                  <c:v>42583</c:v>
                </c:pt>
                <c:pt idx="33">
                  <c:v>42614</c:v>
                </c:pt>
                <c:pt idx="34">
                  <c:v>42644</c:v>
                </c:pt>
                <c:pt idx="35">
                  <c:v>42675</c:v>
                </c:pt>
                <c:pt idx="36">
                  <c:v>42705</c:v>
                </c:pt>
                <c:pt idx="37">
                  <c:v>42736</c:v>
                </c:pt>
                <c:pt idx="38">
                  <c:v>42767</c:v>
                </c:pt>
                <c:pt idx="39">
                  <c:v>42795</c:v>
                </c:pt>
                <c:pt idx="40">
                  <c:v>42826</c:v>
                </c:pt>
                <c:pt idx="41">
                  <c:v>42856</c:v>
                </c:pt>
                <c:pt idx="42">
                  <c:v>42887</c:v>
                </c:pt>
                <c:pt idx="43">
                  <c:v>42917</c:v>
                </c:pt>
                <c:pt idx="44">
                  <c:v>42948</c:v>
                </c:pt>
                <c:pt idx="45">
                  <c:v>42979</c:v>
                </c:pt>
                <c:pt idx="46">
                  <c:v>43009</c:v>
                </c:pt>
                <c:pt idx="47">
                  <c:v>43040</c:v>
                </c:pt>
                <c:pt idx="48">
                  <c:v>43070</c:v>
                </c:pt>
                <c:pt idx="49">
                  <c:v>43101</c:v>
                </c:pt>
                <c:pt idx="50">
                  <c:v>43132</c:v>
                </c:pt>
                <c:pt idx="51">
                  <c:v>43160</c:v>
                </c:pt>
                <c:pt idx="52">
                  <c:v>43191</c:v>
                </c:pt>
                <c:pt idx="53">
                  <c:v>43221</c:v>
                </c:pt>
                <c:pt idx="54">
                  <c:v>43252</c:v>
                </c:pt>
                <c:pt idx="55">
                  <c:v>43282</c:v>
                </c:pt>
                <c:pt idx="56">
                  <c:v>43313</c:v>
                </c:pt>
                <c:pt idx="57">
                  <c:v>43344</c:v>
                </c:pt>
                <c:pt idx="58">
                  <c:v>43374</c:v>
                </c:pt>
                <c:pt idx="59">
                  <c:v>43405</c:v>
                </c:pt>
                <c:pt idx="60">
                  <c:v>43435</c:v>
                </c:pt>
                <c:pt idx="61">
                  <c:v>43466</c:v>
                </c:pt>
                <c:pt idx="62">
                  <c:v>43497</c:v>
                </c:pt>
                <c:pt idx="63">
                  <c:v>43525</c:v>
                </c:pt>
                <c:pt idx="64">
                  <c:v>43556</c:v>
                </c:pt>
                <c:pt idx="65">
                  <c:v>43586</c:v>
                </c:pt>
                <c:pt idx="66">
                  <c:v>43617</c:v>
                </c:pt>
                <c:pt idx="67">
                  <c:v>43647</c:v>
                </c:pt>
                <c:pt idx="68">
                  <c:v>43678</c:v>
                </c:pt>
                <c:pt idx="69">
                  <c:v>43709</c:v>
                </c:pt>
                <c:pt idx="70">
                  <c:v>43739</c:v>
                </c:pt>
                <c:pt idx="71">
                  <c:v>43770</c:v>
                </c:pt>
                <c:pt idx="72">
                  <c:v>43800</c:v>
                </c:pt>
                <c:pt idx="73">
                  <c:v>43831</c:v>
                </c:pt>
                <c:pt idx="74">
                  <c:v>43862</c:v>
                </c:pt>
                <c:pt idx="75">
                  <c:v>43891</c:v>
                </c:pt>
                <c:pt idx="76">
                  <c:v>43922</c:v>
                </c:pt>
                <c:pt idx="77">
                  <c:v>43952</c:v>
                </c:pt>
                <c:pt idx="78">
                  <c:v>43983</c:v>
                </c:pt>
                <c:pt idx="79">
                  <c:v>44013</c:v>
                </c:pt>
                <c:pt idx="80">
                  <c:v>44044</c:v>
                </c:pt>
                <c:pt idx="81">
                  <c:v>44075</c:v>
                </c:pt>
                <c:pt idx="82">
                  <c:v>44105</c:v>
                </c:pt>
                <c:pt idx="83">
                  <c:v>44136</c:v>
                </c:pt>
                <c:pt idx="84">
                  <c:v>44166</c:v>
                </c:pt>
                <c:pt idx="85">
                  <c:v>44197</c:v>
                </c:pt>
                <c:pt idx="86">
                  <c:v>44228</c:v>
                </c:pt>
                <c:pt idx="87">
                  <c:v>44256</c:v>
                </c:pt>
                <c:pt idx="88">
                  <c:v>44287</c:v>
                </c:pt>
                <c:pt idx="89">
                  <c:v>44317</c:v>
                </c:pt>
                <c:pt idx="90">
                  <c:v>44348</c:v>
                </c:pt>
                <c:pt idx="91">
                  <c:v>44378</c:v>
                </c:pt>
                <c:pt idx="92">
                  <c:v>44409</c:v>
                </c:pt>
                <c:pt idx="93">
                  <c:v>44440</c:v>
                </c:pt>
                <c:pt idx="94">
                  <c:v>44470</c:v>
                </c:pt>
                <c:pt idx="95">
                  <c:v>44501</c:v>
                </c:pt>
                <c:pt idx="96">
                  <c:v>44531</c:v>
                </c:pt>
                <c:pt idx="97">
                  <c:v>44562</c:v>
                </c:pt>
                <c:pt idx="98">
                  <c:v>44593</c:v>
                </c:pt>
                <c:pt idx="99">
                  <c:v>44621</c:v>
                </c:pt>
                <c:pt idx="100">
                  <c:v>44652</c:v>
                </c:pt>
                <c:pt idx="101">
                  <c:v>44682</c:v>
                </c:pt>
                <c:pt idx="102">
                  <c:v>44713</c:v>
                </c:pt>
                <c:pt idx="103">
                  <c:v>44743</c:v>
                </c:pt>
                <c:pt idx="104">
                  <c:v>44774</c:v>
                </c:pt>
                <c:pt idx="105">
                  <c:v>44805</c:v>
                </c:pt>
                <c:pt idx="106">
                  <c:v>44835</c:v>
                </c:pt>
                <c:pt idx="107">
                  <c:v>44866</c:v>
                </c:pt>
                <c:pt idx="108">
                  <c:v>44896</c:v>
                </c:pt>
                <c:pt idx="109">
                  <c:v>44927</c:v>
                </c:pt>
                <c:pt idx="110">
                  <c:v>44958</c:v>
                </c:pt>
                <c:pt idx="111">
                  <c:v>44986</c:v>
                </c:pt>
                <c:pt idx="112">
                  <c:v>45017</c:v>
                </c:pt>
                <c:pt idx="113">
                  <c:v>45047</c:v>
                </c:pt>
                <c:pt idx="114">
                  <c:v>45078</c:v>
                </c:pt>
                <c:pt idx="115">
                  <c:v>45108</c:v>
                </c:pt>
                <c:pt idx="116">
                  <c:v>45139</c:v>
                </c:pt>
                <c:pt idx="117">
                  <c:v>45170</c:v>
                </c:pt>
                <c:pt idx="118">
                  <c:v>45200</c:v>
                </c:pt>
                <c:pt idx="119">
                  <c:v>45231</c:v>
                </c:pt>
                <c:pt idx="120">
                  <c:v>45261</c:v>
                </c:pt>
                <c:pt idx="121">
                  <c:v>45292</c:v>
                </c:pt>
                <c:pt idx="122">
                  <c:v>45323</c:v>
                </c:pt>
                <c:pt idx="123">
                  <c:v>45352</c:v>
                </c:pt>
                <c:pt idx="124">
                  <c:v>45383</c:v>
                </c:pt>
                <c:pt idx="125">
                  <c:v>45413</c:v>
                </c:pt>
                <c:pt idx="126">
                  <c:v>45444</c:v>
                </c:pt>
                <c:pt idx="127">
                  <c:v>45474</c:v>
                </c:pt>
                <c:pt idx="128">
                  <c:v>45505</c:v>
                </c:pt>
                <c:pt idx="129">
                  <c:v>45536</c:v>
                </c:pt>
                <c:pt idx="130">
                  <c:v>45566</c:v>
                </c:pt>
                <c:pt idx="131">
                  <c:v>45597</c:v>
                </c:pt>
                <c:pt idx="132">
                  <c:v>45627</c:v>
                </c:pt>
                <c:pt idx="133">
                  <c:v>45658</c:v>
                </c:pt>
                <c:pt idx="134">
                  <c:v>45689</c:v>
                </c:pt>
                <c:pt idx="135">
                  <c:v>45717</c:v>
                </c:pt>
                <c:pt idx="136">
                  <c:v>45748</c:v>
                </c:pt>
                <c:pt idx="137">
                  <c:v>45778</c:v>
                </c:pt>
                <c:pt idx="138">
                  <c:v>45809</c:v>
                </c:pt>
                <c:pt idx="139">
                  <c:v>45839</c:v>
                </c:pt>
                <c:pt idx="140">
                  <c:v>45870</c:v>
                </c:pt>
                <c:pt idx="141">
                  <c:v>45901</c:v>
                </c:pt>
                <c:pt idx="142">
                  <c:v>45931</c:v>
                </c:pt>
                <c:pt idx="143">
                  <c:v>45962</c:v>
                </c:pt>
                <c:pt idx="144">
                  <c:v>45992</c:v>
                </c:pt>
              </c:numCache>
            </c:numRef>
          </c:cat>
          <c:val>
            <c:numRef>
              <c:f>'VNDUSD Macro Model'!$B$2:$B$146</c:f>
              <c:numCache>
                <c:formatCode>0.000000000</c:formatCode>
                <c:ptCount val="145"/>
                <c:pt idx="0">
                  <c:v>4.7551117451260102E-5</c:v>
                </c:pt>
                <c:pt idx="1">
                  <c:v>4.752625825768737E-5</c:v>
                </c:pt>
                <c:pt idx="2">
                  <c:v>4.7505938242280282E-5</c:v>
                </c:pt>
                <c:pt idx="3">
                  <c:v>4.7510452299505891E-5</c:v>
                </c:pt>
                <c:pt idx="4">
                  <c:v>3.1152647975077901E-5</c:v>
                </c:pt>
                <c:pt idx="5">
                  <c:v>4.7415836889521102E-5</c:v>
                </c:pt>
                <c:pt idx="6">
                  <c:v>4.7167586434602143E-5</c:v>
                </c:pt>
                <c:pt idx="7">
                  <c:v>3.1142946122703201E-5</c:v>
                </c:pt>
                <c:pt idx="8">
                  <c:v>4.7666714333381001E-5</c:v>
                </c:pt>
                <c:pt idx="9">
                  <c:v>4.7961630695443642E-5</c:v>
                </c:pt>
                <c:pt idx="10">
                  <c:v>4.7487890587900086E-5</c:v>
                </c:pt>
                <c:pt idx="11">
                  <c:v>4.7460844803037492E-5</c:v>
                </c:pt>
                <c:pt idx="12">
                  <c:v>4.7478871902003608E-5</c:v>
                </c:pt>
                <c:pt idx="13">
                  <c:v>4.7451836386068141E-5</c:v>
                </c:pt>
                <c:pt idx="14">
                  <c:v>4.7655356462066336E-5</c:v>
                </c:pt>
                <c:pt idx="15">
                  <c:v>4.7200981780421035E-5</c:v>
                </c:pt>
                <c:pt idx="16">
                  <c:v>4.6349942062572421E-5</c:v>
                </c:pt>
                <c:pt idx="17">
                  <c:v>4.5903144365389032E-5</c:v>
                </c:pt>
                <c:pt idx="18">
                  <c:v>4.5903144365389032E-5</c:v>
                </c:pt>
                <c:pt idx="19">
                  <c:v>4.658746797111577E-5</c:v>
                </c:pt>
                <c:pt idx="20">
                  <c:v>4.5189570247186951E-5</c:v>
                </c:pt>
                <c:pt idx="21">
                  <c:v>4.5238633793259441E-5</c:v>
                </c:pt>
                <c:pt idx="22">
                  <c:v>4.4000528006336101E-5</c:v>
                </c:pt>
                <c:pt idx="23">
                  <c:v>4.5205912933411693E-5</c:v>
                </c:pt>
                <c:pt idx="24">
                  <c:v>4.5075501464953795E-5</c:v>
                </c:pt>
                <c:pt idx="25">
                  <c:v>4.3900083410158503E-5</c:v>
                </c:pt>
                <c:pt idx="26">
                  <c:v>4.5576774075930902E-5</c:v>
                </c:pt>
                <c:pt idx="27">
                  <c:v>4.5591319412783804E-5</c:v>
                </c:pt>
                <c:pt idx="28">
                  <c:v>4.5789642382892991E-5</c:v>
                </c:pt>
                <c:pt idx="29">
                  <c:v>4.5413260672116258E-5</c:v>
                </c:pt>
                <c:pt idx="30">
                  <c:v>4.5396767750136188E-5</c:v>
                </c:pt>
                <c:pt idx="31">
                  <c:v>4.4399058739954699E-5</c:v>
                </c:pt>
                <c:pt idx="32">
                  <c:v>4.5626682483916596E-5</c:v>
                </c:pt>
                <c:pt idx="33">
                  <c:v>4.5877873101803002E-5</c:v>
                </c:pt>
                <c:pt idx="34">
                  <c:v>4.5628764373060775E-5</c:v>
                </c:pt>
                <c:pt idx="35">
                  <c:v>4.4861154726122651E-5</c:v>
                </c:pt>
                <c:pt idx="36">
                  <c:v>4.2999656002751997E-5</c:v>
                </c:pt>
                <c:pt idx="37">
                  <c:v>4.5183444785830472E-5</c:v>
                </c:pt>
                <c:pt idx="38">
                  <c:v>4.3936731107205627E-5</c:v>
                </c:pt>
                <c:pt idx="39">
                  <c:v>4.4573211499888568E-5</c:v>
                </c:pt>
                <c:pt idx="40">
                  <c:v>4.3099732781656801E-5</c:v>
                </c:pt>
                <c:pt idx="41">
                  <c:v>4.483500717360115E-5</c:v>
                </c:pt>
                <c:pt idx="42">
                  <c:v>4.4766765153550001E-5</c:v>
                </c:pt>
                <c:pt idx="43">
                  <c:v>4.5083630133898384E-5</c:v>
                </c:pt>
                <c:pt idx="44">
                  <c:v>4.4863167339614178E-5</c:v>
                </c:pt>
                <c:pt idx="45">
                  <c:v>4.3099732781656801E-5</c:v>
                </c:pt>
                <c:pt idx="46">
                  <c:v>4.4740727484228892E-5</c:v>
                </c:pt>
                <c:pt idx="47">
                  <c:v>4.4893378226711559E-5</c:v>
                </c:pt>
                <c:pt idx="48">
                  <c:v>4.4756747079622256E-5</c:v>
                </c:pt>
                <c:pt idx="49">
                  <c:v>4.4127119853599626E-5</c:v>
                </c:pt>
                <c:pt idx="50">
                  <c:v>4.4016407767438149E-5</c:v>
                </c:pt>
                <c:pt idx="51">
                  <c:v>4.3902202680629862E-5</c:v>
                </c:pt>
                <c:pt idx="52">
                  <c:v>4.3997624128297071E-5</c:v>
                </c:pt>
                <c:pt idx="53">
                  <c:v>4.3821209465381244E-5</c:v>
                </c:pt>
                <c:pt idx="54">
                  <c:v>4.3656683838295645E-5</c:v>
                </c:pt>
                <c:pt idx="55">
                  <c:v>4.3061685865001613E-5</c:v>
                </c:pt>
                <c:pt idx="56">
                  <c:v>4.2977479800584495E-5</c:v>
                </c:pt>
                <c:pt idx="57">
                  <c:v>4.289544235924933E-5</c:v>
                </c:pt>
                <c:pt idx="58">
                  <c:v>4.2900042900042899E-5</c:v>
                </c:pt>
                <c:pt idx="59">
                  <c:v>4.2932274337233013E-5</c:v>
                </c:pt>
                <c:pt idx="60">
                  <c:v>4.3114598603087008E-5</c:v>
                </c:pt>
                <c:pt idx="61">
                  <c:v>4.3114598603087008E-5</c:v>
                </c:pt>
                <c:pt idx="62">
                  <c:v>4.3107164410725064E-5</c:v>
                </c:pt>
                <c:pt idx="63">
                  <c:v>4.3107164410725064E-5</c:v>
                </c:pt>
                <c:pt idx="64">
                  <c:v>4.3001689226757559E-5</c:v>
                </c:pt>
                <c:pt idx="65">
                  <c:v>4.2766662285079565E-5</c:v>
                </c:pt>
                <c:pt idx="66">
                  <c:v>4.2955326460481103E-5</c:v>
                </c:pt>
                <c:pt idx="67">
                  <c:v>4.3090446847933813E-5</c:v>
                </c:pt>
                <c:pt idx="68">
                  <c:v>4.3090446847933813E-5</c:v>
                </c:pt>
                <c:pt idx="69">
                  <c:v>4.3792232900967944E-5</c:v>
                </c:pt>
                <c:pt idx="70">
                  <c:v>4.3090446847933813E-5</c:v>
                </c:pt>
                <c:pt idx="71">
                  <c:v>4.3090446847933813E-5</c:v>
                </c:pt>
                <c:pt idx="72">
                  <c:v>4.3157395019636617E-5</c:v>
                </c:pt>
                <c:pt idx="73">
                  <c:v>4.3136916573203351E-5</c:v>
                </c:pt>
                <c:pt idx="74">
                  <c:v>4.3029259896729779E-5</c:v>
                </c:pt>
                <c:pt idx="75">
                  <c:v>4.2317295078498584E-5</c:v>
                </c:pt>
                <c:pt idx="76">
                  <c:v>4.265483705852244E-5</c:v>
                </c:pt>
                <c:pt idx="77">
                  <c:v>4.2901883392680941E-5</c:v>
                </c:pt>
                <c:pt idx="78">
                  <c:v>4.2984869325997249E-5</c:v>
                </c:pt>
                <c:pt idx="79">
                  <c:v>4.3149946062567421E-5</c:v>
                </c:pt>
                <c:pt idx="80">
                  <c:v>4.3151808060757745E-5</c:v>
                </c:pt>
                <c:pt idx="81">
                  <c:v>4.3122035360068997E-5</c:v>
                </c:pt>
                <c:pt idx="82">
                  <c:v>4.3159257660768235E-5</c:v>
                </c:pt>
                <c:pt idx="83">
                  <c:v>4.3177892918825559E-5</c:v>
                </c:pt>
                <c:pt idx="84">
                  <c:v>4.3312543312543313E-5</c:v>
                </c:pt>
                <c:pt idx="85">
                  <c:v>4.3387712599791739E-5</c:v>
                </c:pt>
                <c:pt idx="86">
                  <c:v>4.3431053203040177E-5</c:v>
                </c:pt>
                <c:pt idx="87">
                  <c:v>4.3346337234503684E-5</c:v>
                </c:pt>
                <c:pt idx="88">
                  <c:v>4.3376420577773921E-5</c:v>
                </c:pt>
                <c:pt idx="89">
                  <c:v>4.3393360815795186E-5</c:v>
                </c:pt>
                <c:pt idx="90">
                  <c:v>4.3440486533449174E-5</c:v>
                </c:pt>
                <c:pt idx="91">
                  <c:v>4.3544524276072285E-5</c:v>
                </c:pt>
                <c:pt idx="92">
                  <c:v>4.3907793633369924E-5</c:v>
                </c:pt>
                <c:pt idx="93">
                  <c:v>4.3950248318903001E-5</c:v>
                </c:pt>
                <c:pt idx="94">
                  <c:v>4.3956043956043955E-5</c:v>
                </c:pt>
                <c:pt idx="95">
                  <c:v>4.4072278536800355E-5</c:v>
                </c:pt>
                <c:pt idx="96">
                  <c:v>4.392708104546453E-5</c:v>
                </c:pt>
                <c:pt idx="97">
                  <c:v>4.41598586884522E-5</c:v>
                </c:pt>
                <c:pt idx="98">
                  <c:v>4.3821209465381244E-5</c:v>
                </c:pt>
                <c:pt idx="99">
                  <c:v>4.3756016452262186E-5</c:v>
                </c:pt>
                <c:pt idx="100">
                  <c:v>4.3561596096880988E-5</c:v>
                </c:pt>
                <c:pt idx="101">
                  <c:v>4.3148084225060405E-5</c:v>
                </c:pt>
                <c:pt idx="102">
                  <c:v>4.2983021706425962E-5</c:v>
                </c:pt>
                <c:pt idx="103">
                  <c:v>4.2811884579159176E-5</c:v>
                </c:pt>
                <c:pt idx="104">
                  <c:v>4.2707666026051675E-5</c:v>
                </c:pt>
                <c:pt idx="105">
                  <c:v>4.1981528127623844E-5</c:v>
                </c:pt>
                <c:pt idx="106">
                  <c:v>4.0290088638195005E-5</c:v>
                </c:pt>
                <c:pt idx="107">
                  <c:v>4.0404040404040405E-5</c:v>
                </c:pt>
                <c:pt idx="108">
                  <c:v>4.2372881355932206E-5</c:v>
                </c:pt>
                <c:pt idx="109">
                  <c:v>4.2607584149978694E-5</c:v>
                </c:pt>
                <c:pt idx="110">
                  <c:v>4.2007981516488134E-5</c:v>
                </c:pt>
                <c:pt idx="111">
                  <c:v>4.2607584149978694E-5</c:v>
                </c:pt>
                <c:pt idx="112">
                  <c:v>4.2653017701002346E-5</c:v>
                </c:pt>
                <c:pt idx="113">
                  <c:v>4.2589437819420782E-5</c:v>
                </c:pt>
                <c:pt idx="114">
                  <c:v>4.2428613857185285E-5</c:v>
                </c:pt>
                <c:pt idx="115">
                  <c:v>4.2220814861726833E-5</c:v>
                </c:pt>
                <c:pt idx="116">
                  <c:v>4.1476565740356696E-5</c:v>
                </c:pt>
                <c:pt idx="117">
                  <c:v>4.1008816895632564E-5</c:v>
                </c:pt>
                <c:pt idx="118">
                  <c:v>4.0719928332926137E-5</c:v>
                </c:pt>
                <c:pt idx="119">
                  <c:v>4.1220115416323168E-5</c:v>
                </c:pt>
                <c:pt idx="120">
                  <c:v>4.1262636682484009E-5</c:v>
                </c:pt>
                <c:pt idx="121">
                  <c:v>4.0992006558721051E-5</c:v>
                </c:pt>
                <c:pt idx="122">
                  <c:v>4.0617384240454911E-5</c:v>
                </c:pt>
                <c:pt idx="123">
                  <c:v>4.0338846308995566E-5</c:v>
                </c:pt>
                <c:pt idx="124">
                  <c:v>3.9478878799842084E-5</c:v>
                </c:pt>
                <c:pt idx="125">
                  <c:v>3.929273084479371E-5</c:v>
                </c:pt>
                <c:pt idx="126">
                  <c:v>3.9285012767629152E-5</c:v>
                </c:pt>
                <c:pt idx="127">
                  <c:v>3.9564787339268051E-5</c:v>
                </c:pt>
                <c:pt idx="128">
                  <c:v>4.042139196429747E-5</c:v>
                </c:pt>
                <c:pt idx="129">
                  <c:v>4.0370414061543334E-5</c:v>
                </c:pt>
                <c:pt idx="130">
                  <c:v>4.0319387634495267E-5</c:v>
                </c:pt>
                <c:pt idx="131">
                  <c:v>4.0268314362711374E-5</c:v>
                </c:pt>
                <c:pt idx="132">
                  <c:v>4.0217195859966671E-5</c:v>
                </c:pt>
                <c:pt idx="133">
                  <c:v>4.016603367710783E-5</c:v>
                </c:pt>
                <c:pt idx="134">
                  <c:v>4.0033760121783687E-5</c:v>
                </c:pt>
                <c:pt idx="135">
                  <c:v>3.9983439886331672E-5</c:v>
                </c:pt>
                <c:pt idx="136">
                  <c:v>3.9933050097827266E-5</c:v>
                </c:pt>
                <c:pt idx="137">
                  <c:v>3.9882593181035787E-5</c:v>
                </c:pt>
                <c:pt idx="138">
                  <c:v>3.9832071461119595E-5</c:v>
                </c:pt>
                <c:pt idx="139">
                  <c:v>3.9781487168339616E-5</c:v>
                </c:pt>
                <c:pt idx="140">
                  <c:v>3.9730842442507953E-5</c:v>
                </c:pt>
                <c:pt idx="141">
                  <c:v>3.9680139337206052E-5</c:v>
                </c:pt>
                <c:pt idx="142">
                  <c:v>3.9629379823781804E-5</c:v>
                </c:pt>
                <c:pt idx="143">
                  <c:v>3.9578565795138666E-5</c:v>
                </c:pt>
                <c:pt idx="144">
                  <c:v>3.9527699069328368E-5</c:v>
                </c:pt>
              </c:numCache>
            </c:numRef>
          </c:val>
          <c:smooth val="0"/>
          <c:extLst>
            <c:ext xmlns:c16="http://schemas.microsoft.com/office/drawing/2014/chart" uri="{C3380CC4-5D6E-409C-BE32-E72D297353CC}">
              <c16:uniqueId val="{00000000-7AD9-4F48-895F-2C94AF3BCF62}"/>
            </c:ext>
          </c:extLst>
        </c:ser>
        <c:dLbls>
          <c:showLegendKey val="0"/>
          <c:showVal val="0"/>
          <c:showCatName val="0"/>
          <c:showSerName val="0"/>
          <c:showPercent val="0"/>
          <c:showBubbleSize val="0"/>
        </c:dLbls>
        <c:smooth val="0"/>
        <c:axId val="538806415"/>
        <c:axId val="185823583"/>
      </c:lineChart>
      <c:dateAx>
        <c:axId val="538806415"/>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185823583"/>
        <c:crosses val="autoZero"/>
        <c:auto val="1"/>
        <c:lblOffset val="100"/>
        <c:baseTimeUnit val="months"/>
      </c:dateAx>
      <c:valAx>
        <c:axId val="185823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VND/USD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title>
        <c:numFmt formatCode="0.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VN"/>
          </a:p>
        </c:txPr>
        <c:crossAx val="5388064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317578</xdr:colOff>
      <xdr:row>2</xdr:row>
      <xdr:rowOff>67792</xdr:rowOff>
    </xdr:from>
    <xdr:to>
      <xdr:col>6</xdr:col>
      <xdr:colOff>760130</xdr:colOff>
      <xdr:row>15</xdr:row>
      <xdr:rowOff>180586</xdr:rowOff>
    </xdr:to>
    <xdr:graphicFrame macro="">
      <xdr:nvGraphicFramePr>
        <xdr:cNvPr id="2" name="Chart 1">
          <a:extLst>
            <a:ext uri="{FF2B5EF4-FFF2-40B4-BE49-F238E27FC236}">
              <a16:creationId xmlns:a16="http://schemas.microsoft.com/office/drawing/2014/main" id="{180B1625-5F76-559A-504A-5D507622A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277906</xdr:colOff>
      <xdr:row>15</xdr:row>
      <xdr:rowOff>1243605</xdr:rowOff>
    </xdr:from>
    <xdr:to>
      <xdr:col>26</xdr:col>
      <xdr:colOff>584698</xdr:colOff>
      <xdr:row>29</xdr:row>
      <xdr:rowOff>192243</xdr:rowOff>
    </xdr:to>
    <xdr:graphicFrame macro="">
      <xdr:nvGraphicFramePr>
        <xdr:cNvPr id="4" name="Chart 3">
          <a:extLst>
            <a:ext uri="{FF2B5EF4-FFF2-40B4-BE49-F238E27FC236}">
              <a16:creationId xmlns:a16="http://schemas.microsoft.com/office/drawing/2014/main" id="{2202926A-579A-33B1-CE33-813EB948F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143933</xdr:colOff>
      <xdr:row>45</xdr:row>
      <xdr:rowOff>93133</xdr:rowOff>
    </xdr:from>
    <xdr:to>
      <xdr:col>22</xdr:col>
      <xdr:colOff>245533</xdr:colOff>
      <xdr:row>58</xdr:row>
      <xdr:rowOff>194733</xdr:rowOff>
    </xdr:to>
    <xdr:graphicFrame macro="">
      <xdr:nvGraphicFramePr>
        <xdr:cNvPr id="5" name="Chart 4">
          <a:extLst>
            <a:ext uri="{FF2B5EF4-FFF2-40B4-BE49-F238E27FC236}">
              <a16:creationId xmlns:a16="http://schemas.microsoft.com/office/drawing/2014/main" id="{7CD265CE-818A-6B23-A09D-5EF8236BE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1524000</xdr:colOff>
      <xdr:row>127</xdr:row>
      <xdr:rowOff>162560</xdr:rowOff>
    </xdr:from>
    <xdr:to>
      <xdr:col>6</xdr:col>
      <xdr:colOff>50800</xdr:colOff>
      <xdr:row>158</xdr:row>
      <xdr:rowOff>177800</xdr:rowOff>
    </xdr:to>
    <xdr:graphicFrame macro="">
      <xdr:nvGraphicFramePr>
        <xdr:cNvPr id="2" name="Chart 1">
          <a:extLst>
            <a:ext uri="{FF2B5EF4-FFF2-40B4-BE49-F238E27FC236}">
              <a16:creationId xmlns:a16="http://schemas.microsoft.com/office/drawing/2014/main" id="{39245AF8-C042-CD40-D10B-63EB79253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98704</xdr:colOff>
      <xdr:row>114</xdr:row>
      <xdr:rowOff>89458</xdr:rowOff>
    </xdr:from>
    <xdr:to>
      <xdr:col>7</xdr:col>
      <xdr:colOff>442317</xdr:colOff>
      <xdr:row>137</xdr:row>
      <xdr:rowOff>183496</xdr:rowOff>
    </xdr:to>
    <xdr:graphicFrame macro="">
      <xdr:nvGraphicFramePr>
        <xdr:cNvPr id="2" name="Chart 1">
          <a:extLst>
            <a:ext uri="{FF2B5EF4-FFF2-40B4-BE49-F238E27FC236}">
              <a16:creationId xmlns:a16="http://schemas.microsoft.com/office/drawing/2014/main" id="{83FF4B01-BA1F-0D38-D977-B5962385F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228600</xdr:colOff>
      <xdr:row>8</xdr:row>
      <xdr:rowOff>0</xdr:rowOff>
    </xdr:from>
    <xdr:to>
      <xdr:col>6</xdr:col>
      <xdr:colOff>557212</xdr:colOff>
      <xdr:row>21</xdr:row>
      <xdr:rowOff>26988</xdr:rowOff>
    </xdr:to>
    <xdr:sp macro="" textlink="">
      <xdr:nvSpPr>
        <xdr:cNvPr id="2" name="Content Placeholder 5">
          <a:extLst>
            <a:ext uri="{FF2B5EF4-FFF2-40B4-BE49-F238E27FC236}">
              <a16:creationId xmlns:a16="http://schemas.microsoft.com/office/drawing/2014/main" id="{B1EBFC8C-2436-4D67-AB1A-BF75AAE76534}"/>
            </a:ext>
          </a:extLst>
        </xdr:cNvPr>
        <xdr:cNvSpPr>
          <a:spLocks noGrp="1"/>
        </xdr:cNvSpPr>
      </xdr:nvSpPr>
      <xdr:spPr>
        <a:xfrm>
          <a:off x="228600" y="1625600"/>
          <a:ext cx="5281612" cy="2668588"/>
        </a:xfrm>
        <a:prstGeom prst="rect">
          <a:avLst/>
        </a:prstGeom>
      </xdr:spPr>
      <xdr:txBody>
        <a:bodyPr vert="horz" wrap="square" lIns="180000" tIns="180000" rIns="180000" bIns="180000" rtlCol="0">
          <a:noAutofit/>
        </a:bodyPr>
        <a:lstStyle>
          <a:lvl1pPr marL="457189" indent="-457189" algn="l" defTabSz="609585" rtl="0" eaLnBrk="1" latinLnBrk="0" hangingPunct="1">
            <a:lnSpc>
              <a:spcPct val="150000"/>
            </a:lnSpc>
            <a:spcBef>
              <a:spcPts val="2400"/>
            </a:spcBef>
            <a:buClr>
              <a:srgbClr val="A60C0C"/>
            </a:buClr>
            <a:buFont typeface="Arial"/>
            <a:buChar char="•"/>
            <a:defRPr sz="3200" kern="1200">
              <a:solidFill>
                <a:srgbClr val="000054"/>
              </a:solidFill>
              <a:latin typeface="Arial"/>
              <a:ea typeface="+mn-ea"/>
              <a:cs typeface="Arial"/>
            </a:defRPr>
          </a:lvl1pPr>
          <a:lvl2pPr marL="990575" indent="-380990" algn="l" defTabSz="609585" rtl="0" eaLnBrk="1" latinLnBrk="0" hangingPunct="1">
            <a:lnSpc>
              <a:spcPct val="150000"/>
            </a:lnSpc>
            <a:spcBef>
              <a:spcPts val="2400"/>
            </a:spcBef>
            <a:buClr>
              <a:srgbClr val="A60C0C"/>
            </a:buClr>
            <a:buFont typeface="Courier New"/>
            <a:buChar char="o"/>
            <a:defRPr sz="2933" kern="1200">
              <a:solidFill>
                <a:srgbClr val="000054"/>
              </a:solidFill>
              <a:latin typeface="Arial"/>
              <a:ea typeface="+mn-ea"/>
              <a:cs typeface="Arial"/>
            </a:defRPr>
          </a:lvl2pPr>
          <a:lvl3pPr marL="1523962" indent="-304792" algn="l" defTabSz="609585" rtl="0" eaLnBrk="1" latinLnBrk="0" hangingPunct="1">
            <a:lnSpc>
              <a:spcPct val="150000"/>
            </a:lnSpc>
            <a:spcBef>
              <a:spcPts val="2400"/>
            </a:spcBef>
            <a:buClr>
              <a:srgbClr val="A60C0C"/>
            </a:buClr>
            <a:buFont typeface="Arial"/>
            <a:buChar char="•"/>
            <a:defRPr sz="2667" kern="1200">
              <a:solidFill>
                <a:srgbClr val="000054"/>
              </a:solidFill>
              <a:latin typeface="Arial"/>
              <a:ea typeface="+mn-ea"/>
              <a:cs typeface="Arial"/>
            </a:defRPr>
          </a:lvl3pPr>
          <a:lvl4pPr marL="2133547" indent="-304792" algn="l" defTabSz="609585" rtl="0" eaLnBrk="1" latinLnBrk="0" hangingPunct="1">
            <a:lnSpc>
              <a:spcPct val="150000"/>
            </a:lnSpc>
            <a:spcBef>
              <a:spcPct val="20000"/>
            </a:spcBef>
            <a:buClr>
              <a:srgbClr val="A60C0C"/>
            </a:buClr>
            <a:buFont typeface="Courier New"/>
            <a:buChar char="o"/>
            <a:defRPr sz="2933" kern="1200">
              <a:solidFill>
                <a:srgbClr val="333333"/>
              </a:solidFill>
              <a:latin typeface="Arial"/>
              <a:ea typeface="+mn-ea"/>
              <a:cs typeface="Arial"/>
            </a:defRPr>
          </a:lvl4pPr>
          <a:lvl5pPr marL="2743131" indent="-304792" algn="l" defTabSz="609585" rtl="0" eaLnBrk="1" latinLnBrk="0" hangingPunct="1">
            <a:lnSpc>
              <a:spcPct val="150000"/>
            </a:lnSpc>
            <a:spcBef>
              <a:spcPct val="20000"/>
            </a:spcBef>
            <a:buClr>
              <a:srgbClr val="A60C0C"/>
            </a:buClr>
            <a:buFont typeface="Arial"/>
            <a:buChar char="»"/>
            <a:defRPr sz="2933" kern="1200">
              <a:solidFill>
                <a:srgbClr val="333333"/>
              </a:solidFill>
              <a:latin typeface="Arial"/>
              <a:ea typeface="+mn-ea"/>
              <a:cs typeface="Arial"/>
            </a:defRPr>
          </a:lvl5pPr>
          <a:lvl6pPr marL="3352716" indent="-304792" algn="l" defTabSz="609585" rtl="0" eaLnBrk="1" latinLnBrk="0" hangingPunct="1">
            <a:spcBef>
              <a:spcPct val="20000"/>
            </a:spcBef>
            <a:buFont typeface="Arial"/>
            <a:buChar char="•"/>
            <a:defRPr sz="2667" kern="1200">
              <a:solidFill>
                <a:schemeClr val="tx1"/>
              </a:solidFill>
              <a:latin typeface="+mn-lt"/>
              <a:ea typeface="+mn-ea"/>
              <a:cs typeface="+mn-cs"/>
            </a:defRPr>
          </a:lvl6pPr>
          <a:lvl7pPr marL="3962301" indent="-304792" algn="l" defTabSz="609585" rtl="0" eaLnBrk="1" latinLnBrk="0" hangingPunct="1">
            <a:spcBef>
              <a:spcPct val="20000"/>
            </a:spcBef>
            <a:buFont typeface="Arial"/>
            <a:buChar char="•"/>
            <a:defRPr sz="2667" kern="1200">
              <a:solidFill>
                <a:schemeClr val="tx1"/>
              </a:solidFill>
              <a:latin typeface="+mn-lt"/>
              <a:ea typeface="+mn-ea"/>
              <a:cs typeface="+mn-cs"/>
            </a:defRPr>
          </a:lvl7pPr>
          <a:lvl8pPr marL="4571886" indent="-304792" algn="l" defTabSz="609585" rtl="0" eaLnBrk="1" latinLnBrk="0" hangingPunct="1">
            <a:spcBef>
              <a:spcPct val="20000"/>
            </a:spcBef>
            <a:buFont typeface="Arial"/>
            <a:buChar char="•"/>
            <a:defRPr sz="2667" kern="1200">
              <a:solidFill>
                <a:schemeClr val="tx1"/>
              </a:solidFill>
              <a:latin typeface="+mn-lt"/>
              <a:ea typeface="+mn-ea"/>
              <a:cs typeface="+mn-cs"/>
            </a:defRPr>
          </a:lvl8pPr>
          <a:lvl9pPr marL="5181470" indent="-304792" algn="l" defTabSz="609585" rtl="0" eaLnBrk="1" latinLnBrk="0" hangingPunct="1">
            <a:spcBef>
              <a:spcPct val="20000"/>
            </a:spcBef>
            <a:buFont typeface="Arial"/>
            <a:buChar char="•"/>
            <a:defRPr sz="2667" kern="1200">
              <a:solidFill>
                <a:schemeClr val="tx1"/>
              </a:solidFill>
              <a:latin typeface="+mn-lt"/>
              <a:ea typeface="+mn-ea"/>
              <a:cs typeface="+mn-cs"/>
            </a:defRPr>
          </a:lvl9pPr>
        </a:lstStyle>
        <a:p>
          <a:pPr>
            <a:spcBef>
              <a:spcPts val="600"/>
            </a:spcBef>
          </a:pPr>
          <a:endParaRPr lang="en-US" sz="1600"/>
        </a:p>
      </xdr:txBody>
    </xdr:sp>
    <xdr:clientData/>
  </xdr:twoCellAnchor>
  <xdr:twoCellAnchor>
    <xdr:from>
      <xdr:col>0</xdr:col>
      <xdr:colOff>42334</xdr:colOff>
      <xdr:row>56</xdr:row>
      <xdr:rowOff>16933</xdr:rowOff>
    </xdr:from>
    <xdr:to>
      <xdr:col>2</xdr:col>
      <xdr:colOff>651934</xdr:colOff>
      <xdr:row>58</xdr:row>
      <xdr:rowOff>42333</xdr:rowOff>
    </xdr:to>
    <xdr:pic>
      <xdr:nvPicPr>
        <xdr:cNvPr id="3" name="Picture 2">
          <a:extLst>
            <a:ext uri="{FF2B5EF4-FFF2-40B4-BE49-F238E27FC236}">
              <a16:creationId xmlns:a16="http://schemas.microsoft.com/office/drawing/2014/main" id="{61432515-60C8-3963-BDB2-CF38891BAA4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2334" y="13631333"/>
          <a:ext cx="3801533"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32</xdr:row>
      <xdr:rowOff>2057400</xdr:rowOff>
    </xdr:from>
    <xdr:to>
      <xdr:col>1</xdr:col>
      <xdr:colOff>304800</xdr:colOff>
      <xdr:row>33</xdr:row>
      <xdr:rowOff>165100</xdr:rowOff>
    </xdr:to>
    <xdr:pic>
      <xdr:nvPicPr>
        <xdr:cNvPr id="3074" name="Picture 2">
          <a:extLst>
            <a:ext uri="{FF2B5EF4-FFF2-40B4-BE49-F238E27FC236}">
              <a16:creationId xmlns:a16="http://schemas.microsoft.com/office/drawing/2014/main" id="{D15FEB4E-C51F-7736-45AC-62DE1C9057D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68500" y="10553700"/>
          <a:ext cx="3048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36</xdr:row>
      <xdr:rowOff>101600</xdr:rowOff>
    </xdr:from>
    <xdr:to>
      <xdr:col>0</xdr:col>
      <xdr:colOff>139700</xdr:colOff>
      <xdr:row>38</xdr:row>
      <xdr:rowOff>38100</xdr:rowOff>
    </xdr:to>
    <xdr:pic>
      <xdr:nvPicPr>
        <xdr:cNvPr id="3075" name="Picture 3">
          <a:extLst>
            <a:ext uri="{FF2B5EF4-FFF2-40B4-BE49-F238E27FC236}">
              <a16:creationId xmlns:a16="http://schemas.microsoft.com/office/drawing/2014/main" id="{F8D5F7A9-2400-0493-5A18-9925F2695D1A}"/>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1366500"/>
          <a:ext cx="1397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35</xdr:row>
      <xdr:rowOff>101600</xdr:rowOff>
    </xdr:from>
    <xdr:to>
      <xdr:col>1</xdr:col>
      <xdr:colOff>304800</xdr:colOff>
      <xdr:row>36</xdr:row>
      <xdr:rowOff>165100</xdr:rowOff>
    </xdr:to>
    <xdr:pic>
      <xdr:nvPicPr>
        <xdr:cNvPr id="3076" name="Picture 4">
          <a:extLst>
            <a:ext uri="{FF2B5EF4-FFF2-40B4-BE49-F238E27FC236}">
              <a16:creationId xmlns:a16="http://schemas.microsoft.com/office/drawing/2014/main" id="{C5F8889B-6D4F-8EE8-2C64-A55580865C07}"/>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68500" y="11163300"/>
          <a:ext cx="3048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34</xdr:row>
      <xdr:rowOff>101600</xdr:rowOff>
    </xdr:from>
    <xdr:to>
      <xdr:col>4</xdr:col>
      <xdr:colOff>139700</xdr:colOff>
      <xdr:row>36</xdr:row>
      <xdr:rowOff>38100</xdr:rowOff>
    </xdr:to>
    <xdr:pic>
      <xdr:nvPicPr>
        <xdr:cNvPr id="3078" name="Picture 6">
          <a:extLst>
            <a:ext uri="{FF2B5EF4-FFF2-40B4-BE49-F238E27FC236}">
              <a16:creationId xmlns:a16="http://schemas.microsoft.com/office/drawing/2014/main" id="{DAAB756B-A5FD-05DC-D22D-BFF23300613D}"/>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143500" y="10960100"/>
          <a:ext cx="1397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33</xdr:row>
      <xdr:rowOff>101600</xdr:rowOff>
    </xdr:from>
    <xdr:to>
      <xdr:col>5</xdr:col>
      <xdr:colOff>304800</xdr:colOff>
      <xdr:row>34</xdr:row>
      <xdr:rowOff>165100</xdr:rowOff>
    </xdr:to>
    <xdr:pic>
      <xdr:nvPicPr>
        <xdr:cNvPr id="3079" name="Picture 7">
          <a:extLst>
            <a:ext uri="{FF2B5EF4-FFF2-40B4-BE49-F238E27FC236}">
              <a16:creationId xmlns:a16="http://schemas.microsoft.com/office/drawing/2014/main" id="{7E459C41-D8DD-891B-F86B-7DA4AF7483F2}"/>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69000" y="10756900"/>
          <a:ext cx="3048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37</xdr:row>
      <xdr:rowOff>101600</xdr:rowOff>
    </xdr:from>
    <xdr:to>
      <xdr:col>4</xdr:col>
      <xdr:colOff>139700</xdr:colOff>
      <xdr:row>39</xdr:row>
      <xdr:rowOff>38100</xdr:rowOff>
    </xdr:to>
    <xdr:pic>
      <xdr:nvPicPr>
        <xdr:cNvPr id="3080" name="Picture 8">
          <a:extLst>
            <a:ext uri="{FF2B5EF4-FFF2-40B4-BE49-F238E27FC236}">
              <a16:creationId xmlns:a16="http://schemas.microsoft.com/office/drawing/2014/main" id="{DA899FDD-EB8A-8CD2-6EAA-98999F43F4CB}"/>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143500" y="11569700"/>
          <a:ext cx="1397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36</xdr:row>
      <xdr:rowOff>101600</xdr:rowOff>
    </xdr:from>
    <xdr:to>
      <xdr:col>5</xdr:col>
      <xdr:colOff>304800</xdr:colOff>
      <xdr:row>37</xdr:row>
      <xdr:rowOff>165100</xdr:rowOff>
    </xdr:to>
    <xdr:pic>
      <xdr:nvPicPr>
        <xdr:cNvPr id="3081" name="Picture 9">
          <a:extLst>
            <a:ext uri="{FF2B5EF4-FFF2-40B4-BE49-F238E27FC236}">
              <a16:creationId xmlns:a16="http://schemas.microsoft.com/office/drawing/2014/main" id="{417E4B08-6F14-E69C-B8F4-1ECC7101D962}"/>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69000" y="11366500"/>
          <a:ext cx="3048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A9FC3A-EFF1-124D-9AFB-9314339D3C12}" name="Table8" displayName="Table8" ref="A20:B24" totalsRowShown="0" headerRowDxfId="213">
  <autoFilter ref="A20:B24" xr:uid="{B1A9FC3A-EFF1-124D-9AFB-9314339D3C12}"/>
  <tableColumns count="2">
    <tableColumn id="1" xr3:uid="{E71708D8-CD63-5349-9E87-3EDB818B5A08}" name="Ratio of Similar Snacks Taste Preference to Philippines " dataDxfId="212"/>
    <tableColumn id="2" xr3:uid="{0B2741B5-AB09-584B-8B5B-8A26778918B8}" name="Ratio" dataDxfId="211"/>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6264BD2-4207-734C-9029-BDA7D80F40CA}" name="Table9" displayName="Table9" ref="A26:B31" totalsRowShown="0" headerRowDxfId="210">
  <autoFilter ref="A26:B31" xr:uid="{06264BD2-4207-734C-9029-BDA7D80F40CA}"/>
  <tableColumns count="2">
    <tableColumn id="1" xr3:uid="{CAFE6844-210C-EA48-BC25-272787F0F9C9}" name="Countries" dataDxfId="209"/>
    <tableColumn id="2" xr3:uid="{7686F13B-5A86-724A-9BA9-4B804EA5FE67}" name="Sales Tax Rate" dataDxfId="20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9456BBD4-5B81-E540-A461-8900E41093BD}" name="Table41" displayName="Table41" ref="A1:D19" totalsRowShown="0">
  <autoFilter ref="A1:D19" xr:uid="{9456BBD4-5B81-E540-A461-8900E41093BD}"/>
  <tableColumns count="4">
    <tableColumn id="1" xr3:uid="{27CD262E-E48C-0F46-8298-B286B126045A}" name="Year"/>
    <tableColumn id="2" xr3:uid="{95D98BF8-C876-284F-8533-1F14675DC1BB}" name="PHP/USD" dataDxfId="207"/>
    <tableColumn id="3" xr3:uid="{F14A2286-1211-8048-A7B2-15B0A4EA36B4}" name="VND/USD" dataDxfId="206"/>
    <tableColumn id="4" xr3:uid="{1AAC0EA2-69E2-FF42-A2A0-CF53EF3068DF}" name="VND/PHP" dataDxfId="20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0DF98B6-AB15-1F49-82E8-E2311834D251}" name="Table48" displayName="Table48" ref="A25:B28" totalsRowShown="0" headerRowDxfId="204" dataDxfId="203">
  <autoFilter ref="A25:B28" xr:uid="{F0DF98B6-AB15-1F49-82E8-E2311834D251}"/>
  <tableColumns count="2">
    <tableColumn id="1" xr3:uid="{DF506001-64E7-7543-9502-5A514C661046}" name="Currency Pair" dataDxfId="202"/>
    <tableColumn id="2" xr3:uid="{FF5C6DE2-433C-784C-880A-1C283E70B1D5}" name="1-year Forward Exchange Rate" dataDxfId="201"/>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33CA9F9D-EB17-A14B-A458-736A4E18E091}" name="Table49" displayName="Table49" ref="A31:C34" totalsRowShown="0" headerRowDxfId="200" dataDxfId="199">
  <autoFilter ref="A31:C34" xr:uid="{33CA9F9D-EB17-A14B-A458-736A4E18E091}"/>
  <tableColumns count="3">
    <tableColumn id="1" xr3:uid="{0865EE60-E43E-8940-81DE-16BD9F16F501}" name="VND/PHP" dataDxfId="198"/>
    <tableColumn id="2" xr3:uid="{88CA606E-C947-FE4E-A492-6CD901627B2F}" name="Rate" dataDxfId="197"/>
    <tableColumn id="3" xr3:uid="{CA0389D1-B3A1-DC4F-8E96-1A577BD7E055}" name="Cost of Buying using 1-year Forward Contract (PHP)" dataDxfId="196"/>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5908B336-0F53-CF49-A24D-BCC7945D4BD8}" name="Table50" displayName="Table50" ref="A43:D46" totalsRowShown="0" headerRowDxfId="195" dataDxfId="194">
  <autoFilter ref="A43:D46" xr:uid="{5908B336-0F53-CF49-A24D-BCC7945D4BD8}"/>
  <tableColumns count="4">
    <tableColumn id="1" xr3:uid="{33F2D568-F1FC-8B4F-9B92-2BFF998F2F2D}" name="USD/PHP" dataDxfId="193"/>
    <tableColumn id="2" xr3:uid="{C84826F0-115F-AB46-B581-B828A62364E2}" name="Net Revenue Receivables in PHP" dataDxfId="192" dataCellStyle="Comma"/>
    <tableColumn id="3" xr3:uid="{AB388155-A836-144B-9BD8-AAB2459834C9}" name="Forward rate in USD" dataDxfId="191"/>
    <tableColumn id="4" xr3:uid="{A8C7B396-E0B7-3640-A9B2-2B825073D952}" name="Net Revenue Receivables in USD" dataDxfId="190">
      <calculatedColumnFormula>B44/C44</calculatedColumnFormula>
    </tableColumn>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2FBC38D-6F97-654E-B384-C2A0CA144DB1}" name="Table3032" displayName="Table3032" ref="A6:E17" totalsRowShown="0" headerRowDxfId="189" dataDxfId="188">
  <autoFilter ref="A6:E17" xr:uid="{12FBC38D-6F97-654E-B384-C2A0CA144DB1}"/>
  <tableColumns count="5">
    <tableColumn id="1" xr3:uid="{DE5E7301-E05B-6B4B-B1F1-049B9D8BFB4E}" name="Exchange rate USD 0.0171246/PHP" dataDxfId="187"/>
    <tableColumn id="2" xr3:uid="{6A5FA808-B7EC-3641-8880-C99B0A510B26}" name="MoonCake " dataDxfId="186"/>
    <tableColumn id="3" xr3:uid="{6F7486D6-0D55-1A41-BE6A-1244349161A5}" name="Cosybiscuits " dataDxfId="185"/>
    <tableColumn id="4" xr3:uid="{FE0953D4-4276-3049-A15F-A3D624B0883E}" name="Solite soft cakes " dataDxfId="184"/>
    <tableColumn id="5" xr3:uid="{CC95E45F-13C3-AA43-AC67-AC129AA968F5}" name="AFC crackers " dataDxfId="183"/>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F843972-7A39-D14A-9EAF-1E87171193FC}" name="Table32" displayName="Table32" ref="H2:J6" totalsRowShown="0" headerRowDxfId="182" dataDxfId="181">
  <autoFilter ref="H2:J6" xr:uid="{FF843972-7A39-D14A-9EAF-1E87171193FC}"/>
  <tableColumns count="3">
    <tableColumn id="1" xr3:uid="{C438BD73-967A-3E45-B130-F21E1B0F636D}" name="Category" dataDxfId="180"/>
    <tableColumn id="2" xr3:uid="{FCD5F052-8FFA-314E-AB99-78F73442FD4C}" name="Expected Volume (kg) to sell in PH in 2026-2031" dataDxfId="179"/>
    <tableColumn id="3" xr3:uid="{33987BA1-440B-274A-AC38-B9740ED45717}" name="Growth Rate Assumption" dataDxfId="178" dataCellStyle="Percent"/>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737DE5C-BD06-D941-A6FD-29BE1EEEF4BE}" name="Table33" displayName="Table33" ref="H30:P68" totalsRowShown="0" headerRowDxfId="177" dataDxfId="176" tableBorderDxfId="175">
  <autoFilter ref="H30:P68" xr:uid="{5737DE5C-BD06-D941-A6FD-29BE1EEEF4BE}"/>
  <tableColumns count="9">
    <tableColumn id="1" xr3:uid="{F2C2677E-1A3B-F247-8055-4A905A38FDFB}" name="Total Revenue " dataDxfId="174"/>
    <tableColumn id="10" xr3:uid="{4C37C689-3A2D-BC4D-BBA5-4415D6CF73B4}" name="Year 0" dataDxfId="173"/>
    <tableColumn id="2" xr3:uid="{40A8B5E6-8071-9745-AA98-7122970D8B6A}" name="2025" dataDxfId="172"/>
    <tableColumn id="3" xr3:uid="{4F122E47-1FE9-7D4C-A89C-79EB75EDC07A}" name="2026" dataDxfId="171"/>
    <tableColumn id="4" xr3:uid="{5A8F8D44-0CE7-A04D-A136-9D5B56BD5A1B}" name="2027" dataDxfId="170"/>
    <tableColumn id="5" xr3:uid="{722F4AA9-1CF5-AE43-885D-D562CC71694F}" name="2028" dataDxfId="169"/>
    <tableColumn id="6" xr3:uid="{91D2563A-67C3-8340-A39A-6844A4EEE22A}" name="2029" dataDxfId="168"/>
    <tableColumn id="7" xr3:uid="{E0F2EA8C-CC8A-7A4C-9013-A996A6EF06E0}" name="2030" dataDxfId="167"/>
    <tableColumn id="8" xr3:uid="{C6A5B095-BFBE-4E44-BA7A-3323FD3F1005}" name="2031" dataDxfId="166"/>
  </tableColumns>
  <tableStyleInfo name="TableStyleLight1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9CB2E38C-0793-EE4A-834B-0D6BACD51471}" name="Table35" displayName="Table35" ref="A19:D20" totalsRowShown="0" headerRowDxfId="165" dataDxfId="164">
  <autoFilter ref="A19:D20" xr:uid="{9CB2E38C-0793-EE4A-834B-0D6BACD51471}"/>
  <tableColumns count="4">
    <tableColumn id="1" xr3:uid="{3A3E8EAA-E150-1447-B940-F91015CCC76A}" name="Year" dataDxfId="163"/>
    <tableColumn id="2" xr3:uid="{BD3C1914-CB40-1A4E-9208-F8167F443081}" name="PHP/USD" dataDxfId="162"/>
    <tableColumn id="3" xr3:uid="{AB455074-F566-C540-BBC8-11740F81A3CB}" name="VND/USD" dataDxfId="161"/>
    <tableColumn id="4" xr3:uid="{F3514C76-514B-8849-9F1E-9DD7E4E94BE2}" name="VND/PHP" dataDxfId="160"/>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A1AF618-26EB-2C40-9F67-3B69E142713D}" name="Table36" displayName="Table36" ref="A23:D30" totalsRowShown="0" headerRowDxfId="159" dataDxfId="158">
  <autoFilter ref="A23:D30" xr:uid="{BA1AF618-26EB-2C40-9F67-3B69E142713D}"/>
  <tableColumns count="4">
    <tableColumn id="1" xr3:uid="{E215241C-5D52-1B4E-9FE5-27E6E6E516D9}" name="Year" dataDxfId="157"/>
    <tableColumn id="2" xr3:uid="{39654D17-4CAA-DE45-B28A-ED1921C8B136}" name="PHP/USD" dataDxfId="156"/>
    <tableColumn id="3" xr3:uid="{1F69B5B9-D7F0-F743-B2C1-F34E39CC73FF}" name="VND/USD" dataDxfId="155"/>
    <tableColumn id="4" xr3:uid="{38164D75-24A1-3B48-B7E5-B77FE310B444}" name="VND/PHP" dataDxfId="154"/>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F367BA6-62D0-0349-8BAF-9505836CC127}" name="Table37" displayName="Table37" ref="H71:I74" totalsRowShown="0" headerRowDxfId="153" dataDxfId="152">
  <autoFilter ref="H71:I74" xr:uid="{8F367BA6-62D0-0349-8BAF-9505836CC127}"/>
  <tableColumns count="2">
    <tableColumn id="1" xr3:uid="{4E517373-1AA8-7C43-AA43-045C84DC8BFE}" name=" Profitability Metrics" dataDxfId="151"/>
    <tableColumn id="2" xr3:uid="{8491717C-C76E-6C44-95DF-572157511877}" name="Result" dataDxfId="150">
      <calculatedColumnFormula>IRR(J69:Q69)</calculatedColumnFormula>
    </tableColumn>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4AFF0C4-FE8A-114F-8B72-4B88FC6E7FA1}" name="Table46" displayName="Table46" ref="A36:B40" totalsRowShown="0" headerRowDxfId="149" dataDxfId="148">
  <autoFilter ref="A36:B40" xr:uid="{74AFF0C4-FE8A-114F-8B72-4B88FC6E7FA1}"/>
  <tableColumns count="2">
    <tableColumn id="1" xr3:uid="{436C9831-47C4-F141-9522-11E356207B51}" name="Fixed Costs" dataDxfId="147"/>
    <tableColumn id="2" xr3:uid="{44A1B52D-CBCF-5D40-A4AC-1ABF3E8FC7FF}" name="Variables Costs" dataDxfId="146"/>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6F92F2A-B8A2-5E43-A660-BFF3287DF71F}" name="Table47" displayName="Table47" ref="S35:Z36" totalsRowShown="0" headerRowDxfId="145" dataDxfId="144" tableBorderDxfId="143">
  <autoFilter ref="S35:Z36" xr:uid="{B6F92F2A-B8A2-5E43-A660-BFF3287DF71F}"/>
  <tableColumns count="8">
    <tableColumn id="1" xr3:uid="{8913BBAE-1BB9-FB43-BF36-A6FDB69410FA}" name="Year" dataDxfId="142"/>
    <tableColumn id="2" xr3:uid="{8FCBA788-78EC-5E4A-993C-A2FB2A04DBE4}" name="2025" dataDxfId="141"/>
    <tableColumn id="3" xr3:uid="{6E1D5315-D534-274B-B60D-19220E9204F6}" name="2026" dataDxfId="140"/>
    <tableColumn id="4" xr3:uid="{35EBD3E5-1DBE-7A45-99E1-39F07CEDF0CA}" name="2027" dataDxfId="139"/>
    <tableColumn id="5" xr3:uid="{EF024F8B-126C-5145-B145-F3AF7D854E5A}" name="2028" dataDxfId="138"/>
    <tableColumn id="6" xr3:uid="{CC253C34-B92B-9F4A-BDEC-82F9656450C4}" name="2029" dataDxfId="137"/>
    <tableColumn id="7" xr3:uid="{8CAAC670-1306-7E4A-97C3-AFADD26FB159}" name="2030" dataDxfId="136"/>
    <tableColumn id="8" xr3:uid="{DA3526A7-C55A-0948-A9D1-54EF3FA4F730}" name="2031" dataDxfId="135"/>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2CBC1CE-C643-AC46-8356-7AF8C6D60B26}" name="Table12" displayName="Table12" ref="A1:B6" totalsRowShown="0" headerRowDxfId="134" dataDxfId="133">
  <autoFilter ref="A1:B6" xr:uid="{B2CBC1CE-C643-AC46-8356-7AF8C6D60B26}"/>
  <tableColumns count="2">
    <tableColumn id="1" xr3:uid="{320D39AC-C47F-D14D-B31B-547EC625939E}" name="Macroeconomic Variables" dataDxfId="132"/>
    <tableColumn id="2" xr3:uid="{B57F3997-D00F-0F4E-B320-E89A19CFAB85}" name="Data Sources and Explanation" dataDxfId="131"/>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B9CD8C1-6642-DE4D-B78B-40985F05628E}" name="Table20" displayName="Table20" ref="A14:B16" totalsRowShown="0" headerRowDxfId="130" dataDxfId="129">
  <autoFilter ref="A14:B16" xr:uid="{4B9CD8C1-6642-DE4D-B78B-40985F05628E}"/>
  <tableColumns count="2">
    <tableColumn id="1" xr3:uid="{94F00ED7-960B-0445-A8C9-962A3DB11417}" name="Change of PHP/USD" dataDxfId="128"/>
    <tableColumn id="2" xr3:uid="{DDE16F26-E2FC-FE4D-BE3E-08E340A32357}" name="Change of VND/USD" dataDxfId="127"/>
  </tableColumns>
  <tableStyleInfo name="TableStyleMedium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59B3DC9-A120-D342-8D28-77C17D46F0F2}" name="Table1222" displayName="Table1222" ref="A22:B27" totalsRowShown="0" headerRowDxfId="126" dataDxfId="125">
  <autoFilter ref="A22:B27" xr:uid="{B59B3DC9-A120-D342-8D28-77C17D46F0F2}"/>
  <tableColumns count="2">
    <tableColumn id="1" xr3:uid="{4FAE2A17-CEE5-4040-B448-82AB67F0D868}" name="Macroeconomic Variables" dataDxfId="124"/>
    <tableColumn id="2" xr3:uid="{C1780A7F-0362-054E-B9DC-30A79A28D54B}" name="Data Sources and Explanation" dataDxfId="123"/>
  </tableColumns>
  <tableStyleInfo name="TableStyleMedium4"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08F468C-8907-EC4D-BE25-070CF5BF89CE}" name="Table1239" displayName="Table1239" ref="A37:C42" totalsRowShown="0" headerRowDxfId="122" dataDxfId="121">
  <autoFilter ref="A37:C42" xr:uid="{808F468C-8907-EC4D-BE25-070CF5BF89CE}"/>
  <tableColumns count="3">
    <tableColumn id="1" xr3:uid="{1CDDDD63-D072-DF41-A4A4-7D4E8DD66A2D}" name="Macroeconomic Variables" dataDxfId="120"/>
    <tableColumn id="2" xr3:uid="{297B12D4-0C1F-0F46-88AC-4109FF524197}" name="Expected Sign" dataDxfId="119"/>
    <tableColumn id="3" xr3:uid="{6D4F6AAA-882D-0B44-9ED1-729F8B71A61D}" name="Effect on Exchange Rate2" dataDxfId="118"/>
  </tableColumns>
  <tableStyleInfo name="TableStyleMedium4"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0F65537-4D8B-6547-ABF7-6E7EB17B2350}" name="Table22" displayName="Table22" ref="A1:D218" totalsRowShown="0" headerRowDxfId="117" dataDxfId="116" tableBorderDxfId="115">
  <autoFilter ref="A1:D218" xr:uid="{F0F65537-4D8B-6547-ABF7-6E7EB17B2350}"/>
  <tableColumns count="4">
    <tableColumn id="1" xr3:uid="{5B6AB30E-FE38-6244-9E71-2853CA175971}" name="Time" dataDxfId="114"/>
    <tableColumn id="2" xr3:uid="{09500A95-BC50-E244-A0C5-C6C08D691B63}" name="PHP/USD" dataDxfId="113">
      <calculatedColumnFormula>_xlfn.FORECAST.ETS(A2,B1:B$3, A1:A$3)</calculatedColumnFormula>
    </tableColumn>
    <tableColumn id="3" xr3:uid="{CD1EE5BD-6F66-7D47-BC94-CE8E3E3C5002}" name="VND/USD" dataDxfId="112">
      <calculatedColumnFormula>_xlfn.FORECAST.ETS(B2,C1:C$3,B1:B$3)</calculatedColumnFormula>
    </tableColumn>
    <tableColumn id="4" xr3:uid="{5511C811-276C-3E45-9B78-D3787A23B667}" name="VND/PHP" dataDxfId="111">
      <calculatedColumnFormula>C2/B2</calculatedColumnFormula>
    </tableColumn>
  </tableColumns>
  <tableStyleInfo name="TableStyleLight1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728C921-17B3-8D41-9B92-8688ABED322B}" name="Table24" displayName="Table24" ref="G1:J8" totalsRowShown="0" headerRowDxfId="110" dataDxfId="109">
  <autoFilter ref="G1:J8" xr:uid="{1728C921-17B3-8D41-9B92-8688ABED322B}"/>
  <tableColumns count="4">
    <tableColumn id="1" xr3:uid="{2A92A5B5-745D-8740-9335-AD43A5375596}" name="Year" dataDxfId="108"/>
    <tableColumn id="2" xr3:uid="{3A2D54F5-FEE3-904C-880B-6B74C2038D07}" name="PHP/USD" dataDxfId="107">
      <calculatedColumnFormula>AVERAGE(B135:B146)</calculatedColumnFormula>
    </tableColumn>
    <tableColumn id="3" xr3:uid="{9840277C-1BC8-7E40-9053-A3F76A9BB132}" name="VND/USD" dataDxfId="106"/>
    <tableColumn id="4" xr3:uid="{F80A0A8C-B7F0-5C46-8AFD-ECDEE353EC86}" name="VND/PHP" dataDxfId="105"/>
  </tableColumns>
  <tableStyleInfo name="TableStyleMedium4"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01BCA98-8E93-494B-878F-0BA340DFD13C}" name="Table2440" displayName="Table2440" ref="M1:P19" totalsRowShown="0" headerRowDxfId="104" dataDxfId="103">
  <autoFilter ref="M1:P19" xr:uid="{B01BCA98-8E93-494B-878F-0BA340DFD13C}"/>
  <tableColumns count="4">
    <tableColumn id="1" xr3:uid="{AC36A9A1-01B7-1D43-9959-31D7C1E3E827}" name="Year" dataDxfId="102"/>
    <tableColumn id="2" xr3:uid="{D3C661C3-7294-5444-AED3-E04876C3934C}" name="PHP/USD" dataDxfId="101"/>
    <tableColumn id="3" xr3:uid="{CC9FF264-4DB3-5D4F-8D84-DC9398AB6BE1}" name="VND/USD" dataDxfId="100"/>
    <tableColumn id="4" xr3:uid="{2E45D910-6DC6-954C-84B5-290A21863A71}" name="VND/PHP" dataDxfId="99"/>
  </tableColumns>
  <tableStyleInfo name="TableStyleMedium4"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2024023-11B2-654C-ADF6-D04D25000777}" name="Table18" displayName="Table18" ref="A1:M147" totalsRowCount="1" headerRowDxfId="98" dataDxfId="97">
  <autoFilter ref="A1:M146" xr:uid="{D2024023-11B2-654C-ADF6-D04D25000777}"/>
  <tableColumns count="13">
    <tableColumn id="1" xr3:uid="{6C1E6B3B-C79F-4D47-A8A9-F615005C0130}" name="Time" dataDxfId="96" totalsRowDxfId="95"/>
    <tableColumn id="2" xr3:uid="{83FE9FD8-6A4D-7544-A257-18973BEE3358}" name="PHP/USD" dataDxfId="94" totalsRowDxfId="93"/>
    <tableColumn id="3" xr3:uid="{429F94E3-DB89-E644-BC4E-FBA0DEDA8EE8}" name="% Change in Spot" dataDxfId="92" totalsRowDxfId="91"/>
    <tableColumn id="4" xr3:uid="{9FB92CEF-6AB6-EC46-9B62-F5E815C2D9BF}" name="Relative Trade Balance Change" dataDxfId="90" totalsRowDxfId="89"/>
    <tableColumn id="7" xr3:uid="{3CF9161B-BA6D-704F-869B-6950FB08F026}" name="Lagged Inflation Differential" dataDxfId="88" totalsRowDxfId="87"/>
    <tableColumn id="8" xr3:uid="{86F114BC-B0A8-F348-8601-A9475E6B1B5E}" name="Lagged Interest Differential" dataDxfId="86" totalsRowDxfId="85"/>
    <tableColumn id="9" xr3:uid="{FEC7E833-03CC-B94B-8632-AE093A851B90}" name="Relative Foreign Reserves Change" dataDxfId="84" totalsRowDxfId="83"/>
    <tableColumn id="10" xr3:uid="{7452D431-2C39-F44F-9849-D3F60C33B92B}" name="Predicted Y (% Change in Spot Rate) " dataDxfId="82" totalsRowDxfId="81"/>
    <tableColumn id="11" xr3:uid="{AD450E0A-BB8D-634D-B3C4-000D486536D8}" name="Predicted PHP/USD" dataDxfId="80" totalsRowDxfId="79">
      <calculatedColumnFormula>(1+H2)*B1</calculatedColumnFormula>
    </tableColumn>
    <tableColumn id="12" xr3:uid="{B24AC77F-59A8-1F49-929D-FF339AE9FEA0}" name="Predicted - Actual" dataDxfId="78" totalsRowDxfId="77">
      <calculatedColumnFormula>I2-B2</calculatedColumnFormula>
    </tableColumn>
    <tableColumn id="13" xr3:uid="{13751224-AB22-B641-A738-ACF68F37C2A6}" name="Absolute Forecast Error" dataDxfId="76" totalsRowDxfId="75">
      <calculatedColumnFormula>ABS(J2/B2)</calculatedColumnFormula>
    </tableColumn>
    <tableColumn id="14" xr3:uid="{3F0D6AD4-9C2C-F047-8F93-7626F62FFF30}" name="Absolute Squared Error" dataDxfId="74" totalsRowDxfId="73">
      <calculatedColumnFormula>K2^2</calculatedColumnFormula>
    </tableColumn>
    <tableColumn id="15" xr3:uid="{B0E685D0-6864-E448-8D75-104D509D3DA3}" name="Residuals" dataDxfId="72" totalsRowDxfId="71"/>
  </tableColumns>
  <tableStyleInfo name="TableStyleLight1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A982985-E4C3-204C-93B8-6BD00FB3AD95}" name="Table43" displayName="Table43" ref="O2:P3" totalsRowShown="0" headerRowDxfId="70" dataDxfId="69">
  <autoFilter ref="O2:P3" xr:uid="{EA982985-E4C3-204C-93B8-6BD00FB3AD95}"/>
  <tableColumns count="2">
    <tableColumn id="1" xr3:uid="{3D183D79-96B5-914F-9D1E-FFB0F106AFDF}" name="Mean Absolute Error" dataDxfId="68">
      <calculatedColumnFormula>AVERAGE(K3:K130)</calculatedColumnFormula>
    </tableColumn>
    <tableColumn id="2" xr3:uid="{1FA69E12-7678-6145-A0C1-733CB3F9BA44}" name="Mean Squared Error" dataDxfId="67">
      <calculatedColumnFormula>AVERAGE(L3:L130)</calculatedColumnFormula>
    </tableColumn>
  </tableColumns>
  <tableStyleInfo name="TableStyleMedium4"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DC0D6BF-19CE-444C-8CB0-F260A1392EF7}" name="Table15" displayName="Table15" ref="A1:O129" totalsRowShown="0" headerRowDxfId="66" dataDxfId="65">
  <autoFilter ref="A1:O129" xr:uid="{3DC0D6BF-19CE-444C-8CB0-F260A1392EF7}"/>
  <tableColumns count="15">
    <tableColumn id="1" xr3:uid="{EF10C573-B23A-4548-9EA7-3F5C355E388D}" name="Time" dataDxfId="64"/>
    <tableColumn id="2" xr3:uid="{A51E7D2E-441A-8644-8C84-8F5AC87E7B49}" name="PHP/USD" dataDxfId="63"/>
    <tableColumn id="3" xr3:uid="{ECB59170-9E49-B641-8B6F-180FC3DE77D5}" name="% Change in Spot" dataDxfId="62">
      <calculatedColumnFormula>(B2-B1)/B1</calculatedColumnFormula>
    </tableColumn>
    <tableColumn id="4" xr3:uid="{A69A09A4-4BF7-5A42-B768-2FE1A42E6FAB}" name="Philippines Trade Balance" dataDxfId="61"/>
    <tableColumn id="5" xr3:uid="{8BA41141-5C04-0740-8F5F-0C7C0911859D}" name="The U.S Trade Balance" dataDxfId="60"/>
    <tableColumn id="6" xr3:uid="{63758F76-D981-E247-B6E2-CEE7EE832683}" name="Relative Trade Balance Change" dataDxfId="59">
      <calculatedColumnFormula>((1+D1)/(1+E1))-1</calculatedColumnFormula>
    </tableColumn>
    <tableColumn id="7" xr3:uid="{61E0260B-4687-EE4D-AA70-BC21C839ED4C}" name="Philippines Inflation Rate" dataDxfId="58"/>
    <tableColumn id="8" xr3:uid="{0C50FA7A-D045-FD4F-81F8-3DE141AA7DC5}" name="The U.S Inflation Rate" dataDxfId="57"/>
    <tableColumn id="9" xr3:uid="{4739B0BE-8DB4-0547-B65F-3ED303F25540}" name="Lagged Interest Differential" dataDxfId="56">
      <calculatedColumnFormula>((1+G2)/(1+H2))-1</calculatedColumnFormula>
    </tableColumn>
    <tableColumn id="10" xr3:uid="{E4DEDB99-8450-B843-A87D-15D4FD958522}" name="Philippines Interest Rate" dataDxfId="55"/>
    <tableColumn id="11" xr3:uid="{1D809B42-D9F9-A24B-B846-79BB130E09FA}" name="The U.S Interest Rate" dataDxfId="54"/>
    <tableColumn id="12" xr3:uid="{63135B88-C3B6-4641-8C0D-DBEDDD1BA874}" name="Lagged Inflation Differential" dataDxfId="53">
      <calculatedColumnFormula>((1+J1)/(1+K1))-1</calculatedColumnFormula>
    </tableColumn>
    <tableColumn id="13" xr3:uid="{11A9F2F5-3E9C-A14B-B40C-F0DFA0563A16}" name="Philippines Total Reserves excluding Gold, US Dollars" dataDxfId="52"/>
    <tableColumn id="14" xr3:uid="{E4CDF724-3A3C-9742-BCA1-A916FE9FF425}" name="The U.S Total Reserves excluding Gold, US Dollars" dataDxfId="51"/>
    <tableColumn id="15" xr3:uid="{728D62D7-2A2A-634F-9F7C-9940C399A10E}" name="Relative Foreign Reserves Change" dataDxfId="50">
      <calculatedColumnFormula>((1+M1)/(1+N1))-1</calculatedColumnFormula>
    </tableColumn>
  </tableColumns>
  <tableStyleInfo name="TableStyleLight1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8586E45-9370-3841-9198-1CF985913CA8}" name="Table14" displayName="Table14" ref="A1:O132" totalsRowShown="0" headerRowDxfId="49" dataDxfId="48">
  <autoFilter ref="A1:O132" xr:uid="{D8586E45-9370-3841-9198-1CF985913CA8}"/>
  <tableColumns count="15">
    <tableColumn id="1" xr3:uid="{2BAF662D-D680-5241-9744-BB20F13484DC}" name="VND/USD" dataDxfId="47"/>
    <tableColumn id="2" xr3:uid="{4415AC88-1CDC-9B4F-8DD1-DCAC8F65173A}" name="Exchange Rate" dataDxfId="46"/>
    <tableColumn id="3" xr3:uid="{FDFF51C1-AC4C-7B40-B2EC-C6B05ABC7698}" name="% Change in Spot" dataDxfId="45">
      <calculatedColumnFormula>(B2-B1)/B1</calculatedColumnFormula>
    </tableColumn>
    <tableColumn id="4" xr3:uid="{85874BED-B435-DD4F-91D7-573A67410B2C}" name="Vietnam Trade Balance" dataDxfId="44"/>
    <tableColumn id="5" xr3:uid="{56D020D8-7E42-9346-8F69-C1C0829FEF7B}" name="The U.S Trade Balance" dataDxfId="43"/>
    <tableColumn id="6" xr3:uid="{2719DA58-138D-954E-BF55-735EC8E36E11}" name="Relative Trade Balance Change" dataDxfId="42">
      <calculatedColumnFormula>((1+D1)/(1+E1))-1</calculatedColumnFormula>
    </tableColumn>
    <tableColumn id="7" xr3:uid="{15289FB9-B24A-6C4A-A939-75BCAF9879DF}" name="Vietnam Inflation Rate" dataDxfId="41"/>
    <tableColumn id="8" xr3:uid="{BB2B234A-F6DD-1040-882E-978CF715595E}" name="The U.S Inflation Rate" dataDxfId="40"/>
    <tableColumn id="9" xr3:uid="{EEAA3692-F72A-4349-A7F9-9438ECC1E9CE}" name="Lagged Inflation Differential" dataDxfId="39">
      <calculatedColumnFormula>((1+G1)/(1+H1))-1</calculatedColumnFormula>
    </tableColumn>
    <tableColumn id="10" xr3:uid="{058F1F3C-AF26-F440-97C4-AA5DDCEBF508}" name="Vietnam Interest Rate" dataDxfId="38"/>
    <tableColumn id="11" xr3:uid="{FC79CD34-E561-054B-92C1-C8A9919C77DB}" name="The U.S Interest Rate" dataDxfId="37"/>
    <tableColumn id="12" xr3:uid="{E310E4A2-5D42-E447-A8B0-F5F07A55FB9F}" name="Lagged Interest Differential" dataDxfId="36">
      <calculatedColumnFormula>((J1+1)/(K1+1))-1</calculatedColumnFormula>
    </tableColumn>
    <tableColumn id="13" xr3:uid="{6D47E40D-DFE6-7F43-9359-2A9E89030B54}" name="Vietnam Total Reserves excluding Gold, US Dollars" dataDxfId="35"/>
    <tableColumn id="14" xr3:uid="{9F057DD7-78E1-E842-9842-79EC8F73E6AE}" name="The U.S Total Reserves excluding Gold, US Dollars" dataDxfId="34"/>
    <tableColumn id="15" xr3:uid="{E96CE578-16E7-9847-B567-1C73BDA97D87}" name="Relative Foreign Reserves Change" dataDxfId="33">
      <calculatedColumnFormula>((M1+1)/(N1+1))-1</calculatedColumnFormula>
    </tableColumn>
  </tableColumns>
  <tableStyleInfo name="TableStyleLight1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1DDD91-F797-514B-937D-1A082FDCD3E7}" name="Table19" displayName="Table19" ref="A1:L146" totalsRowShown="0" headerRowDxfId="32" dataDxfId="31">
  <autoFilter ref="A1:L146" xr:uid="{511DDD91-F797-514B-937D-1A082FDCD3E7}"/>
  <tableColumns count="12">
    <tableColumn id="1" xr3:uid="{D4B640CF-EB45-604E-9EEB-537D51D05546}" name="VND/USD" dataDxfId="30"/>
    <tableColumn id="2" xr3:uid="{B7604476-DF88-2847-9AA2-B03510B28A70}" name="Exchange Rate" dataDxfId="29"/>
    <tableColumn id="3" xr3:uid="{0EC6FAA3-1508-E248-93D5-0ED8C381184A}" name="% Change in Spot" dataDxfId="28">
      <calculatedColumnFormula>(B2-B1)/B1</calculatedColumnFormula>
    </tableColumn>
    <tableColumn id="4" xr3:uid="{71BCEE88-2C07-6045-97D2-94EA89913D94}" name="Relative Trade Balance Change" dataDxfId="27"/>
    <tableColumn id="5" xr3:uid="{FCF9CEA0-9E3C-5A45-8C16-7E104ABE1FA4}" name="Lagged Inflation Differential" dataDxfId="26"/>
    <tableColumn id="6" xr3:uid="{CE54922C-4D31-E840-BAA9-F4957A16CE84}" name="Lagged Interest Differential" dataDxfId="25"/>
    <tableColumn id="7" xr3:uid="{108CA324-BFF9-8D4E-82F3-F43E2C8B7662}" name="Relative Foreign Reserves Change" dataDxfId="24"/>
    <tableColumn id="8" xr3:uid="{76B3AA67-2DA5-854C-B247-B2AFE3AA7B33}" name="Predicted Y (% Change in Spot Rate)" dataDxfId="23"/>
    <tableColumn id="9" xr3:uid="{AC8B8E10-E52D-034A-9FBE-7797CB2A8FCA}" name="Predicted VND/USD" dataDxfId="22">
      <calculatedColumnFormula>(1+H2)*B1</calculatedColumnFormula>
    </tableColumn>
    <tableColumn id="10" xr3:uid="{A358D226-A723-8845-A721-FA201543AAF8}" name="Predicted - Actual" dataDxfId="21">
      <calculatedColumnFormula>I2-B2</calculatedColumnFormula>
    </tableColumn>
    <tableColumn id="11" xr3:uid="{BEE56047-3C1F-FE46-96FE-1BA0DCC602FD}" name="Absolute Forecast Error" dataDxfId="20">
      <calculatedColumnFormula>J2/B2</calculatedColumnFormula>
    </tableColumn>
    <tableColumn id="12" xr3:uid="{D23FE0F1-B837-6E4E-B9CC-1C4C6E09DDA6}" name="Absolute Squared Error" dataDxfId="19">
      <calculatedColumnFormula>K2^2</calculatedColumnFormula>
    </tableColumn>
  </tableColumns>
  <tableStyleInfo name="TableStyleLight1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CC20B95B-08BC-0D44-8D33-1A26BEEA154E}" name="Table4345" displayName="Table4345" ref="N2:O3" totalsRowShown="0" headerRowDxfId="18" dataDxfId="17">
  <autoFilter ref="N2:O3" xr:uid="{CC20B95B-08BC-0D44-8D33-1A26BEEA154E}"/>
  <tableColumns count="2">
    <tableColumn id="1" xr3:uid="{B2427E49-BA1A-D747-BA17-C8CEA13CCBB8}" name="Mean Absolute Error" dataDxfId="16">
      <calculatedColumnFormula>AVERAGE(K3:K130)</calculatedColumnFormula>
    </tableColumn>
    <tableColumn id="2" xr3:uid="{9C985E74-066A-A446-A8B3-FF11D9392118}" name="Mean Squared Error" dataDxfId="15">
      <calculatedColumnFormula>AVERAGE(L3:L130)</calculatedColumnFormula>
    </tableColumn>
  </tableColumns>
  <tableStyleInfo name="TableStyleMedium4"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843B2CA-A6D5-DE43-A728-9A534E2E9C25}" name="Table5" displayName="Table5" ref="A29:C33" totalsRowShown="0" headerRowDxfId="14" dataDxfId="13">
  <autoFilter ref="A29:C33" xr:uid="{A843B2CA-A6D5-DE43-A728-9A534E2E9C25}"/>
  <tableColumns count="3">
    <tableColumn id="1" xr3:uid="{44334D92-CFA4-0E42-8E07-71920BAF2E60}" name="Cost of Equity Components" dataDxfId="2"/>
    <tableColumn id="2" xr3:uid="{E31E50FA-1839-934A-AF76-61F150608853}" name="Value" dataDxfId="0"/>
    <tableColumn id="3" xr3:uid="{BBC33FB7-2CEB-8143-A5D7-5A6E75767543}" name="Details" dataDxfId="1"/>
  </tableColumns>
  <tableStyleInfo name="TableStyleMedium4"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EF1411-A1CC-5C4A-9580-2233962522B1}" name="Table17" displayName="Table17" ref="A1:C4" totalsRowShown="0" headerRowDxfId="12" dataDxfId="11">
  <autoFilter ref="A1:C4" xr:uid="{BCEF1411-A1CC-5C4A-9580-2233962522B1}"/>
  <tableColumns count="3">
    <tableColumn id="1" xr3:uid="{4F38D5D4-30D1-6F4A-A42B-40D47B2FE2B4}" name="Category" dataDxfId="10"/>
    <tableColumn id="2" xr3:uid="{B88DABE0-CA1B-7044-9681-FEE52B0BB26F}" name="Philippines" dataDxfId="9"/>
    <tableColumn id="3" xr3:uid="{7EB8BC72-FEF4-7041-BDEA-9604543B7D04}" name="Vietnam" dataDxfId="8"/>
  </tableColumns>
  <tableStyleInfo name="TableStyleMedium4"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2FAF6F-2962-3845-983F-F838E471AE1E}" name="Table10" displayName="Table10" ref="A48:C54" totalsRowShown="0" headerRowDxfId="7" dataDxfId="6">
  <autoFilter ref="A48:C54" xr:uid="{6A2FAF6F-2962-3845-983F-F838E471AE1E}"/>
  <tableColumns count="3">
    <tableColumn id="1" xr3:uid="{DEF578C9-59C2-2A49-BAEA-DF2F257E16BA}" name="WACC variables" dataDxfId="5"/>
    <tableColumn id="2" xr3:uid="{1AFF243B-F416-A34C-80CC-76E5620B62C1}" name="Value" dataDxfId="4" dataCellStyle="Percent"/>
    <tableColumn id="3" xr3:uid="{C8B26C71-F29E-CD45-8E07-4DBE5442EB33}" name="Sources" dataDxfId="3"/>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drawing" Target="../drawings/drawing2.x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 Id="rId9"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table" Target="../tables/table15.xml"/><Relationship Id="rId4" Type="http://schemas.openxmlformats.org/officeDocument/2006/relationships/table" Target="../tables/table1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drawing" Target="../drawings/drawing5.xml"/><Relationship Id="rId4"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FCF7A-96A5-A14F-8119-69310B7F8C41}">
  <dimension ref="A1:B31"/>
  <sheetViews>
    <sheetView topLeftCell="B1" zoomScale="187" workbookViewId="0">
      <selection activeCell="A26" sqref="A26:B31"/>
    </sheetView>
  </sheetViews>
  <sheetFormatPr baseColWidth="10" defaultRowHeight="16" x14ac:dyDescent="0.2"/>
  <cols>
    <col min="1" max="1" width="15.5" style="1" customWidth="1"/>
    <col min="2" max="2" width="17" style="1" customWidth="1"/>
    <col min="3" max="16384" width="10.83203125" style="1"/>
  </cols>
  <sheetData>
    <row r="1" spans="1:2" x14ac:dyDescent="0.2">
      <c r="A1" s="1" t="s">
        <v>5</v>
      </c>
      <c r="B1" s="1" t="s">
        <v>6</v>
      </c>
    </row>
    <row r="2" spans="1:2" x14ac:dyDescent="0.2">
      <c r="A2" s="1" t="s">
        <v>0</v>
      </c>
      <c r="B2" s="2">
        <v>0.7</v>
      </c>
    </row>
    <row r="3" spans="1:2" x14ac:dyDescent="0.2">
      <c r="A3" s="1" t="s">
        <v>1</v>
      </c>
      <c r="B3" s="2">
        <v>0.25</v>
      </c>
    </row>
    <row r="4" spans="1:2" x14ac:dyDescent="0.2">
      <c r="A4" s="1" t="s">
        <v>3</v>
      </c>
      <c r="B4" s="2">
        <v>0.02</v>
      </c>
    </row>
    <row r="5" spans="1:2" x14ac:dyDescent="0.2">
      <c r="A5" s="1" t="s">
        <v>2</v>
      </c>
      <c r="B5" s="2">
        <v>0.02</v>
      </c>
    </row>
    <row r="6" spans="1:2" x14ac:dyDescent="0.2">
      <c r="A6" s="1" t="s">
        <v>4</v>
      </c>
      <c r="B6" s="2">
        <v>0.01</v>
      </c>
    </row>
    <row r="19" spans="1:2" ht="29" x14ac:dyDescent="0.3">
      <c r="A19" s="19"/>
    </row>
    <row r="20" spans="1:2" x14ac:dyDescent="0.2">
      <c r="A20" s="1" t="s">
        <v>42</v>
      </c>
      <c r="B20" s="1" t="s">
        <v>43</v>
      </c>
    </row>
    <row r="21" spans="1:2" x14ac:dyDescent="0.2">
      <c r="A21" s="1" t="s">
        <v>9</v>
      </c>
      <c r="B21" s="2">
        <v>0.6</v>
      </c>
    </row>
    <row r="22" spans="1:2" x14ac:dyDescent="0.2">
      <c r="A22" s="1" t="s">
        <v>39</v>
      </c>
      <c r="B22" s="2">
        <v>0.56000000000000005</v>
      </c>
    </row>
    <row r="23" spans="1:2" x14ac:dyDescent="0.2">
      <c r="A23" s="1" t="s">
        <v>41</v>
      </c>
      <c r="B23" s="2">
        <v>0.49</v>
      </c>
    </row>
    <row r="24" spans="1:2" x14ac:dyDescent="0.2">
      <c r="A24" s="1" t="s">
        <v>40</v>
      </c>
      <c r="B24" s="2">
        <v>0.45</v>
      </c>
    </row>
    <row r="26" spans="1:2" x14ac:dyDescent="0.2">
      <c r="A26" s="1" t="s">
        <v>45</v>
      </c>
      <c r="B26" s="1" t="s">
        <v>46</v>
      </c>
    </row>
    <row r="27" spans="1:2" x14ac:dyDescent="0.2">
      <c r="A27" s="1" t="s">
        <v>9</v>
      </c>
      <c r="B27" s="2">
        <v>0.1</v>
      </c>
    </row>
    <row r="28" spans="1:2" x14ac:dyDescent="0.2">
      <c r="A28" s="1" t="s">
        <v>39</v>
      </c>
      <c r="B28" s="2">
        <v>0.11</v>
      </c>
    </row>
    <row r="29" spans="1:2" x14ac:dyDescent="0.2">
      <c r="A29" s="1" t="s">
        <v>41</v>
      </c>
      <c r="B29" s="2">
        <v>0.1</v>
      </c>
    </row>
    <row r="30" spans="1:2" x14ac:dyDescent="0.2">
      <c r="A30" s="1" t="s">
        <v>40</v>
      </c>
      <c r="B30" s="2">
        <v>7.0000000000000007E-2</v>
      </c>
    </row>
    <row r="31" spans="1:2" x14ac:dyDescent="0.2">
      <c r="A31" s="1" t="s">
        <v>44</v>
      </c>
      <c r="B31" s="2">
        <v>0.09</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E5072-0717-9342-8F2E-A93E0D7FCA98}">
  <dimension ref="A1:D46"/>
  <sheetViews>
    <sheetView topLeftCell="A19" zoomScale="137" workbookViewId="0">
      <selection activeCell="A41" sqref="A41:B41"/>
    </sheetView>
  </sheetViews>
  <sheetFormatPr baseColWidth="10" defaultRowHeight="16" x14ac:dyDescent="0.2"/>
  <cols>
    <col min="1" max="1" width="30.5" customWidth="1"/>
    <col min="2" max="2" width="28.83203125" customWidth="1"/>
    <col min="3" max="3" width="20.1640625" customWidth="1"/>
    <col min="4" max="4" width="28.6640625" customWidth="1"/>
    <col min="5" max="5" width="12.83203125" bestFit="1" customWidth="1"/>
  </cols>
  <sheetData>
    <row r="1" spans="1:4" x14ac:dyDescent="0.2">
      <c r="A1" t="s">
        <v>11</v>
      </c>
      <c r="B1" t="s">
        <v>210</v>
      </c>
      <c r="C1" t="s">
        <v>220</v>
      </c>
      <c r="D1" t="s">
        <v>277</v>
      </c>
    </row>
    <row r="2" spans="1:4" x14ac:dyDescent="0.2">
      <c r="A2">
        <v>2014</v>
      </c>
      <c r="B2" s="37">
        <v>2.2575000000000001E-2</v>
      </c>
      <c r="C2" s="37">
        <v>4.4789801545261968E-5</v>
      </c>
      <c r="D2" s="37">
        <v>1.986179687716872E-3</v>
      </c>
    </row>
    <row r="3" spans="1:4" x14ac:dyDescent="0.2">
      <c r="A3">
        <v>2015</v>
      </c>
      <c r="B3" s="37">
        <v>2.1833333333333333E-2</v>
      </c>
      <c r="C3" s="37">
        <v>4.5980168319847471E-5</v>
      </c>
      <c r="D3" s="37">
        <v>2.1065462431360941E-3</v>
      </c>
    </row>
    <row r="4" spans="1:4" x14ac:dyDescent="0.2">
      <c r="A4">
        <v>2016</v>
      </c>
      <c r="B4" s="37">
        <v>2.0983333333333336E-2</v>
      </c>
      <c r="C4" s="37">
        <v>4.5088419760969025E-5</v>
      </c>
      <c r="D4" s="37">
        <v>2.1499993788866019E-3</v>
      </c>
    </row>
    <row r="5" spans="1:4" x14ac:dyDescent="0.2">
      <c r="A5">
        <v>2017</v>
      </c>
      <c r="B5" s="37">
        <v>0.02</v>
      </c>
      <c r="C5" s="37">
        <v>4.4560087946518049E-5</v>
      </c>
      <c r="D5" s="37">
        <v>2.2280043973259027E-3</v>
      </c>
    </row>
    <row r="6" spans="1:4" x14ac:dyDescent="0.2">
      <c r="A6">
        <v>2018</v>
      </c>
      <c r="B6" s="37">
        <v>1.965833333333333E-2</v>
      </c>
      <c r="C6" s="37">
        <v>4.4404635606288858E-5</v>
      </c>
      <c r="D6" s="37">
        <v>2.2592447163903365E-3</v>
      </c>
    </row>
    <row r="7" spans="1:4" x14ac:dyDescent="0.2">
      <c r="A7">
        <v>2019</v>
      </c>
      <c r="B7" s="37">
        <v>1.8966666666666666E-2</v>
      </c>
      <c r="C7" s="37">
        <v>4.329008391596785E-5</v>
      </c>
      <c r="D7" s="37">
        <v>2.2827594469826597E-3</v>
      </c>
    </row>
    <row r="8" spans="1:4" x14ac:dyDescent="0.2">
      <c r="A8">
        <v>2020</v>
      </c>
      <c r="B8" s="37">
        <v>1.9508333333333332E-2</v>
      </c>
      <c r="C8" s="37">
        <v>4.3109036180443024E-5</v>
      </c>
      <c r="D8" s="37">
        <v>2.2100070847976896E-3</v>
      </c>
    </row>
    <row r="9" spans="1:4" x14ac:dyDescent="0.2">
      <c r="A9">
        <v>2021</v>
      </c>
      <c r="B9" s="37">
        <v>2.0458333333333332E-2</v>
      </c>
      <c r="C9" s="37">
        <v>4.3062594502838541E-5</v>
      </c>
      <c r="D9" s="37">
        <v>2.1053873606490898E-3</v>
      </c>
    </row>
    <row r="10" spans="1:4" x14ac:dyDescent="0.2">
      <c r="A10">
        <v>2022</v>
      </c>
      <c r="B10" s="37">
        <v>1.990833333333333E-2</v>
      </c>
      <c r="C10" s="37">
        <v>4.3741303590167457E-5</v>
      </c>
      <c r="D10" s="37">
        <v>2.1987338998408902E-3</v>
      </c>
    </row>
    <row r="11" spans="1:4" x14ac:dyDescent="0.2">
      <c r="A11">
        <v>2023</v>
      </c>
      <c r="B11" s="37">
        <v>1.8074999999999997E-2</v>
      </c>
      <c r="C11" s="37">
        <v>4.2386031106508215E-5</v>
      </c>
      <c r="D11" s="37">
        <v>2.3465450100527549E-3</v>
      </c>
    </row>
    <row r="12" spans="1:4" x14ac:dyDescent="0.2">
      <c r="A12">
        <v>2024</v>
      </c>
      <c r="B12" s="37">
        <v>1.6319788888275955E-2</v>
      </c>
      <c r="C12" s="37">
        <v>4.0451707908849497E-5</v>
      </c>
      <c r="D12" s="37">
        <v>2.4797679074661147E-3</v>
      </c>
    </row>
    <row r="13" spans="1:4" x14ac:dyDescent="0.2">
      <c r="A13">
        <v>2025</v>
      </c>
      <c r="B13" s="37">
        <v>1.7124566882414326E-2</v>
      </c>
      <c r="C13" s="37">
        <v>4.2380772843817958E-5</v>
      </c>
      <c r="D13" s="37">
        <v>2.4748434782846649E-3</v>
      </c>
    </row>
    <row r="14" spans="1:4" x14ac:dyDescent="0.2">
      <c r="A14">
        <v>2026</v>
      </c>
      <c r="B14" s="37">
        <v>1.6686792986633846E-2</v>
      </c>
      <c r="C14" s="37">
        <v>4.2286752957092185E-5</v>
      </c>
      <c r="D14" s="37">
        <v>2.534148169518862E-3</v>
      </c>
    </row>
    <row r="15" spans="1:4" x14ac:dyDescent="0.2">
      <c r="A15">
        <v>2027</v>
      </c>
      <c r="B15" s="37">
        <v>1.6247080274747406E-2</v>
      </c>
      <c r="C15" s="37">
        <v>4.091552059015336E-5</v>
      </c>
      <c r="D15" s="37">
        <v>2.5183916339580783E-3</v>
      </c>
    </row>
    <row r="16" spans="1:4" x14ac:dyDescent="0.2">
      <c r="A16">
        <v>2028</v>
      </c>
      <c r="B16" s="37">
        <v>1.5806812158744583E-2</v>
      </c>
      <c r="C16" s="37">
        <v>3.9899269703425309E-5</v>
      </c>
      <c r="D16" s="37">
        <v>2.5241462357055832E-3</v>
      </c>
    </row>
    <row r="17" spans="1:4" x14ac:dyDescent="0.2">
      <c r="A17">
        <v>2029</v>
      </c>
      <c r="B17" s="37">
        <v>1.5576997650762122E-2</v>
      </c>
      <c r="C17" s="37">
        <v>3.9561772996478712E-5</v>
      </c>
      <c r="D17" s="37">
        <v>2.5400048043668706E-3</v>
      </c>
    </row>
    <row r="18" spans="1:4" x14ac:dyDescent="0.2">
      <c r="A18">
        <v>2030</v>
      </c>
      <c r="B18" s="37">
        <v>1.5677338360614454E-2</v>
      </c>
      <c r="C18" s="37">
        <v>3.8955532349634795E-5</v>
      </c>
      <c r="D18" s="37">
        <v>2.4856200936229683E-3</v>
      </c>
    </row>
    <row r="19" spans="1:4" x14ac:dyDescent="0.2">
      <c r="A19">
        <v>2031</v>
      </c>
      <c r="B19" s="37">
        <v>1.5971608440589528E-2</v>
      </c>
      <c r="C19" s="37">
        <v>3.7836505666359698E-5</v>
      </c>
      <c r="D19" s="37">
        <v>2.3692425232138895E-3</v>
      </c>
    </row>
    <row r="25" spans="1:4" x14ac:dyDescent="0.2">
      <c r="A25" s="1" t="s">
        <v>350</v>
      </c>
      <c r="B25" s="1" t="s">
        <v>349</v>
      </c>
      <c r="D25" s="141" cm="1">
        <f t="array" ref="D25">(4600000*6.5%)/Table35[VND/USD]</f>
        <v>7055086067.0209522</v>
      </c>
    </row>
    <row r="26" spans="1:4" x14ac:dyDescent="0.2">
      <c r="A26" s="1" t="s">
        <v>348</v>
      </c>
      <c r="B26" s="9">
        <v>24590</v>
      </c>
    </row>
    <row r="27" spans="1:4" x14ac:dyDescent="0.2">
      <c r="A27" s="3" t="s">
        <v>352</v>
      </c>
      <c r="B27" s="3">
        <v>55.673000000000002</v>
      </c>
    </row>
    <row r="28" spans="1:4" x14ac:dyDescent="0.2">
      <c r="A28" s="1" t="s">
        <v>277</v>
      </c>
      <c r="B28" s="1">
        <f>B27/B26</f>
        <v>2.2640504270028468E-3</v>
      </c>
    </row>
    <row r="31" spans="1:4" ht="47" customHeight="1" x14ac:dyDescent="0.2">
      <c r="A31" s="26" t="s">
        <v>277</v>
      </c>
      <c r="B31" s="26" t="s">
        <v>279</v>
      </c>
      <c r="C31" s="26" t="s">
        <v>355</v>
      </c>
    </row>
    <row r="32" spans="1:4" ht="17" x14ac:dyDescent="0.2">
      <c r="A32" s="28" t="s">
        <v>354</v>
      </c>
      <c r="B32" s="142">
        <v>2.4797679074661147E-3</v>
      </c>
      <c r="C32" s="139">
        <v>17460234</v>
      </c>
    </row>
    <row r="33" spans="1:4" ht="19" customHeight="1" x14ac:dyDescent="0.2">
      <c r="A33" s="30" t="s">
        <v>356</v>
      </c>
      <c r="B33" s="143">
        <v>2.4750000000000002E-3</v>
      </c>
      <c r="C33" s="140">
        <f>Table49[[#This Row],[Rate]]*D25</f>
        <v>17461338.015876859</v>
      </c>
    </row>
    <row r="34" spans="1:4" x14ac:dyDescent="0.2">
      <c r="A34" s="32" t="s">
        <v>353</v>
      </c>
      <c r="B34" s="25">
        <v>2.2640500000000001E-3</v>
      </c>
      <c r="C34" s="144">
        <f>D25*B28</f>
        <v>15973070.622580621</v>
      </c>
    </row>
    <row r="37" spans="1:4" x14ac:dyDescent="0.2">
      <c r="A37" s="145"/>
    </row>
    <row r="39" spans="1:4" x14ac:dyDescent="0.2">
      <c r="A39" s="136"/>
      <c r="B39" s="137"/>
    </row>
    <row r="40" spans="1:4" x14ac:dyDescent="0.2">
      <c r="A40" s="136"/>
    </row>
    <row r="41" spans="1:4" x14ac:dyDescent="0.2">
      <c r="A41" s="155"/>
      <c r="B41" s="156"/>
    </row>
    <row r="43" spans="1:4" ht="34" x14ac:dyDescent="0.2">
      <c r="A43" s="6" t="s">
        <v>352</v>
      </c>
      <c r="B43" s="28" t="s">
        <v>358</v>
      </c>
      <c r="C43" s="28" t="s">
        <v>351</v>
      </c>
      <c r="D43" s="148" t="s">
        <v>359</v>
      </c>
    </row>
    <row r="44" spans="1:4" x14ac:dyDescent="0.2">
      <c r="A44" s="1" t="s">
        <v>353</v>
      </c>
      <c r="B44" s="138">
        <v>2097279321</v>
      </c>
      <c r="C44" s="1">
        <v>55.673000000000002</v>
      </c>
      <c r="D44" s="146">
        <f>B44/C44</f>
        <v>37671390.458570577</v>
      </c>
    </row>
    <row r="45" spans="1:4" x14ac:dyDescent="0.2">
      <c r="A45" s="3" t="s">
        <v>356</v>
      </c>
      <c r="B45" s="147">
        <v>2097279321</v>
      </c>
      <c r="C45" s="3">
        <f>1/B12</f>
        <v>61.275302446981676</v>
      </c>
      <c r="D45" s="98">
        <f>B45/C45</f>
        <v>34227155.758466743</v>
      </c>
    </row>
    <row r="46" spans="1:4" x14ac:dyDescent="0.2">
      <c r="A46" s="1" t="s">
        <v>357</v>
      </c>
      <c r="B46" s="138">
        <v>2097279321</v>
      </c>
      <c r="C46" s="1">
        <f>1/0.01632</f>
        <v>61.274509803921568</v>
      </c>
      <c r="D46" s="74">
        <f>B46/C46</f>
        <v>34227598.518720001</v>
      </c>
    </row>
  </sheetData>
  <phoneticPr fontId="12" type="noConversion"/>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84E46-9B64-5448-85CB-52B4BB327497}">
  <dimension ref="A1:Z93"/>
  <sheetViews>
    <sheetView topLeftCell="G25" zoomScale="60" zoomScaleNormal="67" workbookViewId="0">
      <selection activeCell="H30" sqref="H30:P68"/>
    </sheetView>
  </sheetViews>
  <sheetFormatPr baseColWidth="10" defaultRowHeight="16" x14ac:dyDescent="0.2"/>
  <cols>
    <col min="1" max="1" width="40.1640625" style="1" customWidth="1"/>
    <col min="2" max="2" width="28.6640625" style="1" customWidth="1"/>
    <col min="3" max="3" width="15.6640625" style="1" customWidth="1"/>
    <col min="4" max="4" width="16.83203125" style="1" customWidth="1"/>
    <col min="5" max="5" width="17" style="1" customWidth="1"/>
    <col min="6" max="6" width="10.83203125" style="1"/>
    <col min="7" max="7" width="15.83203125" style="1" customWidth="1"/>
    <col min="8" max="8" width="38.1640625" style="1" customWidth="1"/>
    <col min="9" max="9" width="19.6640625" style="1" customWidth="1"/>
    <col min="10" max="10" width="18.83203125" style="1" customWidth="1"/>
    <col min="11" max="11" width="17.1640625" style="1" customWidth="1"/>
    <col min="12" max="12" width="20.5" style="1" customWidth="1"/>
    <col min="13" max="13" width="17.5" style="1" customWidth="1"/>
    <col min="14" max="14" width="23" style="1" customWidth="1"/>
    <col min="15" max="15" width="28.33203125" style="1" customWidth="1"/>
    <col min="16" max="16" width="16" style="1" bestFit="1" customWidth="1"/>
    <col min="17" max="17" width="10.83203125" style="1"/>
    <col min="18" max="18" width="20" style="1" customWidth="1"/>
    <col min="19" max="19" width="29.33203125" style="1" customWidth="1"/>
    <col min="20" max="25" width="13" style="1" bestFit="1" customWidth="1"/>
    <col min="26" max="26" width="12.6640625" style="1" bestFit="1" customWidth="1"/>
    <col min="27" max="27" width="11" style="1" bestFit="1" customWidth="1"/>
    <col min="28" max="16384" width="10.83203125" style="1"/>
  </cols>
  <sheetData>
    <row r="1" spans="1:15" x14ac:dyDescent="0.2">
      <c r="A1" s="1" t="s">
        <v>214</v>
      </c>
    </row>
    <row r="2" spans="1:15" ht="17" x14ac:dyDescent="0.2">
      <c r="A2" s="1" t="s">
        <v>213</v>
      </c>
      <c r="H2" s="6" t="s">
        <v>7</v>
      </c>
      <c r="I2" s="7" t="s">
        <v>286</v>
      </c>
      <c r="J2" s="6" t="s">
        <v>291</v>
      </c>
    </row>
    <row r="3" spans="1:15" ht="179" customHeight="1" x14ac:dyDescent="0.2">
      <c r="A3" s="1" t="s">
        <v>215</v>
      </c>
      <c r="H3" s="6" t="s">
        <v>253</v>
      </c>
      <c r="I3" s="7" t="s">
        <v>284</v>
      </c>
      <c r="J3" s="86">
        <f>44.4%*1.53%</f>
        <v>6.793200000000001E-3</v>
      </c>
    </row>
    <row r="4" spans="1:15" ht="157" customHeight="1" x14ac:dyDescent="0.2">
      <c r="H4" s="8" t="s">
        <v>254</v>
      </c>
      <c r="I4" s="17" t="s">
        <v>313</v>
      </c>
      <c r="J4" s="20">
        <f>8%</f>
        <v>0.08</v>
      </c>
    </row>
    <row r="5" spans="1:15" ht="66" customHeight="1" x14ac:dyDescent="0.2">
      <c r="A5" s="1" t="s">
        <v>280</v>
      </c>
      <c r="H5" s="6" t="s">
        <v>299</v>
      </c>
      <c r="I5" s="73" t="s">
        <v>312</v>
      </c>
      <c r="J5" s="86">
        <v>5.2999999999999999E-2</v>
      </c>
    </row>
    <row r="6" spans="1:15" ht="35" customHeight="1" x14ac:dyDescent="0.2">
      <c r="A6" s="75" t="s">
        <v>281</v>
      </c>
      <c r="B6" s="75" t="s">
        <v>27</v>
      </c>
      <c r="C6" s="75" t="s">
        <v>28</v>
      </c>
      <c r="D6" s="75" t="s">
        <v>29</v>
      </c>
      <c r="E6" s="75" t="s">
        <v>30</v>
      </c>
      <c r="H6" s="8" t="s">
        <v>256</v>
      </c>
      <c r="I6" s="17" t="s">
        <v>285</v>
      </c>
      <c r="J6" s="20">
        <f>(626.8/533.7)^(1/4)-1</f>
        <v>4.1017298599645091E-2</v>
      </c>
    </row>
    <row r="7" spans="1:15" ht="42" customHeight="1" x14ac:dyDescent="0.2">
      <c r="A7" s="7" t="s">
        <v>31</v>
      </c>
      <c r="B7" s="71">
        <v>402000</v>
      </c>
      <c r="C7" s="71">
        <v>3718000</v>
      </c>
      <c r="D7" s="71">
        <f>1619000</f>
        <v>1619000</v>
      </c>
      <c r="E7" s="71">
        <v>1133000</v>
      </c>
    </row>
    <row r="8" spans="1:15" ht="44" customHeight="1" x14ac:dyDescent="0.2">
      <c r="A8" s="17" t="s">
        <v>311</v>
      </c>
      <c r="B8" s="99" t="e" cm="1">
        <f t="array" ref="B8">11.2/#REF!</f>
        <v>#REF!</v>
      </c>
      <c r="C8" s="99" t="e" cm="1">
        <f t="array" ref="C8">4.7/#REF!</f>
        <v>#REF!</v>
      </c>
      <c r="D8" s="99" t="e" cm="1">
        <f t="array" ref="D8">4.9/#REF!</f>
        <v>#REF!</v>
      </c>
      <c r="E8" s="99" t="e" cm="1">
        <f t="array" ref="E8">5.3/#REF!</f>
        <v>#REF!</v>
      </c>
      <c r="H8" s="7" t="s">
        <v>287</v>
      </c>
      <c r="I8" s="76">
        <v>2025</v>
      </c>
      <c r="J8" s="1">
        <v>2026</v>
      </c>
      <c r="K8" s="1">
        <v>2027</v>
      </c>
      <c r="L8" s="1">
        <v>2028</v>
      </c>
      <c r="M8" s="1">
        <v>2029</v>
      </c>
      <c r="N8" s="1">
        <v>2030</v>
      </c>
      <c r="O8" s="1">
        <v>2031</v>
      </c>
    </row>
    <row r="9" spans="1:15" ht="34" x14ac:dyDescent="0.2">
      <c r="A9" s="7" t="s">
        <v>282</v>
      </c>
      <c r="B9" s="15">
        <v>0.25</v>
      </c>
      <c r="C9" s="15">
        <v>0.25</v>
      </c>
      <c r="D9" s="15">
        <v>0.25</v>
      </c>
      <c r="E9" s="15">
        <v>0.25</v>
      </c>
      <c r="H9" s="1" t="s">
        <v>253</v>
      </c>
      <c r="I9" s="1">
        <v>402000</v>
      </c>
      <c r="J9" s="72">
        <f>I9+I9*$J$3</f>
        <v>404730.8664</v>
      </c>
      <c r="K9" s="72">
        <f t="shared" ref="K9:O9" si="0">J9+J9*$J$3</f>
        <v>407480.2841216285</v>
      </c>
      <c r="L9" s="72">
        <f t="shared" si="0"/>
        <v>410248.37918772356</v>
      </c>
      <c r="M9" s="72">
        <f t="shared" si="0"/>
        <v>413035.27847722161</v>
      </c>
      <c r="N9" s="72">
        <f t="shared" si="0"/>
        <v>415841.10973097308</v>
      </c>
      <c r="O9" s="72">
        <f t="shared" si="0"/>
        <v>418666.00155759754</v>
      </c>
    </row>
    <row r="10" spans="1:15" ht="34" x14ac:dyDescent="0.2">
      <c r="A10" s="17" t="s">
        <v>310</v>
      </c>
      <c r="B10" s="8" cm="1">
        <f t="array" ref="B10">0.11/Table35[PHP/USD]</f>
        <v>6.4235201249359442</v>
      </c>
      <c r="C10" s="8" cm="1">
        <f t="array" ref="C10">0.05/Table35[PHP/USD]</f>
        <v>2.9197818749708837</v>
      </c>
      <c r="D10" s="8" cm="1">
        <f t="array" ref="D10">0.07/Table35[PHP/USD]</f>
        <v>4.0876946249592372</v>
      </c>
      <c r="E10" s="8" cm="1">
        <f t="array" ref="E10">0.1/Table35[PHP/USD]</f>
        <v>5.8395637499417674</v>
      </c>
      <c r="H10" s="1" t="s">
        <v>254</v>
      </c>
      <c r="I10" s="1">
        <v>3718000</v>
      </c>
      <c r="J10" s="72">
        <f>I10*$J$4+I10</f>
        <v>4015440</v>
      </c>
      <c r="K10" s="72">
        <f t="shared" ref="K10:O10" si="1">J10*$J$4+J10</f>
        <v>4336675.2</v>
      </c>
      <c r="L10" s="72">
        <f t="shared" si="1"/>
        <v>4683609.216</v>
      </c>
      <c r="M10" s="72">
        <f t="shared" si="1"/>
        <v>5058297.95328</v>
      </c>
      <c r="N10" s="72">
        <f t="shared" si="1"/>
        <v>5462961.7895424003</v>
      </c>
      <c r="O10" s="72">
        <f t="shared" si="1"/>
        <v>5899998.7327057924</v>
      </c>
    </row>
    <row r="11" spans="1:15" ht="17" x14ac:dyDescent="0.2">
      <c r="A11" s="7" t="s">
        <v>32</v>
      </c>
      <c r="B11" s="6">
        <v>1</v>
      </c>
      <c r="C11" s="6">
        <v>1.5</v>
      </c>
      <c r="D11" s="6">
        <v>1.2</v>
      </c>
      <c r="E11" s="6">
        <v>1</v>
      </c>
      <c r="H11" s="1" t="s">
        <v>255</v>
      </c>
      <c r="I11" s="1">
        <v>1619000</v>
      </c>
      <c r="J11" s="74">
        <f>I11+I11*$J$5</f>
        <v>1704807</v>
      </c>
      <c r="K11" s="74">
        <f t="shared" ref="K11:O11" si="2">J11+J11*$J$5</f>
        <v>1795161.7709999999</v>
      </c>
      <c r="L11" s="74">
        <f t="shared" si="2"/>
        <v>1890305.3448629999</v>
      </c>
      <c r="M11" s="74">
        <f t="shared" si="2"/>
        <v>1990491.5281407388</v>
      </c>
      <c r="N11" s="74">
        <f t="shared" si="2"/>
        <v>2095987.5791321979</v>
      </c>
      <c r="O11" s="74">
        <f t="shared" si="2"/>
        <v>2207074.9208262046</v>
      </c>
    </row>
    <row r="12" spans="1:15" ht="34" x14ac:dyDescent="0.2">
      <c r="A12" s="17" t="s">
        <v>309</v>
      </c>
      <c r="B12" s="8" t="e" cm="1">
        <f t="array" ref="B12">4.58/#REF!</f>
        <v>#REF!</v>
      </c>
      <c r="C12" s="8" t="e" cm="1">
        <f t="array" ref="C12">2.35/#REF!</f>
        <v>#REF!</v>
      </c>
      <c r="D12" s="8" t="e" cm="1">
        <f t="array" ref="D12">2.52/#REF!</f>
        <v>#REF!</v>
      </c>
      <c r="E12" s="8" t="e" cm="1">
        <f t="array" ref="E12">2.48/#REF!</f>
        <v>#REF!</v>
      </c>
      <c r="H12" s="1" t="s">
        <v>256</v>
      </c>
      <c r="I12" s="1">
        <v>1133000</v>
      </c>
      <c r="J12" s="74">
        <f>I12+I12*$J$6</f>
        <v>1179472.5993133979</v>
      </c>
      <c r="K12" s="74">
        <f t="shared" ref="K12:O12" si="3">J12+J12*$J$6</f>
        <v>1227851.3791095351</v>
      </c>
      <c r="L12" s="74">
        <f t="shared" si="3"/>
        <v>1278214.5257624569</v>
      </c>
      <c r="M12" s="74">
        <f t="shared" si="3"/>
        <v>1330643.4326400594</v>
      </c>
      <c r="N12" s="74">
        <f t="shared" si="3"/>
        <v>1385222.8316463134</v>
      </c>
      <c r="O12" s="74">
        <f t="shared" si="3"/>
        <v>1442040.9301589963</v>
      </c>
    </row>
    <row r="13" spans="1:15" ht="36" customHeight="1" x14ac:dyDescent="0.2">
      <c r="A13" s="7" t="s">
        <v>33</v>
      </c>
      <c r="B13" s="15">
        <v>0.7</v>
      </c>
      <c r="C13" s="15">
        <v>0.65</v>
      </c>
      <c r="D13" s="15">
        <v>0.65</v>
      </c>
      <c r="E13" s="15">
        <v>0.65</v>
      </c>
      <c r="I13" s="18">
        <f>SUM(I9:I12)</f>
        <v>6872000</v>
      </c>
      <c r="J13" s="18">
        <f t="shared" ref="J13:O13" si="4">SUM(J9:J12)</f>
        <v>7304450.4657133976</v>
      </c>
      <c r="K13" s="18">
        <f t="shared" si="4"/>
        <v>7767168.6342311641</v>
      </c>
      <c r="L13" s="18">
        <f t="shared" si="4"/>
        <v>8262377.4658131804</v>
      </c>
      <c r="M13" s="18">
        <f t="shared" si="4"/>
        <v>8792468.1925380193</v>
      </c>
      <c r="N13" s="18">
        <f t="shared" si="4"/>
        <v>9360013.3100518845</v>
      </c>
      <c r="O13" s="18">
        <f t="shared" si="4"/>
        <v>9967780.5852485914</v>
      </c>
    </row>
    <row r="14" spans="1:15" ht="17" x14ac:dyDescent="0.2">
      <c r="A14" s="17" t="s">
        <v>34</v>
      </c>
      <c r="B14" s="16">
        <v>0.3</v>
      </c>
      <c r="C14" s="16">
        <v>0.35</v>
      </c>
      <c r="D14" s="16">
        <v>0.35</v>
      </c>
      <c r="E14" s="16">
        <v>0.35</v>
      </c>
    </row>
    <row r="15" spans="1:15" ht="17" x14ac:dyDescent="0.2">
      <c r="A15" s="7" t="s">
        <v>35</v>
      </c>
      <c r="B15" s="6" t="s">
        <v>36</v>
      </c>
      <c r="C15" s="6"/>
      <c r="D15" s="6"/>
      <c r="E15" s="6"/>
    </row>
    <row r="16" spans="1:15" ht="27" customHeight="1" x14ac:dyDescent="0.2">
      <c r="A16" s="17" t="s">
        <v>37</v>
      </c>
      <c r="B16" s="16">
        <v>0.1</v>
      </c>
      <c r="C16" s="16">
        <v>0.1</v>
      </c>
      <c r="D16" s="16">
        <v>0.1</v>
      </c>
      <c r="E16" s="16">
        <v>0.1</v>
      </c>
    </row>
    <row r="17" spans="1:26" ht="22" customHeight="1" x14ac:dyDescent="0.2">
      <c r="A17" s="7" t="s">
        <v>38</v>
      </c>
      <c r="B17" s="15">
        <v>0.1</v>
      </c>
      <c r="C17" s="15">
        <v>0.1</v>
      </c>
      <c r="D17" s="15">
        <v>0.1</v>
      </c>
      <c r="E17" s="15">
        <v>0.1</v>
      </c>
      <c r="H17" s="89"/>
      <c r="I17" s="90" t="s">
        <v>288</v>
      </c>
      <c r="J17" s="90" t="s">
        <v>291</v>
      </c>
    </row>
    <row r="18" spans="1:26" ht="112" customHeight="1" x14ac:dyDescent="0.2">
      <c r="H18" s="77" t="s">
        <v>253</v>
      </c>
      <c r="I18" s="82" t="s">
        <v>314</v>
      </c>
      <c r="J18" s="78">
        <v>3.2300000000000002E-2</v>
      </c>
    </row>
    <row r="19" spans="1:26" ht="134" customHeight="1" x14ac:dyDescent="0.2">
      <c r="A19" s="6" t="s">
        <v>11</v>
      </c>
      <c r="B19" s="6" t="s">
        <v>210</v>
      </c>
      <c r="C19" s="6" t="s">
        <v>220</v>
      </c>
      <c r="D19" s="6" t="s">
        <v>277</v>
      </c>
      <c r="H19" s="79" t="s">
        <v>254</v>
      </c>
      <c r="I19" s="83" t="s">
        <v>289</v>
      </c>
      <c r="J19" s="110">
        <v>0.02</v>
      </c>
      <c r="L19" s="1">
        <v>654.03113999347784</v>
      </c>
      <c r="M19" s="1">
        <v>274.45949624726308</v>
      </c>
      <c r="N19" s="1">
        <v>286.1386237471466</v>
      </c>
      <c r="O19" s="1">
        <v>309.49687874691364</v>
      </c>
    </row>
    <row r="20" spans="1:26" ht="34" x14ac:dyDescent="0.2">
      <c r="A20" s="6">
        <v>2025</v>
      </c>
      <c r="B20" s="6">
        <v>1.7124566882414326E-2</v>
      </c>
      <c r="C20" s="107">
        <v>4.2380772843817958E-5</v>
      </c>
      <c r="D20" s="6">
        <v>2.4748434782846649E-3</v>
      </c>
      <c r="H20" s="81" t="s">
        <v>255</v>
      </c>
      <c r="I20" s="84" t="s">
        <v>290</v>
      </c>
      <c r="J20" s="108">
        <v>0.01</v>
      </c>
    </row>
    <row r="21" spans="1:26" ht="34" x14ac:dyDescent="0.2">
      <c r="H21" s="80" t="s">
        <v>256</v>
      </c>
      <c r="I21" s="85" t="s">
        <v>290</v>
      </c>
      <c r="J21" s="109">
        <v>0.01</v>
      </c>
    </row>
    <row r="23" spans="1:26" x14ac:dyDescent="0.2">
      <c r="A23" s="1" t="s">
        <v>11</v>
      </c>
      <c r="B23" s="1" t="s">
        <v>210</v>
      </c>
      <c r="C23" s="1" t="s">
        <v>220</v>
      </c>
      <c r="D23" s="1" t="s">
        <v>277</v>
      </c>
      <c r="H23" s="1" t="s">
        <v>283</v>
      </c>
      <c r="I23" s="76">
        <v>2025</v>
      </c>
      <c r="J23" s="1">
        <v>2026</v>
      </c>
      <c r="K23" s="1">
        <v>2027</v>
      </c>
      <c r="L23" s="1">
        <v>2028</v>
      </c>
      <c r="M23" s="1">
        <v>2029</v>
      </c>
      <c r="N23" s="1">
        <v>2030</v>
      </c>
      <c r="O23" s="1">
        <v>2031</v>
      </c>
    </row>
    <row r="24" spans="1:26" x14ac:dyDescent="0.2">
      <c r="A24" s="1">
        <v>2025</v>
      </c>
      <c r="B24" s="1">
        <v>1.7124566882414326E-2</v>
      </c>
      <c r="C24" s="116">
        <v>4.2380772843817958E-5</v>
      </c>
      <c r="D24" s="1">
        <v>2.4748434782846649E-3</v>
      </c>
      <c r="H24" s="1" t="s">
        <v>253</v>
      </c>
      <c r="I24" s="1">
        <v>654.03113999347784</v>
      </c>
      <c r="J24" s="1">
        <f t="shared" ref="J24:O24" si="5">I24+I24*$J$18</f>
        <v>675.15634581526717</v>
      </c>
      <c r="K24" s="1">
        <f t="shared" si="5"/>
        <v>696.96389578510025</v>
      </c>
      <c r="L24" s="1">
        <f t="shared" si="5"/>
        <v>719.47582961895898</v>
      </c>
      <c r="M24" s="1">
        <f t="shared" si="5"/>
        <v>742.71489891565136</v>
      </c>
      <c r="N24" s="1">
        <f t="shared" si="5"/>
        <v>766.70459015062693</v>
      </c>
      <c r="O24" s="1">
        <f t="shared" si="5"/>
        <v>791.46914841249213</v>
      </c>
    </row>
    <row r="25" spans="1:26" x14ac:dyDescent="0.2">
      <c r="A25" s="1">
        <v>2026</v>
      </c>
      <c r="B25" s="1">
        <v>1.6686792986633846E-2</v>
      </c>
      <c r="C25" s="116">
        <v>4.2286752957092185E-5</v>
      </c>
      <c r="D25" s="1">
        <v>2.534148169518862E-3</v>
      </c>
      <c r="H25" s="1" t="s">
        <v>254</v>
      </c>
      <c r="I25" s="1">
        <v>274.45949624726308</v>
      </c>
      <c r="J25" s="1">
        <f>I25+I25*$J$19</f>
        <v>279.94868617220834</v>
      </c>
      <c r="K25" s="1">
        <f t="shared" ref="K25:O25" si="6">J25+J25*$J$19</f>
        <v>285.54765989565249</v>
      </c>
      <c r="L25" s="1">
        <f t="shared" si="6"/>
        <v>291.25861309356554</v>
      </c>
      <c r="M25" s="1">
        <f t="shared" si="6"/>
        <v>297.08378535543687</v>
      </c>
      <c r="N25" s="1">
        <f t="shared" si="6"/>
        <v>303.02546106254562</v>
      </c>
      <c r="O25" s="1">
        <f t="shared" si="6"/>
        <v>309.08597028379654</v>
      </c>
    </row>
    <row r="26" spans="1:26" x14ac:dyDescent="0.2">
      <c r="A26" s="1">
        <v>2027</v>
      </c>
      <c r="B26" s="1">
        <v>1.6247080274747406E-2</v>
      </c>
      <c r="C26" s="116">
        <v>4.091552059015336E-5</v>
      </c>
      <c r="D26" s="1">
        <v>2.5183916339580783E-3</v>
      </c>
      <c r="H26" s="1" t="s">
        <v>255</v>
      </c>
      <c r="I26" s="1">
        <v>286.1386237471466</v>
      </c>
      <c r="J26" s="1">
        <f>I26+I26*1%</f>
        <v>289.00000998461809</v>
      </c>
      <c r="K26" s="1">
        <f t="shared" ref="K26:O26" si="7">J26+J26*1%</f>
        <v>291.89001008446428</v>
      </c>
      <c r="L26" s="1">
        <f t="shared" si="7"/>
        <v>294.80891018530895</v>
      </c>
      <c r="M26" s="1">
        <f t="shared" si="7"/>
        <v>297.75699928716205</v>
      </c>
      <c r="N26" s="1">
        <f t="shared" si="7"/>
        <v>300.73456928003367</v>
      </c>
      <c r="O26" s="1">
        <f t="shared" si="7"/>
        <v>303.74191497283402</v>
      </c>
    </row>
    <row r="27" spans="1:26" x14ac:dyDescent="0.2">
      <c r="A27" s="1">
        <v>2028</v>
      </c>
      <c r="B27" s="1">
        <v>1.5806812158744583E-2</v>
      </c>
      <c r="C27" s="116">
        <v>3.9899269703425309E-5</v>
      </c>
      <c r="D27" s="1">
        <v>2.5241462357055832E-3</v>
      </c>
      <c r="H27" s="1" t="s">
        <v>256</v>
      </c>
      <c r="I27" s="1">
        <v>309.49687874691364</v>
      </c>
      <c r="J27" s="1">
        <f>I27+I27*1%</f>
        <v>312.59184753438279</v>
      </c>
      <c r="K27" s="1">
        <f t="shared" ref="K27:O27" si="8">J27+J27*1%</f>
        <v>315.71776600972663</v>
      </c>
      <c r="L27" s="1">
        <f t="shared" si="8"/>
        <v>318.87494366982389</v>
      </c>
      <c r="M27" s="1">
        <f t="shared" si="8"/>
        <v>322.06369310652212</v>
      </c>
      <c r="N27" s="1">
        <f t="shared" si="8"/>
        <v>325.28433003758732</v>
      </c>
      <c r="O27" s="1">
        <f t="shared" si="8"/>
        <v>328.53717333796322</v>
      </c>
    </row>
    <row r="28" spans="1:26" x14ac:dyDescent="0.2">
      <c r="A28" s="1">
        <v>2029</v>
      </c>
      <c r="B28" s="1">
        <v>1.5576997650762122E-2</v>
      </c>
      <c r="C28" s="116">
        <v>3.9561772996478712E-5</v>
      </c>
      <c r="D28" s="1">
        <v>2.5400048043668706E-3</v>
      </c>
    </row>
    <row r="29" spans="1:26" x14ac:dyDescent="0.2">
      <c r="A29" s="1">
        <v>2030</v>
      </c>
      <c r="B29" s="1">
        <v>1.5677338360614454E-2</v>
      </c>
      <c r="C29" s="116">
        <v>3.8955532349634795E-5</v>
      </c>
      <c r="D29" s="1">
        <v>2.4856200936229683E-3</v>
      </c>
    </row>
    <row r="30" spans="1:26" ht="34" x14ac:dyDescent="0.2">
      <c r="A30" s="1">
        <v>2031</v>
      </c>
      <c r="B30" s="1">
        <v>1.5971608440589528E-2</v>
      </c>
      <c r="C30" s="116">
        <v>3.7836505666359698E-5</v>
      </c>
      <c r="D30" s="1">
        <v>2.3692425232138895E-3</v>
      </c>
      <c r="H30" s="101" t="s">
        <v>292</v>
      </c>
      <c r="I30" s="101" t="s">
        <v>326</v>
      </c>
      <c r="J30" s="101" t="s">
        <v>278</v>
      </c>
      <c r="K30" s="102" t="s">
        <v>293</v>
      </c>
      <c r="L30" s="102" t="s">
        <v>294</v>
      </c>
      <c r="M30" s="102" t="s">
        <v>295</v>
      </c>
      <c r="N30" s="102" t="s">
        <v>296</v>
      </c>
      <c r="O30" s="102" t="s">
        <v>297</v>
      </c>
      <c r="P30" s="102" t="s">
        <v>298</v>
      </c>
      <c r="S30" s="91" t="s">
        <v>292</v>
      </c>
      <c r="T30" s="92" t="s">
        <v>278</v>
      </c>
      <c r="U30" s="93" t="s">
        <v>293</v>
      </c>
      <c r="V30" s="93" t="s">
        <v>294</v>
      </c>
      <c r="W30" s="93" t="s">
        <v>295</v>
      </c>
      <c r="X30" s="93" t="s">
        <v>296</v>
      </c>
      <c r="Y30" s="93" t="s">
        <v>297</v>
      </c>
      <c r="Z30" s="94" t="s">
        <v>298</v>
      </c>
    </row>
    <row r="31" spans="1:26" x14ac:dyDescent="0.2">
      <c r="H31" s="8" t="s">
        <v>253</v>
      </c>
      <c r="I31" s="8"/>
      <c r="J31" s="103">
        <v>402000</v>
      </c>
      <c r="K31" s="104">
        <v>404730.8664</v>
      </c>
      <c r="L31" s="104">
        <v>407480.2841216285</v>
      </c>
      <c r="M31" s="104">
        <v>410248.37918772356</v>
      </c>
      <c r="N31" s="104">
        <v>413035.27847722161</v>
      </c>
      <c r="O31" s="104">
        <v>415841.10973097308</v>
      </c>
      <c r="P31" s="104">
        <v>418666.00155759754</v>
      </c>
      <c r="S31" s="95" t="s">
        <v>300</v>
      </c>
      <c r="T31" s="96">
        <v>1572959487.5001626</v>
      </c>
      <c r="U31" s="96">
        <v>1656020651.3126359</v>
      </c>
      <c r="V31" s="96">
        <v>1743934739.3471003</v>
      </c>
      <c r="W31" s="96">
        <v>1837002297.3855579</v>
      </c>
      <c r="X31" s="96">
        <v>1935543157.6950979</v>
      </c>
      <c r="Y31" s="96">
        <v>2039897705.2550888</v>
      </c>
      <c r="Z31" s="97">
        <v>2150428228.375392</v>
      </c>
    </row>
    <row r="32" spans="1:26" x14ac:dyDescent="0.2">
      <c r="H32" s="8" t="s">
        <v>254</v>
      </c>
      <c r="I32" s="8"/>
      <c r="J32" s="103">
        <v>3718000</v>
      </c>
      <c r="K32" s="104">
        <v>4015440</v>
      </c>
      <c r="L32" s="104">
        <v>4336675.2</v>
      </c>
      <c r="M32" s="104">
        <v>4683609.216</v>
      </c>
      <c r="N32" s="104">
        <v>5058297.95328</v>
      </c>
      <c r="O32" s="104">
        <v>5462961.7895424003</v>
      </c>
      <c r="P32" s="104">
        <v>5899998.7327057924</v>
      </c>
    </row>
    <row r="33" spans="1:26" x14ac:dyDescent="0.2">
      <c r="H33" s="8" t="s">
        <v>255</v>
      </c>
      <c r="I33" s="8"/>
      <c r="J33" s="104">
        <v>1619000</v>
      </c>
      <c r="K33" s="105">
        <v>1704807</v>
      </c>
      <c r="L33" s="105">
        <v>1795161.7709999999</v>
      </c>
      <c r="M33" s="105">
        <v>1890305.3448629999</v>
      </c>
      <c r="N33" s="105">
        <v>1990491.5281407388</v>
      </c>
      <c r="O33" s="105">
        <v>2095987.5791321979</v>
      </c>
      <c r="P33" s="105">
        <v>2207074.9208262046</v>
      </c>
    </row>
    <row r="34" spans="1:26" ht="17" thickBot="1" x14ac:dyDescent="0.25">
      <c r="H34" s="8" t="s">
        <v>256</v>
      </c>
      <c r="I34" s="8"/>
      <c r="J34" s="104">
        <v>1133000</v>
      </c>
      <c r="K34" s="105">
        <v>1179472.5993133979</v>
      </c>
      <c r="L34" s="105">
        <v>1227851.3791095351</v>
      </c>
      <c r="M34" s="105">
        <v>1278214.5257624569</v>
      </c>
      <c r="N34" s="105">
        <v>1330643.4326400594</v>
      </c>
      <c r="O34" s="105">
        <v>1385222.8316463134</v>
      </c>
      <c r="P34" s="105">
        <v>1442040.9301589963</v>
      </c>
    </row>
    <row r="35" spans="1:26" ht="26" customHeight="1" thickBot="1" x14ac:dyDescent="0.25">
      <c r="H35" s="106" t="s">
        <v>302</v>
      </c>
      <c r="I35" s="106"/>
      <c r="J35" s="100">
        <v>6872000</v>
      </c>
      <c r="K35" s="100">
        <v>7250772.4596343953</v>
      </c>
      <c r="L35" s="100">
        <v>7652397.7293936405</v>
      </c>
      <c r="M35" s="100">
        <v>8078312.5538876094</v>
      </c>
      <c r="N35" s="100">
        <v>8530046.5255419929</v>
      </c>
      <c r="O35" s="100">
        <v>9009228.2025112603</v>
      </c>
      <c r="P35" s="100">
        <v>9517591.6351768635</v>
      </c>
      <c r="S35" s="133" t="s">
        <v>11</v>
      </c>
      <c r="T35" s="133" t="s">
        <v>278</v>
      </c>
      <c r="U35" s="134" t="s">
        <v>293</v>
      </c>
      <c r="V35" s="134" t="s">
        <v>294</v>
      </c>
      <c r="W35" s="134" t="s">
        <v>295</v>
      </c>
      <c r="X35" s="134" t="s">
        <v>296</v>
      </c>
      <c r="Y35" s="134" t="s">
        <v>297</v>
      </c>
      <c r="Z35" s="135" t="s">
        <v>298</v>
      </c>
    </row>
    <row r="36" spans="1:26" x14ac:dyDescent="0.2">
      <c r="A36" s="1" t="s">
        <v>345</v>
      </c>
      <c r="B36" s="1" t="s">
        <v>346</v>
      </c>
      <c r="H36" s="8" t="s">
        <v>253</v>
      </c>
      <c r="I36" s="8"/>
      <c r="J36" s="103">
        <f t="shared" ref="J36:P39" si="9">J31*I24</f>
        <v>262920518.27737808</v>
      </c>
      <c r="K36" s="103">
        <f t="shared" si="9"/>
        <v>273256612.79727107</v>
      </c>
      <c r="L36" s="103">
        <f t="shared" si="9"/>
        <v>283999046.27702975</v>
      </c>
      <c r="M36" s="103">
        <f t="shared" si="9"/>
        <v>295163792.96592069</v>
      </c>
      <c r="N36" s="103">
        <f t="shared" si="9"/>
        <v>306767455.10280758</v>
      </c>
      <c r="O36" s="103">
        <f t="shared" si="9"/>
        <v>318827287.60406762</v>
      </c>
      <c r="P36" s="103">
        <f t="shared" si="9"/>
        <v>331361223.72205484</v>
      </c>
      <c r="S36" s="1" t="s">
        <v>322</v>
      </c>
      <c r="T36" s="18">
        <v>2885906.2946306691</v>
      </c>
      <c r="U36" s="18">
        <v>3256334.8986902279</v>
      </c>
      <c r="V36" s="18">
        <v>3766994.475450193</v>
      </c>
      <c r="W36" s="18">
        <v>4316598.3619051678</v>
      </c>
      <c r="X36" s="18">
        <v>4974163.8665113486</v>
      </c>
      <c r="Y36" s="18">
        <v>5818439.3871912705</v>
      </c>
      <c r="Z36" s="1">
        <v>6853781.9954575524</v>
      </c>
    </row>
    <row r="37" spans="1:26" ht="41" customHeight="1" x14ac:dyDescent="0.2">
      <c r="A37" s="7" t="s">
        <v>282</v>
      </c>
      <c r="B37" s="7" t="s">
        <v>33</v>
      </c>
      <c r="H37" s="8" t="s">
        <v>254</v>
      </c>
      <c r="I37" s="8"/>
      <c r="J37" s="103">
        <f t="shared" si="9"/>
        <v>1020440407.0473241</v>
      </c>
      <c r="K37" s="103">
        <f t="shared" si="9"/>
        <v>1124117152.4033322</v>
      </c>
      <c r="L37" s="103">
        <f t="shared" si="9"/>
        <v>1238327455.0875108</v>
      </c>
      <c r="M37" s="103">
        <f t="shared" si="9"/>
        <v>1364141524.5244019</v>
      </c>
      <c r="N37" s="103">
        <f t="shared" si="9"/>
        <v>1502738303.4160812</v>
      </c>
      <c r="O37" s="103">
        <f t="shared" si="9"/>
        <v>1655416515.0431552</v>
      </c>
      <c r="P37" s="103">
        <f t="shared" si="9"/>
        <v>1823606832.9715397</v>
      </c>
    </row>
    <row r="38" spans="1:26" ht="34" x14ac:dyDescent="0.2">
      <c r="A38" s="17" t="s">
        <v>35</v>
      </c>
      <c r="B38" s="17" t="s">
        <v>34</v>
      </c>
      <c r="H38" s="8" t="s">
        <v>255</v>
      </c>
      <c r="I38" s="8"/>
      <c r="J38" s="103">
        <f t="shared" si="9"/>
        <v>463258431.84663033</v>
      </c>
      <c r="K38" s="103">
        <f t="shared" si="9"/>
        <v>492689240.02184683</v>
      </c>
      <c r="L38" s="103">
        <f t="shared" si="9"/>
        <v>523989787.44043475</v>
      </c>
      <c r="M38" s="103">
        <f t="shared" si="9"/>
        <v>557278858.63652563</v>
      </c>
      <c r="N38" s="103">
        <f t="shared" si="9"/>
        <v>592682784.52570403</v>
      </c>
      <c r="O38" s="103">
        <f t="shared" si="9"/>
        <v>630335921.82662201</v>
      </c>
      <c r="P38" s="103">
        <f t="shared" si="9"/>
        <v>670381162.94026744</v>
      </c>
    </row>
    <row r="39" spans="1:26" ht="18" thickBot="1" x14ac:dyDescent="0.25">
      <c r="A39" s="7" t="s">
        <v>37</v>
      </c>
      <c r="B39" s="7"/>
      <c r="H39" s="8" t="s">
        <v>256</v>
      </c>
      <c r="I39" s="8"/>
      <c r="J39" s="103">
        <f t="shared" si="9"/>
        <v>350659963.62025315</v>
      </c>
      <c r="K39" s="103">
        <f t="shared" si="9"/>
        <v>368693518.93555582</v>
      </c>
      <c r="L39" s="103">
        <f t="shared" si="9"/>
        <v>387654494.40442437</v>
      </c>
      <c r="M39" s="103">
        <f t="shared" si="9"/>
        <v>407590584.9004541</v>
      </c>
      <c r="N39" s="103">
        <f t="shared" si="9"/>
        <v>428551938.12399721</v>
      </c>
      <c r="O39" s="103">
        <f t="shared" si="9"/>
        <v>450591280.74484068</v>
      </c>
      <c r="P39" s="103">
        <f t="shared" si="9"/>
        <v>473764051.03208387</v>
      </c>
    </row>
    <row r="40" spans="1:26" ht="18" thickBot="1" x14ac:dyDescent="0.25">
      <c r="A40" s="17" t="s">
        <v>38</v>
      </c>
      <c r="B40" s="17"/>
      <c r="H40" s="111" t="s">
        <v>301</v>
      </c>
      <c r="I40" s="117"/>
      <c r="J40" s="112">
        <f>SUM(J36:J39)</f>
        <v>2097279320.7915857</v>
      </c>
      <c r="K40" s="112">
        <f t="shared" ref="K40:P40" si="10">SUM(K36:K39)</f>
        <v>2258756524.1580057</v>
      </c>
      <c r="L40" s="112">
        <f t="shared" si="10"/>
        <v>2433970783.2093997</v>
      </c>
      <c r="M40" s="112">
        <f t="shared" si="10"/>
        <v>2624174761.0273023</v>
      </c>
      <c r="N40" s="112">
        <f t="shared" si="10"/>
        <v>2830740481.1685901</v>
      </c>
      <c r="O40" s="112">
        <f t="shared" si="10"/>
        <v>3055171005.2186852</v>
      </c>
      <c r="P40" s="112">
        <f t="shared" si="10"/>
        <v>3299113270.665946</v>
      </c>
    </row>
    <row r="41" spans="1:26" x14ac:dyDescent="0.2">
      <c r="H41" s="3" t="s">
        <v>300</v>
      </c>
      <c r="I41" s="3"/>
      <c r="J41" s="160">
        <f>J40-J40*25%-J40*0.3%</f>
        <v>1566667652.6313145</v>
      </c>
      <c r="K41" s="160">
        <f>K40-K40*25%-K40*0.3%</f>
        <v>1687291123.5460303</v>
      </c>
      <c r="L41" s="160">
        <f>L40-L40*25%-L40*0.3%</f>
        <v>1818176175.0574214</v>
      </c>
      <c r="M41" s="160">
        <f>M40-M40*25%-M40*0.3%</f>
        <v>1960258546.4873948</v>
      </c>
      <c r="N41" s="160">
        <f>N40-N40*25%-N40*0.3%</f>
        <v>2114563139.4329367</v>
      </c>
      <c r="O41" s="160">
        <f>O40-O40*25%-O40*0.3%</f>
        <v>2282212740.8983579</v>
      </c>
      <c r="P41" s="160">
        <f>P40-P40*25%-P40*0.3%</f>
        <v>2464437613.1874614</v>
      </c>
    </row>
    <row r="42" spans="1:26" x14ac:dyDescent="0.2">
      <c r="H42" s="3" t="s">
        <v>347</v>
      </c>
      <c r="I42" s="161"/>
      <c r="J42" s="160"/>
      <c r="K42" s="160"/>
      <c r="L42" s="160"/>
      <c r="M42" s="160"/>
      <c r="N42" s="160"/>
      <c r="O42" s="160"/>
      <c r="P42" s="160"/>
    </row>
    <row r="43" spans="1:26" x14ac:dyDescent="0.2">
      <c r="H43" s="8" t="s">
        <v>253</v>
      </c>
      <c r="I43" s="8"/>
      <c r="J43" s="3">
        <f>267.452019747333*J31</f>
        <v>107515711.93842787</v>
      </c>
      <c r="K43" s="160">
        <f>Table33[[#This Row],[2025]]+Table33[[#This Row],[2025]]*0.39%</f>
        <v>107935023.21498774</v>
      </c>
      <c r="L43" s="160">
        <f>Table33[[#This Row],[2026]]+Table33[[#This Row],[2026]]*0.39%</f>
        <v>108355969.8055262</v>
      </c>
      <c r="M43" s="160">
        <f>Table33[[#This Row],[2027]]+Table33[[#This Row],[2027]]*0.39%</f>
        <v>108778558.08776775</v>
      </c>
      <c r="N43" s="160">
        <f>Table33[[#This Row],[2028]]+Table33[[#This Row],[2028]]*0.39%</f>
        <v>109202794.46431005</v>
      </c>
      <c r="O43" s="160">
        <f>Table33[[#This Row],[2029]]+Table33[[#This Row],[2029]]*0.39%</f>
        <v>109628685.36272086</v>
      </c>
      <c r="P43" s="160">
        <f>Table33[[#This Row],[2030]]+Table33[[#This Row],[2030]]*0.39%</f>
        <v>110056237.23563547</v>
      </c>
    </row>
    <row r="44" spans="1:26" x14ac:dyDescent="0.2">
      <c r="H44" s="8" t="s">
        <v>254</v>
      </c>
      <c r="I44" s="8"/>
      <c r="J44" s="1">
        <f>137.229748123632*J32</f>
        <v>510220203.52366376</v>
      </c>
      <c r="K44" s="18">
        <f>Table33[[#This Row],[2025]]+Table33[[#This Row],[2025]]*0.39%</f>
        <v>512210062.31740606</v>
      </c>
      <c r="L44" s="18">
        <f>Table33[[#This Row],[2026]]+Table33[[#This Row],[2026]]*0.39%</f>
        <v>514207681.56044394</v>
      </c>
      <c r="M44" s="18">
        <f>Table33[[#This Row],[2027]]+Table33[[#This Row],[2027]]*0.39%</f>
        <v>516213091.51852965</v>
      </c>
      <c r="N44" s="18">
        <f>Table33[[#This Row],[2028]]+Table33[[#This Row],[2028]]*0.39%</f>
        <v>518226322.57545191</v>
      </c>
      <c r="O44" s="18">
        <f>Table33[[#This Row],[2029]]+Table33[[#This Row],[2029]]*0.39%</f>
        <v>520247405.23349619</v>
      </c>
      <c r="P44" s="18">
        <f>Table33[[#This Row],[2030]]+Table33[[#This Row],[2030]]*0.39%</f>
        <v>522276370.1139068</v>
      </c>
    </row>
    <row r="45" spans="1:26" x14ac:dyDescent="0.2">
      <c r="H45" s="8" t="s">
        <v>255</v>
      </c>
      <c r="I45" s="8"/>
      <c r="J45" s="74">
        <f>147.157006498533*J33</f>
        <v>238247193.52112493</v>
      </c>
      <c r="K45" s="18">
        <f>Table33[[#This Row],[2025]]+Table33[[#This Row],[2025]]*0.39%</f>
        <v>239176357.57585731</v>
      </c>
      <c r="L45" s="18">
        <f>Table33[[#This Row],[2026]]+Table33[[#This Row],[2026]]*0.39%</f>
        <v>240109145.37040314</v>
      </c>
      <c r="M45" s="18">
        <f>Table33[[#This Row],[2027]]+Table33[[#This Row],[2027]]*0.39%</f>
        <v>241045571.0373477</v>
      </c>
      <c r="N45" s="18">
        <f>Table33[[#This Row],[2028]]+Table33[[#This Row],[2028]]*0.39%</f>
        <v>241985648.76439336</v>
      </c>
      <c r="O45" s="18">
        <f>Table33[[#This Row],[2029]]+Table33[[#This Row],[2029]]*0.39%</f>
        <v>242929392.7945745</v>
      </c>
      <c r="P45" s="18">
        <f>Table33[[#This Row],[2030]]+Table33[[#This Row],[2030]]*0.39%</f>
        <v>243876817.42647335</v>
      </c>
    </row>
    <row r="46" spans="1:26" x14ac:dyDescent="0.2">
      <c r="H46" s="8" t="s">
        <v>256</v>
      </c>
      <c r="I46" s="8"/>
      <c r="J46" s="74">
        <f>144.821180998556*J34</f>
        <v>164082398.07136396</v>
      </c>
      <c r="K46" s="18">
        <f>Table33[[#This Row],[2025]]+Table33[[#This Row],[2025]]*0.39%</f>
        <v>164722319.42384228</v>
      </c>
      <c r="L46" s="18">
        <f>Table33[[#This Row],[2026]]+Table33[[#This Row],[2026]]*0.39%</f>
        <v>165364736.46959525</v>
      </c>
      <c r="M46" s="18">
        <f>Table33[[#This Row],[2027]]+Table33[[#This Row],[2027]]*0.39%</f>
        <v>166009658.94182667</v>
      </c>
      <c r="N46" s="18">
        <f>Table33[[#This Row],[2028]]+Table33[[#This Row],[2028]]*0.39%</f>
        <v>166657096.61169979</v>
      </c>
      <c r="O46" s="18">
        <f>Table33[[#This Row],[2029]]+Table33[[#This Row],[2029]]*0.39%</f>
        <v>167307059.28848541</v>
      </c>
      <c r="P46" s="18">
        <f>Table33[[#This Row],[2030]]+Table33[[#This Row],[2030]]*0.39%</f>
        <v>167959556.81971049</v>
      </c>
    </row>
    <row r="47" spans="1:26" x14ac:dyDescent="0.2">
      <c r="H47" s="3" t="s">
        <v>303</v>
      </c>
      <c r="I47" s="3"/>
      <c r="J47" s="160">
        <f>SUM(J43:J46)</f>
        <v>1020065507.0545806</v>
      </c>
      <c r="K47" s="160">
        <f>Table33[[#This Row],[2025]]+Table33[[#This Row],[2025]]*4.5205%</f>
        <v>1066177568.3009828</v>
      </c>
      <c r="L47" s="160">
        <f>Table33[[#This Row],[2026]]+Table33[[#This Row],[2026]]*5.28%</f>
        <v>1122471743.9072747</v>
      </c>
      <c r="M47" s="160">
        <f>Table33[[#This Row],[2027]]+Table33[[#This Row],[2027]]*5.28%</f>
        <v>1181738251.9855788</v>
      </c>
      <c r="N47" s="160">
        <f>Table33[[#This Row],[2028]]+Table33[[#This Row],[2028]]*5.28%</f>
        <v>1244134031.6904173</v>
      </c>
      <c r="O47" s="160">
        <f>Table33[[#This Row],[2029]]+Table33[[#This Row],[2029]]*5.28%</f>
        <v>1309824308.5636714</v>
      </c>
      <c r="P47" s="160">
        <f>Table33[[#This Row],[2030]]+Table33[[#This Row],[2030]]*5.28%</f>
        <v>1378983032.0558331</v>
      </c>
    </row>
    <row r="48" spans="1:26" x14ac:dyDescent="0.2">
      <c r="H48" s="3" t="s">
        <v>304</v>
      </c>
      <c r="I48" s="3"/>
      <c r="J48" s="160">
        <f>J40*25%+J40*0.3%+J41*10%+J41*10%</f>
        <v>843945198.68653417</v>
      </c>
      <c r="K48" s="160">
        <f>K40*25%+K40*0.3%+K41*10%+K41*10%</f>
        <v>908923625.32118154</v>
      </c>
      <c r="L48" s="160">
        <f>L40*25%+L40*0.3%+L41*10%+L41*10%</f>
        <v>979429843.16346252</v>
      </c>
      <c r="M48" s="160">
        <f>M40*25%+M40*0.3%+M41*10%+M41*10%</f>
        <v>1055967923.8373864</v>
      </c>
      <c r="N48" s="160">
        <f>N40*25%+N40*0.3%+N41*10%+N41*10%</f>
        <v>1139089969.6222405</v>
      </c>
      <c r="O48" s="160">
        <f>O40*25%+O40*0.3%+O41*10%+O41*10%</f>
        <v>1229400812.499999</v>
      </c>
      <c r="P48" s="160">
        <f>P40*25%+P40*0.3%+P41*10%+P41*10%</f>
        <v>1327563180.1159766</v>
      </c>
    </row>
    <row r="49" spans="8:16" x14ac:dyDescent="0.2">
      <c r="H49" s="8" t="s">
        <v>307</v>
      </c>
      <c r="I49" s="8"/>
      <c r="J49" s="160" cm="1">
        <f t="array" ref="J49">(4600000*6.5%)/Table35[VND/USD]</f>
        <v>7055086067.0209522</v>
      </c>
      <c r="K49" s="160" cm="1">
        <f t="array" ref="K49">((4600000+4700000)*6.05%)/Table35[VND/USD]</f>
        <v>13276067476.954309</v>
      </c>
      <c r="L49" s="160" cm="1">
        <f t="array" ref="L49">((4600000+4700000)*6.05%)/Table35[VND/USD]</f>
        <v>13276067476.954309</v>
      </c>
      <c r="M49" s="160" cm="1">
        <f t="array" ref="M49">((4600000+4700000)*6.05%)/Table35[VND/USD]</f>
        <v>13276067476.954309</v>
      </c>
      <c r="N49" s="160" cm="1">
        <f t="array" ref="N49">((4600000+4700000)*6.05%)/Table35[VND/USD]</f>
        <v>13276067476.954309</v>
      </c>
      <c r="O49" s="160" cm="1">
        <f t="array" ref="O49">((4600000+4700000)*6.05%)/Table35[VND/USD]</f>
        <v>13276067476.954309</v>
      </c>
      <c r="P49" s="160" cm="1">
        <f t="array" ref="P49">((4600000+4700000)*6.05%)/Table35[VND/USD]</f>
        <v>13276067476.954309</v>
      </c>
    </row>
    <row r="50" spans="8:16" x14ac:dyDescent="0.2">
      <c r="H50" s="3" t="s">
        <v>306</v>
      </c>
      <c r="I50" s="3"/>
      <c r="J50" s="162" cm="1">
        <f t="array" ref="J50">J49*Table35[VND/PHP]</f>
        <v>17460233.741703808</v>
      </c>
      <c r="K50" s="162" cm="1">
        <f t="array" ref="K50">K49*Table35[VND/PHP]</f>
        <v>32856189.012607519</v>
      </c>
      <c r="L50" s="162" cm="1">
        <f t="array" ref="L50">L49*Table35[VND/PHP]</f>
        <v>32856189.012607519</v>
      </c>
      <c r="M50" s="162" cm="1">
        <f t="array" ref="M50">M49*Table35[VND/PHP]</f>
        <v>32856189.012607519</v>
      </c>
      <c r="N50" s="162" cm="1">
        <f t="array" ref="N50">N49*Table35[VND/PHP]</f>
        <v>32856189.012607519</v>
      </c>
      <c r="O50" s="162" cm="1">
        <f t="array" ref="O50">O49*Table35[VND/PHP]</f>
        <v>32856189.012607519</v>
      </c>
      <c r="P50" s="162" cm="1">
        <f t="array" ref="P50">P49*Table35[VND/PHP]</f>
        <v>32856189.012607519</v>
      </c>
    </row>
    <row r="51" spans="8:16" x14ac:dyDescent="0.2">
      <c r="H51" s="3" t="s">
        <v>317</v>
      </c>
      <c r="I51" s="3"/>
      <c r="J51" s="160">
        <f>SUM(J52:J55)</f>
        <v>26672207.427859016</v>
      </c>
      <c r="K51" s="160">
        <f t="shared" ref="K51:P51" si="11">SUM(K52:K55)</f>
        <v>28180341.643029228</v>
      </c>
      <c r="L51" s="160">
        <f t="shared" si="11"/>
        <v>29787792.978178672</v>
      </c>
      <c r="M51" s="160">
        <f t="shared" si="11"/>
        <v>31501562.225277729</v>
      </c>
      <c r="N51" s="160">
        <f t="shared" si="11"/>
        <v>33329165.779746976</v>
      </c>
      <c r="O51" s="160">
        <f t="shared" si="11"/>
        <v>35278674.748370506</v>
      </c>
      <c r="P51" s="160">
        <f t="shared" si="11"/>
        <v>37358757.08116962</v>
      </c>
    </row>
    <row r="52" spans="8:16" x14ac:dyDescent="0.2">
      <c r="H52" s="8" t="s">
        <v>253</v>
      </c>
      <c r="I52" s="8"/>
      <c r="J52" s="1">
        <f>6.42352012493594*J31</f>
        <v>2582255.0902242479</v>
      </c>
      <c r="K52" s="74">
        <f>6.42352012493594*K31</f>
        <v>2599796.8655031589</v>
      </c>
      <c r="L52" s="1">
        <f>6.42352012493594*L31</f>
        <v>2617457.8055698955</v>
      </c>
      <c r="M52" s="1">
        <f>6.42352012493594*M31</f>
        <v>2635238.7199346926</v>
      </c>
      <c r="N52" s="1">
        <f>6.42352012493594*N31</f>
        <v>2653140.4236069531</v>
      </c>
      <c r="O52" s="1">
        <f>6.42352012493594*O31</f>
        <v>2671163.7371326</v>
      </c>
      <c r="P52" s="1">
        <f>6.42352012493594*P31</f>
        <v>2689309.4866316891</v>
      </c>
    </row>
    <row r="53" spans="8:16" x14ac:dyDescent="0.2">
      <c r="H53" s="8" t="s">
        <v>254</v>
      </c>
      <c r="I53" s="8"/>
      <c r="J53" s="1">
        <f>2.91978187497088*J32</f>
        <v>10855749.011141732</v>
      </c>
      <c r="K53" s="1">
        <f>2.91978187497088*K32</f>
        <v>11724208.932033071</v>
      </c>
      <c r="L53" s="1">
        <f>2.91978187497088*L32</f>
        <v>12662145.646595716</v>
      </c>
      <c r="M53" s="1">
        <f>2.91978187497088*M32</f>
        <v>13675117.298323374</v>
      </c>
      <c r="N53" s="1">
        <f>2.91978187497088*N32</f>
        <v>14769126.682189245</v>
      </c>
      <c r="O53" s="1">
        <f>2.91978187497088*O32</f>
        <v>15950656.816764385</v>
      </c>
      <c r="P53" s="1">
        <f>2.91978187497088*P32</f>
        <v>17226709.362105533</v>
      </c>
    </row>
    <row r="54" spans="8:16" x14ac:dyDescent="0.2">
      <c r="H54" s="8" t="s">
        <v>255</v>
      </c>
      <c r="I54" s="8"/>
      <c r="J54" s="74">
        <f>4.08769462495924*J33</f>
        <v>6617977.5978090093</v>
      </c>
      <c r="K54" s="74">
        <f>4.08769462495924*K33</f>
        <v>6968730.4104928868</v>
      </c>
      <c r="L54" s="74">
        <f>4.08769462495924*L33</f>
        <v>7338073.12224901</v>
      </c>
      <c r="M54" s="74">
        <f>4.08769462495924*M33</f>
        <v>7726990.9977282071</v>
      </c>
      <c r="N54" s="74">
        <f>4.08769462495924*N33</f>
        <v>8136521.5206078021</v>
      </c>
      <c r="O54" s="74">
        <f>4.08769462495924*O33</f>
        <v>8567757.1612000149</v>
      </c>
      <c r="P54" s="74">
        <f>4.08769462495924*P33</f>
        <v>9021848.2907436155</v>
      </c>
    </row>
    <row r="55" spans="8:16" x14ac:dyDescent="0.2">
      <c r="H55" s="8" t="s">
        <v>256</v>
      </c>
      <c r="I55" s="8"/>
      <c r="J55" s="74">
        <f>5.83956374994177*J34</f>
        <v>6616225.7286840258</v>
      </c>
      <c r="K55" s="74">
        <f>5.83956374994177*K34</f>
        <v>6887605.4350001123</v>
      </c>
      <c r="L55" s="74">
        <f>5.83956374994177*L34</f>
        <v>7170116.4037640514</v>
      </c>
      <c r="M55" s="74">
        <f>5.83956374994177*M34</f>
        <v>7464215.2092914544</v>
      </c>
      <c r="N55" s="74">
        <f>5.83956374994177*N34</f>
        <v>7770377.1533429744</v>
      </c>
      <c r="O55" s="74">
        <f>5.83956374994177*O34</f>
        <v>8089097.0332735032</v>
      </c>
      <c r="P55" s="74">
        <f>5.83956374994177*P34</f>
        <v>8420889.9416887872</v>
      </c>
    </row>
    <row r="56" spans="8:16" x14ac:dyDescent="0.2">
      <c r="H56" s="3" t="s">
        <v>308</v>
      </c>
      <c r="I56" s="3"/>
      <c r="J56" s="160">
        <f>J47+J48+J50+J51</f>
        <v>1908143146.9106774</v>
      </c>
      <c r="K56" s="160">
        <f t="shared" ref="K56:P56" si="12">K47+K48+K50+K51</f>
        <v>2036137724.277801</v>
      </c>
      <c r="L56" s="160">
        <f t="shared" si="12"/>
        <v>2164545569.0615234</v>
      </c>
      <c r="M56" s="160">
        <f t="shared" si="12"/>
        <v>2302063927.0608506</v>
      </c>
      <c r="N56" s="160">
        <f t="shared" si="12"/>
        <v>2449409356.1050124</v>
      </c>
      <c r="O56" s="160">
        <f t="shared" si="12"/>
        <v>2607359984.8246484</v>
      </c>
      <c r="P56" s="160">
        <f t="shared" si="12"/>
        <v>2776761158.2655869</v>
      </c>
    </row>
    <row r="57" spans="8:16" x14ac:dyDescent="0.2">
      <c r="H57" s="113" t="s">
        <v>305</v>
      </c>
      <c r="I57" s="118"/>
      <c r="J57" s="114">
        <f>J40-J56</f>
        <v>189136173.88090825</v>
      </c>
      <c r="K57" s="114">
        <f>K40-K56</f>
        <v>222618799.88020468</v>
      </c>
      <c r="L57" s="114">
        <f>L40-L56</f>
        <v>269425214.14787626</v>
      </c>
      <c r="M57" s="114">
        <f>M40-M56</f>
        <v>322110833.96645164</v>
      </c>
      <c r="N57" s="114">
        <f>N40-N56</f>
        <v>381331125.06357765</v>
      </c>
      <c r="O57" s="114">
        <f>O40-O56</f>
        <v>447811020.39403677</v>
      </c>
      <c r="P57" s="114">
        <f>P40-P56</f>
        <v>522352112.40035915</v>
      </c>
    </row>
    <row r="58" spans="8:16" x14ac:dyDescent="0.2">
      <c r="H58" s="3" t="s">
        <v>315</v>
      </c>
      <c r="I58" s="3"/>
      <c r="J58" s="160">
        <f>J57*0.25</f>
        <v>47284043.470227063</v>
      </c>
      <c r="K58" s="160">
        <f t="shared" ref="K58:P58" si="13">K57*0.25</f>
        <v>55654699.970051169</v>
      </c>
      <c r="L58" s="160">
        <f t="shared" si="13"/>
        <v>67356303.536969066</v>
      </c>
      <c r="M58" s="160">
        <f t="shared" si="13"/>
        <v>80527708.491612911</v>
      </c>
      <c r="N58" s="160">
        <f t="shared" si="13"/>
        <v>95332781.265894413</v>
      </c>
      <c r="O58" s="160">
        <f t="shared" si="13"/>
        <v>111952755.09850919</v>
      </c>
      <c r="P58" s="160">
        <f t="shared" si="13"/>
        <v>130588028.10008979</v>
      </c>
    </row>
    <row r="59" spans="8:16" x14ac:dyDescent="0.2">
      <c r="H59" s="113" t="s">
        <v>316</v>
      </c>
      <c r="I59" s="115"/>
      <c r="J59" s="88">
        <f>J57-J58</f>
        <v>141852130.41068119</v>
      </c>
      <c r="K59" s="88">
        <f t="shared" ref="K59:O59" si="14">K57-K58</f>
        <v>166964099.91015351</v>
      </c>
      <c r="L59" s="88">
        <f t="shared" si="14"/>
        <v>202068910.6109072</v>
      </c>
      <c r="M59" s="88">
        <f t="shared" si="14"/>
        <v>241583125.47483873</v>
      </c>
      <c r="N59" s="88">
        <f t="shared" si="14"/>
        <v>285998343.79768324</v>
      </c>
      <c r="O59" s="88">
        <f t="shared" si="14"/>
        <v>335858265.29552758</v>
      </c>
      <c r="P59" s="88">
        <f>P57-P58</f>
        <v>391764084.30026937</v>
      </c>
    </row>
    <row r="60" spans="8:16" x14ac:dyDescent="0.2">
      <c r="H60" s="3" t="s">
        <v>318</v>
      </c>
      <c r="I60" s="3"/>
      <c r="J60" s="160">
        <f>J59+J51</f>
        <v>168524337.8385402</v>
      </c>
      <c r="K60" s="160">
        <f t="shared" ref="K60:P60" si="15">K59+K51</f>
        <v>195144441.55318272</v>
      </c>
      <c r="L60" s="160">
        <f t="shared" si="15"/>
        <v>231856703.58908588</v>
      </c>
      <c r="M60" s="160">
        <f t="shared" si="15"/>
        <v>273084687.70011646</v>
      </c>
      <c r="N60" s="160">
        <f t="shared" si="15"/>
        <v>319327509.57743019</v>
      </c>
      <c r="O60" s="160">
        <f t="shared" si="15"/>
        <v>371136940.04389811</v>
      </c>
      <c r="P60" s="160">
        <f t="shared" si="15"/>
        <v>429122841.38143897</v>
      </c>
    </row>
    <row r="61" spans="8:16" x14ac:dyDescent="0.2">
      <c r="H61" s="3" t="s">
        <v>319</v>
      </c>
      <c r="I61" s="3"/>
      <c r="J61" s="160">
        <f>J60</f>
        <v>168524337.8385402</v>
      </c>
      <c r="K61" s="160">
        <f t="shared" ref="K61:P61" si="16">K60</f>
        <v>195144441.55318272</v>
      </c>
      <c r="L61" s="160">
        <f t="shared" si="16"/>
        <v>231856703.58908588</v>
      </c>
      <c r="M61" s="160">
        <f t="shared" si="16"/>
        <v>273084687.70011646</v>
      </c>
      <c r="N61" s="160">
        <f t="shared" si="16"/>
        <v>319327509.57743019</v>
      </c>
      <c r="O61" s="160">
        <f t="shared" si="16"/>
        <v>371136940.04389811</v>
      </c>
      <c r="P61" s="160">
        <f t="shared" si="16"/>
        <v>429122841.38143897</v>
      </c>
    </row>
    <row r="62" spans="8:16" x14ac:dyDescent="0.2">
      <c r="H62" s="3" t="s">
        <v>320</v>
      </c>
      <c r="I62" s="3"/>
      <c r="J62" s="160"/>
      <c r="K62" s="160"/>
      <c r="L62" s="160"/>
      <c r="M62" s="160"/>
      <c r="N62" s="160"/>
      <c r="O62" s="160"/>
      <c r="P62" s="160">
        <v>9534702116</v>
      </c>
    </row>
    <row r="63" spans="8:16" x14ac:dyDescent="0.2">
      <c r="H63" s="3" t="s">
        <v>321</v>
      </c>
      <c r="I63" s="3"/>
      <c r="J63" s="8">
        <v>1.7124566882414326E-2</v>
      </c>
      <c r="K63" s="3">
        <v>1.6686792986633846E-2</v>
      </c>
      <c r="L63" s="3">
        <v>1.6247080274747406E-2</v>
      </c>
      <c r="M63" s="3">
        <v>1.5806812158744583E-2</v>
      </c>
      <c r="N63" s="3">
        <v>1.5576997650762122E-2</v>
      </c>
      <c r="O63" s="3">
        <v>1.5677338360614454E-2</v>
      </c>
      <c r="P63" s="3">
        <v>1.5971608440589528E-2</v>
      </c>
    </row>
    <row r="64" spans="8:16" x14ac:dyDescent="0.2">
      <c r="H64" s="3" t="s">
        <v>322</v>
      </c>
      <c r="I64" s="3"/>
      <c r="J64" s="160">
        <f>J61*J63</f>
        <v>2885906.2946306691</v>
      </c>
      <c r="K64" s="160">
        <f t="shared" ref="K64:O64" si="17">K61*K63</f>
        <v>3256334.8986902279</v>
      </c>
      <c r="L64" s="160">
        <f t="shared" si="17"/>
        <v>3766994.475450193</v>
      </c>
      <c r="M64" s="160">
        <f t="shared" si="17"/>
        <v>4316598.3619051678</v>
      </c>
      <c r="N64" s="160">
        <f t="shared" si="17"/>
        <v>4974163.8665113486</v>
      </c>
      <c r="O64" s="160">
        <f t="shared" si="17"/>
        <v>5818439.3871912705</v>
      </c>
      <c r="P64" s="160">
        <f>(P61+P62)*P63</f>
        <v>159138310.78986999</v>
      </c>
    </row>
    <row r="65" spans="8:17" x14ac:dyDescent="0.2">
      <c r="H65" s="3" t="s">
        <v>323</v>
      </c>
      <c r="I65" s="3"/>
      <c r="J65" s="160">
        <f>(J64/(100%+6.191%)^1)</f>
        <v>2717656.1993301404</v>
      </c>
      <c r="K65" s="160">
        <f>(K64/(100%+6.191%)^2)</f>
        <v>2887710.4369282424</v>
      </c>
      <c r="L65" s="160">
        <f>(L64/(100%+6.191%)^3)</f>
        <v>3145805.3853683299</v>
      </c>
      <c r="M65" s="160">
        <f>(M64/(100%+6.191%)^4)</f>
        <v>3394617.1368206115</v>
      </c>
      <c r="N65" s="160">
        <f>(N64/(100%+6.191%)^5)</f>
        <v>3683676.9411078081</v>
      </c>
      <c r="O65" s="160">
        <f>(O64/(100%+6.191%)^6)</f>
        <v>4057702.9533250933</v>
      </c>
      <c r="P65" s="160">
        <f>(P64/(100%+6.191%)^7)</f>
        <v>104510703.18832669</v>
      </c>
    </row>
    <row r="66" spans="8:17" x14ac:dyDescent="0.2">
      <c r="H66" s="161" t="s">
        <v>324</v>
      </c>
      <c r="I66" s="161"/>
      <c r="J66" s="160"/>
      <c r="K66" s="160"/>
      <c r="L66" s="160"/>
      <c r="M66" s="160"/>
      <c r="N66" s="160"/>
      <c r="O66" s="160"/>
      <c r="P66" s="160"/>
    </row>
    <row r="67" spans="8:17" x14ac:dyDescent="0.2">
      <c r="H67" s="161" t="s">
        <v>325</v>
      </c>
      <c r="I67" s="163">
        <f>-(4600000+4700000)</f>
        <v>-9300000</v>
      </c>
      <c r="J67" s="160"/>
      <c r="K67" s="160"/>
      <c r="L67" s="160"/>
      <c r="M67" s="160"/>
      <c r="N67" s="160"/>
      <c r="O67" s="160"/>
      <c r="P67" s="160"/>
    </row>
    <row r="68" spans="8:17" x14ac:dyDescent="0.2">
      <c r="H68" s="161" t="s">
        <v>327</v>
      </c>
      <c r="I68" s="161"/>
      <c r="J68" s="160">
        <f>I67+J65+K65+L65+M65+N65+O65+P65</f>
        <v>115097872.24120691</v>
      </c>
      <c r="K68" s="160"/>
      <c r="L68" s="160"/>
      <c r="M68" s="160"/>
      <c r="N68" s="160"/>
      <c r="O68" s="160"/>
      <c r="P68" s="160"/>
    </row>
    <row r="70" spans="8:17" x14ac:dyDescent="0.2">
      <c r="Q70" s="72"/>
    </row>
    <row r="71" spans="8:17" x14ac:dyDescent="0.2">
      <c r="H71" s="87" t="s">
        <v>330</v>
      </c>
      <c r="I71" s="87" t="s">
        <v>331</v>
      </c>
      <c r="J71" s="72">
        <f>-(4600000+4700000)</f>
        <v>-9300000</v>
      </c>
      <c r="K71" s="72">
        <v>2717656.1993301404</v>
      </c>
      <c r="L71" s="119">
        <v>2887710.4369282424</v>
      </c>
      <c r="M71" s="72">
        <v>3145805.3853683299</v>
      </c>
      <c r="N71" s="72">
        <v>3394617.1368206115</v>
      </c>
      <c r="O71" s="72">
        <v>3683676.9411078081</v>
      </c>
      <c r="P71" s="72">
        <v>4057702.9533250933</v>
      </c>
      <c r="Q71" s="1">
        <v>104510703.18832669</v>
      </c>
    </row>
    <row r="72" spans="8:17" x14ac:dyDescent="0.2">
      <c r="H72" s="1" t="s">
        <v>328</v>
      </c>
      <c r="I72" s="120">
        <v>115097872</v>
      </c>
    </row>
    <row r="73" spans="8:17" x14ac:dyDescent="0.2">
      <c r="H73" s="3" t="s">
        <v>329</v>
      </c>
      <c r="I73" s="70">
        <f>IRR(J71:Q71)</f>
        <v>0.57277111854873475</v>
      </c>
    </row>
    <row r="74" spans="8:17" x14ac:dyDescent="0.2">
      <c r="H74" s="1" t="s">
        <v>332</v>
      </c>
      <c r="I74" s="14">
        <v>6.191E-2</v>
      </c>
    </row>
    <row r="78" spans="8:17" x14ac:dyDescent="0.2">
      <c r="H78" s="72">
        <f xml:space="preserve"> (391764084*(1+2%))/(6.191%-2%)</f>
        <v>9534702115.9627762</v>
      </c>
      <c r="I78" s="8"/>
    </row>
    <row r="93" spans="15:15" x14ac:dyDescent="0.2">
      <c r="O93" s="72">
        <f>9534702116*0.0159716</f>
        <v>152284448.3159056</v>
      </c>
    </row>
  </sheetData>
  <pageMargins left="0.7" right="0.7" top="0.75" bottom="0.75" header="0.3" footer="0.3"/>
  <pageSetup paperSize="9" orientation="portrait" horizontalDpi="0" verticalDpi="0"/>
  <ignoredErrors>
    <ignoredError sqref="I72:I74" calculatedColumn="1"/>
  </ignoredErrors>
  <drawing r:id="rId1"/>
  <tableParts count="8">
    <tablePart r:id="rId2"/>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EFF7B-1A9E-FE4E-ADBF-BAF6C5FB06E3}">
  <dimension ref="A1:P47"/>
  <sheetViews>
    <sheetView tabSelected="1" zoomScale="82" zoomScaleNormal="75" workbookViewId="0">
      <selection sqref="A1:B7"/>
    </sheetView>
  </sheetViews>
  <sheetFormatPr baseColWidth="10" defaultRowHeight="16" x14ac:dyDescent="0.2"/>
  <cols>
    <col min="1" max="1" width="32.83203125" customWidth="1"/>
    <col min="2" max="2" width="70" customWidth="1"/>
    <col min="3" max="3" width="24.33203125" customWidth="1"/>
    <col min="8" max="8" width="30.5" customWidth="1"/>
    <col min="10" max="10" width="17.1640625" customWidth="1"/>
    <col min="13" max="13" width="13.6640625" customWidth="1"/>
  </cols>
  <sheetData>
    <row r="1" spans="1:16" x14ac:dyDescent="0.2">
      <c r="A1" s="11" t="s">
        <v>273</v>
      </c>
      <c r="B1" s="11" t="s">
        <v>198</v>
      </c>
      <c r="H1" s="1" t="s">
        <v>252</v>
      </c>
      <c r="I1" s="1"/>
      <c r="J1" s="1"/>
      <c r="K1" s="1"/>
      <c r="L1" s="1"/>
      <c r="M1" s="1"/>
      <c r="N1" s="1"/>
      <c r="O1" s="1"/>
      <c r="P1" s="1"/>
    </row>
    <row r="2" spans="1:16" ht="17" thickBot="1" x14ac:dyDescent="0.25">
      <c r="A2" s="27" t="s">
        <v>63</v>
      </c>
      <c r="B2" s="27" t="s">
        <v>64</v>
      </c>
      <c r="H2" s="1"/>
      <c r="I2" s="1"/>
      <c r="J2" s="1"/>
      <c r="K2" s="1"/>
      <c r="L2" s="1"/>
      <c r="M2" s="1"/>
      <c r="N2" s="1"/>
      <c r="O2" s="1"/>
      <c r="P2" s="1"/>
    </row>
    <row r="3" spans="1:16" ht="75" customHeight="1" x14ac:dyDescent="0.2">
      <c r="A3" s="29" t="s">
        <v>59</v>
      </c>
      <c r="B3" s="30" t="s">
        <v>268</v>
      </c>
      <c r="H3" s="157" t="s">
        <v>222</v>
      </c>
      <c r="I3" s="157"/>
      <c r="J3" s="1"/>
      <c r="K3" s="1"/>
      <c r="L3" s="1"/>
      <c r="M3" s="1"/>
      <c r="N3" s="1"/>
      <c r="O3" s="1"/>
      <c r="P3" s="1"/>
    </row>
    <row r="4" spans="1:16" ht="82" customHeight="1" x14ac:dyDescent="0.2">
      <c r="A4" s="27" t="s">
        <v>60</v>
      </c>
      <c r="B4" s="28" t="s">
        <v>269</v>
      </c>
      <c r="H4" s="1" t="s">
        <v>223</v>
      </c>
      <c r="I4" s="1">
        <v>0.18189514160138937</v>
      </c>
      <c r="J4" s="1"/>
      <c r="K4" s="1"/>
      <c r="L4" s="1"/>
      <c r="M4" s="1"/>
      <c r="N4" s="1"/>
      <c r="O4" s="1"/>
      <c r="P4" s="1"/>
    </row>
    <row r="5" spans="1:16" ht="110" customHeight="1" x14ac:dyDescent="0.2">
      <c r="A5" s="29" t="s">
        <v>61</v>
      </c>
      <c r="B5" s="30" t="s">
        <v>271</v>
      </c>
      <c r="H5" s="1" t="s">
        <v>224</v>
      </c>
      <c r="I5" s="1">
        <v>3.3085842538189483E-2</v>
      </c>
      <c r="J5" s="1"/>
      <c r="K5" s="1"/>
      <c r="L5" s="1"/>
      <c r="M5" s="1"/>
      <c r="N5" s="1"/>
      <c r="O5" s="1"/>
      <c r="P5" s="1"/>
    </row>
    <row r="6" spans="1:16" ht="109" customHeight="1" x14ac:dyDescent="0.2">
      <c r="A6" s="28" t="s">
        <v>62</v>
      </c>
      <c r="B6" s="28" t="s">
        <v>272</v>
      </c>
      <c r="H6" s="1" t="s">
        <v>225</v>
      </c>
      <c r="I6" s="1">
        <v>1.3837390148514301E-3</v>
      </c>
      <c r="J6" s="1"/>
      <c r="K6" s="1"/>
      <c r="L6" s="1"/>
      <c r="M6" s="1"/>
      <c r="N6" s="1"/>
      <c r="O6" s="1"/>
      <c r="P6" s="1"/>
    </row>
    <row r="7" spans="1:16" ht="93" customHeight="1" x14ac:dyDescent="0.2">
      <c r="A7" s="151" t="s">
        <v>270</v>
      </c>
      <c r="B7" s="152"/>
      <c r="H7" s="1" t="s">
        <v>226</v>
      </c>
      <c r="I7" s="1">
        <v>1.53357386922697E-2</v>
      </c>
      <c r="J7" s="1"/>
      <c r="K7" s="1"/>
      <c r="L7" s="1"/>
      <c r="M7" s="1"/>
      <c r="N7" s="1"/>
      <c r="O7" s="1"/>
      <c r="P7" s="1"/>
    </row>
    <row r="8" spans="1:16" ht="29" customHeight="1" thickBot="1" x14ac:dyDescent="0.25">
      <c r="H8" s="46" t="s">
        <v>227</v>
      </c>
      <c r="I8" s="46">
        <v>127</v>
      </c>
      <c r="J8" s="1"/>
      <c r="K8" s="1"/>
      <c r="L8" s="1"/>
      <c r="M8" s="1"/>
      <c r="N8" s="1"/>
      <c r="O8" s="1"/>
      <c r="P8" s="1"/>
    </row>
    <row r="9" spans="1:16" ht="21" customHeight="1" x14ac:dyDescent="0.2">
      <c r="H9" s="1"/>
      <c r="I9" s="1"/>
      <c r="J9" s="1"/>
      <c r="K9" s="1"/>
      <c r="L9" s="1"/>
      <c r="M9" s="1"/>
      <c r="N9" s="1"/>
      <c r="O9" s="1"/>
      <c r="P9" s="1"/>
    </row>
    <row r="10" spans="1:16" ht="20" customHeight="1" thickBot="1" x14ac:dyDescent="0.25">
      <c r="H10" s="1" t="s">
        <v>228</v>
      </c>
      <c r="I10" s="1"/>
      <c r="J10" s="1"/>
      <c r="K10" s="1"/>
      <c r="L10" s="1"/>
      <c r="M10" s="1"/>
      <c r="N10" s="1"/>
      <c r="O10" s="1"/>
      <c r="P10" s="1"/>
    </row>
    <row r="11" spans="1:16" ht="21" customHeight="1" x14ac:dyDescent="0.2">
      <c r="H11" s="158"/>
      <c r="I11" s="158" t="s">
        <v>233</v>
      </c>
      <c r="J11" s="158" t="s">
        <v>234</v>
      </c>
      <c r="K11" s="158" t="s">
        <v>235</v>
      </c>
      <c r="L11" s="158" t="s">
        <v>236</v>
      </c>
      <c r="M11" s="158" t="s">
        <v>237</v>
      </c>
      <c r="N11" s="1"/>
      <c r="O11" s="1"/>
      <c r="P11" s="1"/>
    </row>
    <row r="12" spans="1:16" ht="25" customHeight="1" x14ac:dyDescent="0.2">
      <c r="H12" s="1" t="s">
        <v>229</v>
      </c>
      <c r="I12" s="1">
        <v>4</v>
      </c>
      <c r="J12" s="1">
        <v>9.8180108991959697E-4</v>
      </c>
      <c r="K12" s="1">
        <v>2.4545027247989924E-4</v>
      </c>
      <c r="L12" s="1">
        <v>1.0436481766527819</v>
      </c>
      <c r="M12" s="1">
        <v>0.38762905404504799</v>
      </c>
      <c r="N12" s="1"/>
      <c r="O12" s="1"/>
      <c r="P12" s="1"/>
    </row>
    <row r="13" spans="1:16" ht="24" customHeight="1" x14ac:dyDescent="0.2">
      <c r="A13" s="149" t="s">
        <v>267</v>
      </c>
      <c r="B13" s="150"/>
      <c r="H13" s="1" t="s">
        <v>230</v>
      </c>
      <c r="I13" s="1">
        <v>122</v>
      </c>
      <c r="J13" s="1">
        <v>2.869255551098451E-2</v>
      </c>
      <c r="K13" s="1">
        <v>2.3518488123757794E-4</v>
      </c>
      <c r="L13" s="1"/>
      <c r="M13" s="1"/>
      <c r="N13" s="1"/>
      <c r="O13" s="1"/>
      <c r="P13" s="1"/>
    </row>
    <row r="14" spans="1:16" ht="28" customHeight="1" thickBot="1" x14ac:dyDescent="0.25">
      <c r="A14" s="47" t="s">
        <v>250</v>
      </c>
      <c r="B14" s="48" t="s">
        <v>251</v>
      </c>
      <c r="H14" s="46" t="s">
        <v>231</v>
      </c>
      <c r="I14" s="46">
        <v>126</v>
      </c>
      <c r="J14" s="46">
        <v>2.9674356600904107E-2</v>
      </c>
      <c r="K14" s="46"/>
      <c r="L14" s="46"/>
      <c r="M14" s="46"/>
      <c r="N14" s="1"/>
      <c r="O14" s="1"/>
      <c r="P14" s="1"/>
    </row>
    <row r="15" spans="1:16" ht="39" customHeight="1" thickBot="1" x14ac:dyDescent="0.25">
      <c r="A15" s="49" t="s">
        <v>266</v>
      </c>
      <c r="B15" s="50" t="s">
        <v>276</v>
      </c>
      <c r="H15" s="1"/>
      <c r="I15" s="1"/>
      <c r="J15" s="1"/>
      <c r="K15" s="1"/>
      <c r="L15" s="1"/>
      <c r="M15" s="1"/>
      <c r="N15" s="1"/>
      <c r="O15" s="1"/>
      <c r="P15" s="1"/>
    </row>
    <row r="16" spans="1:16" ht="34" customHeight="1" x14ac:dyDescent="0.2">
      <c r="A16" s="51"/>
      <c r="B16" s="52"/>
      <c r="H16" s="158"/>
      <c r="I16" s="158" t="s">
        <v>238</v>
      </c>
      <c r="J16" s="158" t="s">
        <v>226</v>
      </c>
      <c r="K16" s="158" t="s">
        <v>239</v>
      </c>
      <c r="L16" s="158" t="s">
        <v>240</v>
      </c>
      <c r="M16" s="158" t="s">
        <v>241</v>
      </c>
      <c r="N16" s="158" t="s">
        <v>242</v>
      </c>
      <c r="O16" s="158" t="s">
        <v>243</v>
      </c>
      <c r="P16" s="158" t="s">
        <v>244</v>
      </c>
    </row>
    <row r="17" spans="1:16" x14ac:dyDescent="0.2">
      <c r="H17" s="1" t="s">
        <v>232</v>
      </c>
      <c r="I17" s="1">
        <v>-5.053906286989765E-2</v>
      </c>
      <c r="J17" s="1">
        <v>8.88808288398764E-2</v>
      </c>
      <c r="K17" s="1">
        <v>-0.56861601685720653</v>
      </c>
      <c r="L17" s="1">
        <v>0.57066196550600901</v>
      </c>
      <c r="M17" s="1">
        <v>-0.22648754084110884</v>
      </c>
      <c r="N17" s="1">
        <v>0.12540941510131354</v>
      </c>
      <c r="O17" s="1">
        <v>-0.22648754084110884</v>
      </c>
      <c r="P17" s="1">
        <v>0.12540941510131354</v>
      </c>
    </row>
    <row r="18" spans="1:16" x14ac:dyDescent="0.2">
      <c r="H18" s="1" t="s">
        <v>61</v>
      </c>
      <c r="I18" s="1">
        <v>-5.371956470056561E-2</v>
      </c>
      <c r="J18" s="1">
        <v>9.1589175027522257E-2</v>
      </c>
      <c r="K18" s="1">
        <v>-0.58652744371180388</v>
      </c>
      <c r="L18" s="1">
        <v>0.5586048223323794</v>
      </c>
      <c r="M18" s="1">
        <v>-0.23502948445574029</v>
      </c>
      <c r="N18" s="1">
        <v>0.12759035505460908</v>
      </c>
      <c r="O18" s="1">
        <v>-0.23502948445574029</v>
      </c>
      <c r="P18" s="1">
        <v>0.12759035505460908</v>
      </c>
    </row>
    <row r="19" spans="1:16" x14ac:dyDescent="0.2">
      <c r="H19" s="1" t="s">
        <v>217</v>
      </c>
      <c r="I19" s="1">
        <v>0.30351455643052255</v>
      </c>
      <c r="J19" s="1">
        <v>0.31265159843855339</v>
      </c>
      <c r="K19" s="1">
        <v>0.97077564274846795</v>
      </c>
      <c r="L19" s="1">
        <v>0.33358073461062088</v>
      </c>
      <c r="M19" s="1">
        <v>-0.31541050984709157</v>
      </c>
      <c r="N19" s="1">
        <v>0.92243962270813662</v>
      </c>
      <c r="O19" s="1">
        <v>-0.31541050984709157</v>
      </c>
      <c r="P19" s="1">
        <v>0.92243962270813662</v>
      </c>
    </row>
    <row r="20" spans="1:16" x14ac:dyDescent="0.2">
      <c r="H20" s="159" t="s">
        <v>216</v>
      </c>
      <c r="I20" s="1">
        <v>1.0078872952375455E-2</v>
      </c>
      <c r="J20" s="1">
        <v>6.0423162302073886E-3</v>
      </c>
      <c r="K20" s="1">
        <v>1.6680479088446387</v>
      </c>
      <c r="L20" s="159">
        <v>9.7870935650275284E-2</v>
      </c>
      <c r="M20" s="1">
        <v>-1.8824955227209443E-3</v>
      </c>
      <c r="N20" s="1">
        <v>2.2040241427471855E-2</v>
      </c>
      <c r="O20" s="1">
        <v>-1.8824955227209443E-3</v>
      </c>
      <c r="P20" s="1">
        <v>2.2040241427471855E-2</v>
      </c>
    </row>
    <row r="21" spans="1:16" ht="17" thickBot="1" x14ac:dyDescent="0.25">
      <c r="H21" s="46" t="s">
        <v>62</v>
      </c>
      <c r="I21" s="46">
        <v>5.6792192734689551E-3</v>
      </c>
      <c r="J21" s="46">
        <v>1.210050176230512E-2</v>
      </c>
      <c r="K21" s="46">
        <v>0.46933750228115134</v>
      </c>
      <c r="L21" s="46">
        <v>0.63966611879945212</v>
      </c>
      <c r="M21" s="46">
        <v>-1.8274932544817636E-2</v>
      </c>
      <c r="N21" s="46">
        <v>2.9633371091755546E-2</v>
      </c>
      <c r="O21" s="46">
        <v>-1.8274932544817636E-2</v>
      </c>
      <c r="P21" s="46">
        <v>2.9633371091755546E-2</v>
      </c>
    </row>
    <row r="22" spans="1:16" x14ac:dyDescent="0.2">
      <c r="A22" s="11" t="s">
        <v>273</v>
      </c>
      <c r="B22" s="11" t="s">
        <v>198</v>
      </c>
    </row>
    <row r="23" spans="1:16" x14ac:dyDescent="0.2">
      <c r="A23" s="27" t="s">
        <v>63</v>
      </c>
      <c r="B23" s="27"/>
    </row>
    <row r="24" spans="1:16" x14ac:dyDescent="0.2">
      <c r="A24" s="29" t="s">
        <v>59</v>
      </c>
      <c r="B24" s="30"/>
    </row>
    <row r="25" spans="1:16" x14ac:dyDescent="0.2">
      <c r="A25" s="27" t="s">
        <v>60</v>
      </c>
      <c r="B25" s="28"/>
    </row>
    <row r="26" spans="1:16" x14ac:dyDescent="0.2">
      <c r="A26" s="29" t="s">
        <v>61</v>
      </c>
      <c r="B26" s="30"/>
    </row>
    <row r="27" spans="1:16" ht="17" x14ac:dyDescent="0.2">
      <c r="A27" s="28" t="s">
        <v>62</v>
      </c>
      <c r="B27" s="28"/>
      <c r="H27" s="1" t="s">
        <v>360</v>
      </c>
      <c r="I27" s="1"/>
      <c r="J27" s="1"/>
      <c r="K27" s="1"/>
      <c r="L27" s="1"/>
      <c r="M27" s="1"/>
      <c r="N27" s="1"/>
      <c r="O27" s="1"/>
      <c r="P27" s="1"/>
    </row>
    <row r="28" spans="1:16" ht="18" customHeight="1" thickBot="1" x14ac:dyDescent="0.25">
      <c r="A28" s="151"/>
      <c r="B28" s="152"/>
      <c r="H28" s="1"/>
      <c r="I28" s="1"/>
      <c r="J28" s="1"/>
      <c r="K28" s="1"/>
      <c r="L28" s="1"/>
      <c r="M28" s="1"/>
      <c r="N28" s="1"/>
      <c r="O28" s="1"/>
      <c r="P28" s="1"/>
    </row>
    <row r="29" spans="1:16" x14ac:dyDescent="0.2">
      <c r="H29" s="157" t="s">
        <v>222</v>
      </c>
      <c r="I29" s="157"/>
      <c r="J29" s="1"/>
      <c r="K29" s="1"/>
      <c r="L29" s="1"/>
      <c r="M29" s="1"/>
      <c r="N29" s="1"/>
      <c r="O29" s="1"/>
      <c r="P29" s="1"/>
    </row>
    <row r="30" spans="1:16" x14ac:dyDescent="0.2">
      <c r="H30" s="1" t="s">
        <v>223</v>
      </c>
      <c r="I30" s="1">
        <v>0.10281535914454604</v>
      </c>
      <c r="J30" s="1"/>
      <c r="K30" s="1"/>
      <c r="L30" s="1"/>
      <c r="M30" s="1"/>
      <c r="N30" s="1"/>
      <c r="O30" s="1"/>
      <c r="P30" s="1"/>
    </row>
    <row r="31" spans="1:16" x14ac:dyDescent="0.2">
      <c r="H31" s="1" t="s">
        <v>224</v>
      </c>
      <c r="I31" s="1">
        <v>1.0570998076021987E-2</v>
      </c>
      <c r="J31" s="1"/>
      <c r="K31" s="1"/>
      <c r="L31" s="1"/>
      <c r="M31" s="1"/>
      <c r="N31" s="1"/>
      <c r="O31" s="1"/>
      <c r="P31" s="1"/>
    </row>
    <row r="32" spans="1:16" x14ac:dyDescent="0.2">
      <c r="H32" s="1" t="s">
        <v>225</v>
      </c>
      <c r="I32" s="1">
        <v>-2.213739868179547E-2</v>
      </c>
      <c r="J32" s="1"/>
      <c r="K32" s="1"/>
      <c r="L32" s="1"/>
      <c r="M32" s="1"/>
      <c r="N32" s="1"/>
      <c r="O32" s="1"/>
      <c r="P32" s="1"/>
    </row>
    <row r="33" spans="1:16" x14ac:dyDescent="0.2">
      <c r="H33" s="1" t="s">
        <v>226</v>
      </c>
      <c r="I33" s="1">
        <v>8.1576162492865964E-2</v>
      </c>
      <c r="J33" s="1"/>
      <c r="K33" s="1"/>
      <c r="L33" s="1"/>
      <c r="M33" s="1"/>
      <c r="N33" s="1"/>
      <c r="O33" s="1"/>
      <c r="P33" s="1"/>
    </row>
    <row r="34" spans="1:16" ht="17" thickBot="1" x14ac:dyDescent="0.25">
      <c r="H34" s="46" t="s">
        <v>227</v>
      </c>
      <c r="I34" s="46">
        <v>126</v>
      </c>
      <c r="J34" s="1"/>
      <c r="K34" s="1"/>
      <c r="L34" s="1"/>
      <c r="M34" s="1"/>
      <c r="N34" s="1"/>
      <c r="O34" s="1"/>
      <c r="P34" s="1"/>
    </row>
    <row r="35" spans="1:16" x14ac:dyDescent="0.2">
      <c r="H35" s="1"/>
      <c r="I35" s="1"/>
      <c r="J35" s="1"/>
      <c r="K35" s="1"/>
      <c r="L35" s="1"/>
      <c r="M35" s="1"/>
      <c r="N35" s="1"/>
      <c r="O35" s="1"/>
      <c r="P35" s="1"/>
    </row>
    <row r="36" spans="1:16" ht="17" thickBot="1" x14ac:dyDescent="0.25">
      <c r="H36" s="1" t="s">
        <v>228</v>
      </c>
      <c r="I36" s="1"/>
      <c r="J36" s="1"/>
      <c r="K36" s="1"/>
      <c r="L36" s="1"/>
      <c r="M36" s="1"/>
      <c r="N36" s="1"/>
      <c r="O36" s="1"/>
      <c r="P36" s="1"/>
    </row>
    <row r="37" spans="1:16" x14ac:dyDescent="0.2">
      <c r="A37" s="11" t="s">
        <v>273</v>
      </c>
      <c r="B37" s="11" t="s">
        <v>334</v>
      </c>
      <c r="C37" s="11" t="s">
        <v>333</v>
      </c>
      <c r="H37" s="158"/>
      <c r="I37" s="158" t="s">
        <v>233</v>
      </c>
      <c r="J37" s="158" t="s">
        <v>234</v>
      </c>
      <c r="K37" s="158" t="s">
        <v>235</v>
      </c>
      <c r="L37" s="158" t="s">
        <v>236</v>
      </c>
      <c r="M37" s="158" t="s">
        <v>237</v>
      </c>
      <c r="N37" s="1"/>
      <c r="O37" s="1"/>
      <c r="P37" s="1"/>
    </row>
    <row r="38" spans="1:16" ht="32" customHeight="1" x14ac:dyDescent="0.2">
      <c r="A38" s="27" t="s">
        <v>59</v>
      </c>
      <c r="B38" s="121" t="s">
        <v>336</v>
      </c>
      <c r="C38" s="26" t="s">
        <v>335</v>
      </c>
      <c r="H38" s="1" t="s">
        <v>229</v>
      </c>
      <c r="I38" s="1">
        <v>4</v>
      </c>
      <c r="J38" s="1">
        <v>8.6028682264024381E-3</v>
      </c>
      <c r="K38" s="1">
        <v>2.1507170566006095E-3</v>
      </c>
      <c r="L38" s="1">
        <v>0.32318912340133182</v>
      </c>
      <c r="M38" s="1">
        <v>0.86197353166362289</v>
      </c>
      <c r="N38" s="1"/>
      <c r="O38" s="1"/>
      <c r="P38" s="1"/>
    </row>
    <row r="39" spans="1:16" ht="22" customHeight="1" x14ac:dyDescent="0.2">
      <c r="A39" s="29" t="s">
        <v>60</v>
      </c>
      <c r="B39" s="30" t="s">
        <v>337</v>
      </c>
      <c r="C39" s="26" t="s">
        <v>339</v>
      </c>
      <c r="H39" s="1" t="s">
        <v>230</v>
      </c>
      <c r="I39" s="1">
        <v>121</v>
      </c>
      <c r="J39" s="1">
        <v>0.80521510473455915</v>
      </c>
      <c r="K39" s="1">
        <v>6.6546702870624724E-3</v>
      </c>
      <c r="L39" s="1"/>
      <c r="M39" s="1"/>
      <c r="N39" s="1"/>
      <c r="O39" s="1"/>
      <c r="P39" s="1"/>
    </row>
    <row r="40" spans="1:16" ht="22" customHeight="1" thickBot="1" x14ac:dyDescent="0.25">
      <c r="A40" s="27" t="s">
        <v>61</v>
      </c>
      <c r="B40" s="28" t="s">
        <v>338</v>
      </c>
      <c r="C40" s="26" t="s">
        <v>340</v>
      </c>
      <c r="H40" s="46" t="s">
        <v>231</v>
      </c>
      <c r="I40" s="46">
        <v>125</v>
      </c>
      <c r="J40" s="46">
        <v>0.81381797296096159</v>
      </c>
      <c r="K40" s="46"/>
      <c r="L40" s="46"/>
      <c r="M40" s="46"/>
      <c r="N40" s="1"/>
      <c r="O40" s="1"/>
      <c r="P40" s="1"/>
    </row>
    <row r="41" spans="1:16" ht="22" customHeight="1" thickBot="1" x14ac:dyDescent="0.25">
      <c r="A41" s="29" t="s">
        <v>62</v>
      </c>
      <c r="B41" s="123" t="s">
        <v>336</v>
      </c>
      <c r="C41" s="26" t="s">
        <v>341</v>
      </c>
      <c r="H41" s="1"/>
      <c r="I41" s="1"/>
      <c r="J41" s="1"/>
      <c r="K41" s="1"/>
      <c r="L41" s="1"/>
      <c r="M41" s="1"/>
      <c r="N41" s="1"/>
      <c r="O41" s="1"/>
      <c r="P41" s="1"/>
    </row>
    <row r="42" spans="1:16" x14ac:dyDescent="0.2">
      <c r="A42" s="28"/>
      <c r="B42" s="122"/>
      <c r="C42" s="11"/>
      <c r="H42" s="158"/>
      <c r="I42" s="158" t="s">
        <v>238</v>
      </c>
      <c r="J42" s="158" t="s">
        <v>226</v>
      </c>
      <c r="K42" s="158" t="s">
        <v>239</v>
      </c>
      <c r="L42" s="158" t="s">
        <v>240</v>
      </c>
      <c r="M42" s="158" t="s">
        <v>241</v>
      </c>
      <c r="N42" s="158" t="s">
        <v>242</v>
      </c>
      <c r="O42" s="158" t="s">
        <v>243</v>
      </c>
      <c r="P42" s="158" t="s">
        <v>244</v>
      </c>
    </row>
    <row r="43" spans="1:16" x14ac:dyDescent="0.2">
      <c r="H43" s="1" t="s">
        <v>232</v>
      </c>
      <c r="I43" s="1">
        <v>-0.31294974467131631</v>
      </c>
      <c r="J43" s="1">
        <v>0.47803542926182713</v>
      </c>
      <c r="K43" s="1">
        <v>-0.65465805568965285</v>
      </c>
      <c r="L43" s="1">
        <v>0.5139304372913357</v>
      </c>
      <c r="M43" s="1">
        <v>-1.2593469647175881</v>
      </c>
      <c r="N43" s="1">
        <v>0.63344747537495549</v>
      </c>
      <c r="O43" s="1">
        <v>-1.2593469647175881</v>
      </c>
      <c r="P43" s="1">
        <v>0.63344747537495549</v>
      </c>
    </row>
    <row r="44" spans="1:16" x14ac:dyDescent="0.2">
      <c r="H44" s="1" t="s">
        <v>61</v>
      </c>
      <c r="I44" s="1">
        <v>-0.30146773060182347</v>
      </c>
      <c r="J44" s="1">
        <v>0.46832795359648299</v>
      </c>
      <c r="K44" s="1">
        <v>-0.64371073365732023</v>
      </c>
      <c r="L44" s="1">
        <v>0.52098124391423284</v>
      </c>
      <c r="M44" s="1">
        <v>-1.2286464421004442</v>
      </c>
      <c r="N44" s="1">
        <v>0.62571098089679711</v>
      </c>
      <c r="O44" s="1">
        <v>-1.2286464421004442</v>
      </c>
      <c r="P44" s="1">
        <v>0.62571098089679711</v>
      </c>
    </row>
    <row r="45" spans="1:16" x14ac:dyDescent="0.2">
      <c r="H45" s="1" t="s">
        <v>217</v>
      </c>
      <c r="I45" s="1">
        <v>0.96065928799638456</v>
      </c>
      <c r="J45" s="1">
        <v>1.5934438159054141</v>
      </c>
      <c r="K45" s="1">
        <v>0.60288243514285833</v>
      </c>
      <c r="L45" s="1">
        <v>0.54771521144726298</v>
      </c>
      <c r="M45" s="1">
        <v>-2.1939830363214563</v>
      </c>
      <c r="N45" s="1">
        <v>4.1153016123142256</v>
      </c>
      <c r="O45" s="1">
        <v>-2.1939830363214563</v>
      </c>
      <c r="P45" s="1">
        <v>4.1153016123142256</v>
      </c>
    </row>
    <row r="46" spans="1:16" x14ac:dyDescent="0.2">
      <c r="H46" s="159" t="s">
        <v>216</v>
      </c>
      <c r="I46" s="1">
        <v>2.8339233368914292E-3</v>
      </c>
      <c r="J46" s="1">
        <v>3.7864224162622428E-3</v>
      </c>
      <c r="K46" s="1">
        <v>0.74844352408227321</v>
      </c>
      <c r="L46" s="159">
        <v>0.4556450132893195</v>
      </c>
      <c r="M46" s="1">
        <v>-4.6622985523626405E-3</v>
      </c>
      <c r="N46" s="1">
        <v>1.0330145226145499E-2</v>
      </c>
      <c r="O46" s="1">
        <v>-4.6622985523626405E-3</v>
      </c>
      <c r="P46" s="1">
        <v>1.0330145226145499E-2</v>
      </c>
    </row>
    <row r="47" spans="1:16" ht="17" thickBot="1" x14ac:dyDescent="0.25">
      <c r="H47" s="46" t="s">
        <v>62</v>
      </c>
      <c r="I47" s="46">
        <v>-4.6874152419732621E-3</v>
      </c>
      <c r="J47" s="46">
        <v>5.1720750743466992E-2</v>
      </c>
      <c r="K47" s="46">
        <v>-9.0629296261043615E-2</v>
      </c>
      <c r="L47" s="46">
        <v>0.92793700942316015</v>
      </c>
      <c r="M47" s="46">
        <v>-0.10708228333346267</v>
      </c>
      <c r="N47" s="46">
        <v>9.7707452849516152E-2</v>
      </c>
      <c r="O47" s="46">
        <v>-0.10708228333346267</v>
      </c>
      <c r="P47" s="46">
        <v>9.7707452849516152E-2</v>
      </c>
    </row>
  </sheetData>
  <mergeCells count="3">
    <mergeCell ref="A13:B13"/>
    <mergeCell ref="A7:B7"/>
    <mergeCell ref="A28:B28"/>
  </mergeCells>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5049-6601-7B4E-9E1A-2E6B26C26F82}">
  <dimension ref="A1:H129"/>
  <sheetViews>
    <sheetView zoomScale="133" workbookViewId="0">
      <selection activeCell="C100" sqref="C100"/>
    </sheetView>
  </sheetViews>
  <sheetFormatPr baseColWidth="10" defaultRowHeight="16" x14ac:dyDescent="0.2"/>
  <cols>
    <col min="2" max="2" width="18.1640625" customWidth="1"/>
    <col min="3" max="3" width="24" customWidth="1"/>
    <col min="4" max="4" width="22.6640625" style="1" customWidth="1"/>
    <col min="5" max="5" width="18.1640625" customWidth="1"/>
    <col min="6" max="6" width="18.1640625" style="1" customWidth="1"/>
    <col min="7" max="7" width="23.83203125" customWidth="1"/>
    <col min="8" max="8" width="20.5" customWidth="1"/>
  </cols>
  <sheetData>
    <row r="1" spans="1:8" s="31" customFormat="1" ht="39" customHeight="1" x14ac:dyDescent="0.2">
      <c r="A1" s="27" t="s">
        <v>65</v>
      </c>
      <c r="B1" s="28" t="s">
        <v>66</v>
      </c>
      <c r="C1" s="28" t="s">
        <v>67</v>
      </c>
      <c r="D1" s="27" t="s">
        <v>200</v>
      </c>
      <c r="E1" s="27" t="s">
        <v>68</v>
      </c>
      <c r="F1" s="27" t="s">
        <v>201</v>
      </c>
      <c r="G1" s="27" t="s">
        <v>202</v>
      </c>
      <c r="H1" s="27" t="s">
        <v>203</v>
      </c>
    </row>
    <row r="2" spans="1:8" x14ac:dyDescent="0.2">
      <c r="A2" s="1" t="s">
        <v>199</v>
      </c>
      <c r="B2" s="1">
        <v>11550</v>
      </c>
      <c r="C2" s="1">
        <v>9750</v>
      </c>
      <c r="D2" s="1">
        <f>B2-C2</f>
        <v>1800</v>
      </c>
      <c r="E2" s="1">
        <v>140.19999999999999</v>
      </c>
      <c r="F2" s="1">
        <v>1.34E-2</v>
      </c>
      <c r="G2" s="1">
        <v>28035</v>
      </c>
      <c r="H2" s="1">
        <v>7</v>
      </c>
    </row>
    <row r="3" spans="1:8" x14ac:dyDescent="0.2">
      <c r="A3" s="1" t="s">
        <v>70</v>
      </c>
      <c r="B3" s="1">
        <v>11756</v>
      </c>
      <c r="C3" s="1">
        <v>9892</v>
      </c>
      <c r="D3" s="1">
        <f t="shared" ref="D3:D66" si="0">B3-C3</f>
        <v>1864</v>
      </c>
      <c r="E3" s="1">
        <v>142.48970438314001</v>
      </c>
      <c r="F3" s="1">
        <f>((E3-E2)/E2)</f>
        <v>1.6331700307703423E-2</v>
      </c>
      <c r="G3" s="1">
        <v>29094.8655489755</v>
      </c>
      <c r="H3" s="1">
        <v>7</v>
      </c>
    </row>
    <row r="4" spans="1:8" x14ac:dyDescent="0.2">
      <c r="A4" s="1" t="s">
        <v>71</v>
      </c>
      <c r="B4" s="1">
        <v>9444</v>
      </c>
      <c r="C4" s="1">
        <v>9956</v>
      </c>
      <c r="D4" s="1">
        <f t="shared" si="0"/>
        <v>-512</v>
      </c>
      <c r="E4" s="1">
        <v>143.27339775724701</v>
      </c>
      <c r="F4" s="1">
        <f t="shared" ref="F4:F67" si="1">((E4-E3)/E3)</f>
        <v>5.4999999999981236E-3</v>
      </c>
      <c r="G4" s="1">
        <v>30002.804142398199</v>
      </c>
      <c r="H4" s="1">
        <v>7</v>
      </c>
    </row>
    <row r="5" spans="1:8" x14ac:dyDescent="0.2">
      <c r="A5" s="1" t="s">
        <v>72</v>
      </c>
      <c r="B5" s="1">
        <v>12183</v>
      </c>
      <c r="C5" s="1">
        <v>12411</v>
      </c>
      <c r="D5" s="1">
        <f t="shared" si="0"/>
        <v>-228</v>
      </c>
      <c r="E5" s="1">
        <v>142.642994807116</v>
      </c>
      <c r="F5" s="1">
        <f t="shared" si="1"/>
        <v>-4.3999999999939079E-3</v>
      </c>
      <c r="G5" s="1">
        <v>33754.038478977898</v>
      </c>
      <c r="H5" s="1">
        <v>6.5</v>
      </c>
    </row>
    <row r="6" spans="1:8" x14ac:dyDescent="0.2">
      <c r="A6" s="1" t="s">
        <v>73</v>
      </c>
      <c r="B6" s="1">
        <v>13124</v>
      </c>
      <c r="C6" s="1">
        <v>12129</v>
      </c>
      <c r="D6" s="1">
        <f t="shared" si="0"/>
        <v>995</v>
      </c>
      <c r="E6" s="1">
        <v>142.757109202961</v>
      </c>
      <c r="F6" s="1">
        <f t="shared" si="1"/>
        <v>7.999999999951941E-4</v>
      </c>
      <c r="G6" s="1">
        <v>35896.804033225402</v>
      </c>
      <c r="H6" s="1">
        <v>6.5</v>
      </c>
    </row>
    <row r="7" spans="1:8" x14ac:dyDescent="0.2">
      <c r="A7" s="1" t="s">
        <v>74</v>
      </c>
      <c r="B7" s="1">
        <v>12386</v>
      </c>
      <c r="C7" s="1">
        <v>12747</v>
      </c>
      <c r="D7" s="1">
        <f t="shared" si="0"/>
        <v>-361</v>
      </c>
      <c r="E7" s="1">
        <v>143.04262342136701</v>
      </c>
      <c r="F7" s="1">
        <f t="shared" si="1"/>
        <v>2.0000000000005959E-3</v>
      </c>
      <c r="G7" s="1">
        <v>35681.7711719289</v>
      </c>
      <c r="H7" s="1">
        <v>6.5</v>
      </c>
    </row>
    <row r="8" spans="1:8" x14ac:dyDescent="0.2">
      <c r="A8" s="1" t="s">
        <v>75</v>
      </c>
      <c r="B8" s="1">
        <v>12268</v>
      </c>
      <c r="C8" s="1">
        <v>12109</v>
      </c>
      <c r="D8" s="1">
        <f t="shared" si="0"/>
        <v>159</v>
      </c>
      <c r="E8" s="1">
        <v>143.47175129163099</v>
      </c>
      <c r="F8" s="1">
        <f t="shared" si="1"/>
        <v>2.9999999999991743E-3</v>
      </c>
      <c r="G8" s="1">
        <v>35799.283837953502</v>
      </c>
      <c r="H8" s="1">
        <v>6.5</v>
      </c>
    </row>
    <row r="9" spans="1:8" x14ac:dyDescent="0.2">
      <c r="A9" s="1" t="s">
        <v>76</v>
      </c>
      <c r="B9" s="1">
        <v>13087</v>
      </c>
      <c r="C9" s="1">
        <v>12887</v>
      </c>
      <c r="D9" s="1">
        <f t="shared" si="0"/>
        <v>200</v>
      </c>
      <c r="E9" s="1">
        <v>143.80173631960201</v>
      </c>
      <c r="F9" s="1">
        <f t="shared" si="1"/>
        <v>2.3000000000018722E-3</v>
      </c>
      <c r="G9" s="1">
        <v>36078.634948923303</v>
      </c>
      <c r="H9" s="1">
        <v>6.5</v>
      </c>
    </row>
    <row r="10" spans="1:8" x14ac:dyDescent="0.2">
      <c r="A10" s="1" t="s">
        <v>77</v>
      </c>
      <c r="B10" s="1">
        <v>13241</v>
      </c>
      <c r="C10" s="1">
        <v>12305</v>
      </c>
      <c r="D10" s="1">
        <f t="shared" si="0"/>
        <v>936</v>
      </c>
      <c r="E10" s="1">
        <v>144.118100139505</v>
      </c>
      <c r="F10" s="1">
        <f t="shared" si="1"/>
        <v>2.1999999999990582E-3</v>
      </c>
      <c r="G10" s="1">
        <v>36973.345172602298</v>
      </c>
      <c r="H10" s="1">
        <v>6.5</v>
      </c>
    </row>
    <row r="11" spans="1:8" x14ac:dyDescent="0.2">
      <c r="A11" s="1" t="s">
        <v>78</v>
      </c>
      <c r="B11" s="1">
        <v>12592</v>
      </c>
      <c r="C11" s="1">
        <v>13017</v>
      </c>
      <c r="D11" s="1">
        <f t="shared" si="0"/>
        <v>-425</v>
      </c>
      <c r="E11" s="1">
        <v>144.69457254006301</v>
      </c>
      <c r="F11" s="1">
        <f t="shared" si="1"/>
        <v>3.9999999999998856E-3</v>
      </c>
      <c r="G11" s="1">
        <v>36821.810644449703</v>
      </c>
      <c r="H11" s="1">
        <v>6.5</v>
      </c>
    </row>
    <row r="12" spans="1:8" x14ac:dyDescent="0.2">
      <c r="A12" s="1" t="s">
        <v>79</v>
      </c>
      <c r="B12" s="1">
        <v>14022</v>
      </c>
      <c r="C12" s="1">
        <v>13936</v>
      </c>
      <c r="D12" s="1">
        <f t="shared" si="0"/>
        <v>86</v>
      </c>
      <c r="E12" s="1">
        <v>144.85373656985701</v>
      </c>
      <c r="F12" s="1">
        <f t="shared" si="1"/>
        <v>1.0999999999995135E-3</v>
      </c>
      <c r="G12" s="1">
        <v>36728.979914256997</v>
      </c>
      <c r="H12" s="1">
        <v>6.5</v>
      </c>
    </row>
    <row r="13" spans="1:8" x14ac:dyDescent="0.2">
      <c r="A13" s="1" t="s">
        <v>80</v>
      </c>
      <c r="B13" s="1">
        <v>13255</v>
      </c>
      <c r="C13" s="1">
        <v>12674</v>
      </c>
      <c r="D13" s="1">
        <f t="shared" si="0"/>
        <v>581</v>
      </c>
      <c r="E13" s="1">
        <v>144.46263148111899</v>
      </c>
      <c r="F13" s="1">
        <f t="shared" si="1"/>
        <v>-2.6999999999958698E-3</v>
      </c>
      <c r="G13" s="1">
        <v>36443.195482584299</v>
      </c>
      <c r="H13" s="1">
        <v>6.5</v>
      </c>
    </row>
    <row r="14" spans="1:8" x14ac:dyDescent="0.2">
      <c r="A14" s="1" t="s">
        <v>81</v>
      </c>
      <c r="B14" s="1">
        <v>12858</v>
      </c>
      <c r="C14" s="1">
        <v>13785</v>
      </c>
      <c r="D14" s="1">
        <f t="shared" si="0"/>
        <v>-927</v>
      </c>
      <c r="E14" s="1">
        <v>144.115921165564</v>
      </c>
      <c r="F14" s="1">
        <f t="shared" si="1"/>
        <v>-2.4000000000020828E-3</v>
      </c>
      <c r="G14" s="1">
        <v>34189.368832668799</v>
      </c>
      <c r="H14" s="1">
        <v>6.5</v>
      </c>
    </row>
    <row r="15" spans="1:8" x14ac:dyDescent="0.2">
      <c r="A15" s="1" t="s">
        <v>82</v>
      </c>
      <c r="B15" s="1">
        <v>13509</v>
      </c>
      <c r="C15" s="1">
        <v>14123</v>
      </c>
      <c r="D15" s="1">
        <f t="shared" si="0"/>
        <v>-614</v>
      </c>
      <c r="E15" s="1">
        <v>143.82768932323299</v>
      </c>
      <c r="F15" s="1">
        <f t="shared" si="1"/>
        <v>-1.9999999999992177E-3</v>
      </c>
      <c r="G15" s="1">
        <v>34696.416293952403</v>
      </c>
      <c r="H15" s="1">
        <v>6.5</v>
      </c>
    </row>
    <row r="16" spans="1:8" x14ac:dyDescent="0.2">
      <c r="A16" s="1" t="s">
        <v>83</v>
      </c>
      <c r="B16" s="1">
        <v>9512</v>
      </c>
      <c r="C16" s="1">
        <v>10295</v>
      </c>
      <c r="D16" s="1">
        <f t="shared" si="0"/>
        <v>-783</v>
      </c>
      <c r="E16" s="1">
        <v>143.755775478571</v>
      </c>
      <c r="F16" s="1">
        <f t="shared" si="1"/>
        <v>-5.000000000026125E-4</v>
      </c>
      <c r="G16" s="1">
        <v>37306.512369193297</v>
      </c>
      <c r="H16" s="1">
        <v>6.5</v>
      </c>
    </row>
    <row r="17" spans="1:8" x14ac:dyDescent="0.2">
      <c r="A17" s="1" t="s">
        <v>84</v>
      </c>
      <c r="B17" s="1">
        <v>13370</v>
      </c>
      <c r="C17" s="1">
        <v>14581</v>
      </c>
      <c r="D17" s="1">
        <f t="shared" si="0"/>
        <v>-1211</v>
      </c>
      <c r="E17" s="1">
        <v>143.971409141789</v>
      </c>
      <c r="F17" s="1">
        <f t="shared" si="1"/>
        <v>1.5000000000009986E-3</v>
      </c>
      <c r="G17" s="1">
        <v>36910.554532387003</v>
      </c>
      <c r="H17" s="1">
        <v>6.5</v>
      </c>
    </row>
    <row r="18" spans="1:8" x14ac:dyDescent="0.2">
      <c r="A18" s="1" t="s">
        <v>85</v>
      </c>
      <c r="B18" s="1">
        <v>13479</v>
      </c>
      <c r="C18" s="1">
        <v>13045</v>
      </c>
      <c r="D18" s="1">
        <f t="shared" si="0"/>
        <v>434</v>
      </c>
      <c r="E18" s="1">
        <v>144.172969114588</v>
      </c>
      <c r="F18" s="1">
        <f t="shared" si="1"/>
        <v>1.4000000000034662E-3</v>
      </c>
      <c r="G18" s="1">
        <v>36463.872765999004</v>
      </c>
      <c r="H18" s="1">
        <v>6.5</v>
      </c>
    </row>
    <row r="19" spans="1:8" x14ac:dyDescent="0.2">
      <c r="A19" s="1" t="s">
        <v>86</v>
      </c>
      <c r="B19" s="1">
        <v>13649</v>
      </c>
      <c r="C19" s="1">
        <v>14873</v>
      </c>
      <c r="D19" s="1">
        <f t="shared" si="0"/>
        <v>-1224</v>
      </c>
      <c r="E19" s="1">
        <v>144.403645865171</v>
      </c>
      <c r="F19" s="1">
        <f t="shared" si="1"/>
        <v>1.5999999999976428E-3</v>
      </c>
      <c r="G19" s="1">
        <v>37222.409833209298</v>
      </c>
      <c r="H19" s="1">
        <v>6.5</v>
      </c>
    </row>
    <row r="20" spans="1:8" x14ac:dyDescent="0.2">
      <c r="A20" s="1" t="s">
        <v>87</v>
      </c>
      <c r="B20" s="1">
        <v>14174</v>
      </c>
      <c r="C20" s="1">
        <v>14201</v>
      </c>
      <c r="D20" s="1">
        <f t="shared" si="0"/>
        <v>-27</v>
      </c>
      <c r="E20" s="1">
        <v>144.909058625699</v>
      </c>
      <c r="F20" s="1">
        <f t="shared" si="1"/>
        <v>3.4999999999993387E-3</v>
      </c>
      <c r="G20" s="1">
        <v>37333.568376024399</v>
      </c>
      <c r="H20" s="1">
        <v>6.5</v>
      </c>
    </row>
    <row r="21" spans="1:8" x14ac:dyDescent="0.2">
      <c r="A21" s="1" t="s">
        <v>88</v>
      </c>
      <c r="B21" s="1">
        <v>14297</v>
      </c>
      <c r="C21" s="1">
        <v>14786</v>
      </c>
      <c r="D21" s="1">
        <f t="shared" si="0"/>
        <v>-489</v>
      </c>
      <c r="E21" s="1">
        <v>145.09744040191299</v>
      </c>
      <c r="F21" s="1">
        <f t="shared" si="1"/>
        <v>1.3000000000039907E-3</v>
      </c>
      <c r="G21" s="1">
        <v>36908.984998605301</v>
      </c>
      <c r="H21" s="1">
        <v>6.5</v>
      </c>
    </row>
    <row r="22" spans="1:8" x14ac:dyDescent="0.2">
      <c r="A22" s="1" t="s">
        <v>89</v>
      </c>
      <c r="B22" s="1">
        <v>14396</v>
      </c>
      <c r="C22" s="1">
        <v>14128</v>
      </c>
      <c r="D22" s="1">
        <f t="shared" si="0"/>
        <v>268</v>
      </c>
      <c r="E22" s="1">
        <v>144.99587219363099</v>
      </c>
      <c r="F22" s="1">
        <f t="shared" si="1"/>
        <v>-7.0000000000457923E-4</v>
      </c>
      <c r="G22" s="1">
        <v>32914.295413952699</v>
      </c>
      <c r="H22" s="1">
        <v>6.5</v>
      </c>
    </row>
    <row r="23" spans="1:8" x14ac:dyDescent="0.2">
      <c r="A23" s="1" t="s">
        <v>90</v>
      </c>
      <c r="B23" s="1">
        <v>13814</v>
      </c>
      <c r="C23" s="1">
        <v>13796</v>
      </c>
      <c r="D23" s="1">
        <f t="shared" si="0"/>
        <v>18</v>
      </c>
      <c r="E23" s="1">
        <v>144.691380862024</v>
      </c>
      <c r="F23" s="1">
        <f t="shared" si="1"/>
        <v>-2.1000000000024645E-3</v>
      </c>
      <c r="G23" s="1">
        <v>30651.627987815598</v>
      </c>
      <c r="H23" s="1">
        <v>6.5</v>
      </c>
    </row>
    <row r="24" spans="1:8" x14ac:dyDescent="0.2">
      <c r="A24" s="1" t="s">
        <v>91</v>
      </c>
      <c r="B24" s="1">
        <v>14308</v>
      </c>
      <c r="C24" s="1">
        <v>13848</v>
      </c>
      <c r="D24" s="1">
        <f t="shared" si="0"/>
        <v>460</v>
      </c>
      <c r="E24" s="1">
        <v>144.850541380973</v>
      </c>
      <c r="F24" s="1">
        <f t="shared" si="1"/>
        <v>1.1000000000053049E-3</v>
      </c>
      <c r="G24" s="1">
        <v>31001.6694053227</v>
      </c>
      <c r="H24" s="1">
        <v>6.5</v>
      </c>
    </row>
    <row r="25" spans="1:8" x14ac:dyDescent="0.2">
      <c r="A25" s="1" t="s">
        <v>92</v>
      </c>
      <c r="B25" s="1">
        <v>13874</v>
      </c>
      <c r="C25" s="1">
        <v>13689</v>
      </c>
      <c r="D25" s="1">
        <f t="shared" si="0"/>
        <v>185</v>
      </c>
      <c r="E25" s="1">
        <v>144.95222646102201</v>
      </c>
      <c r="F25" s="1">
        <f t="shared" si="1"/>
        <v>7.0199999999700352E-4</v>
      </c>
      <c r="G25" s="1">
        <v>30289.599951288099</v>
      </c>
      <c r="H25" s="1">
        <v>6.5</v>
      </c>
    </row>
    <row r="26" spans="1:8" x14ac:dyDescent="0.2">
      <c r="A26" s="1" t="s">
        <v>93</v>
      </c>
      <c r="B26" s="1">
        <v>13685</v>
      </c>
      <c r="C26" s="1">
        <v>14243</v>
      </c>
      <c r="D26" s="1">
        <f t="shared" si="0"/>
        <v>-558</v>
      </c>
      <c r="E26" s="1">
        <v>144.976433482841</v>
      </c>
      <c r="F26" s="1">
        <f t="shared" si="1"/>
        <v>1.6700000000003084E-4</v>
      </c>
      <c r="G26" s="1">
        <v>28250.254960180999</v>
      </c>
      <c r="H26" s="1">
        <v>6.5</v>
      </c>
    </row>
    <row r="27" spans="1:8" x14ac:dyDescent="0.2">
      <c r="A27" s="1" t="s">
        <v>94</v>
      </c>
      <c r="B27" s="1">
        <v>13603</v>
      </c>
      <c r="C27" s="1">
        <v>12774</v>
      </c>
      <c r="D27" s="1">
        <f t="shared" si="0"/>
        <v>829</v>
      </c>
      <c r="E27" s="1">
        <v>144.973823907038</v>
      </c>
      <c r="F27" s="1">
        <f t="shared" si="1"/>
        <v>-1.8000000002176587E-5</v>
      </c>
      <c r="G27" s="1">
        <v>27494.4124136465</v>
      </c>
      <c r="H27" s="1">
        <v>6.5</v>
      </c>
    </row>
    <row r="28" spans="1:8" x14ac:dyDescent="0.2">
      <c r="A28" s="1" t="s">
        <v>95</v>
      </c>
      <c r="B28" s="1">
        <v>10096</v>
      </c>
      <c r="C28" s="1">
        <v>10261</v>
      </c>
      <c r="D28" s="1">
        <f t="shared" si="0"/>
        <v>-165</v>
      </c>
      <c r="E28" s="1">
        <v>145.581554176857</v>
      </c>
      <c r="F28" s="1">
        <f t="shared" si="1"/>
        <v>4.1920000000048125E-3</v>
      </c>
      <c r="G28" s="1">
        <v>28836.073377701199</v>
      </c>
      <c r="H28" s="1">
        <v>6.5</v>
      </c>
    </row>
    <row r="29" spans="1:8" x14ac:dyDescent="0.2">
      <c r="A29" s="1" t="s">
        <v>96</v>
      </c>
      <c r="B29" s="1">
        <v>15085</v>
      </c>
      <c r="C29" s="1">
        <v>14429</v>
      </c>
      <c r="D29" s="1">
        <f t="shared" si="0"/>
        <v>656</v>
      </c>
      <c r="E29" s="1">
        <v>146.41064112789499</v>
      </c>
      <c r="F29" s="1">
        <f t="shared" si="1"/>
        <v>5.6950000000054466E-3</v>
      </c>
      <c r="G29" s="1">
        <v>31617.983768395701</v>
      </c>
      <c r="H29" s="1">
        <v>6.5</v>
      </c>
    </row>
    <row r="30" spans="1:8" x14ac:dyDescent="0.2">
      <c r="A30" s="1" t="s">
        <v>97</v>
      </c>
      <c r="B30" s="1">
        <v>14397</v>
      </c>
      <c r="C30" s="1">
        <v>14132</v>
      </c>
      <c r="D30" s="1">
        <f t="shared" si="0"/>
        <v>265</v>
      </c>
      <c r="E30" s="1">
        <v>146.90082395439001</v>
      </c>
      <c r="F30" s="1">
        <f t="shared" si="1"/>
        <v>3.3479999999919611E-3</v>
      </c>
      <c r="G30" s="1">
        <v>33832.5085776243</v>
      </c>
      <c r="H30" s="1">
        <v>6.5</v>
      </c>
    </row>
    <row r="31" spans="1:8" x14ac:dyDescent="0.2">
      <c r="A31" s="1" t="s">
        <v>98</v>
      </c>
      <c r="B31" s="1">
        <v>14341</v>
      </c>
      <c r="C31" s="1">
        <v>14560</v>
      </c>
      <c r="D31" s="1">
        <f t="shared" si="0"/>
        <v>-219</v>
      </c>
      <c r="E31" s="1">
        <v>147.69526361033601</v>
      </c>
      <c r="F31" s="1">
        <f t="shared" si="1"/>
        <v>5.408000000004535E-3</v>
      </c>
      <c r="G31" s="1">
        <v>34798.1578016891</v>
      </c>
      <c r="H31" s="1">
        <v>6.5</v>
      </c>
    </row>
    <row r="32" spans="1:8" x14ac:dyDescent="0.2">
      <c r="A32" s="1" t="s">
        <v>99</v>
      </c>
      <c r="B32" s="1">
        <v>14722</v>
      </c>
      <c r="C32" s="1">
        <v>14800</v>
      </c>
      <c r="D32" s="1">
        <f t="shared" si="0"/>
        <v>-78</v>
      </c>
      <c r="E32" s="1">
        <v>148.38130810980601</v>
      </c>
      <c r="F32" s="1">
        <f t="shared" si="1"/>
        <v>4.6449999999999296E-3</v>
      </c>
      <c r="G32" s="1">
        <v>34987.676710870102</v>
      </c>
      <c r="H32" s="1">
        <v>6.5</v>
      </c>
    </row>
    <row r="33" spans="1:8" x14ac:dyDescent="0.2">
      <c r="A33" s="1" t="s">
        <v>100</v>
      </c>
      <c r="B33" s="1">
        <v>14845</v>
      </c>
      <c r="C33" s="1">
        <v>14410</v>
      </c>
      <c r="D33" s="1">
        <f t="shared" si="0"/>
        <v>435</v>
      </c>
      <c r="E33" s="1">
        <v>148.57123618418601</v>
      </c>
      <c r="F33" s="1">
        <f t="shared" si="1"/>
        <v>1.2799999999962282E-3</v>
      </c>
      <c r="G33" s="1">
        <v>35184.132809543</v>
      </c>
      <c r="H33" s="1">
        <v>6.5</v>
      </c>
    </row>
    <row r="34" spans="1:8" x14ac:dyDescent="0.2">
      <c r="A34" s="1" t="s">
        <v>101</v>
      </c>
      <c r="B34" s="1">
        <v>16099</v>
      </c>
      <c r="C34" s="1">
        <v>15551</v>
      </c>
      <c r="D34" s="1">
        <f t="shared" si="0"/>
        <v>548</v>
      </c>
      <c r="E34" s="1">
        <v>148.72337313003899</v>
      </c>
      <c r="F34" s="1">
        <f t="shared" si="1"/>
        <v>1.024000000002565E-3</v>
      </c>
      <c r="G34" s="1">
        <v>37080.552287557999</v>
      </c>
      <c r="H34" s="1">
        <v>6.5</v>
      </c>
    </row>
    <row r="35" spans="1:8" x14ac:dyDescent="0.2">
      <c r="A35" s="1" t="s">
        <v>102</v>
      </c>
      <c r="B35" s="1">
        <v>15369</v>
      </c>
      <c r="C35" s="1">
        <v>14612</v>
      </c>
      <c r="D35" s="1">
        <f t="shared" si="0"/>
        <v>757</v>
      </c>
      <c r="E35" s="1">
        <v>149.53108976950799</v>
      </c>
      <c r="F35" s="1">
        <f t="shared" si="1"/>
        <v>5.4309999999983243E-3</v>
      </c>
      <c r="G35" s="1">
        <v>37623.906525819802</v>
      </c>
      <c r="H35" s="1">
        <v>6.5</v>
      </c>
    </row>
    <row r="36" spans="1:8" x14ac:dyDescent="0.2">
      <c r="A36" s="1" t="s">
        <v>103</v>
      </c>
      <c r="B36" s="1">
        <v>15369</v>
      </c>
      <c r="C36" s="1">
        <v>15863</v>
      </c>
      <c r="D36" s="1">
        <f t="shared" si="0"/>
        <v>-494</v>
      </c>
      <c r="E36" s="1">
        <v>150.774889374211</v>
      </c>
      <c r="F36" s="1">
        <f t="shared" si="1"/>
        <v>8.3180000000016487E-3</v>
      </c>
      <c r="G36" s="1">
        <v>37611.621291390598</v>
      </c>
      <c r="H36" s="1">
        <v>6.5</v>
      </c>
    </row>
    <row r="37" spans="1:8" x14ac:dyDescent="0.2">
      <c r="A37" s="1" t="s">
        <v>104</v>
      </c>
      <c r="B37" s="1">
        <v>16103</v>
      </c>
      <c r="C37" s="1">
        <v>16415</v>
      </c>
      <c r="D37" s="1">
        <f t="shared" si="0"/>
        <v>-312</v>
      </c>
      <c r="E37" s="1">
        <v>151.49966426743299</v>
      </c>
      <c r="F37" s="1">
        <f t="shared" si="1"/>
        <v>4.80700000000105E-3</v>
      </c>
      <c r="G37" s="1">
        <v>37598.597855585998</v>
      </c>
      <c r="H37" s="1">
        <v>6.5</v>
      </c>
    </row>
    <row r="38" spans="1:8" x14ac:dyDescent="0.2">
      <c r="A38" s="1" t="s">
        <v>105</v>
      </c>
      <c r="B38" s="1">
        <v>16552</v>
      </c>
      <c r="C38" s="1">
        <v>16998</v>
      </c>
      <c r="D38" s="1">
        <f t="shared" si="0"/>
        <v>-446</v>
      </c>
      <c r="E38" s="1">
        <v>151.84432600364099</v>
      </c>
      <c r="F38" s="1">
        <f t="shared" si="1"/>
        <v>2.2749999999972684E-3</v>
      </c>
      <c r="G38" s="1">
        <v>36527.291044330697</v>
      </c>
      <c r="H38" s="1">
        <v>6.5</v>
      </c>
    </row>
    <row r="39" spans="1:8" x14ac:dyDescent="0.2">
      <c r="A39" s="1" t="s">
        <v>106</v>
      </c>
      <c r="B39" s="1">
        <v>14420</v>
      </c>
      <c r="C39" s="1">
        <v>13089</v>
      </c>
      <c r="D39" s="1">
        <f t="shared" si="0"/>
        <v>1331</v>
      </c>
      <c r="E39" s="1">
        <v>152.537343507522</v>
      </c>
      <c r="F39" s="1">
        <f t="shared" si="1"/>
        <v>4.564000000002579E-3</v>
      </c>
      <c r="G39" s="1">
        <v>37936.9552233914</v>
      </c>
      <c r="H39" s="1">
        <v>6.5</v>
      </c>
    </row>
    <row r="40" spans="1:8" x14ac:dyDescent="0.2">
      <c r="A40" s="1" t="s">
        <v>107</v>
      </c>
      <c r="B40" s="1">
        <v>13189</v>
      </c>
      <c r="C40" s="1">
        <v>15269</v>
      </c>
      <c r="D40" s="1">
        <f t="shared" si="0"/>
        <v>-2080</v>
      </c>
      <c r="E40" s="1">
        <v>152.89397581664201</v>
      </c>
      <c r="F40" s="1">
        <f t="shared" si="1"/>
        <v>2.337999999996261E-3</v>
      </c>
      <c r="G40" s="1">
        <v>37682.3333917583</v>
      </c>
      <c r="H40" s="1">
        <v>6.5</v>
      </c>
    </row>
    <row r="41" spans="1:8" x14ac:dyDescent="0.2">
      <c r="A41" s="1" t="s">
        <v>108</v>
      </c>
      <c r="B41" s="1">
        <v>17278</v>
      </c>
      <c r="C41" s="1">
        <v>18552</v>
      </c>
      <c r="D41" s="1">
        <f t="shared" si="0"/>
        <v>-1274</v>
      </c>
      <c r="E41" s="1">
        <v>153.21199528634099</v>
      </c>
      <c r="F41" s="1">
        <f t="shared" si="1"/>
        <v>2.0800000000023946E-3</v>
      </c>
      <c r="G41" s="1">
        <v>37828.535256430798</v>
      </c>
      <c r="H41" s="1">
        <v>6.5</v>
      </c>
    </row>
    <row r="42" spans="1:8" x14ac:dyDescent="0.2">
      <c r="A42" s="1" t="s">
        <v>109</v>
      </c>
      <c r="B42" s="1">
        <v>17571</v>
      </c>
      <c r="C42" s="1">
        <v>17398</v>
      </c>
      <c r="D42" s="1">
        <f t="shared" si="0"/>
        <v>173</v>
      </c>
      <c r="E42" s="1">
        <v>153.21689807019001</v>
      </c>
      <c r="F42" s="1">
        <f t="shared" si="1"/>
        <v>3.1999999999060625E-5</v>
      </c>
      <c r="G42" s="1">
        <v>38659.580079820997</v>
      </c>
      <c r="H42" s="1">
        <v>6.5</v>
      </c>
    </row>
    <row r="43" spans="1:8" x14ac:dyDescent="0.2">
      <c r="A43" s="1" t="s">
        <v>110</v>
      </c>
      <c r="B43" s="1">
        <v>17924</v>
      </c>
      <c r="C43" s="1">
        <v>18526</v>
      </c>
      <c r="D43" s="1">
        <f t="shared" si="0"/>
        <v>-602</v>
      </c>
      <c r="E43" s="1">
        <v>152.40876628600199</v>
      </c>
      <c r="F43" s="1">
        <f t="shared" si="1"/>
        <v>-5.2744298727272782E-3</v>
      </c>
      <c r="G43" s="1">
        <v>38484.342173327997</v>
      </c>
      <c r="H43" s="1">
        <v>6.5</v>
      </c>
    </row>
    <row r="44" spans="1:8" x14ac:dyDescent="0.2">
      <c r="A44" s="1" t="s">
        <v>111</v>
      </c>
      <c r="B44" s="1">
        <v>17755</v>
      </c>
      <c r="C44" s="1">
        <v>18162</v>
      </c>
      <c r="D44" s="1">
        <f t="shared" si="0"/>
        <v>-407</v>
      </c>
      <c r="E44" s="1">
        <v>152.14799488688601</v>
      </c>
      <c r="F44" s="1">
        <f t="shared" si="1"/>
        <v>-1.7110000000041456E-3</v>
      </c>
      <c r="G44" s="1">
        <v>39195.265067767497</v>
      </c>
      <c r="H44" s="1">
        <v>6.5</v>
      </c>
    </row>
    <row r="45" spans="1:8" x14ac:dyDescent="0.2">
      <c r="A45" s="1" t="s">
        <v>112</v>
      </c>
      <c r="B45" s="1">
        <v>17672</v>
      </c>
      <c r="C45" s="1">
        <v>17438</v>
      </c>
      <c r="D45" s="1">
        <f t="shared" si="0"/>
        <v>234</v>
      </c>
      <c r="E45" s="1">
        <v>152.31490123727701</v>
      </c>
      <c r="F45" s="1">
        <f t="shared" si="1"/>
        <v>1.0970000000005815E-3</v>
      </c>
      <c r="G45" s="1">
        <v>39529.6454873486</v>
      </c>
      <c r="H45" s="1">
        <v>6.25</v>
      </c>
    </row>
    <row r="46" spans="1:8" x14ac:dyDescent="0.2">
      <c r="A46" s="1" t="s">
        <v>113</v>
      </c>
      <c r="B46" s="1">
        <v>19813</v>
      </c>
      <c r="C46" s="1">
        <v>18287</v>
      </c>
      <c r="D46" s="1">
        <f t="shared" si="0"/>
        <v>1526</v>
      </c>
      <c r="E46" s="1">
        <v>153.711933511425</v>
      </c>
      <c r="F46" s="1">
        <f t="shared" si="1"/>
        <v>9.1719999999979266E-3</v>
      </c>
      <c r="G46" s="1">
        <v>39991.853313804997</v>
      </c>
      <c r="H46" s="1">
        <v>6.25</v>
      </c>
    </row>
    <row r="47" spans="1:8" x14ac:dyDescent="0.2">
      <c r="A47" s="1" t="s">
        <v>114</v>
      </c>
      <c r="B47" s="1">
        <v>19342</v>
      </c>
      <c r="C47" s="1">
        <v>18333</v>
      </c>
      <c r="D47" s="1">
        <f t="shared" si="0"/>
        <v>1009</v>
      </c>
      <c r="E47" s="1">
        <v>154.62206186974601</v>
      </c>
      <c r="F47" s="1">
        <f t="shared" si="1"/>
        <v>5.9209999999990624E-3</v>
      </c>
      <c r="G47" s="1">
        <v>41356.428126591702</v>
      </c>
      <c r="H47" s="1">
        <v>6.25</v>
      </c>
    </row>
    <row r="48" spans="1:8" x14ac:dyDescent="0.2">
      <c r="A48" s="1" t="s">
        <v>115</v>
      </c>
      <c r="B48" s="1">
        <v>20336</v>
      </c>
      <c r="C48" s="1">
        <v>18224</v>
      </c>
      <c r="D48" s="1">
        <f t="shared" si="0"/>
        <v>2112</v>
      </c>
      <c r="E48" s="1">
        <v>155.26157871763999</v>
      </c>
      <c r="F48" s="1">
        <f t="shared" si="1"/>
        <v>4.1360000000046377E-3</v>
      </c>
      <c r="G48" s="1">
        <v>42670.679847268497</v>
      </c>
      <c r="H48" s="1">
        <v>6.25</v>
      </c>
    </row>
    <row r="49" spans="1:8" x14ac:dyDescent="0.2">
      <c r="A49" s="1" t="s">
        <v>116</v>
      </c>
      <c r="B49" s="1">
        <v>19990</v>
      </c>
      <c r="C49" s="1">
        <v>19516</v>
      </c>
      <c r="D49" s="1">
        <f t="shared" si="0"/>
        <v>474</v>
      </c>
      <c r="E49" s="1">
        <v>155.46574769365401</v>
      </c>
      <c r="F49" s="1">
        <f t="shared" si="1"/>
        <v>1.3150000000020656E-3</v>
      </c>
      <c r="G49" s="1">
        <v>43870.873457158799</v>
      </c>
      <c r="H49" s="1">
        <v>6.25</v>
      </c>
    </row>
    <row r="50" spans="1:8" x14ac:dyDescent="0.2">
      <c r="A50" s="1" t="s">
        <v>117</v>
      </c>
      <c r="B50" s="1">
        <v>19723</v>
      </c>
      <c r="C50" s="1">
        <v>20126</v>
      </c>
      <c r="D50" s="1">
        <f t="shared" si="0"/>
        <v>-403</v>
      </c>
      <c r="E50" s="1">
        <v>155.786628996893</v>
      </c>
      <c r="F50" s="1">
        <f t="shared" si="1"/>
        <v>2.0639999999954289E-3</v>
      </c>
      <c r="G50" s="1">
        <v>49075.567812458597</v>
      </c>
      <c r="H50" s="1">
        <v>6.25</v>
      </c>
    </row>
    <row r="51" spans="1:8" x14ac:dyDescent="0.2">
      <c r="A51" s="1" t="s">
        <v>118</v>
      </c>
      <c r="B51" s="1">
        <v>20276</v>
      </c>
      <c r="C51" s="1">
        <v>20177</v>
      </c>
      <c r="D51" s="1">
        <f t="shared" si="0"/>
        <v>99</v>
      </c>
      <c r="E51" s="1">
        <v>156.57818085882701</v>
      </c>
      <c r="F51" s="1">
        <f t="shared" si="1"/>
        <v>5.081000000005117E-3</v>
      </c>
      <c r="G51" s="1">
        <v>53101.232595893198</v>
      </c>
      <c r="H51" s="1">
        <v>6.25</v>
      </c>
    </row>
    <row r="52" spans="1:8" x14ac:dyDescent="0.2">
      <c r="A52" s="1" t="s">
        <v>119</v>
      </c>
      <c r="B52" s="1">
        <v>14376</v>
      </c>
      <c r="C52" s="1">
        <v>14034</v>
      </c>
      <c r="D52" s="1">
        <f t="shared" si="0"/>
        <v>342</v>
      </c>
      <c r="E52" s="1">
        <v>157.716817390031</v>
      </c>
      <c r="F52" s="1">
        <f t="shared" si="1"/>
        <v>7.2719999999910313E-3</v>
      </c>
      <c r="G52" s="1">
        <v>55934.7871021678</v>
      </c>
      <c r="H52" s="1">
        <v>6.25</v>
      </c>
    </row>
    <row r="53" spans="1:8" x14ac:dyDescent="0.2">
      <c r="A53" s="1" t="s">
        <v>120</v>
      </c>
      <c r="B53" s="1">
        <v>21256</v>
      </c>
      <c r="C53" s="1">
        <v>19014</v>
      </c>
      <c r="D53" s="1">
        <f t="shared" si="0"/>
        <v>2242</v>
      </c>
      <c r="E53" s="1">
        <v>157.29240143443599</v>
      </c>
      <c r="F53" s="1">
        <f t="shared" si="1"/>
        <v>-2.6909999999900815E-3</v>
      </c>
      <c r="G53" s="1">
        <v>56264.559264577198</v>
      </c>
      <c r="H53" s="1">
        <v>6.25</v>
      </c>
    </row>
    <row r="54" spans="1:8" x14ac:dyDescent="0.2">
      <c r="A54" s="1" t="s">
        <v>121</v>
      </c>
      <c r="B54" s="1">
        <v>18507</v>
      </c>
      <c r="C54" s="1">
        <v>17510</v>
      </c>
      <c r="D54" s="1">
        <f t="shared" si="0"/>
        <v>997</v>
      </c>
      <c r="E54" s="1">
        <v>157.423583297232</v>
      </c>
      <c r="F54" s="1">
        <f t="shared" si="1"/>
        <v>8.3399999999804551E-4</v>
      </c>
      <c r="G54" s="1">
        <v>56270.916844603002</v>
      </c>
      <c r="H54" s="1">
        <v>6.25</v>
      </c>
    </row>
    <row r="55" spans="1:8" x14ac:dyDescent="0.2">
      <c r="A55" s="1" t="s">
        <v>122</v>
      </c>
      <c r="B55" s="1">
        <v>20004</v>
      </c>
      <c r="C55" s="1">
        <v>21043</v>
      </c>
      <c r="D55" s="1">
        <f t="shared" si="0"/>
        <v>-1039</v>
      </c>
      <c r="E55" s="1">
        <v>158.28705165161799</v>
      </c>
      <c r="F55" s="1">
        <f t="shared" si="1"/>
        <v>5.4850000000042495E-3</v>
      </c>
      <c r="G55" s="1">
        <v>56706.949201150303</v>
      </c>
      <c r="H55" s="1">
        <v>6.25</v>
      </c>
    </row>
    <row r="56" spans="1:8" x14ac:dyDescent="0.2">
      <c r="A56" s="1" t="s">
        <v>123</v>
      </c>
      <c r="B56" s="1">
        <v>19902</v>
      </c>
      <c r="C56" s="1">
        <v>19276</v>
      </c>
      <c r="D56" s="1">
        <f t="shared" si="0"/>
        <v>626</v>
      </c>
      <c r="E56" s="1">
        <v>159.25022836091799</v>
      </c>
      <c r="F56" s="1">
        <f t="shared" si="1"/>
        <v>6.0849999999994017E-3</v>
      </c>
      <c r="G56" s="1">
        <v>57761.450746271199</v>
      </c>
      <c r="H56" s="1">
        <v>6.25</v>
      </c>
    </row>
    <row r="57" spans="1:8" x14ac:dyDescent="0.2">
      <c r="A57" s="1" t="s">
        <v>124</v>
      </c>
      <c r="B57" s="1">
        <v>20683</v>
      </c>
      <c r="C57" s="1">
        <v>21330</v>
      </c>
      <c r="D57" s="1">
        <f t="shared" si="0"/>
        <v>-647</v>
      </c>
      <c r="E57" s="1">
        <v>159.105947654023</v>
      </c>
      <c r="F57" s="1">
        <f t="shared" si="1"/>
        <v>-9.0599999999998277E-4</v>
      </c>
      <c r="G57" s="1">
        <v>57821.929087510602</v>
      </c>
      <c r="H57" s="1">
        <v>6.25</v>
      </c>
    </row>
    <row r="58" spans="1:8" x14ac:dyDescent="0.2">
      <c r="A58" s="1" t="s">
        <v>125</v>
      </c>
      <c r="B58" s="1">
        <v>23444</v>
      </c>
      <c r="C58" s="1">
        <v>21204</v>
      </c>
      <c r="D58" s="1">
        <f t="shared" si="0"/>
        <v>2240</v>
      </c>
      <c r="E58" s="1">
        <v>159.825265643367</v>
      </c>
      <c r="F58" s="1">
        <f t="shared" si="1"/>
        <v>4.5210000000010563E-3</v>
      </c>
      <c r="G58" s="1">
        <v>57285.690353234</v>
      </c>
      <c r="H58" s="1">
        <v>6.25</v>
      </c>
    </row>
    <row r="59" spans="1:8" x14ac:dyDescent="0.2">
      <c r="A59" s="1" t="s">
        <v>126</v>
      </c>
      <c r="B59" s="1">
        <v>21103</v>
      </c>
      <c r="C59" s="1">
        <v>19458</v>
      </c>
      <c r="D59" s="1">
        <f t="shared" si="0"/>
        <v>1645</v>
      </c>
      <c r="E59" s="1">
        <v>160.77382859496001</v>
      </c>
      <c r="F59" s="1">
        <f t="shared" si="1"/>
        <v>5.9349999999976297E-3</v>
      </c>
      <c r="G59" s="1">
        <v>57006.109440936903</v>
      </c>
      <c r="H59" s="1">
        <v>6.25</v>
      </c>
    </row>
    <row r="60" spans="1:8" x14ac:dyDescent="0.2">
      <c r="A60" s="1" t="s">
        <v>127</v>
      </c>
      <c r="B60" s="1">
        <v>22579</v>
      </c>
      <c r="C60" s="1">
        <v>21745</v>
      </c>
      <c r="D60" s="1">
        <f t="shared" si="0"/>
        <v>834</v>
      </c>
      <c r="E60" s="1">
        <v>161.30695461057999</v>
      </c>
      <c r="F60" s="1">
        <f t="shared" si="1"/>
        <v>3.3159999999943851E-3</v>
      </c>
      <c r="G60" s="1">
        <v>55138.416676512003</v>
      </c>
      <c r="H60" s="1">
        <v>6.25</v>
      </c>
    </row>
    <row r="61" spans="1:8" x14ac:dyDescent="0.2">
      <c r="A61" s="1" t="s">
        <v>128</v>
      </c>
      <c r="B61" s="1">
        <v>21778</v>
      </c>
      <c r="C61" s="1">
        <v>21527</v>
      </c>
      <c r="D61" s="1">
        <f t="shared" si="0"/>
        <v>251</v>
      </c>
      <c r="E61" s="1">
        <v>160.84174535348399</v>
      </c>
      <c r="F61" s="1">
        <f t="shared" si="1"/>
        <v>-2.8839999999943819E-3</v>
      </c>
      <c r="G61" s="1">
        <v>55060.055401716301</v>
      </c>
      <c r="H61" s="1">
        <v>6.25</v>
      </c>
    </row>
    <row r="62" spans="1:8" x14ac:dyDescent="0.2">
      <c r="A62" s="1" t="s">
        <v>129</v>
      </c>
      <c r="B62" s="1">
        <v>19791</v>
      </c>
      <c r="C62" s="1">
        <v>20544</v>
      </c>
      <c r="D62" s="1">
        <f t="shared" si="0"/>
        <v>-753</v>
      </c>
      <c r="E62" s="1">
        <v>160.43368984552299</v>
      </c>
      <c r="F62" s="1">
        <f t="shared" si="1"/>
        <v>-2.5369999999950649E-3</v>
      </c>
      <c r="G62" s="1">
        <v>55452.6225825609</v>
      </c>
      <c r="H62" s="1">
        <v>6.25</v>
      </c>
    </row>
    <row r="63" spans="1:8" x14ac:dyDescent="0.2">
      <c r="A63" s="1" t="s">
        <v>130</v>
      </c>
      <c r="B63" s="1">
        <v>22183</v>
      </c>
      <c r="C63" s="1">
        <v>21563</v>
      </c>
      <c r="D63" s="1">
        <f t="shared" si="0"/>
        <v>620</v>
      </c>
      <c r="E63" s="1">
        <v>160.59123572895101</v>
      </c>
      <c r="F63" s="1">
        <f t="shared" si="1"/>
        <v>9.8199999999819569E-4</v>
      </c>
      <c r="G63" s="1">
        <v>59375.270230975002</v>
      </c>
      <c r="H63" s="1">
        <v>6.25</v>
      </c>
    </row>
    <row r="64" spans="1:8" x14ac:dyDescent="0.2">
      <c r="A64" s="1" t="s">
        <v>131</v>
      </c>
      <c r="B64" s="1">
        <v>13879</v>
      </c>
      <c r="C64" s="1">
        <v>14694</v>
      </c>
      <c r="D64" s="1">
        <f t="shared" si="0"/>
        <v>-815</v>
      </c>
      <c r="E64" s="1">
        <v>161.87853507455301</v>
      </c>
      <c r="F64" s="1">
        <f t="shared" si="1"/>
        <v>8.0159999999921353E-3</v>
      </c>
      <c r="G64" s="1">
        <v>60682.461958284402</v>
      </c>
      <c r="H64" s="1">
        <v>6.25</v>
      </c>
    </row>
    <row r="65" spans="1:8" x14ac:dyDescent="0.2">
      <c r="A65" s="1" t="s">
        <v>132</v>
      </c>
      <c r="B65" s="1">
        <v>22757</v>
      </c>
      <c r="C65" s="1">
        <v>21147</v>
      </c>
      <c r="D65" s="1">
        <f t="shared" si="0"/>
        <v>1610</v>
      </c>
      <c r="E65" s="1">
        <v>161.539237665038</v>
      </c>
      <c r="F65" s="1">
        <f t="shared" si="1"/>
        <v>-2.0959999999922733E-3</v>
      </c>
      <c r="G65" s="1">
        <v>62375.804135043501</v>
      </c>
      <c r="H65" s="1">
        <v>6.25</v>
      </c>
    </row>
    <row r="66" spans="1:8" x14ac:dyDescent="0.2">
      <c r="A66" s="1" t="s">
        <v>133</v>
      </c>
      <c r="B66" s="1">
        <v>20419</v>
      </c>
      <c r="C66" s="1">
        <v>20901</v>
      </c>
      <c r="D66" s="1">
        <f t="shared" si="0"/>
        <v>-482</v>
      </c>
      <c r="E66" s="1">
        <v>162.03952468408599</v>
      </c>
      <c r="F66" s="1">
        <f t="shared" si="1"/>
        <v>3.0969999999960725E-3</v>
      </c>
      <c r="G66" s="1">
        <v>64260.716459772797</v>
      </c>
      <c r="H66" s="1">
        <v>6.25</v>
      </c>
    </row>
    <row r="67" spans="1:8" x14ac:dyDescent="0.2">
      <c r="A67" s="1" t="s">
        <v>134</v>
      </c>
      <c r="B67" s="1">
        <v>21889</v>
      </c>
      <c r="C67" s="1">
        <v>23077</v>
      </c>
      <c r="D67" s="1">
        <f t="shared" ref="D67:D129" si="2">B67-C67</f>
        <v>-1188</v>
      </c>
      <c r="E67" s="1">
        <v>162.83837954077799</v>
      </c>
      <c r="F67" s="1">
        <f t="shared" si="1"/>
        <v>4.9299999999966619E-3</v>
      </c>
      <c r="G67" s="1">
        <v>63555.833459615103</v>
      </c>
      <c r="H67" s="1">
        <v>6.25</v>
      </c>
    </row>
    <row r="68" spans="1:8" x14ac:dyDescent="0.2">
      <c r="A68" s="1" t="s">
        <v>135</v>
      </c>
      <c r="B68" s="1">
        <v>21437</v>
      </c>
      <c r="C68" s="1">
        <v>19462</v>
      </c>
      <c r="D68" s="1">
        <f t="shared" si="2"/>
        <v>1975</v>
      </c>
      <c r="E68" s="1">
        <v>162.68824255484199</v>
      </c>
      <c r="F68" s="1">
        <f t="shared" ref="F68:F129" si="3">((E68-E67)/E67)</f>
        <v>-9.2199999999633873E-4</v>
      </c>
      <c r="G68" s="1">
        <v>64279.6733885711</v>
      </c>
      <c r="H68" s="1">
        <v>6.25</v>
      </c>
    </row>
    <row r="69" spans="1:8" x14ac:dyDescent="0.2">
      <c r="A69" s="1" t="s">
        <v>136</v>
      </c>
      <c r="B69" s="1">
        <v>22930</v>
      </c>
      <c r="C69" s="1">
        <v>22668</v>
      </c>
      <c r="D69" s="1">
        <f t="shared" si="2"/>
        <v>262</v>
      </c>
      <c r="E69" s="1">
        <v>162.983684403322</v>
      </c>
      <c r="F69" s="1">
        <f t="shared" si="3"/>
        <v>1.8160000000025634E-3</v>
      </c>
      <c r="G69" s="1">
        <v>64744.531990283998</v>
      </c>
      <c r="H69" s="1">
        <v>6.25</v>
      </c>
    </row>
    <row r="70" spans="1:8" x14ac:dyDescent="0.2">
      <c r="A70" s="1" t="s">
        <v>137</v>
      </c>
      <c r="B70" s="1">
        <v>25856</v>
      </c>
      <c r="C70" s="1">
        <v>22363</v>
      </c>
      <c r="D70" s="1">
        <f t="shared" si="2"/>
        <v>3493</v>
      </c>
      <c r="E70" s="1">
        <v>163.44020170333499</v>
      </c>
      <c r="F70" s="1">
        <f t="shared" si="3"/>
        <v>2.8009999999956152E-3</v>
      </c>
      <c r="G70" s="1">
        <v>66726.628185048699</v>
      </c>
      <c r="H70" s="1">
        <v>6.25</v>
      </c>
    </row>
    <row r="71" spans="1:8" x14ac:dyDescent="0.2">
      <c r="A71" s="1" t="s">
        <v>138</v>
      </c>
      <c r="B71" s="1">
        <v>23301</v>
      </c>
      <c r="C71" s="1">
        <v>21499</v>
      </c>
      <c r="D71" s="1">
        <f t="shared" si="2"/>
        <v>1802</v>
      </c>
      <c r="E71" s="1">
        <v>163.955528659306</v>
      </c>
      <c r="F71" s="1">
        <f t="shared" si="3"/>
        <v>3.1530000000023874E-3</v>
      </c>
      <c r="G71" s="1">
        <v>69186.745078260603</v>
      </c>
      <c r="H71" s="1">
        <v>6</v>
      </c>
    </row>
    <row r="72" spans="1:8" x14ac:dyDescent="0.2">
      <c r="A72" s="1" t="s">
        <v>139</v>
      </c>
      <c r="B72" s="1">
        <v>24291</v>
      </c>
      <c r="C72" s="1">
        <v>22262</v>
      </c>
      <c r="D72" s="1">
        <f t="shared" si="2"/>
        <v>2029</v>
      </c>
      <c r="E72" s="1">
        <v>164.914832457492</v>
      </c>
      <c r="F72" s="1">
        <f t="shared" si="3"/>
        <v>5.8510000000024393E-3</v>
      </c>
      <c r="G72" s="1">
        <v>70510.865112737607</v>
      </c>
      <c r="H72" s="1">
        <v>6</v>
      </c>
    </row>
    <row r="73" spans="1:8" x14ac:dyDescent="0.2">
      <c r="A73" s="1" t="s">
        <v>140</v>
      </c>
      <c r="B73" s="1">
        <v>22798</v>
      </c>
      <c r="C73" s="1">
        <v>21344</v>
      </c>
      <c r="D73" s="1">
        <f t="shared" si="2"/>
        <v>1454</v>
      </c>
      <c r="E73" s="1">
        <v>166.50230263472699</v>
      </c>
      <c r="F73" s="1">
        <f t="shared" si="3"/>
        <v>9.6259999999949841E-3</v>
      </c>
      <c r="G73" s="1">
        <v>73827.958548020601</v>
      </c>
      <c r="H73" s="1">
        <v>6</v>
      </c>
    </row>
    <row r="74" spans="1:8" x14ac:dyDescent="0.2">
      <c r="A74" s="1" t="s">
        <v>141</v>
      </c>
      <c r="B74" s="1">
        <v>22528</v>
      </c>
      <c r="C74" s="1">
        <v>22412</v>
      </c>
      <c r="D74" s="1">
        <f t="shared" si="2"/>
        <v>116</v>
      </c>
      <c r="E74" s="1">
        <v>168.83166984858701</v>
      </c>
      <c r="F74" s="1">
        <f t="shared" si="3"/>
        <v>1.3990000000001163E-2</v>
      </c>
      <c r="G74" s="1">
        <v>78334.835182608993</v>
      </c>
      <c r="H74" s="1">
        <v>6</v>
      </c>
    </row>
    <row r="75" spans="1:8" x14ac:dyDescent="0.2">
      <c r="A75" s="1" t="s">
        <v>142</v>
      </c>
      <c r="B75" s="1">
        <v>18401</v>
      </c>
      <c r="C75" s="1">
        <v>18724</v>
      </c>
      <c r="D75" s="1">
        <f t="shared" si="2"/>
        <v>-323</v>
      </c>
      <c r="E75" s="1">
        <v>170.91302667448099</v>
      </c>
      <c r="F75" s="1">
        <f t="shared" si="3"/>
        <v>1.2328000000003531E-2</v>
      </c>
      <c r="G75" s="1">
        <v>81525.207610686193</v>
      </c>
      <c r="H75" s="1">
        <v>6</v>
      </c>
    </row>
    <row r="76" spans="1:8" x14ac:dyDescent="0.2">
      <c r="A76" s="1" t="s">
        <v>143</v>
      </c>
      <c r="B76" s="1">
        <v>20990</v>
      </c>
      <c r="C76" s="1">
        <v>18799</v>
      </c>
      <c r="D76" s="1">
        <f t="shared" si="2"/>
        <v>2191</v>
      </c>
      <c r="E76" s="1">
        <v>170.62760191993399</v>
      </c>
      <c r="F76" s="1">
        <f t="shared" si="3"/>
        <v>-1.6700000000035768E-3</v>
      </c>
      <c r="G76" s="1">
        <v>81120.288078683501</v>
      </c>
      <c r="H76" s="1">
        <v>6</v>
      </c>
    </row>
    <row r="77" spans="1:8" x14ac:dyDescent="0.2">
      <c r="A77" s="1" t="s">
        <v>144</v>
      </c>
      <c r="B77" s="1">
        <v>24007</v>
      </c>
      <c r="C77" s="1">
        <v>22064</v>
      </c>
      <c r="D77" s="1">
        <f t="shared" si="2"/>
        <v>1943</v>
      </c>
      <c r="E77" s="1">
        <v>169.40386075896399</v>
      </c>
      <c r="F77" s="1">
        <f t="shared" si="3"/>
        <v>-7.1720000000014116E-3</v>
      </c>
      <c r="G77" s="1">
        <v>81678.945186970595</v>
      </c>
      <c r="H77" s="1">
        <v>5</v>
      </c>
    </row>
    <row r="78" spans="1:8" x14ac:dyDescent="0.2">
      <c r="A78" s="1" t="s">
        <v>145</v>
      </c>
      <c r="B78" s="1">
        <v>17601</v>
      </c>
      <c r="C78" s="1">
        <v>18805</v>
      </c>
      <c r="D78" s="1">
        <f t="shared" si="2"/>
        <v>-1204</v>
      </c>
      <c r="E78" s="1">
        <v>166.79012859131399</v>
      </c>
      <c r="F78" s="1">
        <f t="shared" si="3"/>
        <v>-1.542899999999967E-2</v>
      </c>
      <c r="G78" s="1">
        <v>81790.782420417294</v>
      </c>
      <c r="H78" s="1">
        <v>5</v>
      </c>
    </row>
    <row r="79" spans="1:8" x14ac:dyDescent="0.2">
      <c r="A79" s="1" t="s">
        <v>146</v>
      </c>
      <c r="B79" s="1">
        <v>19170</v>
      </c>
      <c r="C79" s="1">
        <v>17907</v>
      </c>
      <c r="D79" s="1">
        <f t="shared" si="2"/>
        <v>1263</v>
      </c>
      <c r="E79" s="1">
        <v>166.73975797247999</v>
      </c>
      <c r="F79" s="1">
        <f t="shared" si="3"/>
        <v>-3.0199999999651008E-4</v>
      </c>
      <c r="G79" s="1">
        <v>83221.690474485207</v>
      </c>
      <c r="H79" s="1">
        <v>4.5</v>
      </c>
    </row>
    <row r="80" spans="1:8" x14ac:dyDescent="0.2">
      <c r="A80" s="1" t="s">
        <v>147</v>
      </c>
      <c r="B80" s="1">
        <v>22596</v>
      </c>
      <c r="C80" s="1">
        <v>20602</v>
      </c>
      <c r="D80" s="1">
        <f t="shared" si="2"/>
        <v>1994</v>
      </c>
      <c r="E80" s="1">
        <v>167.83757253897099</v>
      </c>
      <c r="F80" s="1">
        <f t="shared" si="3"/>
        <v>6.5840000000011254E-3</v>
      </c>
      <c r="G80" s="1">
        <v>83746.605846018399</v>
      </c>
      <c r="H80" s="1">
        <v>4.5</v>
      </c>
    </row>
    <row r="81" spans="1:8" x14ac:dyDescent="0.2">
      <c r="A81" s="1" t="s">
        <v>148</v>
      </c>
      <c r="B81" s="1">
        <v>24909</v>
      </c>
      <c r="C81" s="1">
        <v>22097</v>
      </c>
      <c r="D81" s="1">
        <f t="shared" si="2"/>
        <v>2812</v>
      </c>
      <c r="E81" s="1">
        <v>168.50774796611799</v>
      </c>
      <c r="F81" s="1">
        <f t="shared" si="3"/>
        <v>3.9929999999933847E-3</v>
      </c>
      <c r="G81" s="1">
        <v>84508.826456873197</v>
      </c>
      <c r="H81" s="1">
        <v>4.5</v>
      </c>
    </row>
    <row r="82" spans="1:8" x14ac:dyDescent="0.2">
      <c r="A82" s="1" t="s">
        <v>149</v>
      </c>
      <c r="B82" s="1">
        <v>27700</v>
      </c>
      <c r="C82" s="1">
        <v>22697</v>
      </c>
      <c r="D82" s="1">
        <f t="shared" si="2"/>
        <v>5003</v>
      </c>
      <c r="E82" s="1">
        <v>168.63294922285601</v>
      </c>
      <c r="F82" s="1">
        <f t="shared" si="3"/>
        <v>7.4299999999523901E-4</v>
      </c>
      <c r="G82" s="1">
        <v>88182.120760608101</v>
      </c>
      <c r="H82" s="1">
        <v>4.5</v>
      </c>
    </row>
    <row r="83" spans="1:8" x14ac:dyDescent="0.2">
      <c r="A83" s="1" t="s">
        <v>150</v>
      </c>
      <c r="B83" s="1">
        <v>27168</v>
      </c>
      <c r="C83" s="1">
        <v>24197</v>
      </c>
      <c r="D83" s="1">
        <f t="shared" si="2"/>
        <v>2971</v>
      </c>
      <c r="E83" s="1">
        <v>168.842897244639</v>
      </c>
      <c r="F83" s="1">
        <f t="shared" si="3"/>
        <v>1.2450000000031806E-3</v>
      </c>
      <c r="G83" s="1">
        <v>88739.909719329706</v>
      </c>
      <c r="H83" s="1">
        <v>4</v>
      </c>
    </row>
    <row r="84" spans="1:8" x14ac:dyDescent="0.2">
      <c r="A84" s="1" t="s">
        <v>151</v>
      </c>
      <c r="B84" s="1">
        <v>27210</v>
      </c>
      <c r="C84" s="1">
        <v>24239</v>
      </c>
      <c r="D84" s="1">
        <f t="shared" si="2"/>
        <v>2971</v>
      </c>
      <c r="E84" s="1">
        <v>168.98793329337201</v>
      </c>
      <c r="F84" s="1">
        <f t="shared" si="3"/>
        <v>8.5899999999916826E-4</v>
      </c>
      <c r="G84" s="1">
        <v>90440.722367715207</v>
      </c>
      <c r="H84" s="1">
        <v>4</v>
      </c>
    </row>
    <row r="85" spans="1:8" x14ac:dyDescent="0.2">
      <c r="A85" s="1" t="s">
        <v>152</v>
      </c>
      <c r="B85" s="1">
        <v>25225</v>
      </c>
      <c r="C85" s="1">
        <v>24666</v>
      </c>
      <c r="D85" s="1">
        <f t="shared" si="2"/>
        <v>559</v>
      </c>
      <c r="E85" s="1">
        <v>168.97373830697501</v>
      </c>
      <c r="F85" s="1">
        <f t="shared" si="3"/>
        <v>-8.4000000002118391E-5</v>
      </c>
      <c r="G85" s="1">
        <v>92938.706420404604</v>
      </c>
      <c r="H85" s="1">
        <v>4</v>
      </c>
    </row>
    <row r="86" spans="1:8" x14ac:dyDescent="0.2">
      <c r="A86" s="1" t="s">
        <v>153</v>
      </c>
      <c r="B86" s="1">
        <v>27653</v>
      </c>
      <c r="C86" s="1">
        <v>27904</v>
      </c>
      <c r="D86" s="1">
        <f t="shared" si="2"/>
        <v>-251</v>
      </c>
      <c r="E86" s="1">
        <v>169.14744330995501</v>
      </c>
      <c r="F86" s="1">
        <f t="shared" si="3"/>
        <v>1.0280000000025445E-3</v>
      </c>
      <c r="G86" s="1">
        <v>94833.616150450398</v>
      </c>
      <c r="H86" s="1">
        <v>4</v>
      </c>
    </row>
    <row r="87" spans="1:8" x14ac:dyDescent="0.2">
      <c r="A87" s="1" t="s">
        <v>154</v>
      </c>
      <c r="B87" s="1">
        <v>28541</v>
      </c>
      <c r="C87" s="1">
        <v>26467</v>
      </c>
      <c r="D87" s="1">
        <f t="shared" si="2"/>
        <v>2074</v>
      </c>
      <c r="E87" s="1">
        <v>169.25299131457999</v>
      </c>
      <c r="F87" s="1">
        <f t="shared" si="3"/>
        <v>6.2399999999743683E-4</v>
      </c>
      <c r="G87" s="1">
        <v>97421.7634191955</v>
      </c>
      <c r="H87" s="1">
        <v>4</v>
      </c>
    </row>
    <row r="88" spans="1:8" x14ac:dyDescent="0.2">
      <c r="A88" s="1" t="s">
        <v>155</v>
      </c>
      <c r="B88" s="1">
        <v>20268</v>
      </c>
      <c r="C88" s="1">
        <v>20745</v>
      </c>
      <c r="D88" s="1">
        <f t="shared" si="2"/>
        <v>-477</v>
      </c>
      <c r="E88" s="1">
        <v>171.822420975727</v>
      </c>
      <c r="F88" s="1">
        <f t="shared" si="3"/>
        <v>1.5181000000002207E-2</v>
      </c>
      <c r="G88" s="1">
        <v>98106.098053702095</v>
      </c>
      <c r="H88" s="1">
        <v>4</v>
      </c>
    </row>
    <row r="89" spans="1:8" x14ac:dyDescent="0.2">
      <c r="A89" s="1" t="s">
        <v>156</v>
      </c>
      <c r="B89" s="1">
        <v>29658</v>
      </c>
      <c r="C89" s="1">
        <v>28500</v>
      </c>
      <c r="D89" s="1">
        <f t="shared" si="2"/>
        <v>1158</v>
      </c>
      <c r="E89" s="1">
        <v>171.362452354775</v>
      </c>
      <c r="F89" s="1">
        <f t="shared" si="3"/>
        <v>-2.6769999999998609E-3</v>
      </c>
      <c r="G89" s="1">
        <v>98311.015508274402</v>
      </c>
      <c r="H89" s="1">
        <v>4</v>
      </c>
    </row>
    <row r="90" spans="1:8" x14ac:dyDescent="0.2">
      <c r="A90" s="1" t="s">
        <v>157</v>
      </c>
      <c r="B90" s="1">
        <v>26613</v>
      </c>
      <c r="C90" s="1">
        <v>27956</v>
      </c>
      <c r="D90" s="1">
        <f t="shared" si="2"/>
        <v>-1343</v>
      </c>
      <c r="E90" s="1">
        <v>171.29682053552301</v>
      </c>
      <c r="F90" s="1">
        <f t="shared" si="3"/>
        <v>-3.8300000000065148E-4</v>
      </c>
      <c r="G90" s="1">
        <v>100835.113619621</v>
      </c>
      <c r="H90" s="1">
        <v>4</v>
      </c>
    </row>
    <row r="91" spans="1:8" x14ac:dyDescent="0.2">
      <c r="A91" s="1" t="s">
        <v>158</v>
      </c>
      <c r="B91" s="1">
        <v>26189</v>
      </c>
      <c r="C91" s="1">
        <v>28542</v>
      </c>
      <c r="D91" s="1">
        <f t="shared" si="2"/>
        <v>-2353</v>
      </c>
      <c r="E91" s="1">
        <v>171.56815469925101</v>
      </c>
      <c r="F91" s="1">
        <f t="shared" si="3"/>
        <v>1.5839999999984304E-3</v>
      </c>
      <c r="G91" s="1">
        <v>101660.102232155</v>
      </c>
      <c r="H91" s="1">
        <v>4</v>
      </c>
    </row>
    <row r="92" spans="1:8" x14ac:dyDescent="0.2">
      <c r="A92" s="1" t="s">
        <v>159</v>
      </c>
      <c r="B92" s="1">
        <v>27211</v>
      </c>
      <c r="C92" s="1">
        <v>27829</v>
      </c>
      <c r="D92" s="1">
        <f t="shared" si="2"/>
        <v>-618</v>
      </c>
      <c r="E92" s="1">
        <v>171.88967342115799</v>
      </c>
      <c r="F92" s="1">
        <f t="shared" si="3"/>
        <v>1.8740000000034207E-3</v>
      </c>
      <c r="G92" s="1">
        <v>100215.86484350701</v>
      </c>
      <c r="H92" s="1">
        <v>4</v>
      </c>
    </row>
    <row r="93" spans="1:8" x14ac:dyDescent="0.2">
      <c r="A93" s="1" t="s">
        <v>160</v>
      </c>
      <c r="B93" s="1">
        <v>27852</v>
      </c>
      <c r="C93" s="1">
        <v>29300</v>
      </c>
      <c r="D93" s="1">
        <f t="shared" si="2"/>
        <v>-1448</v>
      </c>
      <c r="E93" s="1">
        <v>172.95951474853101</v>
      </c>
      <c r="F93" s="1">
        <f t="shared" si="3"/>
        <v>6.223999999998401E-3</v>
      </c>
      <c r="G93" s="1">
        <v>102278.713123266</v>
      </c>
      <c r="H93" s="1">
        <v>4</v>
      </c>
    </row>
    <row r="94" spans="1:8" x14ac:dyDescent="0.2">
      <c r="A94" s="1" t="s">
        <v>161</v>
      </c>
      <c r="B94" s="1">
        <v>27228</v>
      </c>
      <c r="C94" s="1">
        <v>27541</v>
      </c>
      <c r="D94" s="1">
        <f t="shared" si="2"/>
        <v>-313</v>
      </c>
      <c r="E94" s="1">
        <v>173.38828138559299</v>
      </c>
      <c r="F94" s="1">
        <f t="shared" si="3"/>
        <v>2.479000000002167E-3</v>
      </c>
      <c r="G94" s="1">
        <v>106934.83915949</v>
      </c>
      <c r="H94" s="1">
        <v>4</v>
      </c>
    </row>
    <row r="95" spans="1:8" x14ac:dyDescent="0.2">
      <c r="A95" s="1" t="s">
        <v>162</v>
      </c>
      <c r="B95" s="1">
        <v>27132</v>
      </c>
      <c r="C95" s="1">
        <v>27055</v>
      </c>
      <c r="D95" s="1">
        <f t="shared" si="2"/>
        <v>77</v>
      </c>
      <c r="E95" s="1">
        <v>172.321076513664</v>
      </c>
      <c r="F95" s="1">
        <f t="shared" si="3"/>
        <v>-6.1550000000038553E-3</v>
      </c>
      <c r="G95" s="1">
        <v>107178.568322147</v>
      </c>
      <c r="H95" s="1">
        <v>4</v>
      </c>
    </row>
    <row r="96" spans="1:8" x14ac:dyDescent="0.2">
      <c r="A96" s="1" t="s">
        <v>163</v>
      </c>
      <c r="B96" s="1">
        <v>28954</v>
      </c>
      <c r="C96" s="1">
        <v>26150</v>
      </c>
      <c r="D96" s="1">
        <f t="shared" si="2"/>
        <v>2804</v>
      </c>
      <c r="E96" s="1">
        <v>171.97109240726499</v>
      </c>
      <c r="F96" s="1">
        <f t="shared" si="3"/>
        <v>-2.0309999999985756E-3</v>
      </c>
      <c r="G96" s="1">
        <v>107382.308862148</v>
      </c>
      <c r="H96" s="1">
        <v>4</v>
      </c>
    </row>
    <row r="97" spans="1:8" x14ac:dyDescent="0.2">
      <c r="A97" s="1" t="s">
        <v>164</v>
      </c>
      <c r="B97" s="1">
        <v>31857</v>
      </c>
      <c r="C97" s="1">
        <v>30626</v>
      </c>
      <c r="D97" s="1">
        <f t="shared" si="2"/>
        <v>1231</v>
      </c>
      <c r="E97" s="1">
        <v>172.52294764280001</v>
      </c>
      <c r="F97" s="1">
        <f t="shared" si="3"/>
        <v>3.2090000000005925E-3</v>
      </c>
      <c r="G97" s="1">
        <v>109965.374869166</v>
      </c>
      <c r="H97" s="1">
        <v>4</v>
      </c>
    </row>
    <row r="98" spans="1:8" x14ac:dyDescent="0.2">
      <c r="A98" s="1" t="s">
        <v>165</v>
      </c>
      <c r="B98" s="1">
        <v>34472</v>
      </c>
      <c r="C98" s="1">
        <v>31745</v>
      </c>
      <c r="D98" s="1">
        <f t="shared" si="2"/>
        <v>2727</v>
      </c>
      <c r="E98" s="1">
        <v>172.209645969881</v>
      </c>
      <c r="F98" s="1">
        <f t="shared" si="3"/>
        <v>-1.8159999999981771E-3</v>
      </c>
      <c r="G98" s="1">
        <v>109371.353442833</v>
      </c>
      <c r="H98" s="1">
        <v>4</v>
      </c>
    </row>
    <row r="99" spans="1:8" x14ac:dyDescent="0.2">
      <c r="A99" s="1" t="s">
        <v>166</v>
      </c>
      <c r="B99" s="1">
        <v>31858</v>
      </c>
      <c r="C99" s="1">
        <v>30221</v>
      </c>
      <c r="D99" s="1">
        <f t="shared" si="2"/>
        <v>1637</v>
      </c>
      <c r="E99" s="1">
        <v>172.53959965155801</v>
      </c>
      <c r="F99" s="1">
        <f t="shared" si="3"/>
        <v>1.9159999999925641E-3</v>
      </c>
      <c r="G99" s="1">
        <v>111568.874987982</v>
      </c>
      <c r="H99" s="1">
        <v>4</v>
      </c>
    </row>
    <row r="100" spans="1:8" x14ac:dyDescent="0.2">
      <c r="A100" s="1" t="s">
        <v>168</v>
      </c>
      <c r="B100" s="1">
        <v>23322</v>
      </c>
      <c r="C100" s="1">
        <v>25260</v>
      </c>
      <c r="D100" s="1">
        <f t="shared" si="2"/>
        <v>-1938</v>
      </c>
      <c r="E100" s="1">
        <v>174.26913659846599</v>
      </c>
      <c r="F100" s="1">
        <f t="shared" si="3"/>
        <v>1.0024000000004446E-2</v>
      </c>
      <c r="G100" s="1">
        <v>110903.74536793699</v>
      </c>
      <c r="H100" s="1">
        <v>4</v>
      </c>
    </row>
    <row r="101" spans="1:8" x14ac:dyDescent="0.2">
      <c r="A101" s="1" t="s">
        <v>169</v>
      </c>
      <c r="B101" s="1">
        <v>34700</v>
      </c>
      <c r="C101" s="1">
        <v>32530</v>
      </c>
      <c r="D101" s="1">
        <f t="shared" si="2"/>
        <v>2170</v>
      </c>
      <c r="E101" s="1">
        <v>175.491983129978</v>
      </c>
      <c r="F101" s="1">
        <f t="shared" si="3"/>
        <v>7.0170000000032645E-3</v>
      </c>
      <c r="G101" s="1">
        <v>108240.23445022</v>
      </c>
      <c r="H101" s="1">
        <v>4</v>
      </c>
    </row>
    <row r="102" spans="1:8" x14ac:dyDescent="0.2">
      <c r="A102" s="1" t="s">
        <v>170</v>
      </c>
      <c r="B102" s="1">
        <v>33239</v>
      </c>
      <c r="C102" s="1">
        <v>32759</v>
      </c>
      <c r="D102" s="1">
        <f t="shared" si="2"/>
        <v>480</v>
      </c>
      <c r="E102" s="1">
        <v>175.81559034686899</v>
      </c>
      <c r="F102" s="1">
        <f t="shared" si="3"/>
        <v>1.8439999999960792E-3</v>
      </c>
      <c r="G102" s="1">
        <v>107296.054548314</v>
      </c>
      <c r="H102" s="1">
        <v>4</v>
      </c>
    </row>
    <row r="103" spans="1:8" x14ac:dyDescent="0.2">
      <c r="A103" s="1" t="s">
        <v>171</v>
      </c>
      <c r="B103" s="1">
        <v>30832</v>
      </c>
      <c r="C103" s="1">
        <v>32797</v>
      </c>
      <c r="D103" s="1">
        <f t="shared" si="2"/>
        <v>-1965</v>
      </c>
      <c r="E103" s="1">
        <v>176.47999746279001</v>
      </c>
      <c r="F103" s="1">
        <f t="shared" si="3"/>
        <v>3.7790000000011651E-3</v>
      </c>
      <c r="G103" s="1">
        <v>104752.383437688</v>
      </c>
      <c r="H103" s="1">
        <v>4</v>
      </c>
    </row>
    <row r="104" spans="1:8" x14ac:dyDescent="0.2">
      <c r="A104" s="1" t="s">
        <v>172</v>
      </c>
      <c r="B104" s="1">
        <v>33024</v>
      </c>
      <c r="C104" s="1">
        <v>32127</v>
      </c>
      <c r="D104" s="1">
        <f t="shared" si="2"/>
        <v>897</v>
      </c>
      <c r="E104" s="1">
        <v>177.68959136539999</v>
      </c>
      <c r="F104" s="1">
        <f t="shared" si="3"/>
        <v>6.8540000000001057E-3</v>
      </c>
      <c r="G104" s="1">
        <v>103261.762613074</v>
      </c>
      <c r="H104" s="1">
        <v>4</v>
      </c>
    </row>
    <row r="105" spans="1:8" x14ac:dyDescent="0.2">
      <c r="A105" s="1" t="s">
        <v>173</v>
      </c>
      <c r="B105" s="1">
        <v>30607</v>
      </c>
      <c r="C105" s="1">
        <v>30533</v>
      </c>
      <c r="D105" s="1">
        <f t="shared" si="2"/>
        <v>74</v>
      </c>
      <c r="E105" s="1">
        <v>178.39199832006801</v>
      </c>
      <c r="F105" s="1">
        <f t="shared" si="3"/>
        <v>3.9530000000033471E-3</v>
      </c>
      <c r="G105" s="1">
        <v>100436.65845186599</v>
      </c>
      <c r="H105" s="1">
        <v>5</v>
      </c>
    </row>
    <row r="106" spans="1:8" x14ac:dyDescent="0.2">
      <c r="A106" s="1" t="s">
        <v>174</v>
      </c>
      <c r="B106" s="1">
        <v>34918</v>
      </c>
      <c r="C106" s="1">
        <v>31059</v>
      </c>
      <c r="D106" s="1">
        <f t="shared" si="2"/>
        <v>3859</v>
      </c>
      <c r="E106" s="1">
        <v>178.40091791998401</v>
      </c>
      <c r="F106" s="1">
        <f t="shared" si="3"/>
        <v>4.9999999999971596E-5</v>
      </c>
      <c r="G106" s="1">
        <v>93902.0054343628</v>
      </c>
      <c r="H106" s="1">
        <v>6</v>
      </c>
    </row>
    <row r="107" spans="1:8" x14ac:dyDescent="0.2">
      <c r="A107" s="1" t="s">
        <v>175</v>
      </c>
      <c r="B107" s="1">
        <v>30369</v>
      </c>
      <c r="C107" s="1">
        <v>28388</v>
      </c>
      <c r="D107" s="1">
        <f t="shared" si="2"/>
        <v>1981</v>
      </c>
      <c r="E107" s="1">
        <v>179.11113197422301</v>
      </c>
      <c r="F107" s="1">
        <f t="shared" si="3"/>
        <v>3.9809999999974597E-3</v>
      </c>
      <c r="G107" s="1">
        <v>87583.780038268407</v>
      </c>
      <c r="H107" s="1">
        <v>6</v>
      </c>
    </row>
    <row r="108" spans="1:8" x14ac:dyDescent="0.2">
      <c r="A108" s="1" t="s">
        <v>176</v>
      </c>
      <c r="B108" s="1">
        <v>30369</v>
      </c>
      <c r="C108" s="1">
        <v>27903</v>
      </c>
      <c r="D108" s="1">
        <f t="shared" si="2"/>
        <v>2466</v>
      </c>
      <c r="E108" s="1">
        <v>179.37120133785001</v>
      </c>
      <c r="F108" s="1">
        <f t="shared" si="3"/>
        <v>1.4520000000023717E-3</v>
      </c>
      <c r="G108" s="1">
        <v>85888.514103779904</v>
      </c>
      <c r="H108" s="1">
        <v>6</v>
      </c>
    </row>
    <row r="109" spans="1:8" x14ac:dyDescent="0.2">
      <c r="A109" s="1" t="s">
        <v>177</v>
      </c>
      <c r="B109" s="1">
        <v>29020</v>
      </c>
      <c r="C109" s="1">
        <v>28277</v>
      </c>
      <c r="D109" s="1">
        <f t="shared" si="2"/>
        <v>743</v>
      </c>
      <c r="E109" s="1">
        <v>180.06572662943</v>
      </c>
      <c r="F109" s="1">
        <f t="shared" si="3"/>
        <v>3.8719999999990936E-3</v>
      </c>
      <c r="G109" s="1">
        <v>85299.131591010693</v>
      </c>
      <c r="H109" s="1">
        <v>6</v>
      </c>
    </row>
    <row r="110" spans="1:8" x14ac:dyDescent="0.2">
      <c r="A110" s="1" t="s">
        <v>178</v>
      </c>
      <c r="B110" s="1">
        <v>29029</v>
      </c>
      <c r="C110" s="1">
        <v>27292</v>
      </c>
      <c r="D110" s="1">
        <f t="shared" si="2"/>
        <v>1737</v>
      </c>
      <c r="E110" s="1">
        <v>180.04321841360101</v>
      </c>
      <c r="F110" s="1">
        <f t="shared" si="3"/>
        <v>-1.250000000017408E-4</v>
      </c>
      <c r="G110" s="1">
        <v>86539.530966645107</v>
      </c>
      <c r="H110" s="1">
        <v>6</v>
      </c>
    </row>
    <row r="111" spans="1:8" x14ac:dyDescent="0.2">
      <c r="A111" s="1" t="s">
        <v>179</v>
      </c>
      <c r="B111" s="1">
        <v>23644</v>
      </c>
      <c r="C111" s="1">
        <v>22994</v>
      </c>
      <c r="D111" s="1">
        <f t="shared" si="2"/>
        <v>650</v>
      </c>
      <c r="E111" s="1">
        <v>180.970981118086</v>
      </c>
      <c r="F111" s="1">
        <f t="shared" si="3"/>
        <v>5.1529999999983603E-3</v>
      </c>
      <c r="G111" s="1">
        <v>88271.111042447097</v>
      </c>
      <c r="H111" s="1">
        <v>5.5</v>
      </c>
    </row>
    <row r="112" spans="1:8" x14ac:dyDescent="0.2">
      <c r="A112" s="1" t="s">
        <v>180</v>
      </c>
      <c r="B112" s="1">
        <v>26122</v>
      </c>
      <c r="C112" s="1">
        <v>23296</v>
      </c>
      <c r="D112" s="1">
        <f t="shared" si="2"/>
        <v>2826</v>
      </c>
      <c r="E112" s="1">
        <v>181.78335985232599</v>
      </c>
      <c r="F112" s="1">
        <f t="shared" si="3"/>
        <v>4.4890000000049569E-3</v>
      </c>
      <c r="G112" s="1">
        <v>87644.670477897598</v>
      </c>
      <c r="H112" s="1">
        <v>4.5</v>
      </c>
    </row>
    <row r="113" spans="1:8" x14ac:dyDescent="0.2">
      <c r="A113" s="1" t="s">
        <v>181</v>
      </c>
      <c r="B113" s="1">
        <v>29783</v>
      </c>
      <c r="C113" s="1">
        <v>28330</v>
      </c>
      <c r="D113" s="1">
        <f t="shared" si="2"/>
        <v>1453</v>
      </c>
      <c r="E113" s="1">
        <v>181.372711242419</v>
      </c>
      <c r="F113" s="1">
        <f t="shared" si="3"/>
        <v>-2.2590000000031964E-3</v>
      </c>
      <c r="G113" s="1">
        <v>88211.950293771399</v>
      </c>
      <c r="H113" s="1">
        <v>4.5</v>
      </c>
    </row>
    <row r="114" spans="1:8" x14ac:dyDescent="0.2">
      <c r="A114" s="1" t="s">
        <v>182</v>
      </c>
      <c r="B114" s="1">
        <v>27975</v>
      </c>
      <c r="C114" s="1">
        <v>25244</v>
      </c>
      <c r="D114" s="1">
        <f t="shared" si="2"/>
        <v>2731</v>
      </c>
      <c r="E114" s="1">
        <v>180.751509706414</v>
      </c>
      <c r="F114" s="1">
        <f t="shared" si="3"/>
        <v>-3.4249999999984458E-3</v>
      </c>
      <c r="G114" s="1">
        <v>90023.808243097199</v>
      </c>
      <c r="H114" s="1">
        <v>4.5</v>
      </c>
    </row>
    <row r="115" spans="1:8" x14ac:dyDescent="0.2">
      <c r="A115" s="1" t="s">
        <v>183</v>
      </c>
      <c r="B115" s="1">
        <v>28146</v>
      </c>
      <c r="C115" s="1">
        <v>26039</v>
      </c>
      <c r="D115" s="1">
        <f t="shared" si="2"/>
        <v>2107</v>
      </c>
      <c r="E115" s="1">
        <v>180.76506606964199</v>
      </c>
      <c r="F115" s="1">
        <f t="shared" si="3"/>
        <v>7.500000000005583E-5</v>
      </c>
      <c r="G115" s="1">
        <v>89541.726887096505</v>
      </c>
      <c r="H115" s="1">
        <v>4.5</v>
      </c>
    </row>
    <row r="116" spans="1:8" x14ac:dyDescent="0.2">
      <c r="A116" s="1" t="s">
        <v>184</v>
      </c>
      <c r="B116" s="1">
        <v>29760</v>
      </c>
      <c r="C116" s="1">
        <v>26565</v>
      </c>
      <c r="D116" s="1">
        <f t="shared" si="2"/>
        <v>3195</v>
      </c>
      <c r="E116" s="1">
        <v>181.24843185631201</v>
      </c>
      <c r="F116" s="1">
        <f t="shared" si="3"/>
        <v>2.673999999998883E-3</v>
      </c>
      <c r="G116" s="1">
        <v>91107.929749174698</v>
      </c>
      <c r="H116" s="1">
        <v>4.5</v>
      </c>
    </row>
    <row r="117" spans="1:8" x14ac:dyDescent="0.2">
      <c r="A117" s="1" t="s">
        <v>185</v>
      </c>
      <c r="B117" s="1">
        <v>30068</v>
      </c>
      <c r="C117" s="1">
        <v>27001</v>
      </c>
      <c r="D117" s="1">
        <f t="shared" si="2"/>
        <v>3067</v>
      </c>
      <c r="E117" s="1">
        <v>182.07274972439399</v>
      </c>
      <c r="F117" s="1">
        <f t="shared" si="3"/>
        <v>4.5479999999970743E-3</v>
      </c>
      <c r="G117" s="1">
        <v>89110.813669546405</v>
      </c>
      <c r="H117" s="1">
        <v>4.5</v>
      </c>
    </row>
    <row r="118" spans="1:8" x14ac:dyDescent="0.2">
      <c r="A118" s="1" t="s">
        <v>186</v>
      </c>
      <c r="B118" s="1">
        <v>32761</v>
      </c>
      <c r="C118" s="1">
        <v>29322</v>
      </c>
      <c r="D118" s="1">
        <f t="shared" si="2"/>
        <v>3439</v>
      </c>
      <c r="E118" s="1">
        <v>183.676992722216</v>
      </c>
      <c r="F118" s="1">
        <f t="shared" si="3"/>
        <v>8.8110000000020724E-3</v>
      </c>
      <c r="G118" s="1">
        <v>89552.909933995004</v>
      </c>
      <c r="H118" s="1">
        <v>4.5</v>
      </c>
    </row>
    <row r="119" spans="1:8" x14ac:dyDescent="0.2">
      <c r="A119" s="1" t="s">
        <v>187</v>
      </c>
      <c r="B119" s="1">
        <v>30682</v>
      </c>
      <c r="C119" s="1">
        <v>28483</v>
      </c>
      <c r="D119" s="1">
        <f t="shared" si="2"/>
        <v>2199</v>
      </c>
      <c r="E119" s="1">
        <v>185.66052056662301</v>
      </c>
      <c r="F119" s="1">
        <f t="shared" si="3"/>
        <v>1.0798999999998891E-2</v>
      </c>
      <c r="G119" s="1">
        <v>89474.927494049698</v>
      </c>
      <c r="H119" s="1"/>
    </row>
    <row r="120" spans="1:8" x14ac:dyDescent="0.2">
      <c r="A120" s="1" t="s">
        <v>188</v>
      </c>
      <c r="B120" s="1">
        <v>32253</v>
      </c>
      <c r="C120" s="1">
        <v>29519</v>
      </c>
      <c r="D120" s="1">
        <f t="shared" si="2"/>
        <v>2734</v>
      </c>
      <c r="E120" s="1">
        <v>185.813133514529</v>
      </c>
      <c r="F120" s="1">
        <f t="shared" si="3"/>
        <v>8.2200000000123407E-4</v>
      </c>
      <c r="G120" s="1">
        <v>89044.708823217094</v>
      </c>
      <c r="H120" s="1"/>
    </row>
    <row r="121" spans="1:8" x14ac:dyDescent="0.2">
      <c r="A121" s="1" t="s">
        <v>189</v>
      </c>
      <c r="B121" s="1">
        <v>31122</v>
      </c>
      <c r="C121" s="1">
        <v>29579</v>
      </c>
      <c r="D121" s="1">
        <f t="shared" si="2"/>
        <v>1543</v>
      </c>
      <c r="E121" s="1">
        <v>186.274879151313</v>
      </c>
      <c r="F121" s="1">
        <f t="shared" si="3"/>
        <v>2.4850000000021391E-3</v>
      </c>
      <c r="G121" s="1">
        <v>89956.755360886993</v>
      </c>
      <c r="H121" s="1"/>
    </row>
    <row r="122" spans="1:8" x14ac:dyDescent="0.2">
      <c r="A122" s="1" t="s">
        <v>190</v>
      </c>
      <c r="B122" s="1">
        <v>31465</v>
      </c>
      <c r="C122" s="1">
        <v>29404</v>
      </c>
      <c r="D122" s="1">
        <f t="shared" si="2"/>
        <v>2061</v>
      </c>
      <c r="E122" s="1">
        <v>186.49058546136999</v>
      </c>
      <c r="F122" s="1">
        <f t="shared" si="3"/>
        <v>1.1579999999987475E-3</v>
      </c>
      <c r="G122" s="1">
        <v>92237.540812246705</v>
      </c>
      <c r="H122" s="1"/>
    </row>
    <row r="123" spans="1:8" x14ac:dyDescent="0.2">
      <c r="A123" s="1" t="s">
        <v>191</v>
      </c>
      <c r="B123" s="1">
        <v>34531</v>
      </c>
      <c r="C123" s="1">
        <v>30898</v>
      </c>
      <c r="D123" s="1">
        <f t="shared" si="2"/>
        <v>3633</v>
      </c>
      <c r="E123" s="1">
        <v>187.071318961608</v>
      </c>
      <c r="F123" s="1">
        <f t="shared" si="3"/>
        <v>3.1140097437160207E-3</v>
      </c>
      <c r="G123" s="1">
        <v>89983.873029476905</v>
      </c>
      <c r="H123" s="1"/>
    </row>
    <row r="124" spans="1:8" x14ac:dyDescent="0.2">
      <c r="A124" s="1" t="s">
        <v>192</v>
      </c>
      <c r="B124" s="1">
        <v>24685</v>
      </c>
      <c r="C124" s="1">
        <v>23304</v>
      </c>
      <c r="D124" s="1">
        <f t="shared" si="2"/>
        <v>1381</v>
      </c>
      <c r="E124" s="1">
        <v>189.01180975319701</v>
      </c>
      <c r="F124" s="1">
        <f t="shared" si="3"/>
        <v>1.0373000000001357E-2</v>
      </c>
      <c r="G124" s="1">
        <v>90199.716736208895</v>
      </c>
      <c r="H124" s="1"/>
    </row>
    <row r="125" spans="1:8" x14ac:dyDescent="0.2">
      <c r="A125" s="1" t="s">
        <v>193</v>
      </c>
      <c r="B125" s="1">
        <v>33659</v>
      </c>
      <c r="C125" s="1">
        <v>30881</v>
      </c>
      <c r="D125" s="1">
        <f t="shared" si="2"/>
        <v>2778</v>
      </c>
      <c r="E125" s="1">
        <v>188.57216828371099</v>
      </c>
      <c r="F125" s="1">
        <f t="shared" si="3"/>
        <v>-2.3260000000004419E-3</v>
      </c>
      <c r="G125" s="1">
        <v>90955.564079368807</v>
      </c>
      <c r="H125" s="1"/>
    </row>
    <row r="126" spans="1:8" x14ac:dyDescent="0.2">
      <c r="A126" s="1" t="s">
        <v>194</v>
      </c>
      <c r="B126" s="1">
        <v>31053</v>
      </c>
      <c r="C126" s="1">
        <v>29987</v>
      </c>
      <c r="D126" s="1">
        <f t="shared" si="2"/>
        <v>1066</v>
      </c>
      <c r="E126" s="1">
        <v>188.710014538726</v>
      </c>
      <c r="F126" s="1">
        <f t="shared" si="3"/>
        <v>7.3099999999794987E-4</v>
      </c>
      <c r="G126" s="1">
        <v>90095.553164506593</v>
      </c>
      <c r="H126" s="1"/>
    </row>
    <row r="127" spans="1:8" x14ac:dyDescent="0.2">
      <c r="A127" s="1" t="s">
        <v>195</v>
      </c>
      <c r="B127" s="1">
        <v>32267</v>
      </c>
      <c r="C127" s="1">
        <v>32723</v>
      </c>
      <c r="D127" s="1">
        <f t="shared" si="2"/>
        <v>-456</v>
      </c>
      <c r="E127" s="1">
        <v>188.79851953554501</v>
      </c>
      <c r="F127" s="1">
        <f t="shared" si="3"/>
        <v>4.6900000000185048E-4</v>
      </c>
      <c r="G127" s="1">
        <v>86001.848730064201</v>
      </c>
      <c r="H127" s="1"/>
    </row>
    <row r="128" spans="1:8" x14ac:dyDescent="0.2">
      <c r="A128" s="1" t="s">
        <v>196</v>
      </c>
      <c r="B128" s="1">
        <v>33450</v>
      </c>
      <c r="C128" s="1">
        <v>32892</v>
      </c>
      <c r="D128" s="1">
        <f t="shared" si="2"/>
        <v>558</v>
      </c>
      <c r="E128" s="1">
        <v>189.11060348833701</v>
      </c>
      <c r="F128" s="1">
        <f t="shared" si="3"/>
        <v>1.6529999999986133E-3</v>
      </c>
      <c r="G128" s="1">
        <v>87056.82058</v>
      </c>
      <c r="H128" s="1"/>
    </row>
    <row r="129" spans="1:8" x14ac:dyDescent="0.2">
      <c r="A129" s="1" t="s">
        <v>197</v>
      </c>
      <c r="B129" s="1">
        <v>34520</v>
      </c>
      <c r="C129" s="1">
        <v>32998</v>
      </c>
      <c r="D129" s="1">
        <f t="shared" si="2"/>
        <v>1522</v>
      </c>
      <c r="E129" s="1">
        <v>190.00944618671701</v>
      </c>
      <c r="F129" s="1">
        <f t="shared" si="3"/>
        <v>4.7529999999996958E-3</v>
      </c>
      <c r="G129" s="1">
        <v>89035.538960000005</v>
      </c>
      <c r="H12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E0B-C986-244E-8124-38B2A572C40B}">
  <dimension ref="A1:H230"/>
  <sheetViews>
    <sheetView zoomScale="132" workbookViewId="0">
      <selection activeCell="D2" sqref="D2:D129"/>
    </sheetView>
  </sheetViews>
  <sheetFormatPr baseColWidth="10" defaultRowHeight="16" x14ac:dyDescent="0.2"/>
  <cols>
    <col min="2" max="2" width="12.1640625" customWidth="1"/>
  </cols>
  <sheetData>
    <row r="1" spans="1:8" ht="85" x14ac:dyDescent="0.2">
      <c r="A1" s="6" t="s">
        <v>65</v>
      </c>
      <c r="B1" s="7" t="s">
        <v>66</v>
      </c>
      <c r="C1" s="7" t="s">
        <v>67</v>
      </c>
      <c r="D1" s="7" t="s">
        <v>206</v>
      </c>
      <c r="E1" s="7" t="s">
        <v>68</v>
      </c>
      <c r="F1" s="7" t="s">
        <v>205</v>
      </c>
      <c r="G1" s="7" t="s">
        <v>204</v>
      </c>
      <c r="H1" s="7" t="s">
        <v>69</v>
      </c>
    </row>
    <row r="2" spans="1:8" x14ac:dyDescent="0.2">
      <c r="A2" s="1" t="s">
        <v>199</v>
      </c>
      <c r="B2" s="35">
        <v>126324</v>
      </c>
      <c r="C2" s="35">
        <v>192350</v>
      </c>
      <c r="D2" s="1">
        <f>B2-C2</f>
        <v>-66026</v>
      </c>
      <c r="E2" s="1">
        <v>107</v>
      </c>
      <c r="F2" s="1">
        <v>6.1999999999999998E-3</v>
      </c>
      <c r="G2" s="1">
        <v>7.0000000000000007E-2</v>
      </c>
      <c r="H2" s="1">
        <v>133230</v>
      </c>
    </row>
    <row r="3" spans="1:8" x14ac:dyDescent="0.2">
      <c r="A3" s="1" t="s">
        <v>70</v>
      </c>
      <c r="B3" s="35">
        <v>126517</v>
      </c>
      <c r="C3" s="35">
        <v>190970</v>
      </c>
      <c r="D3" s="1">
        <f t="shared" ref="D3:D66" si="0">B3-C3</f>
        <v>-64453</v>
      </c>
      <c r="E3" s="35">
        <v>107.27360694869</v>
      </c>
      <c r="F3" s="1">
        <f>(E3-E2)/E2</f>
        <v>2.5570742868224498E-3</v>
      </c>
      <c r="G3" s="1">
        <v>7.0000000000000007E-2</v>
      </c>
      <c r="H3" s="1">
        <v>133374.79090116199</v>
      </c>
    </row>
    <row r="4" spans="1:8" x14ac:dyDescent="0.2">
      <c r="A4" s="1" t="s">
        <v>71</v>
      </c>
      <c r="B4" s="35">
        <v>123591</v>
      </c>
      <c r="C4" s="35">
        <v>175075</v>
      </c>
      <c r="D4" s="1">
        <f t="shared" si="0"/>
        <v>-51484</v>
      </c>
      <c r="E4" s="35">
        <v>107.670294947846</v>
      </c>
      <c r="F4" s="1">
        <f t="shared" ref="F4:F67" si="1">(E4-E3)/E3</f>
        <v>3.6979086509670574E-3</v>
      </c>
      <c r="G4" s="1">
        <v>7.0000000000000007E-2</v>
      </c>
      <c r="H4" s="1">
        <v>134163.60976535099</v>
      </c>
    </row>
    <row r="5" spans="1:8" x14ac:dyDescent="0.2">
      <c r="A5" s="1" t="s">
        <v>72</v>
      </c>
      <c r="B5" s="35">
        <v>142184</v>
      </c>
      <c r="C5" s="35">
        <v>199471</v>
      </c>
      <c r="D5" s="1">
        <f t="shared" si="0"/>
        <v>-57287</v>
      </c>
      <c r="E5" s="35">
        <v>108.363696398394</v>
      </c>
      <c r="F5" s="1">
        <f t="shared" si="1"/>
        <v>6.4400441262269141E-3</v>
      </c>
      <c r="G5" s="1">
        <v>0.08</v>
      </c>
      <c r="H5" s="1">
        <v>133243.234650097</v>
      </c>
    </row>
    <row r="6" spans="1:8" x14ac:dyDescent="0.2">
      <c r="A6" s="1" t="s">
        <v>73</v>
      </c>
      <c r="B6" s="35">
        <v>133875</v>
      </c>
      <c r="C6" s="35">
        <v>206040</v>
      </c>
      <c r="D6" s="1">
        <f t="shared" si="0"/>
        <v>-72165</v>
      </c>
      <c r="E6" s="35">
        <v>108.720944897056</v>
      </c>
      <c r="F6" s="1">
        <f t="shared" si="1"/>
        <v>3.296754453157406E-3</v>
      </c>
      <c r="G6" s="1">
        <v>0.09</v>
      </c>
      <c r="H6" s="1">
        <v>133236.465110313</v>
      </c>
    </row>
    <row r="7" spans="1:8" x14ac:dyDescent="0.2">
      <c r="A7" s="1" t="s">
        <v>74</v>
      </c>
      <c r="B7" s="35">
        <v>138122</v>
      </c>
      <c r="C7" s="35">
        <v>205614</v>
      </c>
      <c r="D7" s="1">
        <f t="shared" si="0"/>
        <v>-67492</v>
      </c>
      <c r="E7" s="35">
        <v>109.100664739023</v>
      </c>
      <c r="F7" s="1">
        <f t="shared" si="1"/>
        <v>3.4926098400501E-3</v>
      </c>
      <c r="G7" s="1">
        <v>0.09</v>
      </c>
      <c r="H7" s="1">
        <v>133537.01784557899</v>
      </c>
    </row>
    <row r="8" spans="1:8" x14ac:dyDescent="0.2">
      <c r="A8" s="1" t="s">
        <v>75</v>
      </c>
      <c r="B8" s="35">
        <v>138358</v>
      </c>
      <c r="C8" s="35">
        <v>203038</v>
      </c>
      <c r="D8" s="1">
        <f t="shared" si="0"/>
        <v>-64680</v>
      </c>
      <c r="E8" s="35">
        <v>109.30382402645201</v>
      </c>
      <c r="F8" s="1">
        <f t="shared" si="1"/>
        <v>1.8621269440930997E-3</v>
      </c>
      <c r="G8" s="1">
        <v>0.1</v>
      </c>
      <c r="H8" s="1">
        <v>134135.12601513899</v>
      </c>
    </row>
    <row r="9" spans="1:8" x14ac:dyDescent="0.2">
      <c r="A9" s="1" t="s">
        <v>76</v>
      </c>
      <c r="B9" s="35">
        <v>133198</v>
      </c>
      <c r="C9" s="35">
        <v>209897</v>
      </c>
      <c r="D9" s="1">
        <f t="shared" si="0"/>
        <v>-76699</v>
      </c>
      <c r="E9" s="35">
        <v>109.261174334057</v>
      </c>
      <c r="F9" s="1">
        <f t="shared" si="1"/>
        <v>-3.90193964162509E-4</v>
      </c>
      <c r="G9" s="1">
        <v>0.09</v>
      </c>
      <c r="H9" s="1">
        <v>131874.78477086601</v>
      </c>
    </row>
    <row r="10" spans="1:8" x14ac:dyDescent="0.2">
      <c r="A10" s="1" t="s">
        <v>77</v>
      </c>
      <c r="B10" s="35">
        <v>137420</v>
      </c>
      <c r="C10" s="35">
        <v>201999</v>
      </c>
      <c r="D10" s="1">
        <f t="shared" si="0"/>
        <v>-64579</v>
      </c>
      <c r="E10" s="35">
        <v>109.078651994561</v>
      </c>
      <c r="F10" s="1">
        <f t="shared" si="1"/>
        <v>-1.6705141657910104E-3</v>
      </c>
      <c r="G10" s="1">
        <v>0.09</v>
      </c>
      <c r="H10" s="1">
        <v>130276.83443422</v>
      </c>
    </row>
    <row r="11" spans="1:8" x14ac:dyDescent="0.2">
      <c r="A11" s="1" t="s">
        <v>78</v>
      </c>
      <c r="B11" s="35">
        <v>133360</v>
      </c>
      <c r="C11" s="35">
        <v>208381</v>
      </c>
      <c r="D11" s="1">
        <f t="shared" si="0"/>
        <v>-75021</v>
      </c>
      <c r="E11" s="35">
        <v>109.16074118745</v>
      </c>
      <c r="F11" s="1">
        <f t="shared" si="1"/>
        <v>7.525688243112305E-4</v>
      </c>
      <c r="G11" s="1">
        <v>0.09</v>
      </c>
      <c r="H11" s="1">
        <v>126012.62101089599</v>
      </c>
    </row>
    <row r="12" spans="1:8" x14ac:dyDescent="0.2">
      <c r="A12" s="1" t="s">
        <v>79</v>
      </c>
      <c r="B12" s="35">
        <v>145436</v>
      </c>
      <c r="C12" s="35">
        <v>216440</v>
      </c>
      <c r="D12" s="1">
        <f t="shared" si="0"/>
        <v>-71004</v>
      </c>
      <c r="E12" s="35">
        <v>108.88649907936301</v>
      </c>
      <c r="F12" s="1">
        <f t="shared" si="1"/>
        <v>-2.5122778125522991E-3</v>
      </c>
      <c r="G12" s="1">
        <v>0.09</v>
      </c>
      <c r="H12" s="1">
        <v>125243.50961953599</v>
      </c>
    </row>
    <row r="13" spans="1:8" x14ac:dyDescent="0.2">
      <c r="A13" s="1" t="s">
        <v>80</v>
      </c>
      <c r="B13" s="35">
        <v>134726</v>
      </c>
      <c r="C13" s="35">
        <v>194978</v>
      </c>
      <c r="D13" s="1">
        <f t="shared" si="0"/>
        <v>-60252</v>
      </c>
      <c r="E13" s="35">
        <v>108.298575362694</v>
      </c>
      <c r="F13" s="1">
        <f t="shared" si="1"/>
        <v>-5.3994179410662866E-3</v>
      </c>
      <c r="G13" s="1">
        <v>0.09</v>
      </c>
      <c r="H13" s="1">
        <v>122599.606390958</v>
      </c>
    </row>
    <row r="14" spans="1:8" x14ac:dyDescent="0.2">
      <c r="A14" s="1" t="s">
        <v>81</v>
      </c>
      <c r="B14" s="35">
        <v>133746</v>
      </c>
      <c r="C14" s="35">
        <v>200644</v>
      </c>
      <c r="D14" s="1">
        <f t="shared" si="0"/>
        <v>-66898</v>
      </c>
      <c r="E14" s="35">
        <v>107.68451151197701</v>
      </c>
      <c r="F14" s="1">
        <f t="shared" si="1"/>
        <v>-5.6701009100117586E-3</v>
      </c>
      <c r="G14" s="1">
        <v>0.12</v>
      </c>
      <c r="H14" s="1">
        <v>119048.483711245</v>
      </c>
    </row>
    <row r="15" spans="1:8" x14ac:dyDescent="0.2">
      <c r="A15" s="1" t="s">
        <v>82</v>
      </c>
      <c r="B15" s="35">
        <v>120920</v>
      </c>
      <c r="C15" s="35">
        <v>186756</v>
      </c>
      <c r="D15" s="1">
        <f t="shared" si="0"/>
        <v>-65836</v>
      </c>
      <c r="E15" s="35">
        <v>107.177759790512</v>
      </c>
      <c r="F15" s="1">
        <f t="shared" si="1"/>
        <v>-4.7058923734695649E-3</v>
      </c>
      <c r="G15" s="1">
        <v>0.11</v>
      </c>
      <c r="H15" s="1">
        <v>115561.969637645</v>
      </c>
    </row>
    <row r="16" spans="1:8" x14ac:dyDescent="0.2">
      <c r="A16" s="1" t="s">
        <v>83</v>
      </c>
      <c r="B16" s="35">
        <v>118181</v>
      </c>
      <c r="C16" s="35">
        <v>167974</v>
      </c>
      <c r="D16" s="1">
        <f t="shared" si="0"/>
        <v>-49793</v>
      </c>
      <c r="E16" s="35">
        <v>107.643237616112</v>
      </c>
      <c r="F16" s="1">
        <f t="shared" si="1"/>
        <v>4.3430449237772846E-3</v>
      </c>
      <c r="G16" s="1">
        <v>0.11</v>
      </c>
      <c r="H16" s="1">
        <v>113676.383582362</v>
      </c>
    </row>
    <row r="17" spans="1:8" x14ac:dyDescent="0.2">
      <c r="A17" s="1" t="s">
        <v>84</v>
      </c>
      <c r="B17" s="35">
        <v>133660</v>
      </c>
      <c r="C17" s="35">
        <v>204474</v>
      </c>
      <c r="D17" s="1">
        <f t="shared" si="0"/>
        <v>-70814</v>
      </c>
      <c r="E17" s="35">
        <v>108.28390019971999</v>
      </c>
      <c r="F17" s="1">
        <f t="shared" si="1"/>
        <v>5.9517216110944711E-3</v>
      </c>
      <c r="G17" s="1">
        <v>0.11</v>
      </c>
      <c r="H17" s="1">
        <v>108228.544728414</v>
      </c>
    </row>
    <row r="18" spans="1:8" x14ac:dyDescent="0.2">
      <c r="A18" s="1" t="s">
        <v>85</v>
      </c>
      <c r="B18" s="35">
        <v>128508</v>
      </c>
      <c r="C18" s="35">
        <v>195797</v>
      </c>
      <c r="D18" s="1">
        <f t="shared" si="0"/>
        <v>-67289</v>
      </c>
      <c r="E18" s="35">
        <v>108.504027644338</v>
      </c>
      <c r="F18" s="1">
        <f t="shared" si="1"/>
        <v>2.0328732545835107E-3</v>
      </c>
      <c r="G18" s="1">
        <v>0.12</v>
      </c>
      <c r="H18" s="1">
        <v>110249.031731012</v>
      </c>
    </row>
    <row r="19" spans="1:8" x14ac:dyDescent="0.2">
      <c r="A19" s="1" t="s">
        <v>86</v>
      </c>
      <c r="B19" s="35">
        <v>128075</v>
      </c>
      <c r="C19" s="35">
        <v>192106</v>
      </c>
      <c r="D19" s="1">
        <f t="shared" si="0"/>
        <v>-64031</v>
      </c>
      <c r="E19" s="35">
        <v>109.05709784894201</v>
      </c>
      <c r="F19" s="1">
        <f t="shared" si="1"/>
        <v>5.0972320254958981E-3</v>
      </c>
      <c r="G19" s="1">
        <v>0.12</v>
      </c>
      <c r="H19" s="1">
        <v>108494.126842597</v>
      </c>
    </row>
    <row r="20" spans="1:8" x14ac:dyDescent="0.2">
      <c r="A20" s="1" t="s">
        <v>87</v>
      </c>
      <c r="B20" s="35">
        <v>130904</v>
      </c>
      <c r="C20" s="35">
        <v>202967</v>
      </c>
      <c r="D20" s="1">
        <f t="shared" si="0"/>
        <v>-72063</v>
      </c>
      <c r="E20" s="35">
        <v>109.43911068512401</v>
      </c>
      <c r="F20" s="1">
        <f t="shared" si="1"/>
        <v>3.502869998531743E-3</v>
      </c>
      <c r="G20" s="1">
        <v>0.13</v>
      </c>
      <c r="H20" s="1">
        <v>109291.59555829701</v>
      </c>
    </row>
    <row r="21" spans="1:8" x14ac:dyDescent="0.2">
      <c r="A21" s="1" t="s">
        <v>88</v>
      </c>
      <c r="B21" s="35">
        <v>124188</v>
      </c>
      <c r="C21" s="35">
        <v>199379</v>
      </c>
      <c r="D21" s="1">
        <f t="shared" si="0"/>
        <v>-75191</v>
      </c>
      <c r="E21" s="35">
        <v>109.446448266611</v>
      </c>
      <c r="F21" s="1">
        <f t="shared" si="1"/>
        <v>6.704715929303293E-5</v>
      </c>
      <c r="G21" s="1">
        <v>0.13</v>
      </c>
      <c r="H21" s="1">
        <v>108276.90692499799</v>
      </c>
    </row>
    <row r="22" spans="1:8" x14ac:dyDescent="0.2">
      <c r="A22" s="1" t="s">
        <v>89</v>
      </c>
      <c r="B22" s="35">
        <v>122684</v>
      </c>
      <c r="C22" s="35">
        <v>195591</v>
      </c>
      <c r="D22" s="1">
        <f t="shared" si="0"/>
        <v>-72907</v>
      </c>
      <c r="E22" s="35">
        <v>109.29144185769201</v>
      </c>
      <c r="F22" s="1">
        <f t="shared" si="1"/>
        <v>-1.4162762828209669E-3</v>
      </c>
      <c r="G22" s="1">
        <v>0.14000000000000001</v>
      </c>
      <c r="H22" s="1">
        <v>109858.074545393</v>
      </c>
    </row>
    <row r="23" spans="1:8" x14ac:dyDescent="0.2">
      <c r="A23" s="1" t="s">
        <v>90</v>
      </c>
      <c r="B23" s="35">
        <v>124827</v>
      </c>
      <c r="C23" s="35">
        <v>197212</v>
      </c>
      <c r="D23" s="1">
        <f t="shared" si="0"/>
        <v>-72385</v>
      </c>
      <c r="E23" s="35">
        <v>109.121301686956</v>
      </c>
      <c r="F23" s="1">
        <f t="shared" si="1"/>
        <v>-1.5567565753002303E-3</v>
      </c>
      <c r="G23" s="1">
        <v>0.125</v>
      </c>
      <c r="H23" s="1">
        <v>109176.888023436</v>
      </c>
    </row>
    <row r="24" spans="1:8" x14ac:dyDescent="0.2">
      <c r="A24" s="1" t="s">
        <v>91</v>
      </c>
      <c r="B24" s="35">
        <v>130300</v>
      </c>
      <c r="C24" s="35">
        <v>200667</v>
      </c>
      <c r="D24" s="1">
        <f t="shared" si="0"/>
        <v>-70367</v>
      </c>
      <c r="E24" s="35">
        <v>109.07223161076</v>
      </c>
      <c r="F24" s="1">
        <f t="shared" si="1"/>
        <v>-4.4968375044474436E-4</v>
      </c>
      <c r="G24" s="1">
        <v>0.125</v>
      </c>
      <c r="H24" s="1">
        <v>108225.67644315099</v>
      </c>
    </row>
    <row r="25" spans="1:8" x14ac:dyDescent="0.2">
      <c r="A25" s="1" t="s">
        <v>92</v>
      </c>
      <c r="B25" s="35">
        <v>120385</v>
      </c>
      <c r="C25" s="35">
        <v>187329</v>
      </c>
      <c r="D25" s="1">
        <f t="shared" si="0"/>
        <v>-66944</v>
      </c>
      <c r="E25" s="35">
        <v>108.842014991596</v>
      </c>
      <c r="F25" s="1">
        <f t="shared" si="1"/>
        <v>-2.1106803790863853E-3</v>
      </c>
      <c r="G25" s="1">
        <v>0.12</v>
      </c>
      <c r="H25" s="1">
        <v>105599.427903891</v>
      </c>
    </row>
    <row r="26" spans="1:8" x14ac:dyDescent="0.2">
      <c r="A26" s="1" t="s">
        <v>93</v>
      </c>
      <c r="B26" s="35">
        <v>119939</v>
      </c>
      <c r="C26" s="35">
        <v>185049</v>
      </c>
      <c r="D26" s="1">
        <f t="shared" si="0"/>
        <v>-65110</v>
      </c>
      <c r="E26" s="35">
        <v>108.47009132996</v>
      </c>
      <c r="F26" s="1">
        <f t="shared" si="1"/>
        <v>-3.4170964371131938E-3</v>
      </c>
      <c r="G26" s="1">
        <v>0.24</v>
      </c>
      <c r="H26" s="1">
        <v>106539.635766333</v>
      </c>
    </row>
    <row r="27" spans="1:8" x14ac:dyDescent="0.2">
      <c r="A27" s="1" t="s">
        <v>94</v>
      </c>
      <c r="B27" s="35">
        <v>107968</v>
      </c>
      <c r="C27" s="35">
        <v>171007</v>
      </c>
      <c r="D27" s="1">
        <f t="shared" si="0"/>
        <v>-63039</v>
      </c>
      <c r="E27" s="35">
        <v>108.649403477555</v>
      </c>
      <c r="F27" s="1">
        <f t="shared" si="1"/>
        <v>1.6531022090646278E-3</v>
      </c>
      <c r="G27" s="1">
        <v>0.34</v>
      </c>
      <c r="H27" s="1">
        <v>106147.292068394</v>
      </c>
    </row>
    <row r="28" spans="1:8" x14ac:dyDescent="0.2">
      <c r="A28" s="1" t="s">
        <v>95</v>
      </c>
      <c r="B28" s="35">
        <v>113363</v>
      </c>
      <c r="C28" s="35">
        <v>173210</v>
      </c>
      <c r="D28" s="1">
        <f t="shared" si="0"/>
        <v>-59847</v>
      </c>
      <c r="E28" s="35">
        <v>108.73883025193101</v>
      </c>
      <c r="F28" s="1">
        <f t="shared" si="1"/>
        <v>8.2307653345268638E-4</v>
      </c>
      <c r="G28" s="1">
        <v>0.38</v>
      </c>
      <c r="H28" s="1">
        <v>106177.180000116</v>
      </c>
    </row>
    <row r="29" spans="1:8" x14ac:dyDescent="0.2">
      <c r="A29" s="1" t="s">
        <v>96</v>
      </c>
      <c r="B29" s="35">
        <v>125425</v>
      </c>
      <c r="C29" s="35">
        <v>183545</v>
      </c>
      <c r="D29" s="1">
        <f t="shared" si="0"/>
        <v>-58120</v>
      </c>
      <c r="E29" s="35">
        <v>109.207059670588</v>
      </c>
      <c r="F29" s="1">
        <f t="shared" si="1"/>
        <v>4.306000143391042E-3</v>
      </c>
      <c r="G29" s="1">
        <v>0.36</v>
      </c>
      <c r="H29" s="1">
        <v>108685.64091833599</v>
      </c>
    </row>
    <row r="30" spans="1:8" x14ac:dyDescent="0.2">
      <c r="A30" s="1" t="s">
        <v>97</v>
      </c>
      <c r="B30" s="35">
        <v>118645</v>
      </c>
      <c r="C30" s="35">
        <v>179136</v>
      </c>
      <c r="D30" s="1">
        <f t="shared" si="0"/>
        <v>-60491</v>
      </c>
      <c r="E30" s="35">
        <v>109.72481776428501</v>
      </c>
      <c r="F30" s="1">
        <f t="shared" si="1"/>
        <v>4.7410679791102918E-3</v>
      </c>
      <c r="G30" s="1">
        <v>0.37</v>
      </c>
      <c r="H30" s="1">
        <v>109993.521451525</v>
      </c>
    </row>
    <row r="31" spans="1:8" x14ac:dyDescent="0.2">
      <c r="A31" s="1" t="s">
        <v>98</v>
      </c>
      <c r="B31" s="35">
        <v>119625</v>
      </c>
      <c r="C31" s="35">
        <v>188698</v>
      </c>
      <c r="D31" s="1">
        <f t="shared" si="0"/>
        <v>-69073</v>
      </c>
      <c r="E31" s="35">
        <v>110.168741444265</v>
      </c>
      <c r="F31" s="1">
        <f t="shared" si="1"/>
        <v>4.0457909981098548E-3</v>
      </c>
      <c r="G31" s="1">
        <v>0.37</v>
      </c>
      <c r="H31" s="1">
        <v>108148.611886044</v>
      </c>
    </row>
    <row r="32" spans="1:8" x14ac:dyDescent="0.2">
      <c r="A32" s="1" t="s">
        <v>99</v>
      </c>
      <c r="B32" s="35">
        <v>125098</v>
      </c>
      <c r="C32" s="35">
        <v>193890</v>
      </c>
      <c r="D32" s="1">
        <f t="shared" si="0"/>
        <v>-68792</v>
      </c>
      <c r="E32" s="35">
        <v>110.53057593135701</v>
      </c>
      <c r="F32" s="1">
        <f t="shared" si="1"/>
        <v>3.284366167285893E-3</v>
      </c>
      <c r="G32" s="1">
        <v>0.38</v>
      </c>
      <c r="H32" s="1">
        <v>109161.192899125</v>
      </c>
    </row>
    <row r="33" spans="1:8" x14ac:dyDescent="0.2">
      <c r="A33" s="1" t="s">
        <v>100</v>
      </c>
      <c r="B33" s="35">
        <v>115810</v>
      </c>
      <c r="C33" s="35">
        <v>187009</v>
      </c>
      <c r="D33" s="1">
        <f t="shared" si="0"/>
        <v>-71199</v>
      </c>
      <c r="E33" s="35">
        <v>110.351722382604</v>
      </c>
      <c r="F33" s="1">
        <f t="shared" si="1"/>
        <v>-1.618136404754508E-3</v>
      </c>
      <c r="G33" s="1">
        <v>0.39</v>
      </c>
      <c r="H33" s="1">
        <v>109370.171511055</v>
      </c>
    </row>
    <row r="34" spans="1:8" x14ac:dyDescent="0.2">
      <c r="A34" s="1" t="s">
        <v>101</v>
      </c>
      <c r="B34" s="35">
        <v>122529</v>
      </c>
      <c r="C34" s="35">
        <v>199512</v>
      </c>
      <c r="D34" s="1">
        <f t="shared" si="0"/>
        <v>-76983</v>
      </c>
      <c r="E34" s="35">
        <v>110.453072726898</v>
      </c>
      <c r="F34" s="1">
        <f t="shared" si="1"/>
        <v>9.1843010789274208E-4</v>
      </c>
      <c r="G34" s="1">
        <v>0.4</v>
      </c>
      <c r="H34" s="1">
        <v>109271.82861875001</v>
      </c>
    </row>
    <row r="35" spans="1:8" x14ac:dyDescent="0.2">
      <c r="A35" s="1" t="s">
        <v>102</v>
      </c>
      <c r="B35" s="35">
        <v>124431</v>
      </c>
      <c r="C35" s="35">
        <v>191137</v>
      </c>
      <c r="D35" s="1">
        <f t="shared" si="0"/>
        <v>-66706</v>
      </c>
      <c r="E35" s="35">
        <v>110.718601456968</v>
      </c>
      <c r="F35" s="1">
        <f t="shared" si="1"/>
        <v>2.403995864619706E-3</v>
      </c>
      <c r="G35" s="1">
        <v>0.4</v>
      </c>
      <c r="H35" s="1">
        <v>111389.671500062</v>
      </c>
    </row>
    <row r="36" spans="1:8" x14ac:dyDescent="0.2">
      <c r="A36" s="1" t="s">
        <v>103</v>
      </c>
      <c r="B36" s="35">
        <v>128440</v>
      </c>
      <c r="C36" s="35">
        <v>197383</v>
      </c>
      <c r="D36" s="1">
        <f t="shared" si="0"/>
        <v>-68943</v>
      </c>
      <c r="E36" s="35">
        <v>110.856639708698</v>
      </c>
      <c r="F36" s="1">
        <f t="shared" si="1"/>
        <v>1.2467485130187906E-3</v>
      </c>
      <c r="G36" s="1">
        <v>0.4</v>
      </c>
      <c r="H36" s="1">
        <v>109978.8831349</v>
      </c>
    </row>
    <row r="37" spans="1:8" x14ac:dyDescent="0.2">
      <c r="A37" s="1" t="s">
        <v>104</v>
      </c>
      <c r="B37" s="35">
        <v>123034</v>
      </c>
      <c r="C37" s="35">
        <v>196577</v>
      </c>
      <c r="D37" s="1">
        <f t="shared" si="0"/>
        <v>-73543</v>
      </c>
      <c r="E37" s="35">
        <v>110.684206543747</v>
      </c>
      <c r="F37" s="1">
        <f t="shared" si="1"/>
        <v>-1.5554608673338005E-3</v>
      </c>
      <c r="G37" s="1">
        <v>0.41</v>
      </c>
      <c r="H37" s="1">
        <v>107177.967932292</v>
      </c>
    </row>
    <row r="38" spans="1:8" x14ac:dyDescent="0.2">
      <c r="A38" s="1" t="s">
        <v>105</v>
      </c>
      <c r="B38" s="35">
        <v>126642</v>
      </c>
      <c r="C38" s="35">
        <v>189048</v>
      </c>
      <c r="D38" s="1">
        <f t="shared" si="0"/>
        <v>-62406</v>
      </c>
      <c r="E38" s="35">
        <v>110.72043585234</v>
      </c>
      <c r="F38" s="1">
        <f t="shared" si="1"/>
        <v>3.2732139231344024E-4</v>
      </c>
      <c r="G38" s="1">
        <v>0.54</v>
      </c>
      <c r="H38" s="1">
        <v>106290.809152792</v>
      </c>
    </row>
    <row r="39" spans="1:8" x14ac:dyDescent="0.2">
      <c r="A39" s="1" t="s">
        <v>106</v>
      </c>
      <c r="B39" s="35">
        <v>117458</v>
      </c>
      <c r="C39" s="35">
        <v>191252</v>
      </c>
      <c r="D39" s="1">
        <f t="shared" si="0"/>
        <v>-73794</v>
      </c>
      <c r="E39" s="35">
        <v>111.365684424378</v>
      </c>
      <c r="F39" s="1">
        <f t="shared" si="1"/>
        <v>5.8277278902561583E-3</v>
      </c>
      <c r="G39" s="1">
        <v>0.65</v>
      </c>
      <c r="H39" s="1">
        <v>108141.622238222</v>
      </c>
    </row>
    <row r="40" spans="1:8" x14ac:dyDescent="0.2">
      <c r="A40" s="1" t="s">
        <v>107</v>
      </c>
      <c r="B40" s="35">
        <v>119252</v>
      </c>
      <c r="C40" s="35">
        <v>174335</v>
      </c>
      <c r="D40" s="1">
        <f t="shared" si="0"/>
        <v>-55083</v>
      </c>
      <c r="E40" s="35">
        <v>111.71605394039599</v>
      </c>
      <c r="F40" s="1">
        <f t="shared" si="1"/>
        <v>3.1461173864190391E-3</v>
      </c>
      <c r="G40" s="1">
        <v>0.66</v>
      </c>
      <c r="H40" s="1">
        <v>107240.16375252399</v>
      </c>
    </row>
    <row r="41" spans="1:8" x14ac:dyDescent="0.2">
      <c r="A41" s="1" t="s">
        <v>108</v>
      </c>
      <c r="B41" s="35">
        <v>135905</v>
      </c>
      <c r="C41" s="35">
        <v>199743</v>
      </c>
      <c r="D41" s="1">
        <f t="shared" si="0"/>
        <v>-63838</v>
      </c>
      <c r="E41" s="35">
        <v>111.80685651130101</v>
      </c>
      <c r="F41" s="1">
        <f t="shared" si="1"/>
        <v>8.1279787194648147E-4</v>
      </c>
      <c r="G41" s="1">
        <v>0.79</v>
      </c>
      <c r="H41" s="1">
        <v>107752.41102707799</v>
      </c>
    </row>
    <row r="42" spans="1:8" x14ac:dyDescent="0.2">
      <c r="A42" s="1" t="s">
        <v>109</v>
      </c>
      <c r="B42" s="35">
        <v>123842</v>
      </c>
      <c r="C42" s="35">
        <v>191453</v>
      </c>
      <c r="D42" s="1">
        <f t="shared" si="0"/>
        <v>-67611</v>
      </c>
      <c r="E42" s="35">
        <v>112.138423474758</v>
      </c>
      <c r="F42" s="1">
        <f t="shared" si="1"/>
        <v>2.9655333653305902E-3</v>
      </c>
      <c r="G42" s="1">
        <v>0.9</v>
      </c>
      <c r="H42" s="1">
        <v>108984.923682605</v>
      </c>
    </row>
    <row r="43" spans="1:8" x14ac:dyDescent="0.2">
      <c r="A43" s="1" t="s">
        <v>110</v>
      </c>
      <c r="B43" s="35">
        <v>127782</v>
      </c>
      <c r="C43" s="35">
        <v>206350</v>
      </c>
      <c r="D43" s="1">
        <f t="shared" si="0"/>
        <v>-78568</v>
      </c>
      <c r="E43" s="35">
        <v>112.23427063293499</v>
      </c>
      <c r="F43" s="1">
        <f t="shared" si="1"/>
        <v>8.5472182689075413E-4</v>
      </c>
      <c r="G43" s="1">
        <v>0.91</v>
      </c>
      <c r="H43" s="1">
        <v>110664.584325405</v>
      </c>
    </row>
    <row r="44" spans="1:8" x14ac:dyDescent="0.2">
      <c r="A44" s="1" t="s">
        <v>111</v>
      </c>
      <c r="B44" s="35">
        <v>132741</v>
      </c>
      <c r="C44" s="35">
        <v>204033</v>
      </c>
      <c r="D44" s="1">
        <f t="shared" si="0"/>
        <v>-71292</v>
      </c>
      <c r="E44" s="35">
        <v>112.336079576071</v>
      </c>
      <c r="F44" s="1">
        <f t="shared" si="1"/>
        <v>9.0711101486083028E-4</v>
      </c>
      <c r="G44" s="1">
        <v>1.04</v>
      </c>
      <c r="H44" s="1">
        <v>110974.138791562</v>
      </c>
    </row>
    <row r="45" spans="1:8" x14ac:dyDescent="0.2">
      <c r="A45" s="1" t="s">
        <v>112</v>
      </c>
      <c r="B45" s="35">
        <v>122140</v>
      </c>
      <c r="C45" s="35">
        <v>197679</v>
      </c>
      <c r="D45" s="1">
        <f t="shared" si="0"/>
        <v>-75539</v>
      </c>
      <c r="E45" s="35">
        <v>112.25857637161199</v>
      </c>
      <c r="F45" s="1">
        <f t="shared" si="1"/>
        <v>-6.8992263884839566E-4</v>
      </c>
      <c r="G45" s="1">
        <v>1.1499999999999999</v>
      </c>
      <c r="H45" s="1">
        <v>112648.483004906</v>
      </c>
    </row>
    <row r="46" spans="1:8" x14ac:dyDescent="0.2">
      <c r="A46" s="1" t="s">
        <v>113</v>
      </c>
      <c r="B46" s="35">
        <v>129186</v>
      </c>
      <c r="C46" s="35">
        <v>207541</v>
      </c>
      <c r="D46" s="1">
        <f t="shared" si="0"/>
        <v>-78355</v>
      </c>
      <c r="E46" s="35">
        <v>112.594729323498</v>
      </c>
      <c r="F46" s="1">
        <f t="shared" si="1"/>
        <v>2.9944522971076374E-3</v>
      </c>
      <c r="G46" s="1">
        <v>1.1599999999999999</v>
      </c>
      <c r="H46" s="1">
        <v>113475.34791855099</v>
      </c>
    </row>
    <row r="47" spans="1:8" x14ac:dyDescent="0.2">
      <c r="A47" s="1" t="s">
        <v>114</v>
      </c>
      <c r="B47" s="35">
        <v>130278</v>
      </c>
      <c r="C47" s="35">
        <v>200364</v>
      </c>
      <c r="D47" s="1">
        <f t="shared" si="0"/>
        <v>-70086</v>
      </c>
      <c r="E47" s="35">
        <v>113.19090781934</v>
      </c>
      <c r="F47" s="1">
        <f t="shared" si="1"/>
        <v>5.2949058932332919E-3</v>
      </c>
      <c r="G47" s="1">
        <v>1.1499999999999999</v>
      </c>
      <c r="H47" s="1">
        <v>112822.10740489799</v>
      </c>
    </row>
    <row r="48" spans="1:8" x14ac:dyDescent="0.2">
      <c r="A48" s="1" t="s">
        <v>115</v>
      </c>
      <c r="B48" s="35">
        <v>136199</v>
      </c>
      <c r="C48" s="35">
        <v>216612</v>
      </c>
      <c r="D48" s="1">
        <f t="shared" si="0"/>
        <v>-80413</v>
      </c>
      <c r="E48" s="35">
        <v>113.119366399839</v>
      </c>
      <c r="F48" s="1">
        <f t="shared" si="1"/>
        <v>-6.3204210372786666E-4</v>
      </c>
      <c r="G48" s="1">
        <v>1.1499999999999999</v>
      </c>
      <c r="H48" s="1">
        <v>111590.76675613401</v>
      </c>
    </row>
    <row r="49" spans="1:8" x14ac:dyDescent="0.2">
      <c r="A49" s="1" t="s">
        <v>116</v>
      </c>
      <c r="B49" s="35">
        <v>135477</v>
      </c>
      <c r="C49" s="35">
        <v>213413</v>
      </c>
      <c r="D49" s="1">
        <f t="shared" si="0"/>
        <v>-77936</v>
      </c>
      <c r="E49" s="35">
        <v>113.12211799289599</v>
      </c>
      <c r="F49" s="1">
        <f t="shared" si="1"/>
        <v>2.4324685901024721E-5</v>
      </c>
      <c r="G49" s="1">
        <v>1.1599999999999999</v>
      </c>
      <c r="H49" s="1">
        <v>112387.596779952</v>
      </c>
    </row>
    <row r="50" spans="1:8" x14ac:dyDescent="0.2">
      <c r="A50" s="1" t="s">
        <v>117</v>
      </c>
      <c r="B50" s="35">
        <v>136014</v>
      </c>
      <c r="C50" s="35">
        <v>205700</v>
      </c>
      <c r="D50" s="1">
        <f t="shared" si="0"/>
        <v>-69686</v>
      </c>
      <c r="E50" s="35">
        <v>113.055621160668</v>
      </c>
      <c r="F50" s="1">
        <f t="shared" si="1"/>
        <v>-5.8783227725786992E-4</v>
      </c>
      <c r="G50" s="1">
        <v>1.3</v>
      </c>
      <c r="H50" s="1">
        <v>112251.905534783</v>
      </c>
    </row>
    <row r="51" spans="1:8" x14ac:dyDescent="0.2">
      <c r="A51" s="1" t="s">
        <v>118</v>
      </c>
      <c r="B51" s="35">
        <v>125219</v>
      </c>
      <c r="C51" s="35">
        <v>209366</v>
      </c>
      <c r="D51" s="1">
        <f t="shared" si="0"/>
        <v>-84147</v>
      </c>
      <c r="E51" s="35">
        <v>113.671519406757</v>
      </c>
      <c r="F51" s="1">
        <f t="shared" si="1"/>
        <v>5.4477454527778382E-3</v>
      </c>
      <c r="G51" s="1">
        <v>1.41</v>
      </c>
      <c r="H51" s="1">
        <v>115173.42338350799</v>
      </c>
    </row>
    <row r="52" spans="1:8" x14ac:dyDescent="0.2">
      <c r="A52" s="1" t="s">
        <v>119</v>
      </c>
      <c r="B52" s="35">
        <v>128057</v>
      </c>
      <c r="C52" s="35">
        <v>192768</v>
      </c>
      <c r="D52" s="1">
        <f t="shared" si="0"/>
        <v>-64711</v>
      </c>
      <c r="E52" s="35">
        <v>114.18698450623801</v>
      </c>
      <c r="F52" s="1">
        <f t="shared" si="1"/>
        <v>4.5346899748607093E-3</v>
      </c>
      <c r="G52" s="1">
        <v>1.42</v>
      </c>
      <c r="H52" s="1">
        <v>114684.036338071</v>
      </c>
    </row>
    <row r="53" spans="1:8" x14ac:dyDescent="0.2">
      <c r="A53" s="1" t="s">
        <v>120</v>
      </c>
      <c r="B53" s="35">
        <v>149164</v>
      </c>
      <c r="C53" s="35">
        <v>213836</v>
      </c>
      <c r="D53" s="1">
        <f t="shared" si="0"/>
        <v>-64672</v>
      </c>
      <c r="E53" s="35">
        <v>114.44517565482199</v>
      </c>
      <c r="F53" s="1">
        <f t="shared" si="1"/>
        <v>2.2611259041514027E-3</v>
      </c>
      <c r="G53" s="1">
        <v>1.51</v>
      </c>
      <c r="H53" s="1">
        <v>115331.27223717399</v>
      </c>
    </row>
    <row r="54" spans="1:8" x14ac:dyDescent="0.2">
      <c r="A54" s="1" t="s">
        <v>121</v>
      </c>
      <c r="B54" s="35">
        <v>137648</v>
      </c>
      <c r="C54" s="35">
        <v>211011</v>
      </c>
      <c r="D54" s="1">
        <f t="shared" si="0"/>
        <v>-73363</v>
      </c>
      <c r="E54" s="35">
        <v>114.90010570703301</v>
      </c>
      <c r="F54" s="1">
        <f t="shared" si="1"/>
        <v>3.9750915633449306E-3</v>
      </c>
      <c r="G54" s="1">
        <v>1.69</v>
      </c>
      <c r="H54" s="1">
        <v>113499.030118572</v>
      </c>
    </row>
    <row r="55" spans="1:8" x14ac:dyDescent="0.2">
      <c r="A55" s="1" t="s">
        <v>122</v>
      </c>
      <c r="B55" s="35">
        <v>144593</v>
      </c>
      <c r="C55" s="35">
        <v>222739</v>
      </c>
      <c r="D55" s="1">
        <f t="shared" si="0"/>
        <v>-78146</v>
      </c>
      <c r="E55" s="35">
        <v>115.377965701392</v>
      </c>
      <c r="F55" s="1">
        <f t="shared" si="1"/>
        <v>4.158916925432769E-3</v>
      </c>
      <c r="G55" s="1">
        <v>1.7</v>
      </c>
      <c r="H55" s="1">
        <v>111803.22911422</v>
      </c>
    </row>
    <row r="56" spans="1:8" x14ac:dyDescent="0.2">
      <c r="A56" s="1" t="s">
        <v>123</v>
      </c>
      <c r="B56" s="35">
        <v>145134</v>
      </c>
      <c r="C56" s="35">
        <v>218583</v>
      </c>
      <c r="D56" s="1">
        <f t="shared" si="0"/>
        <v>-73449</v>
      </c>
      <c r="E56" s="35">
        <v>115.561863837418</v>
      </c>
      <c r="F56" s="1">
        <f t="shared" si="1"/>
        <v>1.5938757015524626E-3</v>
      </c>
      <c r="G56" s="1">
        <v>1.82</v>
      </c>
      <c r="H56" s="1">
        <v>114057.674980992</v>
      </c>
    </row>
    <row r="57" spans="1:8" x14ac:dyDescent="0.2">
      <c r="A57" s="1" t="s">
        <v>124</v>
      </c>
      <c r="B57" s="35">
        <v>133429</v>
      </c>
      <c r="C57" s="35">
        <v>222989</v>
      </c>
      <c r="D57" s="1">
        <f t="shared" si="0"/>
        <v>-89560</v>
      </c>
      <c r="E57" s="35">
        <v>115.56966001774801</v>
      </c>
      <c r="F57" s="1">
        <f t="shared" si="1"/>
        <v>6.7463262283243275E-5</v>
      </c>
      <c r="G57" s="1">
        <v>1.91</v>
      </c>
      <c r="H57" s="1">
        <v>113653.31805214399</v>
      </c>
    </row>
    <row r="58" spans="1:8" x14ac:dyDescent="0.2">
      <c r="A58" s="1" t="s">
        <v>125</v>
      </c>
      <c r="B58" s="35">
        <v>139760</v>
      </c>
      <c r="C58" s="35">
        <v>228575</v>
      </c>
      <c r="D58" s="1">
        <f t="shared" si="0"/>
        <v>-88815</v>
      </c>
      <c r="E58" s="35">
        <v>115.633863855762</v>
      </c>
      <c r="F58" s="1">
        <f t="shared" si="1"/>
        <v>5.5554232835966922E-4</v>
      </c>
      <c r="G58" s="1">
        <v>1.91</v>
      </c>
      <c r="H58" s="1">
        <v>113488.280448559</v>
      </c>
    </row>
    <row r="59" spans="1:8" x14ac:dyDescent="0.2">
      <c r="A59" s="1" t="s">
        <v>126</v>
      </c>
      <c r="B59" s="35">
        <v>139262</v>
      </c>
      <c r="C59" s="35">
        <v>217993</v>
      </c>
      <c r="D59" s="1">
        <f t="shared" si="0"/>
        <v>-78731</v>
      </c>
      <c r="E59" s="35">
        <v>115.768233316747</v>
      </c>
      <c r="F59" s="1">
        <f t="shared" si="1"/>
        <v>1.162025175882795E-3</v>
      </c>
      <c r="G59" s="1">
        <v>1.95</v>
      </c>
      <c r="H59" s="1">
        <v>112687.595620951</v>
      </c>
    </row>
    <row r="60" spans="1:8" x14ac:dyDescent="0.2">
      <c r="A60" s="1" t="s">
        <v>127</v>
      </c>
      <c r="B60" s="35">
        <v>146983</v>
      </c>
      <c r="C60" s="35">
        <v>242981</v>
      </c>
      <c r="D60" s="1">
        <f t="shared" si="0"/>
        <v>-95998</v>
      </c>
      <c r="E60" s="35">
        <v>115.97276840070499</v>
      </c>
      <c r="F60" s="1">
        <f t="shared" si="1"/>
        <v>1.7667634557260233E-3</v>
      </c>
      <c r="G60" s="1">
        <v>2.19</v>
      </c>
      <c r="H60" s="1">
        <v>112530.79119593601</v>
      </c>
    </row>
    <row r="61" spans="1:8" x14ac:dyDescent="0.2">
      <c r="A61" s="1" t="s">
        <v>128</v>
      </c>
      <c r="B61" s="35">
        <v>140373</v>
      </c>
      <c r="C61" s="35">
        <v>220170</v>
      </c>
      <c r="D61" s="1">
        <f t="shared" si="0"/>
        <v>-79797</v>
      </c>
      <c r="E61" s="35">
        <v>115.58433518072199</v>
      </c>
      <c r="F61" s="1">
        <f t="shared" si="1"/>
        <v>-3.3493485181012423E-3</v>
      </c>
      <c r="G61" s="1">
        <v>2.2000000000000002</v>
      </c>
      <c r="H61" s="1">
        <v>112460.579700256</v>
      </c>
    </row>
    <row r="62" spans="1:8" x14ac:dyDescent="0.2">
      <c r="A62" s="1" t="s">
        <v>129</v>
      </c>
      <c r="B62" s="35">
        <v>134360</v>
      </c>
      <c r="C62" s="35">
        <v>213212</v>
      </c>
      <c r="D62" s="1">
        <f t="shared" si="0"/>
        <v>-78852</v>
      </c>
      <c r="E62" s="35">
        <v>115.215163112144</v>
      </c>
      <c r="F62" s="1">
        <f t="shared" si="1"/>
        <v>-3.1939628151234872E-3</v>
      </c>
      <c r="G62" s="1">
        <v>2.27</v>
      </c>
      <c r="H62" s="1">
        <v>114756.990011769</v>
      </c>
    </row>
    <row r="63" spans="1:8" x14ac:dyDescent="0.2">
      <c r="A63" s="1" t="s">
        <v>130</v>
      </c>
      <c r="B63" s="35">
        <v>129608</v>
      </c>
      <c r="C63" s="35">
        <v>210819</v>
      </c>
      <c r="D63" s="1">
        <f t="shared" si="0"/>
        <v>-81211</v>
      </c>
      <c r="E63" s="35">
        <v>115.434831957919</v>
      </c>
      <c r="F63" s="1">
        <f t="shared" si="1"/>
        <v>1.9065966652426717E-3</v>
      </c>
      <c r="G63" s="1">
        <v>2.4</v>
      </c>
      <c r="H63" s="1">
        <v>115316.347258895</v>
      </c>
    </row>
    <row r="64" spans="1:8" x14ac:dyDescent="0.2">
      <c r="A64" s="1" t="s">
        <v>131</v>
      </c>
      <c r="B64" s="35">
        <v>129919</v>
      </c>
      <c r="C64" s="35">
        <v>191041</v>
      </c>
      <c r="D64" s="1">
        <f t="shared" si="0"/>
        <v>-61122</v>
      </c>
      <c r="E64" s="35">
        <v>115.922781126823</v>
      </c>
      <c r="F64" s="1">
        <f t="shared" si="1"/>
        <v>4.2270531400944375E-3</v>
      </c>
      <c r="G64" s="1">
        <v>2.4</v>
      </c>
      <c r="H64" s="1">
        <v>114786.394373595</v>
      </c>
    </row>
    <row r="65" spans="1:8" x14ac:dyDescent="0.2">
      <c r="A65" s="1" t="s">
        <v>132</v>
      </c>
      <c r="B65" s="35">
        <v>148472</v>
      </c>
      <c r="C65" s="35">
        <v>213664</v>
      </c>
      <c r="D65" s="1">
        <f t="shared" si="0"/>
        <v>-65192</v>
      </c>
      <c r="E65" s="35">
        <v>116.57674307687699</v>
      </c>
      <c r="F65" s="1">
        <f t="shared" si="1"/>
        <v>5.6413583568060109E-3</v>
      </c>
      <c r="G65" s="1">
        <v>2.41</v>
      </c>
      <c r="H65" s="1">
        <v>114133.955979611</v>
      </c>
    </row>
    <row r="66" spans="1:8" x14ac:dyDescent="0.2">
      <c r="A66" s="1" t="s">
        <v>133</v>
      </c>
      <c r="B66" s="35">
        <v>134838</v>
      </c>
      <c r="C66" s="35">
        <v>214987</v>
      </c>
      <c r="D66" s="1">
        <f t="shared" si="0"/>
        <v>-80149</v>
      </c>
      <c r="E66" s="35">
        <v>117.194017119495</v>
      </c>
      <c r="F66" s="1">
        <f t="shared" si="1"/>
        <v>5.2950016128941188E-3</v>
      </c>
      <c r="G66" s="1">
        <v>2.42</v>
      </c>
      <c r="H66" s="1">
        <v>116222.740424492</v>
      </c>
    </row>
    <row r="67" spans="1:8" x14ac:dyDescent="0.2">
      <c r="A67" s="1" t="s">
        <v>134</v>
      </c>
      <c r="B67" s="35">
        <v>142237</v>
      </c>
      <c r="C67" s="35">
        <v>226663</v>
      </c>
      <c r="D67" s="1">
        <f t="shared" ref="D67:D129" si="2">B67-C67</f>
        <v>-84426</v>
      </c>
      <c r="E67" s="35">
        <v>117.443494890062</v>
      </c>
      <c r="F67" s="1">
        <f t="shared" si="1"/>
        <v>2.1287585893793662E-3</v>
      </c>
      <c r="G67" s="1">
        <v>2.39</v>
      </c>
      <c r="H67" s="1">
        <v>115926.38958204001</v>
      </c>
    </row>
    <row r="68" spans="1:8" x14ac:dyDescent="0.2">
      <c r="A68" s="1" t="s">
        <v>135</v>
      </c>
      <c r="B68" s="35">
        <v>137870</v>
      </c>
      <c r="C68" s="35">
        <v>212832</v>
      </c>
      <c r="D68" s="1">
        <f t="shared" si="2"/>
        <v>-74962</v>
      </c>
      <c r="E68" s="35">
        <v>117.46688343105301</v>
      </c>
      <c r="F68" s="1">
        <f t="shared" ref="F68:F129" si="3">(E68-E67)/E67</f>
        <v>1.9914718148417783E-4</v>
      </c>
      <c r="G68" s="1">
        <v>2.38</v>
      </c>
      <c r="H68" s="1">
        <v>117315.120113857</v>
      </c>
    </row>
    <row r="69" spans="1:8" x14ac:dyDescent="0.2">
      <c r="A69" s="1" t="s">
        <v>136</v>
      </c>
      <c r="B69" s="35">
        <v>133129</v>
      </c>
      <c r="C69" s="35">
        <v>224953</v>
      </c>
      <c r="D69" s="1">
        <f t="shared" si="2"/>
        <v>-91824</v>
      </c>
      <c r="E69" s="35">
        <v>117.663163735838</v>
      </c>
      <c r="F69" s="1">
        <f t="shared" si="3"/>
        <v>1.6709416224547926E-3</v>
      </c>
      <c r="G69" s="1">
        <v>2.4</v>
      </c>
      <c r="H69" s="1">
        <v>117803.924307551</v>
      </c>
    </row>
    <row r="70" spans="1:8" x14ac:dyDescent="0.2">
      <c r="A70" s="1" t="s">
        <v>137</v>
      </c>
      <c r="B70" s="35">
        <v>138310</v>
      </c>
      <c r="C70" s="35">
        <v>221702</v>
      </c>
      <c r="D70" s="1">
        <f t="shared" si="2"/>
        <v>-83392</v>
      </c>
      <c r="E70" s="35">
        <v>117.657201950879</v>
      </c>
      <c r="F70" s="1">
        <f t="shared" si="3"/>
        <v>-5.0668236087744281E-5</v>
      </c>
      <c r="G70" s="1">
        <v>2.13</v>
      </c>
      <c r="H70" s="1">
        <v>117484.904543756</v>
      </c>
    </row>
    <row r="71" spans="1:8" x14ac:dyDescent="0.2">
      <c r="A71" s="1" t="s">
        <v>138</v>
      </c>
      <c r="B71" s="35">
        <v>134162</v>
      </c>
      <c r="C71" s="35">
        <v>212439</v>
      </c>
      <c r="D71" s="1">
        <f t="shared" si="2"/>
        <v>-78277</v>
      </c>
      <c r="E71" s="35">
        <v>117.749380318313</v>
      </c>
      <c r="F71" s="1">
        <f t="shared" si="3"/>
        <v>7.8344857693017178E-4</v>
      </c>
      <c r="G71" s="1">
        <v>2.04</v>
      </c>
      <c r="H71" s="1">
        <v>116554.316206263</v>
      </c>
    </row>
    <row r="72" spans="1:8" x14ac:dyDescent="0.2">
      <c r="A72" s="1" t="s">
        <v>139</v>
      </c>
      <c r="B72" s="35">
        <v>142418</v>
      </c>
      <c r="C72" s="35">
        <v>225377</v>
      </c>
      <c r="D72" s="1">
        <f t="shared" si="2"/>
        <v>-82959</v>
      </c>
      <c r="E72" s="35">
        <v>118.018577839128</v>
      </c>
      <c r="F72" s="1">
        <f t="shared" si="3"/>
        <v>2.2861905522328372E-3</v>
      </c>
      <c r="G72" s="1">
        <v>1.83</v>
      </c>
      <c r="H72" s="1">
        <v>117770.862773341</v>
      </c>
    </row>
    <row r="73" spans="1:8" x14ac:dyDescent="0.2">
      <c r="A73" s="1" t="s">
        <v>140</v>
      </c>
      <c r="B73" s="35">
        <v>136940</v>
      </c>
      <c r="C73" s="35">
        <v>205005</v>
      </c>
      <c r="D73" s="1">
        <f t="shared" si="2"/>
        <v>-68065</v>
      </c>
      <c r="E73" s="35">
        <v>117.9552911988</v>
      </c>
      <c r="F73" s="1">
        <f t="shared" si="3"/>
        <v>-5.3624303467093458E-4</v>
      </c>
      <c r="G73" s="1">
        <v>1.55</v>
      </c>
      <c r="H73" s="1">
        <v>116897.332212607</v>
      </c>
    </row>
    <row r="74" spans="1:8" x14ac:dyDescent="0.2">
      <c r="A74" s="1" t="s">
        <v>141</v>
      </c>
      <c r="B74" s="35">
        <v>135258</v>
      </c>
      <c r="C74" s="35">
        <v>207963</v>
      </c>
      <c r="D74" s="1">
        <f t="shared" si="2"/>
        <v>-72705</v>
      </c>
      <c r="E74" s="35">
        <v>117.847979069549</v>
      </c>
      <c r="F74" s="1">
        <f t="shared" si="3"/>
        <v>-9.0976952504943042E-4</v>
      </c>
      <c r="G74" s="1">
        <v>1.55</v>
      </c>
      <c r="H74" s="1">
        <v>118437.718706204</v>
      </c>
    </row>
    <row r="75" spans="1:8" x14ac:dyDescent="0.2">
      <c r="A75" s="1" t="s">
        <v>142</v>
      </c>
      <c r="B75" s="35">
        <v>128767</v>
      </c>
      <c r="C75" s="35">
        <v>201862</v>
      </c>
      <c r="D75" s="1">
        <f t="shared" si="2"/>
        <v>-73095</v>
      </c>
      <c r="E75" s="35">
        <v>118.30520211597501</v>
      </c>
      <c r="F75" s="1">
        <f t="shared" si="3"/>
        <v>3.8797699378126343E-3</v>
      </c>
      <c r="G75" s="1">
        <v>1.55</v>
      </c>
      <c r="H75" s="1">
        <v>117826.023393531</v>
      </c>
    </row>
    <row r="76" spans="1:8" x14ac:dyDescent="0.2">
      <c r="A76" s="1" t="s">
        <v>143</v>
      </c>
      <c r="B76" s="35">
        <v>130553</v>
      </c>
      <c r="C76" s="35">
        <v>183512</v>
      </c>
      <c r="D76" s="1">
        <f t="shared" si="2"/>
        <v>-52959</v>
      </c>
      <c r="E76" s="35">
        <v>118.629431497944</v>
      </c>
      <c r="F76" s="1">
        <f t="shared" si="3"/>
        <v>2.7406181314930458E-3</v>
      </c>
      <c r="G76" s="1">
        <v>1.58</v>
      </c>
      <c r="H76" s="1">
        <v>117384.220984502</v>
      </c>
    </row>
    <row r="77" spans="1:8" x14ac:dyDescent="0.2">
      <c r="A77" s="1" t="s">
        <v>144</v>
      </c>
      <c r="B77" s="35">
        <v>132921</v>
      </c>
      <c r="C77" s="35">
        <v>199853</v>
      </c>
      <c r="D77" s="1">
        <f t="shared" si="2"/>
        <v>-66932</v>
      </c>
      <c r="E77" s="35">
        <v>118.371240349361</v>
      </c>
      <c r="F77" s="1">
        <f t="shared" si="3"/>
        <v>-2.1764510317784811E-3</v>
      </c>
      <c r="G77" s="1">
        <v>0.65</v>
      </c>
      <c r="H77" s="1">
        <v>116868.993438146</v>
      </c>
    </row>
    <row r="78" spans="1:8" x14ac:dyDescent="0.2">
      <c r="A78" s="1" t="s">
        <v>145</v>
      </c>
      <c r="B78" s="35">
        <v>289878</v>
      </c>
      <c r="C78" s="35">
        <v>524789</v>
      </c>
      <c r="D78" s="1">
        <f t="shared" si="2"/>
        <v>-234911</v>
      </c>
      <c r="E78" s="35">
        <v>117.57969874641999</v>
      </c>
      <c r="F78" s="1">
        <f t="shared" si="3"/>
        <v>-6.6869418670012486E-3</v>
      </c>
      <c r="G78" s="1">
        <v>0.05</v>
      </c>
      <c r="H78" s="1">
        <v>117760.50017</v>
      </c>
    </row>
    <row r="79" spans="1:8" x14ac:dyDescent="0.2">
      <c r="A79" s="1" t="s">
        <v>146</v>
      </c>
      <c r="B79" s="35">
        <v>94471</v>
      </c>
      <c r="C79" s="35">
        <v>170940</v>
      </c>
      <c r="D79" s="1">
        <f t="shared" si="2"/>
        <v>-76469</v>
      </c>
      <c r="E79" s="35">
        <v>117.581991740635</v>
      </c>
      <c r="F79" s="1">
        <f t="shared" si="3"/>
        <v>1.9501616686028515E-5</v>
      </c>
      <c r="G79" s="1">
        <v>0.05</v>
      </c>
      <c r="H79" s="1">
        <v>121197.56266089001</v>
      </c>
    </row>
    <row r="80" spans="1:8" x14ac:dyDescent="0.2">
      <c r="A80" s="1" t="s">
        <v>147</v>
      </c>
      <c r="B80" s="35">
        <v>90738</v>
      </c>
      <c r="C80" s="35">
        <v>169026</v>
      </c>
      <c r="D80" s="1">
        <f t="shared" si="2"/>
        <v>-78288</v>
      </c>
      <c r="E80" s="35">
        <v>118.225405917301</v>
      </c>
      <c r="F80" s="1">
        <f t="shared" si="3"/>
        <v>5.472046927774931E-3</v>
      </c>
      <c r="G80" s="1">
        <v>0.08</v>
      </c>
      <c r="H80" s="1">
        <v>122848.97137696399</v>
      </c>
    </row>
    <row r="81" spans="1:8" x14ac:dyDescent="0.2">
      <c r="A81" s="1" t="s">
        <v>148</v>
      </c>
      <c r="B81" s="35">
        <v>104669</v>
      </c>
      <c r="C81" s="35">
        <v>184823</v>
      </c>
      <c r="D81" s="1">
        <f t="shared" si="2"/>
        <v>-80154</v>
      </c>
      <c r="E81" s="35">
        <v>118.82341880851401</v>
      </c>
      <c r="F81" s="1">
        <f t="shared" si="3"/>
        <v>5.0582435016659141E-3</v>
      </c>
      <c r="G81" s="1">
        <v>0.09</v>
      </c>
      <c r="H81" s="1">
        <v>128930.385113282</v>
      </c>
    </row>
    <row r="82" spans="1:8" x14ac:dyDescent="0.2">
      <c r="A82" s="1" t="s">
        <v>149</v>
      </c>
      <c r="B82" s="35">
        <v>112711</v>
      </c>
      <c r="C82" s="35">
        <v>206368</v>
      </c>
      <c r="D82" s="1">
        <f t="shared" si="2"/>
        <v>-93657</v>
      </c>
      <c r="E82" s="35">
        <v>119.198094063209</v>
      </c>
      <c r="F82" s="1">
        <f t="shared" si="3"/>
        <v>3.1532105240869037E-3</v>
      </c>
      <c r="G82" s="1">
        <v>0.1</v>
      </c>
      <c r="H82" s="1">
        <v>129346.597406638</v>
      </c>
    </row>
    <row r="83" spans="1:8" x14ac:dyDescent="0.2">
      <c r="A83" s="1" t="s">
        <v>150</v>
      </c>
      <c r="B83" s="35">
        <v>117833</v>
      </c>
      <c r="C83" s="35">
        <v>209542</v>
      </c>
      <c r="D83" s="1">
        <f t="shared" si="2"/>
        <v>-91709</v>
      </c>
      <c r="E83" s="35">
        <v>119.36410684435801</v>
      </c>
      <c r="F83" s="1">
        <f t="shared" si="3"/>
        <v>1.3927469432604598E-3</v>
      </c>
      <c r="G83" s="1">
        <v>0.09</v>
      </c>
      <c r="H83" s="1">
        <v>127920.288921716</v>
      </c>
    </row>
    <row r="84" spans="1:8" x14ac:dyDescent="0.2">
      <c r="A84" s="1" t="s">
        <v>151</v>
      </c>
      <c r="B84" s="35">
        <v>121115</v>
      </c>
      <c r="C84" s="35">
        <v>212799</v>
      </c>
      <c r="D84" s="1">
        <f t="shared" si="2"/>
        <v>-91684</v>
      </c>
      <c r="E84" s="35">
        <v>119.413635519398</v>
      </c>
      <c r="F84" s="1">
        <f t="shared" si="3"/>
        <v>4.1493775934314895E-4</v>
      </c>
      <c r="G84" s="1">
        <v>0.09</v>
      </c>
      <c r="H84" s="1">
        <v>128436.769347265</v>
      </c>
    </row>
    <row r="85" spans="1:8" x14ac:dyDescent="0.2">
      <c r="A85" s="1" t="s">
        <v>152</v>
      </c>
      <c r="B85" s="35">
        <v>132348</v>
      </c>
      <c r="C85" s="35">
        <v>226403</v>
      </c>
      <c r="D85" s="1">
        <f t="shared" si="2"/>
        <v>-94055</v>
      </c>
      <c r="E85" s="35">
        <v>119.34071830336801</v>
      </c>
      <c r="F85" s="1">
        <f t="shared" si="3"/>
        <v>-6.1062721784521429E-4</v>
      </c>
      <c r="G85" s="1">
        <v>0.09</v>
      </c>
      <c r="H85" s="1">
        <v>130150.355453254</v>
      </c>
    </row>
    <row r="86" spans="1:8" x14ac:dyDescent="0.2">
      <c r="A86" s="1" t="s">
        <v>153</v>
      </c>
      <c r="B86" s="35">
        <v>126614</v>
      </c>
      <c r="C86" s="35">
        <v>219509</v>
      </c>
      <c r="D86" s="1">
        <f t="shared" si="2"/>
        <v>-92895</v>
      </c>
      <c r="E86" s="35">
        <v>119.453075019892</v>
      </c>
      <c r="F86" s="1">
        <f t="shared" si="3"/>
        <v>9.4147846704237227E-4</v>
      </c>
      <c r="G86" s="1">
        <v>0.09</v>
      </c>
      <c r="H86" s="1">
        <v>133849.09592396699</v>
      </c>
    </row>
    <row r="87" spans="1:8" x14ac:dyDescent="0.2">
      <c r="A87" s="1" t="s">
        <v>154</v>
      </c>
      <c r="B87" s="35">
        <v>132194</v>
      </c>
      <c r="C87" s="35">
        <v>222297</v>
      </c>
      <c r="D87" s="1">
        <f t="shared" si="2"/>
        <v>-90103</v>
      </c>
      <c r="E87" s="35">
        <v>119.961202537886</v>
      </c>
      <c r="F87" s="1">
        <f t="shared" si="3"/>
        <v>4.2537834870251907E-3</v>
      </c>
      <c r="G87" s="1">
        <v>0.09</v>
      </c>
      <c r="H87" s="1">
        <v>132967.97384161301</v>
      </c>
    </row>
    <row r="88" spans="1:8" x14ac:dyDescent="0.2">
      <c r="A88" s="1" t="s">
        <v>155</v>
      </c>
      <c r="B88" s="35">
        <v>127851</v>
      </c>
      <c r="C88" s="35">
        <v>211630</v>
      </c>
      <c r="D88" s="1">
        <f t="shared" si="2"/>
        <v>-83779</v>
      </c>
      <c r="E88" s="35">
        <v>120.617916080998</v>
      </c>
      <c r="F88" s="1">
        <f t="shared" si="3"/>
        <v>5.4743827939254157E-3</v>
      </c>
      <c r="G88" s="1">
        <v>0.08</v>
      </c>
      <c r="H88" s="1">
        <v>132366.10395563301</v>
      </c>
    </row>
    <row r="89" spans="1:8" x14ac:dyDescent="0.2">
      <c r="A89" s="1" t="s">
        <v>156</v>
      </c>
      <c r="B89" s="35">
        <v>123861</v>
      </c>
      <c r="C89" s="35">
        <v>199954</v>
      </c>
      <c r="D89" s="1">
        <f t="shared" si="2"/>
        <v>-76093</v>
      </c>
      <c r="E89" s="35">
        <v>121.47228572542301</v>
      </c>
      <c r="F89" s="1">
        <f t="shared" si="3"/>
        <v>7.0832731337463579E-3</v>
      </c>
      <c r="G89" s="1">
        <v>7.0000000000000007E-2</v>
      </c>
      <c r="H89" s="1">
        <v>128007.03204025301</v>
      </c>
    </row>
    <row r="90" spans="1:8" x14ac:dyDescent="0.2">
      <c r="A90" s="1" t="s">
        <v>157</v>
      </c>
      <c r="B90" s="35">
        <v>152434</v>
      </c>
      <c r="C90" s="35">
        <v>244840</v>
      </c>
      <c r="D90" s="1">
        <f t="shared" si="2"/>
        <v>-92406</v>
      </c>
      <c r="E90" s="35">
        <v>122.470655406536</v>
      </c>
      <c r="F90" s="1">
        <f t="shared" si="3"/>
        <v>8.2189091540576884E-3</v>
      </c>
      <c r="G90" s="1">
        <v>7.0000000000000007E-2</v>
      </c>
      <c r="H90" s="1">
        <v>130079.30268171499</v>
      </c>
    </row>
    <row r="91" spans="1:8" x14ac:dyDescent="0.2">
      <c r="A91" s="1" t="s">
        <v>158</v>
      </c>
      <c r="B91" s="35">
        <v>143701</v>
      </c>
      <c r="C91" s="35">
        <v>234594</v>
      </c>
      <c r="D91" s="1">
        <f t="shared" si="2"/>
        <v>-90893</v>
      </c>
      <c r="E91" s="35">
        <v>123.452515529303</v>
      </c>
      <c r="F91" s="1">
        <f t="shared" si="3"/>
        <v>8.0171051547634903E-3</v>
      </c>
      <c r="G91" s="1">
        <v>0.06</v>
      </c>
      <c r="H91" s="1">
        <v>130769.007800704</v>
      </c>
    </row>
    <row r="92" spans="1:8" x14ac:dyDescent="0.2">
      <c r="A92" s="1" t="s">
        <v>159</v>
      </c>
      <c r="B92" s="35">
        <v>145477</v>
      </c>
      <c r="C92" s="35">
        <v>238523</v>
      </c>
      <c r="D92" s="1">
        <f t="shared" si="2"/>
        <v>-93046</v>
      </c>
      <c r="E92" s="35">
        <v>124.599471235534</v>
      </c>
      <c r="F92" s="1">
        <f t="shared" si="3"/>
        <v>9.2906629023590294E-3</v>
      </c>
      <c r="G92" s="1">
        <v>0.08</v>
      </c>
      <c r="H92" s="1">
        <v>129143.844098008</v>
      </c>
    </row>
    <row r="93" spans="1:8" x14ac:dyDescent="0.2">
      <c r="A93" s="1" t="s">
        <v>160</v>
      </c>
      <c r="B93" s="35">
        <v>147741</v>
      </c>
      <c r="C93" s="35">
        <v>250893</v>
      </c>
      <c r="D93" s="1">
        <f t="shared" si="2"/>
        <v>-103152</v>
      </c>
      <c r="E93" s="35">
        <v>125.198859923276</v>
      </c>
      <c r="F93" s="1">
        <f t="shared" si="3"/>
        <v>4.8105235262914147E-3</v>
      </c>
      <c r="G93" s="1">
        <v>0.1</v>
      </c>
      <c r="H93" s="1">
        <v>129513.902616191</v>
      </c>
    </row>
    <row r="94" spans="1:8" x14ac:dyDescent="0.2">
      <c r="A94" s="1" t="s">
        <v>161</v>
      </c>
      <c r="B94" s="35">
        <v>143771</v>
      </c>
      <c r="C94" s="35">
        <v>246139</v>
      </c>
      <c r="D94" s="1">
        <f t="shared" si="2"/>
        <v>-102368</v>
      </c>
      <c r="E94" s="35">
        <v>125.457509670703</v>
      </c>
      <c r="F94" s="1">
        <f t="shared" si="3"/>
        <v>2.0659113636138969E-3</v>
      </c>
      <c r="G94" s="1">
        <v>0.09</v>
      </c>
      <c r="H94" s="1">
        <v>242176.260513541</v>
      </c>
    </row>
    <row r="95" spans="1:8" x14ac:dyDescent="0.2">
      <c r="A95" s="1" t="s">
        <v>162</v>
      </c>
      <c r="B95" s="35">
        <v>147906</v>
      </c>
      <c r="C95" s="35">
        <v>254805</v>
      </c>
      <c r="D95" s="1">
        <f t="shared" si="2"/>
        <v>-106899</v>
      </c>
      <c r="E95" s="35">
        <v>125.79824861101901</v>
      </c>
      <c r="F95" s="1">
        <f t="shared" si="3"/>
        <v>2.7159708590610643E-3</v>
      </c>
      <c r="G95" s="1">
        <v>1.6875</v>
      </c>
      <c r="H95" s="1">
        <v>239483.92394395199</v>
      </c>
    </row>
    <row r="96" spans="1:8" x14ac:dyDescent="0.2">
      <c r="A96" s="1" t="s">
        <v>163</v>
      </c>
      <c r="B96" s="35">
        <v>142079</v>
      </c>
      <c r="C96" s="35">
        <v>254268</v>
      </c>
      <c r="D96" s="1">
        <f t="shared" si="2"/>
        <v>-112189</v>
      </c>
      <c r="E96" s="35">
        <v>126.843395374113</v>
      </c>
      <c r="F96" s="1">
        <f t="shared" si="3"/>
        <v>8.3081185519974614E-3</v>
      </c>
      <c r="G96" s="1">
        <v>1.6822916666666701</v>
      </c>
      <c r="H96" s="1">
        <v>241388.71800409601</v>
      </c>
    </row>
    <row r="97" spans="1:8" x14ac:dyDescent="0.2">
      <c r="A97" s="1" t="s">
        <v>164</v>
      </c>
      <c r="B97" s="35">
        <v>163682</v>
      </c>
      <c r="C97" s="35">
        <v>261473</v>
      </c>
      <c r="D97" s="1">
        <f t="shared" si="2"/>
        <v>-97791</v>
      </c>
      <c r="E97" s="35">
        <v>127.466631201689</v>
      </c>
      <c r="F97" s="1">
        <f t="shared" si="3"/>
        <v>4.91342750434754E-3</v>
      </c>
      <c r="G97" s="1">
        <v>1.8295454545454499</v>
      </c>
      <c r="H97" s="1">
        <v>239184.77895245</v>
      </c>
    </row>
    <row r="98" spans="1:8" x14ac:dyDescent="0.2">
      <c r="A98" s="1" t="s">
        <v>165</v>
      </c>
      <c r="B98" s="35">
        <v>156286</v>
      </c>
      <c r="C98" s="35">
        <v>269783</v>
      </c>
      <c r="D98" s="1">
        <f t="shared" si="2"/>
        <v>-113497</v>
      </c>
      <c r="E98" s="35">
        <v>127.858274613573</v>
      </c>
      <c r="F98" s="1">
        <f t="shared" si="3"/>
        <v>3.072517161486064E-3</v>
      </c>
      <c r="G98" s="1">
        <v>1.95476973684211</v>
      </c>
      <c r="H98" s="1">
        <v>240197.337193282</v>
      </c>
    </row>
    <row r="99" spans="1:8" x14ac:dyDescent="0.2">
      <c r="A99" s="1" t="s">
        <v>166</v>
      </c>
      <c r="B99" s="35">
        <v>159510</v>
      </c>
      <c r="C99" s="35">
        <v>268413</v>
      </c>
      <c r="D99" s="1">
        <f t="shared" si="2"/>
        <v>-108903</v>
      </c>
      <c r="E99" s="35">
        <v>128.93414749914601</v>
      </c>
      <c r="F99" s="1">
        <f t="shared" si="3"/>
        <v>8.4145737835476346E-3</v>
      </c>
      <c r="G99" s="1">
        <v>1.95476973684211</v>
      </c>
      <c r="H99" s="1">
        <v>239330.78775489601</v>
      </c>
    </row>
    <row r="100" spans="1:8" x14ac:dyDescent="0.2">
      <c r="A100" s="1" t="s">
        <v>168</v>
      </c>
      <c r="B100" s="35">
        <v>147848</v>
      </c>
      <c r="C100" s="35">
        <v>257588</v>
      </c>
      <c r="D100" s="1">
        <f t="shared" si="2"/>
        <v>-109740</v>
      </c>
      <c r="E100" s="35">
        <v>130.11182932785499</v>
      </c>
      <c r="F100" s="1">
        <f t="shared" si="3"/>
        <v>9.133979256478849E-3</v>
      </c>
      <c r="G100" s="1">
        <v>1.99702380952381</v>
      </c>
      <c r="H100" s="1">
        <v>239754.72685066899</v>
      </c>
    </row>
    <row r="101" spans="1:8" x14ac:dyDescent="0.2">
      <c r="A101" s="1" t="s">
        <v>169</v>
      </c>
      <c r="B101" s="35">
        <v>150555</v>
      </c>
      <c r="C101" s="35">
        <v>244062</v>
      </c>
      <c r="D101" s="1">
        <f t="shared" si="2"/>
        <v>-93507</v>
      </c>
      <c r="E101" s="35">
        <v>131.849001744969</v>
      </c>
      <c r="F101" s="1">
        <f t="shared" si="3"/>
        <v>1.3351379548562751E-2</v>
      </c>
      <c r="G101" s="1">
        <v>1.8897037928160001</v>
      </c>
      <c r="H101" s="1">
        <v>237182.459292871</v>
      </c>
    </row>
    <row r="102" spans="1:8" x14ac:dyDescent="0.2">
      <c r="A102" s="1" t="s">
        <v>170</v>
      </c>
      <c r="B102" s="35">
        <v>179314</v>
      </c>
      <c r="C102" s="35">
        <v>307501</v>
      </c>
      <c r="D102" s="1">
        <f t="shared" si="2"/>
        <v>-128187</v>
      </c>
      <c r="E102" s="35">
        <v>132.58505288791201</v>
      </c>
      <c r="F102" s="1">
        <f t="shared" si="3"/>
        <v>5.5825310256556234E-3</v>
      </c>
      <c r="G102" s="1">
        <v>1.875</v>
      </c>
      <c r="H102" s="1">
        <v>229916.629436113</v>
      </c>
    </row>
    <row r="103" spans="1:8" x14ac:dyDescent="0.2">
      <c r="A103" s="1" t="s">
        <v>171</v>
      </c>
      <c r="B103" s="35">
        <v>173534</v>
      </c>
      <c r="C103" s="35">
        <v>284479</v>
      </c>
      <c r="D103" s="1">
        <f t="shared" si="2"/>
        <v>-110945</v>
      </c>
      <c r="E103" s="35">
        <v>134.04660740040899</v>
      </c>
      <c r="F103" s="1">
        <f t="shared" si="3"/>
        <v>1.1023523999591257E-2</v>
      </c>
      <c r="G103" s="1">
        <v>1.87538991827313</v>
      </c>
      <c r="H103" s="1">
        <v>231270.10470447299</v>
      </c>
    </row>
    <row r="104" spans="1:8" x14ac:dyDescent="0.2">
      <c r="A104" s="1" t="s">
        <v>172</v>
      </c>
      <c r="B104" s="35">
        <v>179048</v>
      </c>
      <c r="C104" s="35">
        <v>297226</v>
      </c>
      <c r="D104" s="1">
        <f t="shared" si="2"/>
        <v>-118178</v>
      </c>
      <c r="E104" s="35">
        <v>135.887881754874</v>
      </c>
      <c r="F104" s="1">
        <f t="shared" si="3"/>
        <v>1.3736075758821452E-2</v>
      </c>
      <c r="G104" s="1">
        <v>2.3710959817177701</v>
      </c>
      <c r="H104" s="1">
        <v>227534.17706142299</v>
      </c>
    </row>
    <row r="105" spans="1:8" x14ac:dyDescent="0.2">
      <c r="A105" s="1" t="s">
        <v>173</v>
      </c>
      <c r="B105" s="35">
        <v>182663</v>
      </c>
      <c r="C105" s="35">
        <v>298064</v>
      </c>
      <c r="D105" s="1">
        <f t="shared" si="2"/>
        <v>-115401</v>
      </c>
      <c r="E105" s="35">
        <v>135.87183079537101</v>
      </c>
      <c r="F105" s="1">
        <f t="shared" si="3"/>
        <v>-1.1811913833453382E-4</v>
      </c>
      <c r="G105" s="1">
        <v>3.05193338986287</v>
      </c>
      <c r="H105" s="1">
        <v>226993.14064182501</v>
      </c>
    </row>
    <row r="106" spans="1:8" x14ac:dyDescent="0.2">
      <c r="A106" s="1" t="s">
        <v>174</v>
      </c>
      <c r="B106" s="35">
        <v>175897</v>
      </c>
      <c r="C106" s="35">
        <v>282359</v>
      </c>
      <c r="D106" s="1">
        <f t="shared" si="2"/>
        <v>-106462</v>
      </c>
      <c r="E106" s="35">
        <v>135.82367791686099</v>
      </c>
      <c r="F106" s="1">
        <f t="shared" si="3"/>
        <v>-3.5439927634848888E-4</v>
      </c>
      <c r="G106" s="1">
        <v>3.2731758373205699</v>
      </c>
      <c r="H106" s="1">
        <v>223071.020668691</v>
      </c>
    </row>
    <row r="107" spans="1:8" x14ac:dyDescent="0.2">
      <c r="A107" s="1" t="s">
        <v>175</v>
      </c>
      <c r="B107" s="35">
        <v>181182</v>
      </c>
      <c r="C107" s="35">
        <v>295505</v>
      </c>
      <c r="D107" s="1">
        <f t="shared" si="2"/>
        <v>-114323</v>
      </c>
      <c r="E107" s="35">
        <v>136.115805379823</v>
      </c>
      <c r="F107" s="1">
        <f t="shared" si="3"/>
        <v>2.1507845129980093E-3</v>
      </c>
      <c r="G107" s="1">
        <v>3.9708802102545202</v>
      </c>
      <c r="H107" s="1">
        <v>219111.68861745601</v>
      </c>
    </row>
    <row r="108" spans="1:8" x14ac:dyDescent="0.2">
      <c r="A108" s="1" t="s">
        <v>176</v>
      </c>
      <c r="B108" s="35">
        <v>175980</v>
      </c>
      <c r="C108" s="35">
        <v>286297</v>
      </c>
      <c r="D108" s="1">
        <f t="shared" si="2"/>
        <v>-110317</v>
      </c>
      <c r="E108" s="35">
        <v>136.66795838674099</v>
      </c>
      <c r="F108" s="1">
        <f t="shared" si="3"/>
        <v>4.0564944341124854E-3</v>
      </c>
      <c r="G108" s="1">
        <v>4.2336059855593096</v>
      </c>
      <c r="H108" s="1">
        <v>221754.52668824501</v>
      </c>
    </row>
    <row r="109" spans="1:8" x14ac:dyDescent="0.2">
      <c r="A109" s="1" t="s">
        <v>177</v>
      </c>
      <c r="B109" s="35">
        <v>180101</v>
      </c>
      <c r="C109" s="35">
        <v>292254</v>
      </c>
      <c r="D109" s="1">
        <f t="shared" si="2"/>
        <v>-112153</v>
      </c>
      <c r="E109" s="35">
        <v>136.52992013501199</v>
      </c>
      <c r="F109" s="1">
        <f t="shared" si="3"/>
        <v>-1.0100264418846556E-3</v>
      </c>
      <c r="G109" s="1">
        <v>4.6040028848835597</v>
      </c>
      <c r="H109" s="1">
        <v>228625.630790953</v>
      </c>
    </row>
    <row r="110" spans="1:8" x14ac:dyDescent="0.2">
      <c r="A110" s="1" t="s">
        <v>178</v>
      </c>
      <c r="B110" s="35">
        <v>171280</v>
      </c>
      <c r="C110" s="35">
        <v>265099</v>
      </c>
      <c r="D110" s="1">
        <f t="shared" si="2"/>
        <v>-93819</v>
      </c>
      <c r="E110" s="35">
        <v>136.11076079255099</v>
      </c>
      <c r="F110" s="1">
        <f t="shared" si="3"/>
        <v>-3.0700914645412618E-3</v>
      </c>
      <c r="G110" s="1">
        <v>5.33</v>
      </c>
      <c r="H110" s="1">
        <v>232716.63702783</v>
      </c>
    </row>
    <row r="111" spans="1:8" x14ac:dyDescent="0.2">
      <c r="A111" s="1" t="s">
        <v>179</v>
      </c>
      <c r="B111" s="35">
        <v>167755</v>
      </c>
      <c r="C111" s="35">
        <v>261319</v>
      </c>
      <c r="D111" s="1">
        <f t="shared" si="2"/>
        <v>-93564</v>
      </c>
      <c r="E111" s="35">
        <v>137.19901584688299</v>
      </c>
      <c r="F111" s="1">
        <f t="shared" si="3"/>
        <v>7.9953638345363846E-3</v>
      </c>
      <c r="G111" s="1">
        <v>5.51586118799234</v>
      </c>
      <c r="H111" s="1">
        <v>236062.81196846499</v>
      </c>
    </row>
    <row r="112" spans="1:8" x14ac:dyDescent="0.2">
      <c r="A112" s="1" t="s">
        <v>180</v>
      </c>
      <c r="B112" s="35">
        <v>164603</v>
      </c>
      <c r="C112" s="35">
        <v>263533</v>
      </c>
      <c r="D112" s="1">
        <f t="shared" si="2"/>
        <v>-98930</v>
      </c>
      <c r="E112" s="35">
        <v>137.96487591461801</v>
      </c>
      <c r="F112" s="1">
        <f t="shared" si="3"/>
        <v>5.5821105057323114E-3</v>
      </c>
      <c r="G112" s="1">
        <v>5.8103284557907804</v>
      </c>
      <c r="H112" s="1">
        <v>232435.280009137</v>
      </c>
    </row>
    <row r="113" spans="1:8" x14ac:dyDescent="0.2">
      <c r="A113" s="1" t="s">
        <v>181</v>
      </c>
      <c r="B113" s="35">
        <v>158770</v>
      </c>
      <c r="C113" s="35">
        <v>237468</v>
      </c>
      <c r="D113" s="1">
        <f t="shared" si="2"/>
        <v>-78698</v>
      </c>
      <c r="E113" s="35">
        <v>138.421640362201</v>
      </c>
      <c r="F113" s="1">
        <f t="shared" si="3"/>
        <v>3.3107299561206771E-3</v>
      </c>
      <c r="G113" s="1">
        <v>6.3185152708661798</v>
      </c>
      <c r="H113" s="1">
        <v>235948.84245846901</v>
      </c>
    </row>
    <row r="114" spans="1:8" x14ac:dyDescent="0.2">
      <c r="A114" s="1" t="s">
        <v>182</v>
      </c>
      <c r="B114" s="35">
        <v>183433</v>
      </c>
      <c r="C114" s="35">
        <v>269118</v>
      </c>
      <c r="D114" s="1">
        <f t="shared" si="2"/>
        <v>-85685</v>
      </c>
      <c r="E114" s="35">
        <v>139.121920795394</v>
      </c>
      <c r="F114" s="1">
        <f t="shared" si="3"/>
        <v>5.0590386832623279E-3</v>
      </c>
      <c r="G114" s="1">
        <v>6.3617471332779196</v>
      </c>
      <c r="H114" s="1">
        <v>235645.28963070799</v>
      </c>
    </row>
    <row r="115" spans="1:8" x14ac:dyDescent="0.2">
      <c r="A115" s="1" t="s">
        <v>183</v>
      </c>
      <c r="B115" s="35">
        <v>162579</v>
      </c>
      <c r="C115" s="35">
        <v>257460</v>
      </c>
      <c r="D115" s="1">
        <f t="shared" si="2"/>
        <v>-94881</v>
      </c>
      <c r="E115" s="35">
        <v>139.472290311412</v>
      </c>
      <c r="F115" s="1">
        <f t="shared" si="3"/>
        <v>2.5184350102043121E-3</v>
      </c>
      <c r="G115" s="1">
        <v>6.4003478298652698</v>
      </c>
      <c r="H115" s="1">
        <v>231972.65920995301</v>
      </c>
    </row>
    <row r="116" spans="1:8" x14ac:dyDescent="0.2">
      <c r="A116" s="1" t="s">
        <v>184</v>
      </c>
      <c r="B116" s="35">
        <v>166969</v>
      </c>
      <c r="C116" s="35">
        <v>271231</v>
      </c>
      <c r="D116" s="1">
        <f t="shared" si="2"/>
        <v>-104262</v>
      </c>
      <c r="E116" s="35">
        <v>139.92263437519301</v>
      </c>
      <c r="F116" s="1">
        <f t="shared" si="3"/>
        <v>3.2289142364801968E-3</v>
      </c>
      <c r="G116" s="1">
        <v>6.32369029707408</v>
      </c>
      <c r="H116" s="1">
        <v>232967.286807664</v>
      </c>
    </row>
    <row r="117" spans="1:8" x14ac:dyDescent="0.2">
      <c r="A117" s="1" t="s">
        <v>185</v>
      </c>
      <c r="B117" s="35">
        <v>167128</v>
      </c>
      <c r="C117" s="35">
        <v>264762</v>
      </c>
      <c r="D117" s="1">
        <f t="shared" si="2"/>
        <v>-97634</v>
      </c>
      <c r="E117" s="35">
        <v>140.18953890179299</v>
      </c>
      <c r="F117" s="1">
        <f t="shared" si="3"/>
        <v>1.907515019223312E-3</v>
      </c>
      <c r="G117" s="1">
        <v>6.3133224360556</v>
      </c>
      <c r="H117" s="1">
        <v>233966.83467054801</v>
      </c>
    </row>
    <row r="118" spans="1:8" x14ac:dyDescent="0.2">
      <c r="A118" s="1" t="s">
        <v>186</v>
      </c>
      <c r="B118" s="35">
        <v>160080</v>
      </c>
      <c r="C118" s="35">
        <v>262660</v>
      </c>
      <c r="D118" s="1">
        <f t="shared" si="2"/>
        <v>-102580</v>
      </c>
      <c r="E118" s="35">
        <v>140.801768357138</v>
      </c>
      <c r="F118" s="1">
        <f t="shared" si="3"/>
        <v>4.3671550683528626E-3</v>
      </c>
      <c r="G118" s="1">
        <v>6.3177473933294896</v>
      </c>
      <c r="H118" s="1">
        <v>232761.56607149</v>
      </c>
    </row>
    <row r="119" spans="1:8" x14ac:dyDescent="0.2">
      <c r="A119" s="1" t="s">
        <v>187</v>
      </c>
      <c r="B119" s="35">
        <v>172531</v>
      </c>
      <c r="C119" s="35">
        <v>273042</v>
      </c>
      <c r="D119" s="1">
        <f t="shared" si="2"/>
        <v>-100511</v>
      </c>
      <c r="E119" s="35">
        <v>141.15167927431301</v>
      </c>
      <c r="F119" s="1">
        <f t="shared" si="3"/>
        <v>2.4851315523784778E-3</v>
      </c>
      <c r="G119" s="1">
        <v>6.2925575281228197</v>
      </c>
      <c r="H119" s="1">
        <v>229949.20561611</v>
      </c>
    </row>
    <row r="120" spans="1:8" x14ac:dyDescent="0.2">
      <c r="A120" s="1" t="s">
        <v>188</v>
      </c>
      <c r="B120" s="35">
        <v>171036</v>
      </c>
      <c r="C120" s="35">
        <v>268237</v>
      </c>
      <c r="D120" s="1">
        <f t="shared" si="2"/>
        <v>-97201</v>
      </c>
      <c r="E120" s="35">
        <v>141.09756461084501</v>
      </c>
      <c r="F120" s="1">
        <f t="shared" si="3"/>
        <v>-3.8337952297990725E-4</v>
      </c>
      <c r="G120" s="1">
        <v>6.2205200546291</v>
      </c>
      <c r="H120" s="1">
        <v>229672.54455380101</v>
      </c>
    </row>
    <row r="121" spans="1:8" x14ac:dyDescent="0.2">
      <c r="A121" s="1" t="s">
        <v>189</v>
      </c>
      <c r="B121" s="35">
        <v>177653</v>
      </c>
      <c r="C121" s="35">
        <v>283872</v>
      </c>
      <c r="D121" s="1">
        <f t="shared" si="2"/>
        <v>-106219</v>
      </c>
      <c r="E121" s="35">
        <v>140.81323332821199</v>
      </c>
      <c r="F121" s="1">
        <f t="shared" si="3"/>
        <v>-2.0151395484197102E-3</v>
      </c>
      <c r="G121" s="1">
        <v>6.40625</v>
      </c>
      <c r="H121" s="1">
        <v>232346.958218549</v>
      </c>
    </row>
    <row r="122" spans="1:8" x14ac:dyDescent="0.2">
      <c r="A122" s="1" t="s">
        <v>190</v>
      </c>
      <c r="B122" s="35">
        <v>165416</v>
      </c>
      <c r="C122" s="35">
        <v>262659</v>
      </c>
      <c r="D122" s="1">
        <f t="shared" si="2"/>
        <v>-97243</v>
      </c>
      <c r="E122" s="35">
        <v>140.67336068111101</v>
      </c>
      <c r="F122" s="1">
        <f t="shared" si="3"/>
        <v>-9.933203278911075E-4</v>
      </c>
      <c r="G122" s="1">
        <v>6.4095029835444999</v>
      </c>
      <c r="H122" s="1">
        <v>234110.801811752</v>
      </c>
    </row>
    <row r="123" spans="1:8" x14ac:dyDescent="0.2">
      <c r="A123" s="1" t="s">
        <v>191</v>
      </c>
      <c r="B123" s="35">
        <v>167861</v>
      </c>
      <c r="C123" s="35">
        <v>254196</v>
      </c>
      <c r="D123" s="1">
        <f t="shared" si="2"/>
        <v>-86335</v>
      </c>
      <c r="E123" s="35">
        <v>141.43967934768901</v>
      </c>
      <c r="F123" s="1">
        <f t="shared" si="3"/>
        <v>5.4475037979305179E-3</v>
      </c>
      <c r="G123" s="1">
        <v>6.4800728937637402</v>
      </c>
      <c r="H123" s="1">
        <v>232964.719172791</v>
      </c>
    </row>
    <row r="124" spans="1:8" x14ac:dyDescent="0.2">
      <c r="A124" s="1" t="s">
        <v>192</v>
      </c>
      <c r="B124" s="35">
        <v>160579</v>
      </c>
      <c r="C124" s="35">
        <v>261029</v>
      </c>
      <c r="D124" s="1">
        <f t="shared" si="2"/>
        <v>-100450</v>
      </c>
      <c r="E124" s="35">
        <v>142.31514453889</v>
      </c>
      <c r="F124" s="1">
        <f t="shared" si="3"/>
        <v>6.1896717755482661E-3</v>
      </c>
      <c r="G124" s="1">
        <v>6.4999457548858599</v>
      </c>
      <c r="H124" s="1">
        <v>232645.50193284001</v>
      </c>
    </row>
    <row r="125" spans="1:8" x14ac:dyDescent="0.2">
      <c r="A125" s="1" t="s">
        <v>193</v>
      </c>
      <c r="B125" s="35">
        <v>167171</v>
      </c>
      <c r="C125" s="35">
        <v>249571</v>
      </c>
      <c r="D125" s="1">
        <f t="shared" si="2"/>
        <v>-82400</v>
      </c>
      <c r="E125" s="35">
        <v>143.235093817858</v>
      </c>
      <c r="F125" s="1">
        <f t="shared" si="3"/>
        <v>6.4641699374209148E-3</v>
      </c>
      <c r="G125" s="1">
        <v>6.5</v>
      </c>
      <c r="H125" s="1">
        <v>232761.248705209</v>
      </c>
    </row>
    <row r="126" spans="1:8" x14ac:dyDescent="0.2">
      <c r="A126" s="1" t="s">
        <v>194</v>
      </c>
      <c r="B126" s="35">
        <v>179391</v>
      </c>
      <c r="C126" s="35">
        <v>266361</v>
      </c>
      <c r="D126" s="1">
        <f t="shared" si="2"/>
        <v>-86970</v>
      </c>
      <c r="E126" s="35">
        <v>143.79275001089201</v>
      </c>
      <c r="F126" s="1">
        <f t="shared" si="3"/>
        <v>3.8932930343393251E-3</v>
      </c>
      <c r="G126" s="1">
        <v>6.5148816815144803</v>
      </c>
      <c r="H126" s="1">
        <v>230561.25035137599</v>
      </c>
    </row>
    <row r="127" spans="1:8" x14ac:dyDescent="0.2">
      <c r="A127" s="1" t="s">
        <v>195</v>
      </c>
      <c r="B127" s="35">
        <v>171673</v>
      </c>
      <c r="C127" s="35">
        <v>278880</v>
      </c>
      <c r="D127" s="1">
        <f t="shared" si="2"/>
        <v>-107207</v>
      </c>
      <c r="E127" s="35">
        <v>144.03168000807099</v>
      </c>
      <c r="F127" s="1">
        <f t="shared" si="3"/>
        <v>1.6616275657909518E-3</v>
      </c>
      <c r="G127" s="1">
        <v>6.5179597631799497</v>
      </c>
      <c r="H127" s="1">
        <v>232014.55290855499</v>
      </c>
    </row>
    <row r="128" spans="1:8" x14ac:dyDescent="0.2">
      <c r="A128" s="1" t="s">
        <v>196</v>
      </c>
      <c r="B128" s="35">
        <v>175975</v>
      </c>
      <c r="C128" s="35">
        <v>289880</v>
      </c>
      <c r="D128" s="1">
        <f t="shared" si="2"/>
        <v>-113905</v>
      </c>
      <c r="E128" s="35">
        <v>144.08029148542499</v>
      </c>
      <c r="F128" s="1">
        <f t="shared" si="3"/>
        <v>3.3750545262873385E-4</v>
      </c>
      <c r="G128" s="1">
        <v>6.5258998956244696</v>
      </c>
      <c r="H128" s="1">
        <v>231079.09843231901</v>
      </c>
    </row>
    <row r="129" spans="1:8" x14ac:dyDescent="0.2">
      <c r="A129" s="1" t="s">
        <v>197</v>
      </c>
      <c r="B129" s="35">
        <v>181628</v>
      </c>
      <c r="C129" s="35">
        <v>292880</v>
      </c>
      <c r="D129" s="1">
        <f t="shared" si="2"/>
        <v>-111252</v>
      </c>
      <c r="E129" s="35">
        <v>144.24768006310299</v>
      </c>
      <c r="F129" s="1">
        <f t="shared" si="3"/>
        <v>1.1617728972663115E-3</v>
      </c>
      <c r="G129" s="1">
        <v>6.5258998956244696</v>
      </c>
      <c r="H129" s="1">
        <v>232233.04165702101</v>
      </c>
    </row>
    <row r="130" spans="1:8" x14ac:dyDescent="0.2">
      <c r="B130" s="35"/>
      <c r="C130" s="35"/>
      <c r="E130" s="1"/>
    </row>
    <row r="131" spans="1:8" x14ac:dyDescent="0.2">
      <c r="E131" s="1"/>
    </row>
    <row r="132" spans="1:8" x14ac:dyDescent="0.2">
      <c r="E132" s="1"/>
    </row>
    <row r="133" spans="1:8" x14ac:dyDescent="0.2">
      <c r="E133" s="1"/>
    </row>
    <row r="134" spans="1:8" x14ac:dyDescent="0.2">
      <c r="E134" s="1"/>
    </row>
    <row r="135" spans="1:8" x14ac:dyDescent="0.2">
      <c r="E135" s="1"/>
    </row>
    <row r="136" spans="1:8" x14ac:dyDescent="0.2">
      <c r="E136" s="1"/>
    </row>
    <row r="137" spans="1:8" x14ac:dyDescent="0.2">
      <c r="E137" s="1"/>
    </row>
    <row r="138" spans="1:8" x14ac:dyDescent="0.2">
      <c r="E138" s="1"/>
    </row>
    <row r="139" spans="1:8" x14ac:dyDescent="0.2">
      <c r="E139" s="1"/>
    </row>
    <row r="140" spans="1:8" x14ac:dyDescent="0.2">
      <c r="E140" s="1"/>
    </row>
    <row r="141" spans="1:8" x14ac:dyDescent="0.2">
      <c r="E141" s="1"/>
    </row>
    <row r="142" spans="1:8" x14ac:dyDescent="0.2">
      <c r="E142" s="1"/>
    </row>
    <row r="143" spans="1:8" x14ac:dyDescent="0.2">
      <c r="E143" s="1"/>
    </row>
    <row r="144" spans="1:8" x14ac:dyDescent="0.2">
      <c r="E144" s="1"/>
    </row>
    <row r="145" spans="5:5" x14ac:dyDescent="0.2">
      <c r="E145" s="1"/>
    </row>
    <row r="146" spans="5:5" x14ac:dyDescent="0.2">
      <c r="E146" s="1"/>
    </row>
    <row r="147" spans="5:5" x14ac:dyDescent="0.2">
      <c r="E147" s="1"/>
    </row>
    <row r="148" spans="5:5" x14ac:dyDescent="0.2">
      <c r="E148" s="1"/>
    </row>
    <row r="149" spans="5:5" x14ac:dyDescent="0.2">
      <c r="E149" s="1"/>
    </row>
    <row r="150" spans="5:5" x14ac:dyDescent="0.2">
      <c r="E150" s="1"/>
    </row>
    <row r="151" spans="5:5" x14ac:dyDescent="0.2">
      <c r="E151" s="1"/>
    </row>
    <row r="152" spans="5:5" x14ac:dyDescent="0.2">
      <c r="E152" s="1"/>
    </row>
    <row r="153" spans="5:5" x14ac:dyDescent="0.2">
      <c r="E153" s="1"/>
    </row>
    <row r="154" spans="5:5" x14ac:dyDescent="0.2">
      <c r="E154" s="1"/>
    </row>
    <row r="155" spans="5:5" x14ac:dyDescent="0.2">
      <c r="E155" s="1"/>
    </row>
    <row r="156" spans="5:5" x14ac:dyDescent="0.2">
      <c r="E156" s="1"/>
    </row>
    <row r="157" spans="5:5" x14ac:dyDescent="0.2">
      <c r="E157" s="1"/>
    </row>
    <row r="158" spans="5:5" x14ac:dyDescent="0.2">
      <c r="E158" s="1"/>
    </row>
    <row r="159" spans="5:5" x14ac:dyDescent="0.2">
      <c r="E159" s="1"/>
    </row>
    <row r="160" spans="5:5" x14ac:dyDescent="0.2">
      <c r="E160" s="1"/>
    </row>
    <row r="161" spans="5:5" x14ac:dyDescent="0.2">
      <c r="E161" s="1"/>
    </row>
    <row r="162" spans="5:5" x14ac:dyDescent="0.2">
      <c r="E162" s="1"/>
    </row>
    <row r="163" spans="5:5" x14ac:dyDescent="0.2">
      <c r="E163" s="1"/>
    </row>
    <row r="164" spans="5:5" x14ac:dyDescent="0.2">
      <c r="E164" s="1"/>
    </row>
    <row r="165" spans="5:5" x14ac:dyDescent="0.2">
      <c r="E165" s="1"/>
    </row>
    <row r="166" spans="5:5" x14ac:dyDescent="0.2">
      <c r="E166" s="1"/>
    </row>
    <row r="167" spans="5:5" x14ac:dyDescent="0.2">
      <c r="E167" s="1"/>
    </row>
    <row r="168" spans="5:5" x14ac:dyDescent="0.2">
      <c r="E168" s="1"/>
    </row>
    <row r="169" spans="5:5" x14ac:dyDescent="0.2">
      <c r="E169" s="1"/>
    </row>
    <row r="170" spans="5:5" x14ac:dyDescent="0.2">
      <c r="E170" s="1"/>
    </row>
    <row r="171" spans="5:5" x14ac:dyDescent="0.2">
      <c r="E171" s="1"/>
    </row>
    <row r="172" spans="5:5" x14ac:dyDescent="0.2">
      <c r="E172" s="1"/>
    </row>
    <row r="173" spans="5:5" x14ac:dyDescent="0.2">
      <c r="E173" s="1"/>
    </row>
    <row r="174" spans="5:5" x14ac:dyDescent="0.2">
      <c r="E174" s="1"/>
    </row>
    <row r="175" spans="5:5" x14ac:dyDescent="0.2">
      <c r="E175" s="1"/>
    </row>
    <row r="176" spans="5:5" x14ac:dyDescent="0.2">
      <c r="E176" s="1"/>
    </row>
    <row r="177" spans="5:5" x14ac:dyDescent="0.2">
      <c r="E177" s="1"/>
    </row>
    <row r="178" spans="5:5" x14ac:dyDescent="0.2">
      <c r="E178" s="1"/>
    </row>
    <row r="179" spans="5:5" x14ac:dyDescent="0.2">
      <c r="E179" s="1"/>
    </row>
    <row r="180" spans="5:5" x14ac:dyDescent="0.2">
      <c r="E180" s="1"/>
    </row>
    <row r="181" spans="5:5" x14ac:dyDescent="0.2">
      <c r="E181" s="1"/>
    </row>
    <row r="182" spans="5:5" x14ac:dyDescent="0.2">
      <c r="E182" s="1"/>
    </row>
    <row r="183" spans="5:5" x14ac:dyDescent="0.2">
      <c r="E183" s="1"/>
    </row>
    <row r="184" spans="5:5" x14ac:dyDescent="0.2">
      <c r="E184" s="1"/>
    </row>
    <row r="185" spans="5:5" x14ac:dyDescent="0.2">
      <c r="E185" s="1"/>
    </row>
    <row r="186" spans="5:5" x14ac:dyDescent="0.2">
      <c r="E186" s="1"/>
    </row>
    <row r="187" spans="5:5" x14ac:dyDescent="0.2">
      <c r="E187" s="1"/>
    </row>
    <row r="188" spans="5:5" x14ac:dyDescent="0.2">
      <c r="E188" s="1"/>
    </row>
    <row r="189" spans="5:5" x14ac:dyDescent="0.2">
      <c r="E189" s="1"/>
    </row>
    <row r="190" spans="5:5" x14ac:dyDescent="0.2">
      <c r="E190" s="1"/>
    </row>
    <row r="191" spans="5:5" x14ac:dyDescent="0.2">
      <c r="E191" s="1"/>
    </row>
    <row r="192" spans="5:5" x14ac:dyDescent="0.2">
      <c r="E192" s="1"/>
    </row>
    <row r="193" spans="5:5" x14ac:dyDescent="0.2">
      <c r="E193" s="1"/>
    </row>
    <row r="194" spans="5:5" x14ac:dyDescent="0.2">
      <c r="E194" s="1"/>
    </row>
    <row r="195" spans="5:5" x14ac:dyDescent="0.2">
      <c r="E195" s="1"/>
    </row>
    <row r="196" spans="5:5" x14ac:dyDescent="0.2">
      <c r="E196" s="1"/>
    </row>
    <row r="197" spans="5:5" x14ac:dyDescent="0.2">
      <c r="E197" s="1"/>
    </row>
    <row r="198" spans="5:5" x14ac:dyDescent="0.2">
      <c r="E198" s="1"/>
    </row>
    <row r="199" spans="5:5" x14ac:dyDescent="0.2">
      <c r="E199" s="1"/>
    </row>
    <row r="200" spans="5:5" x14ac:dyDescent="0.2">
      <c r="E200" s="1"/>
    </row>
    <row r="201" spans="5:5" x14ac:dyDescent="0.2">
      <c r="E201" s="1"/>
    </row>
    <row r="202" spans="5:5" x14ac:dyDescent="0.2">
      <c r="E202" s="1"/>
    </row>
    <row r="203" spans="5:5" x14ac:dyDescent="0.2">
      <c r="E203" s="1"/>
    </row>
    <row r="204" spans="5:5" x14ac:dyDescent="0.2">
      <c r="E204" s="1"/>
    </row>
    <row r="205" spans="5:5" x14ac:dyDescent="0.2">
      <c r="E205" s="1"/>
    </row>
    <row r="206" spans="5:5" x14ac:dyDescent="0.2">
      <c r="E206" s="1"/>
    </row>
    <row r="207" spans="5:5" x14ac:dyDescent="0.2">
      <c r="E207" s="1"/>
    </row>
    <row r="208" spans="5:5" x14ac:dyDescent="0.2">
      <c r="E208" s="1"/>
    </row>
    <row r="209" spans="5:5" x14ac:dyDescent="0.2">
      <c r="E209" s="1"/>
    </row>
    <row r="210" spans="5:5" x14ac:dyDescent="0.2">
      <c r="E210" s="1"/>
    </row>
    <row r="211" spans="5:5" x14ac:dyDescent="0.2">
      <c r="E211" s="1"/>
    </row>
    <row r="212" spans="5:5" x14ac:dyDescent="0.2">
      <c r="E212" s="1"/>
    </row>
    <row r="213" spans="5:5" x14ac:dyDescent="0.2">
      <c r="E213" s="1"/>
    </row>
    <row r="214" spans="5:5" x14ac:dyDescent="0.2">
      <c r="E214" s="1"/>
    </row>
    <row r="215" spans="5:5" x14ac:dyDescent="0.2">
      <c r="E215" s="1"/>
    </row>
    <row r="216" spans="5:5" x14ac:dyDescent="0.2">
      <c r="E216" s="1"/>
    </row>
    <row r="217" spans="5:5" x14ac:dyDescent="0.2">
      <c r="E217" s="1"/>
    </row>
    <row r="218" spans="5:5" x14ac:dyDescent="0.2">
      <c r="E218" s="1"/>
    </row>
    <row r="219" spans="5:5" x14ac:dyDescent="0.2">
      <c r="E219" s="1"/>
    </row>
    <row r="220" spans="5:5" x14ac:dyDescent="0.2">
      <c r="E220" s="1"/>
    </row>
    <row r="221" spans="5:5" x14ac:dyDescent="0.2">
      <c r="E221" s="1"/>
    </row>
    <row r="222" spans="5:5" x14ac:dyDescent="0.2">
      <c r="E222" s="1"/>
    </row>
    <row r="223" spans="5:5" x14ac:dyDescent="0.2">
      <c r="E223" s="1"/>
    </row>
    <row r="224" spans="5:5" x14ac:dyDescent="0.2">
      <c r="E224" s="1"/>
    </row>
    <row r="225" spans="5:5" x14ac:dyDescent="0.2">
      <c r="E225" s="1"/>
    </row>
    <row r="226" spans="5:5" x14ac:dyDescent="0.2">
      <c r="E226" s="1"/>
    </row>
    <row r="227" spans="5:5" x14ac:dyDescent="0.2">
      <c r="E227" s="1"/>
    </row>
    <row r="228" spans="5:5" x14ac:dyDescent="0.2">
      <c r="E228" s="1"/>
    </row>
    <row r="229" spans="5:5" x14ac:dyDescent="0.2">
      <c r="E229" s="1"/>
    </row>
    <row r="230" spans="5:5" x14ac:dyDescent="0.2">
      <c r="E23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6CEB-C2B6-354D-ACE3-25CDA0E5F411}">
  <dimension ref="A1:H129"/>
  <sheetViews>
    <sheetView topLeftCell="B1" zoomScale="133" workbookViewId="0">
      <selection activeCell="F2" sqref="F2:F129"/>
    </sheetView>
  </sheetViews>
  <sheetFormatPr baseColWidth="10" defaultRowHeight="16" x14ac:dyDescent="0.2"/>
  <cols>
    <col min="2" max="3" width="14.33203125" customWidth="1"/>
    <col min="4" max="4" width="16.33203125" customWidth="1"/>
    <col min="5" max="5" width="12.1640625" customWidth="1"/>
    <col min="6" max="6" width="14.1640625" customWidth="1"/>
    <col min="7" max="7" width="13.6640625" customWidth="1"/>
    <col min="8" max="8" width="12.6640625" customWidth="1"/>
  </cols>
  <sheetData>
    <row r="1" spans="1:8" ht="85" x14ac:dyDescent="0.2">
      <c r="A1" s="1" t="s">
        <v>65</v>
      </c>
      <c r="B1" s="5" t="s">
        <v>66</v>
      </c>
      <c r="C1" s="5" t="s">
        <v>67</v>
      </c>
      <c r="D1" s="7" t="s">
        <v>209</v>
      </c>
      <c r="E1" s="7" t="s">
        <v>68</v>
      </c>
      <c r="F1" s="7" t="s">
        <v>208</v>
      </c>
      <c r="G1" s="7" t="s">
        <v>207</v>
      </c>
      <c r="H1" s="7" t="s">
        <v>69</v>
      </c>
    </row>
    <row r="2" spans="1:8" x14ac:dyDescent="0.2">
      <c r="A2" s="1" t="s">
        <v>199</v>
      </c>
      <c r="B2" s="1">
        <v>4205</v>
      </c>
      <c r="C2" s="1">
        <v>5928</v>
      </c>
      <c r="D2" s="1">
        <f>B2-C2</f>
        <v>-1723</v>
      </c>
      <c r="E2" s="1">
        <v>113.35</v>
      </c>
      <c r="F2" s="1">
        <v>1E-3</v>
      </c>
      <c r="G2" s="1">
        <v>2.0099999999999998</v>
      </c>
      <c r="H2" s="1">
        <v>71620.759999999995</v>
      </c>
    </row>
    <row r="3" spans="1:8" x14ac:dyDescent="0.2">
      <c r="A3" s="1" t="s">
        <v>70</v>
      </c>
      <c r="B3" s="1">
        <v>4357</v>
      </c>
      <c r="C3" s="1">
        <v>6281</v>
      </c>
      <c r="D3" s="1">
        <f>B3-C3</f>
        <v>-1924</v>
      </c>
      <c r="E3" s="1">
        <v>113.47002493186</v>
      </c>
      <c r="F3" s="1">
        <f>(E3-E2)/E2</f>
        <v>1.0588877976180108E-3</v>
      </c>
      <c r="G3" s="1">
        <v>2.0078999999999998</v>
      </c>
      <c r="H3" s="1">
        <v>71625.728507348103</v>
      </c>
    </row>
    <row r="4" spans="1:8" x14ac:dyDescent="0.2">
      <c r="A4" s="1" t="s">
        <v>71</v>
      </c>
      <c r="B4" s="1">
        <v>4651</v>
      </c>
      <c r="C4" s="1">
        <v>5092</v>
      </c>
      <c r="D4" s="1">
        <f t="shared" ref="D4:D67" si="0">B4-C4</f>
        <v>-441</v>
      </c>
      <c r="E4" s="1">
        <v>113.57788617228999</v>
      </c>
      <c r="F4" s="1">
        <f t="shared" ref="F4:F67" si="1">(E4-E3)/E3</f>
        <v>9.5057034220948945E-4</v>
      </c>
      <c r="G4" s="1">
        <v>2.0072999999999999</v>
      </c>
      <c r="H4" s="1">
        <v>72206.2342459965</v>
      </c>
    </row>
    <row r="5" spans="1:8" x14ac:dyDescent="0.2">
      <c r="A5" s="1" t="s">
        <v>72</v>
      </c>
      <c r="B5" s="1">
        <v>5268</v>
      </c>
      <c r="C5" s="1">
        <v>5736</v>
      </c>
      <c r="D5" s="1">
        <f t="shared" si="0"/>
        <v>-468</v>
      </c>
      <c r="E5" s="1">
        <v>113.47002493186</v>
      </c>
      <c r="F5" s="1">
        <f t="shared" si="1"/>
        <v>-9.4966761633844129E-4</v>
      </c>
      <c r="G5" s="1">
        <v>2.0224000000000002</v>
      </c>
      <c r="H5" s="1">
        <v>71639.039372695202</v>
      </c>
    </row>
    <row r="6" spans="1:8" x14ac:dyDescent="0.2">
      <c r="A6" s="1" t="s">
        <v>73</v>
      </c>
      <c r="B6" s="1">
        <v>4563</v>
      </c>
      <c r="C6" s="1">
        <v>5605</v>
      </c>
      <c r="D6" s="1">
        <f t="shared" si="0"/>
        <v>-1042</v>
      </c>
      <c r="E6" s="1">
        <v>113.79360865314899</v>
      </c>
      <c r="F6" s="1">
        <f t="shared" si="1"/>
        <v>2.8517110266197015E-3</v>
      </c>
      <c r="G6" s="1">
        <v>2.0162</v>
      </c>
      <c r="H6" s="1">
        <v>71827.879617039303</v>
      </c>
    </row>
    <row r="7" spans="1:8" x14ac:dyDescent="0.2">
      <c r="A7" s="1" t="s">
        <v>74</v>
      </c>
      <c r="B7" s="1">
        <v>5932</v>
      </c>
      <c r="C7" s="1">
        <v>5294</v>
      </c>
      <c r="D7" s="1">
        <f t="shared" si="0"/>
        <v>638</v>
      </c>
      <c r="E7" s="1">
        <v>114.22505361486699</v>
      </c>
      <c r="F7" s="1">
        <f t="shared" si="1"/>
        <v>3.791469194311916E-3</v>
      </c>
      <c r="G7" s="1">
        <v>2.0148000000000001</v>
      </c>
      <c r="H7" s="1">
        <v>72451.657376948293</v>
      </c>
    </row>
    <row r="8" spans="1:8" x14ac:dyDescent="0.2">
      <c r="A8" s="1" t="s">
        <v>75</v>
      </c>
      <c r="B8" s="1">
        <v>5462</v>
      </c>
      <c r="C8" s="1">
        <v>5057</v>
      </c>
      <c r="D8" s="1">
        <f t="shared" si="0"/>
        <v>405</v>
      </c>
      <c r="E8" s="1">
        <v>114.65649857658499</v>
      </c>
      <c r="F8" s="1">
        <f t="shared" si="1"/>
        <v>3.7771482530680593E-3</v>
      </c>
      <c r="G8" s="1">
        <v>2.1244000000000001</v>
      </c>
      <c r="H8" s="1">
        <v>72448.346529090501</v>
      </c>
    </row>
    <row r="9" spans="1:8" x14ac:dyDescent="0.2">
      <c r="A9" s="1" t="s">
        <v>76</v>
      </c>
      <c r="B9" s="1">
        <v>5425</v>
      </c>
      <c r="C9" s="1">
        <v>5855</v>
      </c>
      <c r="D9" s="1">
        <f t="shared" si="0"/>
        <v>-430</v>
      </c>
      <c r="E9" s="1">
        <v>115.30366601916199</v>
      </c>
      <c r="F9" s="1">
        <f t="shared" si="1"/>
        <v>5.6444026340532619E-3</v>
      </c>
      <c r="G9" s="1">
        <v>2.2766999999999999</v>
      </c>
      <c r="H9" s="1">
        <v>72625.196770155293</v>
      </c>
    </row>
    <row r="10" spans="1:8" x14ac:dyDescent="0.2">
      <c r="A10" s="1" t="s">
        <v>77</v>
      </c>
      <c r="B10" s="1">
        <v>5471</v>
      </c>
      <c r="C10" s="1">
        <v>6165</v>
      </c>
      <c r="D10" s="1">
        <f t="shared" si="0"/>
        <v>-694</v>
      </c>
      <c r="E10" s="1">
        <v>115.519388500022</v>
      </c>
      <c r="F10" s="1">
        <f t="shared" si="1"/>
        <v>1.8709073900925128E-3</v>
      </c>
      <c r="G10" s="1">
        <v>2.2818999999999998</v>
      </c>
      <c r="H10" s="1">
        <v>72822.103019310904</v>
      </c>
    </row>
    <row r="11" spans="1:8" x14ac:dyDescent="0.2">
      <c r="A11" s="1" t="s">
        <v>78</v>
      </c>
      <c r="B11" s="1">
        <v>5846</v>
      </c>
      <c r="C11" s="1">
        <v>6090</v>
      </c>
      <c r="D11" s="1">
        <f t="shared" si="0"/>
        <v>-244</v>
      </c>
      <c r="E11" s="1">
        <v>115.735110980881</v>
      </c>
      <c r="F11" s="1">
        <f t="shared" si="1"/>
        <v>1.8674136321190711E-3</v>
      </c>
      <c r="G11" s="1">
        <v>2.4422000000000001</v>
      </c>
      <c r="H11" s="1">
        <v>71987.383418401601</v>
      </c>
    </row>
    <row r="12" spans="1:8" x14ac:dyDescent="0.2">
      <c r="A12" s="1" t="s">
        <v>79</v>
      </c>
      <c r="B12" s="1">
        <v>5148</v>
      </c>
      <c r="C12" s="1">
        <v>5926</v>
      </c>
      <c r="D12" s="1">
        <f t="shared" si="0"/>
        <v>-778</v>
      </c>
      <c r="E12" s="1">
        <v>115.62724974045101</v>
      </c>
      <c r="F12" s="1">
        <f t="shared" si="1"/>
        <v>-9.319664492119052E-4</v>
      </c>
      <c r="G12" s="1">
        <v>2.5169999999999999</v>
      </c>
      <c r="H12" s="1">
        <v>72097.494301242201</v>
      </c>
    </row>
    <row r="13" spans="1:8" x14ac:dyDescent="0.2">
      <c r="A13" s="1" t="s">
        <v>80</v>
      </c>
      <c r="B13" s="1">
        <v>5175</v>
      </c>
      <c r="C13" s="1">
        <v>5850</v>
      </c>
      <c r="D13" s="1">
        <f t="shared" si="0"/>
        <v>-675</v>
      </c>
      <c r="E13" s="1">
        <v>115.41152725959201</v>
      </c>
      <c r="F13" s="1">
        <f t="shared" si="1"/>
        <v>-1.8656716417906102E-3</v>
      </c>
      <c r="G13" s="1">
        <v>2.5409999999999999</v>
      </c>
      <c r="H13" s="1">
        <v>71448.926421288401</v>
      </c>
    </row>
    <row r="14" spans="1:8" x14ac:dyDescent="0.2">
      <c r="A14" s="1" t="s">
        <v>81</v>
      </c>
      <c r="B14" s="1">
        <v>4802</v>
      </c>
      <c r="C14" s="1">
        <v>5754</v>
      </c>
      <c r="D14" s="1">
        <f t="shared" si="0"/>
        <v>-952</v>
      </c>
      <c r="E14" s="1">
        <v>115.08794353830299</v>
      </c>
      <c r="F14" s="1">
        <f t="shared" si="1"/>
        <v>-2.8037383177607878E-3</v>
      </c>
      <c r="G14" s="1">
        <v>2.56</v>
      </c>
      <c r="H14" s="1">
        <v>72056.986769773997</v>
      </c>
    </row>
    <row r="15" spans="1:8" x14ac:dyDescent="0.2">
      <c r="A15" s="1" t="s">
        <v>82</v>
      </c>
      <c r="B15" s="1">
        <v>4357</v>
      </c>
      <c r="C15" s="1">
        <v>5997</v>
      </c>
      <c r="D15" s="1">
        <f t="shared" si="0"/>
        <v>-1640</v>
      </c>
      <c r="E15" s="1">
        <v>115.19580477873301</v>
      </c>
      <c r="F15" s="1">
        <f t="shared" si="1"/>
        <v>9.3720712277836312E-4</v>
      </c>
      <c r="G15" s="1">
        <v>2.5430000000000001</v>
      </c>
      <c r="H15" s="1">
        <v>72670.741952255703</v>
      </c>
    </row>
    <row r="16" spans="1:8" x14ac:dyDescent="0.2">
      <c r="A16" s="1" t="s">
        <v>83</v>
      </c>
      <c r="B16" s="1">
        <v>4513</v>
      </c>
      <c r="C16" s="1">
        <v>6029</v>
      </c>
      <c r="D16" s="1">
        <f t="shared" si="0"/>
        <v>-1516</v>
      </c>
      <c r="E16" s="1">
        <v>115.30366601916199</v>
      </c>
      <c r="F16" s="1">
        <f t="shared" si="1"/>
        <v>9.3632958801032138E-4</v>
      </c>
      <c r="G16" s="1">
        <v>2.5230999999999999</v>
      </c>
      <c r="H16" s="1">
        <v>73204.608516950801</v>
      </c>
    </row>
    <row r="17" spans="1:8" x14ac:dyDescent="0.2">
      <c r="A17" s="1" t="s">
        <v>84</v>
      </c>
      <c r="B17" s="1">
        <v>5434</v>
      </c>
      <c r="C17" s="1">
        <v>6012</v>
      </c>
      <c r="D17" s="1">
        <f t="shared" si="0"/>
        <v>-578</v>
      </c>
      <c r="E17" s="1">
        <v>115.19580477873301</v>
      </c>
      <c r="F17" s="1">
        <f t="shared" si="1"/>
        <v>-9.354536950374442E-4</v>
      </c>
      <c r="G17" s="1">
        <v>2.5236999999999998</v>
      </c>
      <c r="H17" s="1">
        <v>73021.379363236105</v>
      </c>
    </row>
    <row r="18" spans="1:8" x14ac:dyDescent="0.2">
      <c r="A18" s="1" t="s">
        <v>85</v>
      </c>
      <c r="B18" s="1">
        <v>4434</v>
      </c>
      <c r="C18" s="1">
        <v>5338</v>
      </c>
      <c r="D18" s="1">
        <f t="shared" si="0"/>
        <v>-904</v>
      </c>
      <c r="E18" s="1">
        <v>115.41152725959201</v>
      </c>
      <c r="F18" s="1">
        <f t="shared" si="1"/>
        <v>1.8726591760295248E-3</v>
      </c>
      <c r="G18" s="1">
        <v>2.5301</v>
      </c>
      <c r="H18" s="1">
        <v>73444.953709613401</v>
      </c>
    </row>
    <row r="19" spans="1:8" x14ac:dyDescent="0.2">
      <c r="A19" s="1" t="s">
        <v>86</v>
      </c>
      <c r="B19" s="1">
        <v>4899</v>
      </c>
      <c r="C19" s="1">
        <v>5055</v>
      </c>
      <c r="D19" s="1">
        <f t="shared" si="0"/>
        <v>-156</v>
      </c>
      <c r="E19" s="1">
        <v>115.30366601916199</v>
      </c>
      <c r="F19" s="1">
        <f t="shared" si="1"/>
        <v>-9.3457943925655111E-4</v>
      </c>
      <c r="G19" s="1">
        <v>2.5204</v>
      </c>
      <c r="H19" s="1">
        <v>72924.210266552793</v>
      </c>
    </row>
    <row r="20" spans="1:8" x14ac:dyDescent="0.2">
      <c r="A20" s="1" t="s">
        <v>87</v>
      </c>
      <c r="B20" s="1">
        <v>5364</v>
      </c>
      <c r="C20" s="1">
        <v>6189</v>
      </c>
      <c r="D20" s="1">
        <f t="shared" si="0"/>
        <v>-825</v>
      </c>
      <c r="E20" s="1">
        <v>115.303766019162</v>
      </c>
      <c r="F20" s="1">
        <f>(E20-E19)/E19</f>
        <v>8.6727511323621692E-7</v>
      </c>
      <c r="G20" s="1">
        <v>2.516</v>
      </c>
      <c r="H20" s="1">
        <v>73266.485784955206</v>
      </c>
    </row>
    <row r="21" spans="1:8" x14ac:dyDescent="0.2">
      <c r="A21" s="1" t="s">
        <v>88</v>
      </c>
      <c r="B21" s="1">
        <v>5371</v>
      </c>
      <c r="C21" s="1">
        <v>7041</v>
      </c>
      <c r="D21" s="1">
        <f t="shared" si="0"/>
        <v>-1670</v>
      </c>
      <c r="E21" s="1">
        <v>115.519388500022</v>
      </c>
      <c r="F21" s="1">
        <f t="shared" si="1"/>
        <v>1.8700384931414306E-3</v>
      </c>
      <c r="G21" s="1">
        <v>2.5192999999999999</v>
      </c>
      <c r="H21" s="1">
        <v>73467.992769456105</v>
      </c>
    </row>
    <row r="22" spans="1:8" x14ac:dyDescent="0.2">
      <c r="A22" s="1" t="s">
        <v>89</v>
      </c>
      <c r="B22" s="1">
        <v>5128</v>
      </c>
      <c r="C22" s="1">
        <v>6390</v>
      </c>
      <c r="D22" s="1">
        <f t="shared" si="0"/>
        <v>-1262</v>
      </c>
      <c r="E22" s="1">
        <v>115.52938850002199</v>
      </c>
      <c r="F22" s="1">
        <f t="shared" si="1"/>
        <v>8.6565555183743036E-5</v>
      </c>
      <c r="G22" s="1">
        <v>2.5217999999999998</v>
      </c>
      <c r="H22" s="1">
        <v>73104.534312615404</v>
      </c>
    </row>
    <row r="23" spans="1:8" x14ac:dyDescent="0.2">
      <c r="A23" s="1" t="s">
        <v>90</v>
      </c>
      <c r="B23" s="1">
        <v>4960</v>
      </c>
      <c r="C23" s="1">
        <v>6599</v>
      </c>
      <c r="D23" s="1">
        <f t="shared" si="0"/>
        <v>-1639</v>
      </c>
      <c r="E23" s="1">
        <v>115.30366601916199</v>
      </c>
      <c r="F23" s="1">
        <f t="shared" si="1"/>
        <v>-1.953810054659443E-3</v>
      </c>
      <c r="G23" s="1">
        <v>2.5287999999999999</v>
      </c>
      <c r="H23" s="1">
        <v>73535.744950857494</v>
      </c>
    </row>
    <row r="24" spans="1:8" x14ac:dyDescent="0.2">
      <c r="A24" s="1" t="s">
        <v>91</v>
      </c>
      <c r="B24" s="1">
        <v>4590</v>
      </c>
      <c r="C24" s="1">
        <v>6951</v>
      </c>
      <c r="D24" s="1">
        <f t="shared" si="0"/>
        <v>-2361</v>
      </c>
      <c r="E24" s="1">
        <v>115.41152725959201</v>
      </c>
      <c r="F24" s="1">
        <f t="shared" si="1"/>
        <v>9.3545369504631796E-4</v>
      </c>
      <c r="G24" s="1">
        <v>2.5291000000000001</v>
      </c>
      <c r="H24" s="1">
        <v>73919.167324241804</v>
      </c>
    </row>
    <row r="25" spans="1:8" x14ac:dyDescent="0.2">
      <c r="A25" s="1" t="s">
        <v>92</v>
      </c>
      <c r="B25" s="1">
        <v>5118</v>
      </c>
      <c r="C25" s="1">
        <v>6435</v>
      </c>
      <c r="D25" s="1">
        <f t="shared" si="0"/>
        <v>-1317</v>
      </c>
      <c r="E25" s="1">
        <v>115.735110980881</v>
      </c>
      <c r="F25" s="1">
        <f t="shared" si="1"/>
        <v>2.8037383177606646E-3</v>
      </c>
      <c r="G25" s="1">
        <v>2.5217999999999998</v>
      </c>
      <c r="H25" s="1">
        <v>73472.533511704707</v>
      </c>
    </row>
    <row r="26" spans="1:8" x14ac:dyDescent="0.2">
      <c r="A26" s="1" t="s">
        <v>93</v>
      </c>
      <c r="B26" s="1">
        <v>4660</v>
      </c>
      <c r="C26" s="1">
        <v>6715</v>
      </c>
      <c r="D26" s="1">
        <f t="shared" si="0"/>
        <v>-2055</v>
      </c>
      <c r="E26" s="1">
        <v>115.95083346174</v>
      </c>
      <c r="F26" s="1">
        <f t="shared" si="1"/>
        <v>1.8639328984152153E-3</v>
      </c>
      <c r="G26" s="1">
        <v>2.5337999999999998</v>
      </c>
      <c r="H26" s="1">
        <v>73963.945253147001</v>
      </c>
    </row>
    <row r="27" spans="1:8" x14ac:dyDescent="0.2">
      <c r="A27" s="1" t="s">
        <v>94</v>
      </c>
      <c r="B27" s="1">
        <v>4255.4897697590704</v>
      </c>
      <c r="C27" s="1">
        <v>7296.5054482005298</v>
      </c>
      <c r="D27" s="1">
        <f t="shared" si="0"/>
        <v>-3041.0156784414594</v>
      </c>
      <c r="E27" s="1">
        <v>116.05869470216901</v>
      </c>
      <c r="F27" s="1">
        <f t="shared" si="1"/>
        <v>9.3023255813502531E-4</v>
      </c>
      <c r="G27" s="1">
        <v>2.5295000000000001</v>
      </c>
      <c r="H27" s="1">
        <v>73651.584501678793</v>
      </c>
    </row>
    <row r="28" spans="1:8" x14ac:dyDescent="0.2">
      <c r="A28" s="1" t="s">
        <v>95</v>
      </c>
      <c r="B28" s="1">
        <v>4361.9015209604404</v>
      </c>
      <c r="C28" s="1">
        <v>6142.0848405565903</v>
      </c>
      <c r="D28" s="1">
        <f t="shared" si="0"/>
        <v>-1780.1833195961499</v>
      </c>
      <c r="E28" s="1">
        <v>115.84297222131001</v>
      </c>
      <c r="F28" s="1">
        <f t="shared" si="1"/>
        <v>-1.8587360594791225E-3</v>
      </c>
      <c r="G28" s="1">
        <v>2.5278999999999998</v>
      </c>
      <c r="H28" s="1">
        <v>74062.035478223799</v>
      </c>
    </row>
    <row r="29" spans="1:8" x14ac:dyDescent="0.2">
      <c r="A29" s="1" t="s">
        <v>96</v>
      </c>
      <c r="B29" s="1">
        <v>4730.0150937165899</v>
      </c>
      <c r="C29" s="1">
        <v>7136.38258342055</v>
      </c>
      <c r="D29" s="1">
        <f t="shared" si="0"/>
        <v>-2406.36748970396</v>
      </c>
      <c r="E29" s="1">
        <v>115.84297222131001</v>
      </c>
      <c r="F29" s="1">
        <f t="shared" si="1"/>
        <v>0</v>
      </c>
      <c r="G29" s="1">
        <v>2.5291999999999999</v>
      </c>
      <c r="H29" s="1">
        <v>75212.185678891896</v>
      </c>
    </row>
    <row r="30" spans="1:8" x14ac:dyDescent="0.2">
      <c r="A30" s="1" t="s">
        <v>97</v>
      </c>
      <c r="B30" s="1">
        <v>4284.9095912960702</v>
      </c>
      <c r="C30" s="1">
        <v>7285.8262815401604</v>
      </c>
      <c r="D30" s="1">
        <f t="shared" si="0"/>
        <v>-3000.9166902440902</v>
      </c>
      <c r="E30" s="1">
        <v>116.166555942599</v>
      </c>
      <c r="F30" s="1">
        <f t="shared" si="1"/>
        <v>2.7932960893891192E-3</v>
      </c>
      <c r="G30" s="1">
        <v>2.5295000000000001</v>
      </c>
      <c r="H30" s="1">
        <v>75583.428633273303</v>
      </c>
    </row>
    <row r="31" spans="1:8" x14ac:dyDescent="0.2">
      <c r="A31" s="1" t="s">
        <v>98</v>
      </c>
      <c r="B31" s="1">
        <v>4828.3325600703301</v>
      </c>
      <c r="C31" s="1">
        <v>7502.30452725142</v>
      </c>
      <c r="D31" s="1">
        <f t="shared" si="0"/>
        <v>-2673.9719671810899</v>
      </c>
      <c r="E31" s="1">
        <v>116.382278423458</v>
      </c>
      <c r="F31" s="1">
        <f t="shared" si="1"/>
        <v>1.8570102135557361E-3</v>
      </c>
      <c r="G31" s="1">
        <v>2.5295999999999998</v>
      </c>
      <c r="H31" s="1">
        <v>75254.952195435006</v>
      </c>
    </row>
    <row r="32" spans="1:8" x14ac:dyDescent="0.2">
      <c r="A32" s="1" t="s">
        <v>99</v>
      </c>
      <c r="B32" s="1">
        <v>4872.8646922671996</v>
      </c>
      <c r="C32" s="1">
        <v>7707.3540086361099</v>
      </c>
      <c r="D32" s="1">
        <f t="shared" si="0"/>
        <v>-2834.4893163689103</v>
      </c>
      <c r="E32" s="1">
        <v>116.813723385176</v>
      </c>
      <c r="F32" s="1">
        <f t="shared" si="1"/>
        <v>3.7071362372558454E-3</v>
      </c>
      <c r="G32" s="1">
        <v>2.5285000000000002</v>
      </c>
      <c r="H32" s="1">
        <v>76948.264214304596</v>
      </c>
    </row>
    <row r="33" spans="1:8" x14ac:dyDescent="0.2">
      <c r="A33" s="1" t="s">
        <v>100</v>
      </c>
      <c r="B33" s="1">
        <v>4786.9123487773604</v>
      </c>
      <c r="C33" s="1">
        <v>7586.8341475750203</v>
      </c>
      <c r="D33" s="1">
        <f t="shared" si="0"/>
        <v>-2799.9217987976599</v>
      </c>
      <c r="E33" s="1">
        <v>117.029445866035</v>
      </c>
      <c r="F33" s="1">
        <f t="shared" si="1"/>
        <v>1.846722068328283E-3</v>
      </c>
      <c r="G33" s="1">
        <v>2.5264000000000002</v>
      </c>
      <c r="H33" s="1">
        <v>77000.817033938598</v>
      </c>
    </row>
    <row r="34" spans="1:8" x14ac:dyDescent="0.2">
      <c r="A34" s="1" t="s">
        <v>101</v>
      </c>
      <c r="B34" s="1">
        <v>5036.0893455465002</v>
      </c>
      <c r="C34" s="1">
        <v>7592.3188302779399</v>
      </c>
      <c r="D34" s="1">
        <f t="shared" si="0"/>
        <v>-2556.2294847314397</v>
      </c>
      <c r="E34" s="1">
        <v>117.029445866035</v>
      </c>
      <c r="F34" s="1">
        <f t="shared" si="1"/>
        <v>0</v>
      </c>
      <c r="G34" s="1">
        <v>2.5263</v>
      </c>
      <c r="H34" s="1">
        <v>77530.664641904601</v>
      </c>
    </row>
    <row r="35" spans="1:8" x14ac:dyDescent="0.2">
      <c r="A35" s="1" t="s">
        <v>102</v>
      </c>
      <c r="B35" s="1">
        <v>5361.5289698870502</v>
      </c>
      <c r="C35" s="1">
        <v>7809.14683183118</v>
      </c>
      <c r="D35" s="1">
        <f t="shared" si="0"/>
        <v>-2447.6178619441298</v>
      </c>
      <c r="E35" s="1">
        <v>117.245168346894</v>
      </c>
      <c r="F35" s="1">
        <f t="shared" si="1"/>
        <v>1.8433179723497985E-3</v>
      </c>
      <c r="G35" s="1">
        <v>2.5192999999999999</v>
      </c>
      <c r="H35" s="1">
        <v>77832.143902898402</v>
      </c>
    </row>
    <row r="36" spans="1:8" x14ac:dyDescent="0.2">
      <c r="A36" s="1" t="s">
        <v>103</v>
      </c>
      <c r="B36" s="1">
        <v>5036.0509801812696</v>
      </c>
      <c r="C36" s="1">
        <v>7698.54927380957</v>
      </c>
      <c r="D36" s="1">
        <f t="shared" si="0"/>
        <v>-2662.4982936283004</v>
      </c>
      <c r="E36" s="1">
        <v>117.460890827753</v>
      </c>
      <c r="F36" s="1">
        <f t="shared" si="1"/>
        <v>1.8399264029434518E-3</v>
      </c>
      <c r="G36" s="1">
        <v>2.5013999999999998</v>
      </c>
      <c r="H36" s="1">
        <v>76972.294336677296</v>
      </c>
    </row>
    <row r="37" spans="1:8" x14ac:dyDescent="0.2">
      <c r="A37" s="1" t="s">
        <v>104</v>
      </c>
      <c r="B37" s="1">
        <v>4886.8884141999797</v>
      </c>
      <c r="C37" s="1">
        <v>7801.7902553148197</v>
      </c>
      <c r="D37" s="1">
        <f t="shared" si="0"/>
        <v>-2914.90184111484</v>
      </c>
      <c r="E37" s="1">
        <v>118.10805827033001</v>
      </c>
      <c r="F37" s="1">
        <f t="shared" si="1"/>
        <v>5.5096418732769508E-3</v>
      </c>
      <c r="G37" s="1">
        <v>2.5005999999999999</v>
      </c>
      <c r="H37" s="1">
        <v>74049.007325041806</v>
      </c>
    </row>
    <row r="38" spans="1:8" x14ac:dyDescent="0.2">
      <c r="A38" s="1" t="s">
        <v>105</v>
      </c>
      <c r="B38" s="1">
        <v>4965.0912565541703</v>
      </c>
      <c r="C38" s="1">
        <v>7876.0067127566499</v>
      </c>
      <c r="D38" s="1">
        <f t="shared" si="0"/>
        <v>-2910.9154562024796</v>
      </c>
      <c r="E38" s="1">
        <v>118.53950323204801</v>
      </c>
      <c r="F38" s="1">
        <f t="shared" si="1"/>
        <v>3.652968036528832E-3</v>
      </c>
      <c r="G38" s="1">
        <v>2.5228000000000002</v>
      </c>
      <c r="H38" s="1">
        <v>73432.698663632007</v>
      </c>
    </row>
    <row r="39" spans="1:8" x14ac:dyDescent="0.2">
      <c r="A39" s="1" t="s">
        <v>106</v>
      </c>
      <c r="B39" s="1">
        <v>5597.10070830725</v>
      </c>
      <c r="C39" s="1">
        <v>8419.6878392895105</v>
      </c>
      <c r="D39" s="1">
        <f t="shared" si="0"/>
        <v>-2822.5871309822605</v>
      </c>
      <c r="E39" s="1">
        <v>118.97094819376601</v>
      </c>
      <c r="F39" s="1">
        <f t="shared" si="1"/>
        <v>3.6396724294805046E-3</v>
      </c>
      <c r="G39" s="1">
        <v>2.5318999999999998</v>
      </c>
      <c r="H39" s="1">
        <v>73734.500913484706</v>
      </c>
    </row>
    <row r="40" spans="1:8" x14ac:dyDescent="0.2">
      <c r="A40" s="1" t="s">
        <v>107</v>
      </c>
      <c r="B40" s="1">
        <v>5156.2606332088399</v>
      </c>
      <c r="C40" s="1">
        <v>7215.9106830473102</v>
      </c>
      <c r="D40" s="1">
        <f t="shared" si="0"/>
        <v>-2059.6500498384703</v>
      </c>
      <c r="E40" s="1">
        <v>119.40239315548401</v>
      </c>
      <c r="F40" s="1">
        <f t="shared" si="1"/>
        <v>3.62647325475891E-3</v>
      </c>
      <c r="G40" s="1">
        <v>2.5348000000000002</v>
      </c>
      <c r="H40" s="1">
        <v>73576.995154059405</v>
      </c>
    </row>
    <row r="41" spans="1:8" x14ac:dyDescent="0.2">
      <c r="A41" s="1" t="s">
        <v>108</v>
      </c>
      <c r="B41" s="1">
        <v>6003.0224961926897</v>
      </c>
      <c r="C41" s="1">
        <v>8576.1612828182897</v>
      </c>
      <c r="D41" s="1">
        <f t="shared" si="0"/>
        <v>-2573.1387866256</v>
      </c>
      <c r="E41" s="1">
        <v>119.40239315548401</v>
      </c>
      <c r="F41" s="1">
        <f t="shared" si="1"/>
        <v>0</v>
      </c>
      <c r="G41" s="1">
        <v>2.5381999999999998</v>
      </c>
      <c r="H41" s="1">
        <v>73005.901148555102</v>
      </c>
    </row>
    <row r="42" spans="1:8" x14ac:dyDescent="0.2">
      <c r="A42" s="1" t="s">
        <v>109</v>
      </c>
      <c r="B42" s="1">
        <v>5587.1482248293896</v>
      </c>
      <c r="C42" s="1">
        <v>7590.7522429261599</v>
      </c>
      <c r="D42" s="1">
        <f t="shared" si="0"/>
        <v>-2003.6040180967702</v>
      </c>
      <c r="E42" s="1">
        <v>119.833838117203</v>
      </c>
      <c r="F42" s="1">
        <f t="shared" si="1"/>
        <v>3.6133694670355048E-3</v>
      </c>
      <c r="G42" s="1">
        <v>2.5920999999999998</v>
      </c>
      <c r="H42" s="1">
        <v>74084.181324647594</v>
      </c>
    </row>
    <row r="43" spans="1:8" x14ac:dyDescent="0.2">
      <c r="A43" s="1" t="s">
        <v>110</v>
      </c>
      <c r="B43" s="1">
        <v>5987.5069170509996</v>
      </c>
      <c r="C43" s="1">
        <v>9067.00992864611</v>
      </c>
      <c r="D43" s="1">
        <f t="shared" si="0"/>
        <v>-3079.5030115951104</v>
      </c>
      <c r="E43" s="1">
        <v>119.725976876773</v>
      </c>
      <c r="F43" s="1">
        <f t="shared" si="1"/>
        <v>-9.0009000900483722E-4</v>
      </c>
      <c r="G43" s="1">
        <v>2.5832000000000002</v>
      </c>
      <c r="H43" s="1">
        <v>74175.235751770597</v>
      </c>
    </row>
    <row r="44" spans="1:8" x14ac:dyDescent="0.2">
      <c r="A44" s="1" t="s">
        <v>111</v>
      </c>
      <c r="B44" s="1">
        <v>5704.0206539204501</v>
      </c>
      <c r="C44" s="1">
        <v>7742.8530735144004</v>
      </c>
      <c r="D44" s="1">
        <f t="shared" si="0"/>
        <v>-2038.8324195939504</v>
      </c>
      <c r="E44" s="1">
        <v>119.725976876773</v>
      </c>
      <c r="F44" s="1">
        <f t="shared" si="1"/>
        <v>0</v>
      </c>
      <c r="G44" s="1">
        <v>2.5754000000000001</v>
      </c>
      <c r="H44" s="1">
        <v>73485.940777119293</v>
      </c>
    </row>
    <row r="45" spans="1:8" x14ac:dyDescent="0.2">
      <c r="A45" s="1" t="s">
        <v>112</v>
      </c>
      <c r="B45" s="1">
        <v>5833.6010276452298</v>
      </c>
      <c r="C45" s="1">
        <v>7553.4294650564798</v>
      </c>
      <c r="D45" s="1">
        <f t="shared" si="0"/>
        <v>-1719.82843741125</v>
      </c>
      <c r="E45" s="1">
        <v>119.833838117203</v>
      </c>
      <c r="F45" s="1">
        <f t="shared" si="1"/>
        <v>9.0090090090484513E-4</v>
      </c>
      <c r="G45" s="1">
        <v>2.5863999999999998</v>
      </c>
      <c r="H45" s="1">
        <v>73061.907223418995</v>
      </c>
    </row>
    <row r="46" spans="1:8" x14ac:dyDescent="0.2">
      <c r="A46" s="1" t="s">
        <v>113</v>
      </c>
      <c r="B46" s="1">
        <v>5978.8640441645102</v>
      </c>
      <c r="C46" s="1">
        <v>9239.4818644120096</v>
      </c>
      <c r="D46" s="1">
        <f t="shared" si="0"/>
        <v>-3260.6178202474994</v>
      </c>
      <c r="E46" s="1">
        <v>120.049560598062</v>
      </c>
      <c r="F46" s="1">
        <f t="shared" si="1"/>
        <v>1.8001800180013731E-3</v>
      </c>
      <c r="G46" s="1">
        <v>2.5739999999999998</v>
      </c>
      <c r="H46" s="1">
        <v>73289.692712443299</v>
      </c>
    </row>
    <row r="47" spans="1:8" x14ac:dyDescent="0.2">
      <c r="A47" s="1" t="s">
        <v>114</v>
      </c>
      <c r="B47" s="1">
        <v>5985.6589959130297</v>
      </c>
      <c r="C47" s="1">
        <v>8184.8997966319903</v>
      </c>
      <c r="D47" s="1">
        <f t="shared" si="0"/>
        <v>-2199.2408007189606</v>
      </c>
      <c r="E47" s="1">
        <v>120.804589281068</v>
      </c>
      <c r="F47" s="1">
        <f t="shared" si="1"/>
        <v>6.2893081760949966E-3</v>
      </c>
      <c r="G47" s="1">
        <v>2.5855000000000001</v>
      </c>
      <c r="H47" s="1">
        <v>72897.328132601295</v>
      </c>
    </row>
    <row r="48" spans="1:8" x14ac:dyDescent="0.2">
      <c r="A48" s="1" t="s">
        <v>115</v>
      </c>
      <c r="B48" s="1">
        <v>5912.6117721299597</v>
      </c>
      <c r="C48" s="1">
        <v>9019.3851972896191</v>
      </c>
      <c r="D48" s="1">
        <f t="shared" si="0"/>
        <v>-3106.7734251596594</v>
      </c>
      <c r="E48" s="1">
        <v>121.128173002357</v>
      </c>
      <c r="F48" s="1">
        <f t="shared" si="1"/>
        <v>2.6785714285749267E-3</v>
      </c>
      <c r="G48" s="1">
        <v>2.6989000000000001</v>
      </c>
      <c r="H48" s="1">
        <v>72353.853101644505</v>
      </c>
    </row>
    <row r="49" spans="1:8" x14ac:dyDescent="0.2">
      <c r="A49" s="1" t="s">
        <v>116</v>
      </c>
      <c r="B49" s="1">
        <v>5582.8607311952701</v>
      </c>
      <c r="C49" s="1">
        <v>9394.9941563549801</v>
      </c>
      <c r="D49" s="1">
        <f t="shared" si="0"/>
        <v>-3812.13342515971</v>
      </c>
      <c r="E49" s="1">
        <v>121.667479204504</v>
      </c>
      <c r="F49" s="1">
        <f t="shared" si="1"/>
        <v>4.4523597506627034E-3</v>
      </c>
      <c r="G49" s="1">
        <v>2.7067999999999999</v>
      </c>
      <c r="H49" s="1">
        <v>72264.327001274607</v>
      </c>
    </row>
    <row r="50" spans="1:8" x14ac:dyDescent="0.2">
      <c r="A50" s="1" t="s">
        <v>117</v>
      </c>
      <c r="B50" s="1">
        <v>5384.0543080939897</v>
      </c>
      <c r="C50" s="1">
        <v>9896.1921671018208</v>
      </c>
      <c r="D50" s="1">
        <f t="shared" si="0"/>
        <v>-4512.1378590078311</v>
      </c>
      <c r="E50" s="1">
        <v>121.991062925793</v>
      </c>
      <c r="F50" s="1">
        <f t="shared" si="1"/>
        <v>2.659574468088584E-3</v>
      </c>
      <c r="G50" s="1">
        <v>3.0676999999999999</v>
      </c>
      <c r="H50" s="1">
        <v>73228.467060839801</v>
      </c>
    </row>
    <row r="51" spans="1:8" x14ac:dyDescent="0.2">
      <c r="A51" s="1" t="s">
        <v>118</v>
      </c>
      <c r="B51" s="1">
        <v>5656.2174148330896</v>
      </c>
      <c r="C51" s="1">
        <v>9378.1727228330401</v>
      </c>
      <c r="D51" s="1">
        <f t="shared" si="0"/>
        <v>-3721.9553079999505</v>
      </c>
      <c r="E51" s="1">
        <v>123.069675330088</v>
      </c>
      <c r="F51" s="1">
        <f t="shared" si="1"/>
        <v>8.8417329796619537E-3</v>
      </c>
      <c r="G51" s="1">
        <v>3.090245055</v>
      </c>
      <c r="H51" s="1">
        <v>72723.3041171355</v>
      </c>
    </row>
    <row r="52" spans="1:8" x14ac:dyDescent="0.2">
      <c r="A52" s="1" t="s">
        <v>119</v>
      </c>
      <c r="B52" s="1">
        <v>5225.6966218022199</v>
      </c>
      <c r="C52" s="1">
        <v>8178.6199585944796</v>
      </c>
      <c r="D52" s="1">
        <f t="shared" si="0"/>
        <v>-2952.9233367922598</v>
      </c>
      <c r="E52" s="1">
        <v>123.955979576293</v>
      </c>
      <c r="F52" s="1">
        <f t="shared" si="1"/>
        <v>7.2016460905403659E-3</v>
      </c>
      <c r="G52" s="1">
        <v>3.075747008</v>
      </c>
      <c r="H52" s="1">
        <v>72123.755488032897</v>
      </c>
    </row>
    <row r="53" spans="1:8" x14ac:dyDescent="0.2">
      <c r="A53" s="1" t="s">
        <v>120</v>
      </c>
      <c r="B53" s="1">
        <v>6024.4758736719205</v>
      </c>
      <c r="C53" s="1">
        <v>8830.3474713641499</v>
      </c>
      <c r="D53" s="1">
        <f t="shared" si="0"/>
        <v>-2805.8715976922294</v>
      </c>
      <c r="E53" s="1">
        <v>124.589054037867</v>
      </c>
      <c r="F53" s="1">
        <f t="shared" si="1"/>
        <v>5.1072522982592364E-3</v>
      </c>
      <c r="G53" s="1">
        <v>3.072619687</v>
      </c>
      <c r="H53" s="1">
        <v>72136.141824828403</v>
      </c>
    </row>
    <row r="54" spans="1:8" x14ac:dyDescent="0.2">
      <c r="A54" s="1" t="s">
        <v>121</v>
      </c>
      <c r="B54" s="1">
        <v>5481.9707247411598</v>
      </c>
      <c r="C54" s="1">
        <v>9698.6483322008608</v>
      </c>
      <c r="D54" s="1">
        <f t="shared" si="0"/>
        <v>-4216.677607459701</v>
      </c>
      <c r="E54" s="1">
        <v>125.095513607127</v>
      </c>
      <c r="F54" s="1">
        <f t="shared" si="1"/>
        <v>4.0650406504095567E-3</v>
      </c>
      <c r="G54" s="1">
        <v>3.1651066179999998</v>
      </c>
      <c r="H54" s="1">
        <v>71361.459026491197</v>
      </c>
    </row>
    <row r="55" spans="1:8" x14ac:dyDescent="0.2">
      <c r="A55" s="1" t="s">
        <v>122</v>
      </c>
      <c r="B55" s="1">
        <v>6091.8892683180502</v>
      </c>
      <c r="C55" s="1">
        <v>10529.246203098101</v>
      </c>
      <c r="D55" s="1">
        <f t="shared" si="0"/>
        <v>-4437.3569347800503</v>
      </c>
      <c r="E55" s="1">
        <v>125.348743391756</v>
      </c>
      <c r="F55" s="1">
        <f t="shared" si="1"/>
        <v>2.0242914979692137E-3</v>
      </c>
      <c r="G55" s="1">
        <v>3.2996589049999998</v>
      </c>
      <c r="H55" s="1">
        <v>71005.733286937306</v>
      </c>
    </row>
    <row r="56" spans="1:8" x14ac:dyDescent="0.2">
      <c r="A56" s="1" t="s">
        <v>123</v>
      </c>
      <c r="B56" s="1">
        <v>5916.4941140286001</v>
      </c>
      <c r="C56" s="1">
        <v>10008.854009058399</v>
      </c>
      <c r="D56" s="1">
        <f t="shared" si="0"/>
        <v>-4092.3598950297992</v>
      </c>
      <c r="E56" s="1">
        <v>125.855202961016</v>
      </c>
      <c r="F56" s="1">
        <f t="shared" si="1"/>
        <v>4.0404040404070883E-3</v>
      </c>
      <c r="G56" s="1">
        <v>3.5012748440000001</v>
      </c>
      <c r="H56" s="1">
        <v>69611.931461673201</v>
      </c>
    </row>
    <row r="57" spans="1:8" x14ac:dyDescent="0.2">
      <c r="A57" s="1" t="s">
        <v>124</v>
      </c>
      <c r="B57" s="1">
        <v>5966.5102541504903</v>
      </c>
      <c r="C57" s="1">
        <v>10556.8087082867</v>
      </c>
      <c r="D57" s="1">
        <f t="shared" si="0"/>
        <v>-4590.2984541362102</v>
      </c>
      <c r="E57" s="1">
        <v>126.868122099535</v>
      </c>
      <c r="F57" s="1">
        <f t="shared" si="1"/>
        <v>8.0482897384286135E-3</v>
      </c>
      <c r="G57" s="1">
        <v>3.6425779010000001</v>
      </c>
      <c r="H57" s="1">
        <v>68934.110006215007</v>
      </c>
    </row>
    <row r="58" spans="1:8" x14ac:dyDescent="0.2">
      <c r="A58" s="1" t="s">
        <v>125</v>
      </c>
      <c r="B58" s="1">
        <v>6216.23981893981</v>
      </c>
      <c r="C58" s="1">
        <v>10260.6503364487</v>
      </c>
      <c r="D58" s="1">
        <f t="shared" si="0"/>
        <v>-4044.4105175088898</v>
      </c>
      <c r="E58" s="1">
        <v>128.00765613037001</v>
      </c>
      <c r="F58" s="1">
        <f t="shared" si="1"/>
        <v>8.9820359281505054E-3</v>
      </c>
      <c r="G58" s="1">
        <v>3.9895</v>
      </c>
      <c r="H58" s="1">
        <v>70311.814209780001</v>
      </c>
    </row>
    <row r="59" spans="1:8" x14ac:dyDescent="0.2">
      <c r="A59" s="1" t="s">
        <v>126</v>
      </c>
      <c r="B59" s="1">
        <v>6052.7715931400298</v>
      </c>
      <c r="C59" s="1">
        <v>10661.470953006799</v>
      </c>
      <c r="D59" s="1">
        <f t="shared" si="0"/>
        <v>-4608.6993598667696</v>
      </c>
      <c r="E59" s="1">
        <v>129.273805053519</v>
      </c>
      <c r="F59" s="1">
        <f t="shared" si="1"/>
        <v>9.8911968348164587E-3</v>
      </c>
      <c r="G59" s="1">
        <v>4.2209000000000003</v>
      </c>
      <c r="H59" s="1">
        <v>67361.505983502197</v>
      </c>
    </row>
    <row r="60" spans="1:8" x14ac:dyDescent="0.2">
      <c r="A60" s="1" t="s">
        <v>127</v>
      </c>
      <c r="B60" s="1">
        <v>6308.8511725595899</v>
      </c>
      <c r="C60" s="1">
        <v>11470.0140154903</v>
      </c>
      <c r="D60" s="1">
        <f t="shared" si="0"/>
        <v>-5161.1628429307102</v>
      </c>
      <c r="E60" s="1">
        <v>129.52703483814801</v>
      </c>
      <c r="F60" s="1">
        <f t="shared" si="1"/>
        <v>1.9588638589556253E-3</v>
      </c>
      <c r="G60" s="1">
        <v>4.6445999999999996</v>
      </c>
      <c r="H60" s="1">
        <v>66846.830684418397</v>
      </c>
    </row>
    <row r="61" spans="1:8" x14ac:dyDescent="0.2">
      <c r="A61" s="1" t="s">
        <v>128</v>
      </c>
      <c r="B61" s="1">
        <v>5636.4663823544397</v>
      </c>
      <c r="C61" s="1">
        <v>10285.7766477934</v>
      </c>
      <c r="D61" s="1">
        <f t="shared" si="0"/>
        <v>-4649.3102654389604</v>
      </c>
      <c r="E61" s="1">
        <v>129.14719016120401</v>
      </c>
      <c r="F61" s="1">
        <f t="shared" si="1"/>
        <v>-2.9325513196425952E-3</v>
      </c>
      <c r="G61" s="1">
        <v>4.7721</v>
      </c>
      <c r="H61" s="1">
        <v>67905.997202501996</v>
      </c>
    </row>
    <row r="62" spans="1:8" x14ac:dyDescent="0.2">
      <c r="A62" s="1" t="s">
        <v>129</v>
      </c>
      <c r="B62" s="1">
        <v>4729.8550621242002</v>
      </c>
      <c r="C62" s="1">
        <v>9470.5308592156307</v>
      </c>
      <c r="D62" s="1">
        <f t="shared" si="0"/>
        <v>-4740.6757970914305</v>
      </c>
      <c r="E62" s="1">
        <v>128.38750080731401</v>
      </c>
      <c r="F62" s="1">
        <f t="shared" si="1"/>
        <v>-5.8823529411808134E-3</v>
      </c>
      <c r="G62" s="1">
        <v>4.9478</v>
      </c>
      <c r="H62" s="1">
        <v>71039.872169454495</v>
      </c>
    </row>
    <row r="63" spans="1:8" x14ac:dyDescent="0.2">
      <c r="A63" s="1" t="s">
        <v>130</v>
      </c>
      <c r="B63" s="1">
        <v>5293.1021039700399</v>
      </c>
      <c r="C63" s="1">
        <v>10107.225715459001</v>
      </c>
      <c r="D63" s="1">
        <f t="shared" si="0"/>
        <v>-4814.1236114889607</v>
      </c>
      <c r="E63" s="1">
        <v>128.514115699629</v>
      </c>
      <c r="F63" s="1">
        <f t="shared" si="1"/>
        <v>9.8619329388626017E-4</v>
      </c>
      <c r="G63" s="1">
        <v>5.0983999999999998</v>
      </c>
      <c r="H63" s="1">
        <v>74079.957876907996</v>
      </c>
    </row>
    <row r="64" spans="1:8" x14ac:dyDescent="0.2">
      <c r="A64" s="1" t="s">
        <v>131</v>
      </c>
      <c r="B64" s="1">
        <v>5251.6326545819102</v>
      </c>
      <c r="C64" s="1">
        <v>8422.3324792611493</v>
      </c>
      <c r="D64" s="1">
        <f t="shared" si="0"/>
        <v>-3170.6998246792391</v>
      </c>
      <c r="E64" s="1">
        <v>128.64073059194399</v>
      </c>
      <c r="F64" s="1">
        <f t="shared" si="1"/>
        <v>9.8522167487750468E-4</v>
      </c>
      <c r="G64" s="1">
        <v>5.1138000000000003</v>
      </c>
      <c r="H64" s="1">
        <v>74421.440346085001</v>
      </c>
    </row>
    <row r="65" spans="1:8" x14ac:dyDescent="0.2">
      <c r="A65" s="1" t="s">
        <v>132</v>
      </c>
      <c r="B65" s="1">
        <v>6030.8018086800002</v>
      </c>
      <c r="C65" s="1">
        <v>9883.4786015124391</v>
      </c>
      <c r="D65" s="1">
        <f t="shared" si="0"/>
        <v>-3852.6767928324389</v>
      </c>
      <c r="E65" s="1">
        <v>128.76734548425901</v>
      </c>
      <c r="F65" s="1">
        <f t="shared" si="1"/>
        <v>9.8425196850481411E-4</v>
      </c>
      <c r="G65" s="1">
        <v>5.1745000000000001</v>
      </c>
      <c r="H65" s="1">
        <v>75399.249839088894</v>
      </c>
    </row>
    <row r="66" spans="1:8" x14ac:dyDescent="0.2">
      <c r="A66" s="1" t="s">
        <v>133</v>
      </c>
      <c r="B66" s="1">
        <v>5652.2248992558798</v>
      </c>
      <c r="C66" s="1">
        <v>9963.2673077333093</v>
      </c>
      <c r="D66" s="1">
        <f t="shared" si="0"/>
        <v>-4311.0424084774295</v>
      </c>
      <c r="E66" s="1">
        <v>129.14719016120401</v>
      </c>
      <c r="F66" s="1">
        <f t="shared" si="1"/>
        <v>2.9498525073768157E-3</v>
      </c>
      <c r="G66" s="1">
        <v>5.2226999999999997</v>
      </c>
      <c r="H66" s="1">
        <v>75752.984570998597</v>
      </c>
    </row>
    <row r="67" spans="1:8" x14ac:dyDescent="0.2">
      <c r="A67" s="1" t="s">
        <v>134</v>
      </c>
      <c r="B67" s="1">
        <v>6199.68619647162</v>
      </c>
      <c r="C67" s="1">
        <v>10380.946002831901</v>
      </c>
      <c r="D67" s="1">
        <f t="shared" si="0"/>
        <v>-4181.2598063602809</v>
      </c>
      <c r="E67" s="1">
        <v>129.40041994583399</v>
      </c>
      <c r="F67" s="1">
        <f t="shared" si="1"/>
        <v>1.9607843137267912E-3</v>
      </c>
      <c r="G67" s="1">
        <v>5.0434000000000001</v>
      </c>
      <c r="H67" s="1">
        <v>77025.064586106906</v>
      </c>
    </row>
    <row r="68" spans="1:8" x14ac:dyDescent="0.2">
      <c r="A68" s="1" t="s">
        <v>135</v>
      </c>
      <c r="B68" s="1">
        <v>6149.8241734435996</v>
      </c>
      <c r="C68" s="1">
        <v>9184.8640092315709</v>
      </c>
      <c r="D68" s="1">
        <f t="shared" ref="D68:D129" si="2">B68-C68</f>
        <v>-3035.0398357879712</v>
      </c>
      <c r="E68" s="1">
        <v>129.273805053519</v>
      </c>
      <c r="F68" s="1">
        <f t="shared" ref="F68:F129" si="3">(E68-E67)/E67</f>
        <v>-9.7847358121395511E-4</v>
      </c>
      <c r="G68" s="1">
        <v>4.9368999999999996</v>
      </c>
      <c r="H68" s="1">
        <v>76915.677656432003</v>
      </c>
    </row>
    <row r="69" spans="1:8" x14ac:dyDescent="0.2">
      <c r="A69" s="1" t="s">
        <v>136</v>
      </c>
      <c r="B69" s="1">
        <v>6252.1130065307198</v>
      </c>
      <c r="C69" s="1">
        <v>10417.991882926401</v>
      </c>
      <c r="D69" s="1">
        <f t="shared" si="2"/>
        <v>-4165.8788763956809</v>
      </c>
      <c r="E69" s="1">
        <v>129.653649730463</v>
      </c>
      <c r="F69" s="1">
        <f t="shared" si="3"/>
        <v>2.9382957884371758E-3</v>
      </c>
      <c r="G69" s="1">
        <v>4.7729999999999997</v>
      </c>
      <c r="H69" s="1">
        <v>77159.8786870904</v>
      </c>
    </row>
    <row r="70" spans="1:8" x14ac:dyDescent="0.2">
      <c r="A70" s="1" t="s">
        <v>137</v>
      </c>
      <c r="B70" s="1">
        <v>6302.5772466229801</v>
      </c>
      <c r="C70" s="1">
        <v>9736.5778937151099</v>
      </c>
      <c r="D70" s="1">
        <f t="shared" si="2"/>
        <v>-3434.0006470921298</v>
      </c>
      <c r="E70" s="1">
        <v>129.78026462277799</v>
      </c>
      <c r="F70" s="1">
        <f t="shared" si="3"/>
        <v>9.7656250000065269E-4</v>
      </c>
      <c r="G70" s="1">
        <v>4.4082999999999997</v>
      </c>
      <c r="H70" s="1">
        <v>78015.128345590507</v>
      </c>
    </row>
    <row r="71" spans="1:8" x14ac:dyDescent="0.2">
      <c r="A71" s="1" t="s">
        <v>138</v>
      </c>
      <c r="B71" s="1">
        <v>6079.8165615526796</v>
      </c>
      <c r="C71" s="1">
        <v>9946.8401374874393</v>
      </c>
      <c r="D71" s="1">
        <f t="shared" si="2"/>
        <v>-3867.0235759347597</v>
      </c>
      <c r="E71" s="1">
        <v>129.90687951509301</v>
      </c>
      <c r="F71" s="1">
        <f t="shared" si="3"/>
        <v>9.7560975609843137E-4</v>
      </c>
      <c r="G71" s="1">
        <v>4.3225531269999999</v>
      </c>
      <c r="H71" s="1">
        <v>77565.877791873194</v>
      </c>
    </row>
    <row r="72" spans="1:8" x14ac:dyDescent="0.2">
      <c r="A72" s="1" t="s">
        <v>139</v>
      </c>
      <c r="B72" s="1">
        <v>6341.7190333244398</v>
      </c>
      <c r="C72" s="1">
        <v>10427.815052558</v>
      </c>
      <c r="D72" s="1">
        <f t="shared" si="2"/>
        <v>-4086.0960192335606</v>
      </c>
      <c r="E72" s="1">
        <v>130.28672419203801</v>
      </c>
      <c r="F72" s="1">
        <f t="shared" si="3"/>
        <v>2.9239766081893032E-3</v>
      </c>
      <c r="G72" s="1">
        <v>4.0918280659999997</v>
      </c>
      <c r="H72" s="1">
        <v>77817.387925650197</v>
      </c>
    </row>
    <row r="73" spans="1:8" x14ac:dyDescent="0.2">
      <c r="A73" s="1" t="s">
        <v>140</v>
      </c>
      <c r="B73" s="1">
        <v>5622.8715618485303</v>
      </c>
      <c r="C73" s="1">
        <v>9765.7547546412898</v>
      </c>
      <c r="D73" s="1">
        <f t="shared" si="2"/>
        <v>-4142.8831927927595</v>
      </c>
      <c r="E73" s="1">
        <v>130.66656886898301</v>
      </c>
      <c r="F73" s="1">
        <f t="shared" si="3"/>
        <v>2.915451895045888E-3</v>
      </c>
      <c r="G73" s="1">
        <v>4.0175262760399999</v>
      </c>
      <c r="H73" s="1">
        <v>78211.704100360206</v>
      </c>
    </row>
    <row r="74" spans="1:8" x14ac:dyDescent="0.2">
      <c r="A74" s="1" t="s">
        <v>141</v>
      </c>
      <c r="B74" s="1">
        <v>5750.6325179906498</v>
      </c>
      <c r="C74" s="1">
        <v>9137.1754241591298</v>
      </c>
      <c r="D74" s="1">
        <f t="shared" si="2"/>
        <v>-3386.5429061684799</v>
      </c>
      <c r="E74" s="1">
        <v>131.42625822287201</v>
      </c>
      <c r="F74" s="1">
        <f t="shared" si="3"/>
        <v>5.8139534883687675E-3</v>
      </c>
      <c r="G74" s="1">
        <v>3.9701358507400002</v>
      </c>
      <c r="H74" s="1">
        <v>79823.656328117198</v>
      </c>
    </row>
    <row r="75" spans="1:8" x14ac:dyDescent="0.2">
      <c r="A75" s="1" t="s">
        <v>142</v>
      </c>
      <c r="B75" s="1">
        <v>5801.8939500379402</v>
      </c>
      <c r="C75" s="1">
        <v>10169.3258774272</v>
      </c>
      <c r="D75" s="1">
        <f t="shared" si="2"/>
        <v>-4367.4319273892597</v>
      </c>
      <c r="E75" s="1">
        <v>132.312562469076</v>
      </c>
      <c r="F75" s="1">
        <f t="shared" si="3"/>
        <v>6.7437379576081435E-3</v>
      </c>
      <c r="G75" s="1">
        <v>3.8215957660646098</v>
      </c>
      <c r="H75" s="1">
        <v>78852.680088144698</v>
      </c>
    </row>
    <row r="76" spans="1:8" x14ac:dyDescent="0.2">
      <c r="A76" s="1" t="s">
        <v>143</v>
      </c>
      <c r="B76" s="1">
        <v>5432.18334057632</v>
      </c>
      <c r="C76" s="1">
        <v>7882.1688718883297</v>
      </c>
      <c r="D76" s="1">
        <f t="shared" si="2"/>
        <v>-2449.9855313120097</v>
      </c>
      <c r="E76" s="1">
        <v>131.80610289981701</v>
      </c>
      <c r="F76" s="1">
        <f t="shared" si="3"/>
        <v>-3.827751196167504E-3</v>
      </c>
      <c r="G76" s="1">
        <v>3.70803265519391</v>
      </c>
      <c r="H76" s="1">
        <v>80171.100749990204</v>
      </c>
    </row>
    <row r="77" spans="1:8" x14ac:dyDescent="0.2">
      <c r="A77" s="1" t="s">
        <v>144</v>
      </c>
      <c r="B77" s="1">
        <v>5079.0542341963101</v>
      </c>
      <c r="C77" s="1">
        <v>8245.3939521504308</v>
      </c>
      <c r="D77" s="1">
        <f t="shared" si="2"/>
        <v>-3166.3397179541207</v>
      </c>
      <c r="E77" s="1">
        <v>131.552873115187</v>
      </c>
      <c r="F77" s="1">
        <f t="shared" si="3"/>
        <v>-1.9212295869371295E-3</v>
      </c>
      <c r="G77" s="1">
        <v>3.5393034348993</v>
      </c>
      <c r="H77" s="1">
        <v>80845.620863159202</v>
      </c>
    </row>
    <row r="78" spans="1:8" x14ac:dyDescent="0.2">
      <c r="A78" s="1" t="s">
        <v>145</v>
      </c>
      <c r="B78" s="1">
        <v>3319.9828914612999</v>
      </c>
      <c r="C78" s="1">
        <v>3729.6614362105802</v>
      </c>
      <c r="D78" s="1">
        <f t="shared" si="2"/>
        <v>-409.67854474928026</v>
      </c>
      <c r="E78" s="1">
        <v>131.42625822287201</v>
      </c>
      <c r="F78" s="1">
        <f t="shared" si="3"/>
        <v>-9.6246390760410514E-4</v>
      </c>
      <c r="G78" s="1">
        <v>3.30840518726527</v>
      </c>
      <c r="H78" s="1">
        <v>82923.150889744793</v>
      </c>
    </row>
    <row r="79" spans="1:8" x14ac:dyDescent="0.2">
      <c r="A79" s="1" t="s">
        <v>146</v>
      </c>
      <c r="B79" s="1">
        <v>4541.5165799807601</v>
      </c>
      <c r="C79" s="1">
        <v>6240.6366729269303</v>
      </c>
      <c r="D79" s="1">
        <f t="shared" si="2"/>
        <v>-1699.1200929461702</v>
      </c>
      <c r="E79" s="1">
        <v>131.42625822287201</v>
      </c>
      <c r="F79" s="1">
        <f t="shared" si="3"/>
        <v>0</v>
      </c>
      <c r="G79" s="1">
        <v>2.4300124519398798</v>
      </c>
      <c r="H79" s="1">
        <v>85272.227230903794</v>
      </c>
    </row>
    <row r="80" spans="1:8" x14ac:dyDescent="0.2">
      <c r="A80" s="1" t="s">
        <v>147</v>
      </c>
      <c r="B80" s="1">
        <v>5531.6622340172698</v>
      </c>
      <c r="C80" s="1">
        <v>7358.8288300277</v>
      </c>
      <c r="D80" s="1">
        <f t="shared" si="2"/>
        <v>-1827.1665960104301</v>
      </c>
      <c r="E80" s="1">
        <v>132.18594757676101</v>
      </c>
      <c r="F80" s="1">
        <f t="shared" si="3"/>
        <v>5.780346820805961E-3</v>
      </c>
      <c r="G80" s="1">
        <v>2.34948979591837</v>
      </c>
      <c r="H80" s="1">
        <v>85453.990707693301</v>
      </c>
    </row>
    <row r="81" spans="1:8" x14ac:dyDescent="0.2">
      <c r="A81" s="1" t="s">
        <v>148</v>
      </c>
      <c r="B81" s="1">
        <v>5698.72625394427</v>
      </c>
      <c r="C81" s="1">
        <v>8262.5486315178096</v>
      </c>
      <c r="D81" s="1">
        <f t="shared" si="2"/>
        <v>-2563.8223775735396</v>
      </c>
      <c r="E81" s="1">
        <v>132.81902203833599</v>
      </c>
      <c r="F81" s="1">
        <f t="shared" si="3"/>
        <v>4.7892720306547606E-3</v>
      </c>
      <c r="G81" s="1">
        <v>1.8125</v>
      </c>
      <c r="H81" s="1">
        <v>86004.886801942397</v>
      </c>
    </row>
    <row r="82" spans="1:8" x14ac:dyDescent="0.2">
      <c r="A82" s="1" t="s">
        <v>149</v>
      </c>
      <c r="B82" s="1">
        <v>5499.6266256332001</v>
      </c>
      <c r="C82" s="1">
        <v>8173.6670319593304</v>
      </c>
      <c r="D82" s="1">
        <f t="shared" si="2"/>
        <v>-2674.0404063261303</v>
      </c>
      <c r="E82" s="1">
        <v>132.692407146021</v>
      </c>
      <c r="F82" s="1">
        <f t="shared" si="3"/>
        <v>-9.5328884652113037E-4</v>
      </c>
      <c r="G82" s="1">
        <v>1.91355090832277</v>
      </c>
      <c r="H82" s="1">
        <v>86915.849579098707</v>
      </c>
    </row>
    <row r="83" spans="1:8" x14ac:dyDescent="0.2">
      <c r="A83" s="1" t="s">
        <v>150</v>
      </c>
      <c r="B83" s="1">
        <v>6286.0470891413897</v>
      </c>
      <c r="C83" s="1">
        <v>9024.5716293780097</v>
      </c>
      <c r="D83" s="1">
        <f t="shared" si="2"/>
        <v>-2738.5245402366199</v>
      </c>
      <c r="E83" s="1">
        <v>132.81902203833599</v>
      </c>
      <c r="F83" s="1">
        <f t="shared" si="3"/>
        <v>9.541984732830786E-4</v>
      </c>
      <c r="G83" s="1">
        <v>1.87121212121212</v>
      </c>
      <c r="H83" s="1">
        <v>88848.808539486505</v>
      </c>
    </row>
    <row r="84" spans="1:8" x14ac:dyDescent="0.2">
      <c r="A84" s="1" t="s">
        <v>151</v>
      </c>
      <c r="B84" s="1">
        <v>6287.0520378620804</v>
      </c>
      <c r="C84" s="1">
        <v>8827.0161108860993</v>
      </c>
      <c r="D84" s="1">
        <f t="shared" si="2"/>
        <v>-2539.9640730240189</v>
      </c>
      <c r="E84" s="1">
        <v>133.325481607596</v>
      </c>
      <c r="F84" s="1">
        <f t="shared" si="3"/>
        <v>3.8131553860849491E-3</v>
      </c>
      <c r="G84" s="1">
        <v>1.875</v>
      </c>
      <c r="H84" s="1">
        <v>92154.415469227199</v>
      </c>
    </row>
    <row r="85" spans="1:8" x14ac:dyDescent="0.2">
      <c r="A85" s="1" t="s">
        <v>152</v>
      </c>
      <c r="B85" s="1">
        <v>5882.7338386274796</v>
      </c>
      <c r="C85" s="1">
        <v>8468.1366481796304</v>
      </c>
      <c r="D85" s="1">
        <f t="shared" si="2"/>
        <v>-2585.4028095521508</v>
      </c>
      <c r="E85" s="1">
        <v>134.59163053074499</v>
      </c>
      <c r="F85" s="1">
        <f t="shared" si="3"/>
        <v>9.4966761633423023E-3</v>
      </c>
      <c r="G85" s="1">
        <v>1.88342555331992</v>
      </c>
      <c r="H85" s="1">
        <v>94067.842845736799</v>
      </c>
    </row>
    <row r="86" spans="1:8" x14ac:dyDescent="0.2">
      <c r="A86" s="1" t="s">
        <v>153</v>
      </c>
      <c r="B86" s="1">
        <v>5854.0617952787197</v>
      </c>
      <c r="C86" s="1">
        <v>8779.3034016184592</v>
      </c>
      <c r="D86" s="1">
        <f t="shared" si="2"/>
        <v>-2925.2416063397395</v>
      </c>
      <c r="E86" s="1">
        <v>135.73116456157899</v>
      </c>
      <c r="F86" s="1">
        <f t="shared" si="3"/>
        <v>8.4666039510807017E-3</v>
      </c>
      <c r="G86" s="1">
        <v>1.99671052631579</v>
      </c>
      <c r="H86" s="1">
        <v>98512.083712235501</v>
      </c>
    </row>
    <row r="87" spans="1:8" x14ac:dyDescent="0.2">
      <c r="A87" s="1" t="s">
        <v>154</v>
      </c>
      <c r="B87" s="1">
        <v>5546.9670047064801</v>
      </c>
      <c r="C87" s="1">
        <v>8892.6248507117998</v>
      </c>
      <c r="D87" s="1">
        <f t="shared" si="2"/>
        <v>-3345.6578460053197</v>
      </c>
      <c r="E87" s="1">
        <v>137.25054326935799</v>
      </c>
      <c r="F87" s="1">
        <f t="shared" si="3"/>
        <v>1.1194029850747215E-2</v>
      </c>
      <c r="G87" s="1">
        <v>1.6875</v>
      </c>
      <c r="H87" s="1">
        <v>97981.328551074897</v>
      </c>
    </row>
    <row r="88" spans="1:8" x14ac:dyDescent="0.2">
      <c r="A88" s="1" t="s">
        <v>155</v>
      </c>
      <c r="B88" s="1">
        <v>5356.7361051084799</v>
      </c>
      <c r="C88" s="1">
        <v>8515.2182556832904</v>
      </c>
      <c r="D88" s="1">
        <f t="shared" si="2"/>
        <v>-3158.4821505748105</v>
      </c>
      <c r="E88" s="1">
        <v>137.37715816167301</v>
      </c>
      <c r="F88" s="1">
        <f t="shared" si="3"/>
        <v>9.2250922509307012E-4</v>
      </c>
      <c r="G88" s="1">
        <v>1.31162464985994</v>
      </c>
      <c r="H88" s="1">
        <v>95990.808168656207</v>
      </c>
    </row>
    <row r="89" spans="1:8" x14ac:dyDescent="0.2">
      <c r="A89" s="1" t="s">
        <v>156</v>
      </c>
      <c r="B89" s="1">
        <v>6773.6018954376495</v>
      </c>
      <c r="C89" s="1">
        <v>10085.558745051299</v>
      </c>
      <c r="D89" s="1">
        <f t="shared" si="2"/>
        <v>-3311.9568496136499</v>
      </c>
      <c r="E89" s="1">
        <v>136.99731348472801</v>
      </c>
      <c r="F89" s="1">
        <f t="shared" si="3"/>
        <v>-2.7649769585273848E-3</v>
      </c>
      <c r="G89" s="1">
        <v>1.5713685551780201</v>
      </c>
      <c r="H89" s="1">
        <v>95368.703579636698</v>
      </c>
    </row>
    <row r="90" spans="1:8" x14ac:dyDescent="0.2">
      <c r="A90" s="1" t="s">
        <v>157</v>
      </c>
      <c r="B90" s="1">
        <v>5780.4671701539301</v>
      </c>
      <c r="C90" s="1">
        <v>9382.0519169658692</v>
      </c>
      <c r="D90" s="1">
        <f t="shared" si="2"/>
        <v>-3601.5847468119391</v>
      </c>
      <c r="E90" s="1">
        <v>136.87069859241299</v>
      </c>
      <c r="F90" s="1">
        <f t="shared" si="3"/>
        <v>-9.2421441774573863E-4</v>
      </c>
      <c r="G90" s="1">
        <v>1.55979062641852</v>
      </c>
      <c r="H90" s="1">
        <v>98394.672180557594</v>
      </c>
    </row>
    <row r="91" spans="1:8" x14ac:dyDescent="0.2">
      <c r="A91" s="1" t="s">
        <v>158</v>
      </c>
      <c r="B91" s="1">
        <v>5941.5307844934296</v>
      </c>
      <c r="C91" s="1">
        <v>9631.6245491881491</v>
      </c>
      <c r="D91" s="1">
        <f t="shared" si="2"/>
        <v>-3690.0937646947195</v>
      </c>
      <c r="E91" s="1">
        <v>136.87069859241299</v>
      </c>
      <c r="F91" s="1">
        <f t="shared" si="3"/>
        <v>0</v>
      </c>
      <c r="G91" s="1">
        <v>1.90625</v>
      </c>
      <c r="H91" s="1">
        <v>97345.405365494706</v>
      </c>
    </row>
    <row r="92" spans="1:8" x14ac:dyDescent="0.2">
      <c r="A92" s="1" t="s">
        <v>159</v>
      </c>
      <c r="B92" s="1">
        <v>6576.0580461376803</v>
      </c>
      <c r="C92" s="1">
        <v>10466.760614463899</v>
      </c>
      <c r="D92" s="1">
        <f t="shared" si="2"/>
        <v>-3890.7025683262191</v>
      </c>
      <c r="E92" s="1">
        <v>137.123928377043</v>
      </c>
      <c r="F92" s="1">
        <f t="shared" si="3"/>
        <v>1.8501387604084696E-3</v>
      </c>
      <c r="G92" s="1">
        <v>1.75</v>
      </c>
      <c r="H92" s="1">
        <v>96887.714102197293</v>
      </c>
    </row>
    <row r="93" spans="1:8" x14ac:dyDescent="0.2">
      <c r="A93" s="1" t="s">
        <v>160</v>
      </c>
      <c r="B93" s="1">
        <v>6485.4395777277296</v>
      </c>
      <c r="C93" s="1">
        <v>10554.502184397101</v>
      </c>
      <c r="D93" s="1">
        <f t="shared" si="2"/>
        <v>-4069.0626066693712</v>
      </c>
      <c r="E93" s="1">
        <v>137.75700283861701</v>
      </c>
      <c r="F93" s="1">
        <f t="shared" si="3"/>
        <v>4.6168051708180176E-3</v>
      </c>
      <c r="G93" s="1">
        <v>1.76086956521739</v>
      </c>
      <c r="H93" s="1">
        <v>98002.687855317505</v>
      </c>
    </row>
    <row r="94" spans="1:8" x14ac:dyDescent="0.2">
      <c r="A94" s="1" t="s">
        <v>161</v>
      </c>
      <c r="B94" s="1">
        <v>6539.6110230055201</v>
      </c>
      <c r="C94" s="1">
        <v>10398.704737132</v>
      </c>
      <c r="D94" s="1">
        <f t="shared" si="2"/>
        <v>-3859.0937141264803</v>
      </c>
      <c r="E94" s="1">
        <v>138.51669219250701</v>
      </c>
      <c r="F94" s="1">
        <f t="shared" si="3"/>
        <v>5.5147058823570372E-3</v>
      </c>
      <c r="G94" s="1">
        <v>2</v>
      </c>
      <c r="H94" s="1">
        <v>98809.566324524203</v>
      </c>
    </row>
    <row r="95" spans="1:8" x14ac:dyDescent="0.2">
      <c r="A95" s="1" t="s">
        <v>162</v>
      </c>
      <c r="B95" s="1">
        <v>6688.72577681445</v>
      </c>
      <c r="C95" s="1">
        <v>11105.649666810799</v>
      </c>
      <c r="D95" s="1">
        <f t="shared" si="2"/>
        <v>-4416.9238899963493</v>
      </c>
      <c r="E95" s="1">
        <v>138.39007730019199</v>
      </c>
      <c r="F95" s="1">
        <f t="shared" si="3"/>
        <v>-9.1407678245053773E-4</v>
      </c>
      <c r="G95" s="1">
        <v>1.6875</v>
      </c>
      <c r="H95" s="1">
        <v>97747.700182067507</v>
      </c>
    </row>
    <row r="96" spans="1:8" x14ac:dyDescent="0.2">
      <c r="A96" s="1" t="s">
        <v>163</v>
      </c>
      <c r="B96" s="1">
        <v>6412.0885926292904</v>
      </c>
      <c r="C96" s="1">
        <v>10816.596480165699</v>
      </c>
      <c r="D96" s="1">
        <f t="shared" si="2"/>
        <v>-4404.5078875364088</v>
      </c>
      <c r="E96" s="1">
        <v>138.643307084822</v>
      </c>
      <c r="F96" s="1">
        <f t="shared" si="3"/>
        <v>1.8298261665156026E-3</v>
      </c>
      <c r="G96" s="1">
        <v>1.6822916666666701</v>
      </c>
      <c r="H96" s="1">
        <v>98774.047551945798</v>
      </c>
    </row>
    <row r="97" spans="1:8" x14ac:dyDescent="0.2">
      <c r="A97" s="1" t="s">
        <v>164</v>
      </c>
      <c r="B97" s="1">
        <v>6273.2626315481102</v>
      </c>
      <c r="C97" s="1">
        <v>11605.723528284499</v>
      </c>
      <c r="D97" s="1">
        <f t="shared" si="2"/>
        <v>-5332.4608967363893</v>
      </c>
      <c r="E97" s="1">
        <v>139.52961133102599</v>
      </c>
      <c r="F97" s="1">
        <f t="shared" si="3"/>
        <v>6.3926940639244152E-3</v>
      </c>
      <c r="G97" s="1">
        <v>1.8295454545454499</v>
      </c>
      <c r="H97" s="1">
        <v>98720.234242474602</v>
      </c>
    </row>
    <row r="98" spans="1:8" x14ac:dyDescent="0.2">
      <c r="A98" s="1" t="s">
        <v>165</v>
      </c>
      <c r="B98" s="1">
        <v>6278.7214604948504</v>
      </c>
      <c r="C98" s="1">
        <v>12031.2309278585</v>
      </c>
      <c r="D98" s="1">
        <f t="shared" si="2"/>
        <v>-5752.5094673636495</v>
      </c>
      <c r="E98" s="1">
        <v>139.90945600797099</v>
      </c>
      <c r="F98" s="1">
        <f t="shared" si="3"/>
        <v>2.722323049003831E-3</v>
      </c>
      <c r="G98" s="1">
        <v>1.95476973684211</v>
      </c>
      <c r="H98" s="1">
        <v>99461.671283845397</v>
      </c>
    </row>
    <row r="99" spans="1:8" x14ac:dyDescent="0.2">
      <c r="A99" s="1" t="s">
        <v>166</v>
      </c>
      <c r="B99" s="1">
        <v>6045.9504749795797</v>
      </c>
      <c r="C99" s="1">
        <v>11152.3726672745</v>
      </c>
      <c r="D99" s="1">
        <f t="shared" si="2"/>
        <v>-5106.42219229492</v>
      </c>
      <c r="E99" s="1">
        <v>141.42883471575001</v>
      </c>
      <c r="F99" s="1">
        <f t="shared" si="3"/>
        <v>1.0859728506788444E-2</v>
      </c>
      <c r="G99" s="1" t="s">
        <v>167</v>
      </c>
      <c r="H99" s="1">
        <v>98485.717393155996</v>
      </c>
    </row>
    <row r="100" spans="1:8" x14ac:dyDescent="0.2">
      <c r="A100" s="1" t="s">
        <v>168</v>
      </c>
      <c r="B100" s="1">
        <v>6200.9724262555101</v>
      </c>
      <c r="C100" s="1">
        <v>10747.4616814654</v>
      </c>
      <c r="D100" s="1">
        <f t="shared" si="2"/>
        <v>-4546.48925520989</v>
      </c>
      <c r="E100" s="1">
        <v>141.55544960806401</v>
      </c>
      <c r="F100" s="1">
        <f t="shared" si="3"/>
        <v>8.9525514771065888E-4</v>
      </c>
      <c r="G100" s="1">
        <v>1.99702380952381</v>
      </c>
      <c r="H100" s="1">
        <v>98216.235992845497</v>
      </c>
    </row>
    <row r="101" spans="1:8" x14ac:dyDescent="0.2">
      <c r="A101" s="1" t="s">
        <v>169</v>
      </c>
      <c r="B101" s="1">
        <v>7175.3334095905402</v>
      </c>
      <c r="C101" s="1">
        <v>12430.647548929201</v>
      </c>
      <c r="D101" s="1">
        <f t="shared" si="2"/>
        <v>-5255.3141393386604</v>
      </c>
      <c r="E101" s="1">
        <v>142.441753854269</v>
      </c>
      <c r="F101" s="1">
        <f t="shared" si="3"/>
        <v>6.2611806797899213E-3</v>
      </c>
      <c r="G101" s="1">
        <v>1.8897037928160001</v>
      </c>
      <c r="H101" s="1">
        <v>97906.287138990796</v>
      </c>
    </row>
    <row r="102" spans="1:8" x14ac:dyDescent="0.2">
      <c r="A102" s="1" t="s">
        <v>170</v>
      </c>
      <c r="B102" s="1">
        <v>6141.5653378482402</v>
      </c>
      <c r="C102" s="1">
        <v>12072.975988918</v>
      </c>
      <c r="D102" s="1">
        <f t="shared" si="2"/>
        <v>-5931.4106510697602</v>
      </c>
      <c r="E102" s="1">
        <v>143.581287885103</v>
      </c>
      <c r="F102" s="1">
        <f t="shared" si="3"/>
        <v>7.9999999999989298E-3</v>
      </c>
      <c r="G102" s="1">
        <v>1.875</v>
      </c>
      <c r="H102" s="1">
        <v>96122.996087043794</v>
      </c>
    </row>
    <row r="103" spans="1:8" x14ac:dyDescent="0.2">
      <c r="A103" s="1" t="s">
        <v>171</v>
      </c>
      <c r="B103" s="1">
        <v>6319.2502160451104</v>
      </c>
      <c r="C103" s="1">
        <v>12524.772376782699</v>
      </c>
      <c r="D103" s="1">
        <f t="shared" si="2"/>
        <v>-6205.5221607375888</v>
      </c>
      <c r="E103" s="1">
        <v>144.21436234667701</v>
      </c>
      <c r="F103" s="1">
        <f t="shared" si="3"/>
        <v>4.4091710758341444E-3</v>
      </c>
      <c r="G103" s="1">
        <v>1.87538991827313</v>
      </c>
      <c r="H103" s="1">
        <v>94620.066149284205</v>
      </c>
    </row>
    <row r="104" spans="1:8" x14ac:dyDescent="0.2">
      <c r="A104" s="1" t="s">
        <v>172</v>
      </c>
      <c r="B104" s="1">
        <v>6644.1042402766798</v>
      </c>
      <c r="C104" s="1">
        <v>13220.3328276091</v>
      </c>
      <c r="D104" s="1">
        <f t="shared" si="2"/>
        <v>-6576.2285873324199</v>
      </c>
      <c r="E104" s="1">
        <v>145.48051126982699</v>
      </c>
      <c r="F104" s="1">
        <f t="shared" si="3"/>
        <v>8.7796312554937351E-3</v>
      </c>
      <c r="G104" s="1">
        <v>2.3710959817177701</v>
      </c>
      <c r="H104" s="1">
        <v>91917.119389257001</v>
      </c>
    </row>
    <row r="105" spans="1:8" x14ac:dyDescent="0.2">
      <c r="A105" s="1" t="s">
        <v>173</v>
      </c>
      <c r="B105" s="1">
        <v>6217.7546532758897</v>
      </c>
      <c r="C105" s="1">
        <v>12935.969799180901</v>
      </c>
      <c r="D105" s="1">
        <f t="shared" si="2"/>
        <v>-6718.215145905011</v>
      </c>
      <c r="E105" s="1">
        <v>146.62004530066099</v>
      </c>
      <c r="F105" s="1">
        <f t="shared" si="3"/>
        <v>7.8328981723226991E-3</v>
      </c>
      <c r="G105" s="1">
        <v>3.05193338986287</v>
      </c>
      <c r="H105" s="1">
        <v>91077.381110650997</v>
      </c>
    </row>
    <row r="106" spans="1:8" x14ac:dyDescent="0.2">
      <c r="A106" s="1" t="s">
        <v>174</v>
      </c>
      <c r="B106" s="1">
        <v>6430.2311676597701</v>
      </c>
      <c r="C106" s="1">
        <v>13202.452782485099</v>
      </c>
      <c r="D106" s="1">
        <f t="shared" si="2"/>
        <v>-6772.2216148253292</v>
      </c>
      <c r="E106" s="1">
        <v>147.253119762235</v>
      </c>
      <c r="F106" s="1">
        <f t="shared" si="3"/>
        <v>4.3177892918790251E-3</v>
      </c>
      <c r="G106" s="1">
        <v>3.2731758373205699</v>
      </c>
      <c r="H106" s="1">
        <v>88909.139629430996</v>
      </c>
    </row>
    <row r="107" spans="1:8" x14ac:dyDescent="0.2">
      <c r="A107" s="1" t="s">
        <v>175</v>
      </c>
      <c r="B107" s="1">
        <v>7182.6567913845302</v>
      </c>
      <c r="C107" s="1">
        <v>12698.576165172501</v>
      </c>
      <c r="D107" s="1">
        <f t="shared" si="2"/>
        <v>-5515.9193737879705</v>
      </c>
      <c r="E107" s="1">
        <v>147.88619422381001</v>
      </c>
      <c r="F107" s="1">
        <f t="shared" si="3"/>
        <v>4.2992261392981812E-3</v>
      </c>
      <c r="G107" s="1">
        <v>3.9708802102545202</v>
      </c>
      <c r="H107" s="1">
        <v>84686.050672487094</v>
      </c>
    </row>
    <row r="108" spans="1:8" x14ac:dyDescent="0.2">
      <c r="A108" s="1" t="s">
        <v>176</v>
      </c>
      <c r="B108" s="1">
        <v>7711.1145488204802</v>
      </c>
      <c r="C108" s="1">
        <v>11667.581815121899</v>
      </c>
      <c r="D108" s="1">
        <f t="shared" si="2"/>
        <v>-3956.4672663014189</v>
      </c>
      <c r="E108" s="1">
        <v>149.27895803927399</v>
      </c>
      <c r="F108" s="1">
        <f t="shared" si="3"/>
        <v>9.4178082191781858E-3</v>
      </c>
      <c r="G108" s="1">
        <v>4.2336059855593096</v>
      </c>
      <c r="H108" s="1">
        <v>85748.401849791306</v>
      </c>
    </row>
    <row r="109" spans="1:8" x14ac:dyDescent="0.2">
      <c r="A109" s="1" t="s">
        <v>177</v>
      </c>
      <c r="B109" s="1">
        <v>7100.1912327792897</v>
      </c>
      <c r="C109" s="1">
        <v>11483.1251165392</v>
      </c>
      <c r="D109" s="1">
        <f t="shared" si="2"/>
        <v>-4382.9338837599107</v>
      </c>
      <c r="E109" s="1">
        <v>150.671721854738</v>
      </c>
      <c r="F109" s="1">
        <f t="shared" si="3"/>
        <v>9.3299406276508429E-3</v>
      </c>
      <c r="G109" s="1">
        <v>4.6040028848835597</v>
      </c>
      <c r="H109" s="1">
        <v>86162.724957242099</v>
      </c>
    </row>
    <row r="110" spans="1:8" x14ac:dyDescent="0.2">
      <c r="A110" s="1" t="s">
        <v>178</v>
      </c>
      <c r="B110" s="1">
        <v>5667.7788342844997</v>
      </c>
      <c r="C110" s="1">
        <v>10923.8228194111</v>
      </c>
      <c r="D110" s="1">
        <f t="shared" si="2"/>
        <v>-5256.0439851266001</v>
      </c>
      <c r="E110" s="1">
        <v>151.17818142399699</v>
      </c>
      <c r="F110" s="1">
        <f t="shared" si="3"/>
        <v>3.361344537810943E-3</v>
      </c>
      <c r="G110" s="1">
        <v>5.33</v>
      </c>
      <c r="H110" s="1">
        <v>86850.194729252602</v>
      </c>
    </row>
    <row r="111" spans="1:8" x14ac:dyDescent="0.2">
      <c r="A111" s="1" t="s">
        <v>179</v>
      </c>
      <c r="B111" s="1">
        <v>5892</v>
      </c>
      <c r="C111" s="1">
        <v>10987</v>
      </c>
      <c r="D111" s="1">
        <f t="shared" si="2"/>
        <v>-5095</v>
      </c>
      <c r="E111" s="1">
        <v>153.710479270295</v>
      </c>
      <c r="F111" s="1">
        <f t="shared" si="3"/>
        <v>1.6750418760468355E-2</v>
      </c>
      <c r="G111" s="1">
        <v>5.51586118799234</v>
      </c>
      <c r="H111" s="1">
        <v>90865.633179418903</v>
      </c>
    </row>
    <row r="112" spans="1:8" x14ac:dyDescent="0.2">
      <c r="A112" s="1" t="s">
        <v>180</v>
      </c>
      <c r="B112" s="1">
        <v>6782</v>
      </c>
      <c r="C112" s="1">
        <v>11140</v>
      </c>
      <c r="D112" s="1">
        <f t="shared" si="2"/>
        <v>-4358</v>
      </c>
      <c r="E112" s="1">
        <v>153.710479270295</v>
      </c>
      <c r="F112" s="1">
        <f t="shared" si="3"/>
        <v>0</v>
      </c>
      <c r="G112" s="1">
        <v>5.8103284557907804</v>
      </c>
      <c r="H112" s="1">
        <v>88885.413027854695</v>
      </c>
    </row>
    <row r="113" spans="1:8" x14ac:dyDescent="0.2">
      <c r="A113" s="1" t="s">
        <v>181</v>
      </c>
      <c r="B113" s="1">
        <v>6882</v>
      </c>
      <c r="C113" s="1">
        <v>11928</v>
      </c>
      <c r="D113" s="1">
        <f t="shared" si="2"/>
        <v>-5046</v>
      </c>
      <c r="E113" s="1">
        <v>153.33063459335099</v>
      </c>
      <c r="F113" s="1">
        <f t="shared" si="3"/>
        <v>-2.4711696869805381E-3</v>
      </c>
      <c r="G113" s="1">
        <v>6.3185152708661798</v>
      </c>
      <c r="H113" s="1">
        <v>91474.652277678193</v>
      </c>
    </row>
    <row r="114" spans="1:8" x14ac:dyDescent="0.2">
      <c r="A114" s="1" t="s">
        <v>182</v>
      </c>
      <c r="B114" s="1">
        <v>6911</v>
      </c>
      <c r="C114" s="1">
        <v>12025</v>
      </c>
      <c r="D114" s="1">
        <f t="shared" si="2"/>
        <v>-5114</v>
      </c>
      <c r="E114" s="1">
        <v>153.07740480872101</v>
      </c>
      <c r="F114" s="1">
        <f t="shared" si="3"/>
        <v>-1.651527663089453E-3</v>
      </c>
      <c r="G114" s="1">
        <v>6.3617471332779196</v>
      </c>
      <c r="H114" s="1">
        <v>91519.942853590401</v>
      </c>
    </row>
    <row r="115" spans="1:8" x14ac:dyDescent="0.2">
      <c r="A115" s="1" t="s">
        <v>183</v>
      </c>
      <c r="B115" s="1">
        <v>6989</v>
      </c>
      <c r="C115" s="1">
        <v>12208</v>
      </c>
      <c r="D115" s="1">
        <f t="shared" si="2"/>
        <v>-5219</v>
      </c>
      <c r="E115" s="1">
        <v>153.07740480872101</v>
      </c>
      <c r="F115" s="1">
        <f t="shared" si="3"/>
        <v>0</v>
      </c>
      <c r="G115" s="1">
        <v>6.4003478298652698</v>
      </c>
      <c r="H115" s="1">
        <v>90380.539068636805</v>
      </c>
    </row>
    <row r="116" spans="1:8" x14ac:dyDescent="0.2">
      <c r="A116" s="1" t="s">
        <v>184</v>
      </c>
      <c r="B116" s="1">
        <v>7012</v>
      </c>
      <c r="C116" s="1">
        <v>12458</v>
      </c>
      <c r="D116" s="1">
        <f t="shared" si="2"/>
        <v>-5446</v>
      </c>
      <c r="E116" s="1">
        <v>153.33063459335099</v>
      </c>
      <c r="F116" s="1">
        <f t="shared" si="3"/>
        <v>1.6542597187769476E-3</v>
      </c>
      <c r="G116" s="1">
        <v>6.32369029707408</v>
      </c>
      <c r="H116" s="1">
        <v>89375.677232458096</v>
      </c>
    </row>
    <row r="117" spans="1:8" x14ac:dyDescent="0.2">
      <c r="A117" s="1" t="s">
        <v>185</v>
      </c>
      <c r="B117" s="1">
        <v>7252</v>
      </c>
      <c r="C117" s="1">
        <v>12392</v>
      </c>
      <c r="D117" s="1">
        <f t="shared" si="2"/>
        <v>-5140</v>
      </c>
      <c r="E117" s="1">
        <v>153.45724948566601</v>
      </c>
      <c r="F117" s="1">
        <f t="shared" si="3"/>
        <v>8.257638315449119E-4</v>
      </c>
      <c r="G117" s="1">
        <v>6.3133224360556</v>
      </c>
      <c r="H117" s="1">
        <v>89648.916528592104</v>
      </c>
    </row>
    <row r="118" spans="1:8" x14ac:dyDescent="0.2">
      <c r="A118" s="1" t="s">
        <v>186</v>
      </c>
      <c r="B118" s="1">
        <v>7349</v>
      </c>
      <c r="C118" s="1">
        <v>12690</v>
      </c>
      <c r="D118" s="1">
        <f t="shared" si="2"/>
        <v>-5341</v>
      </c>
      <c r="E118" s="1">
        <v>155.103243085759</v>
      </c>
      <c r="F118" s="1">
        <f t="shared" si="3"/>
        <v>1.0726072607255614E-2</v>
      </c>
      <c r="G118" s="1">
        <v>6.3177473933294896</v>
      </c>
      <c r="H118" s="1">
        <v>89336.082388242503</v>
      </c>
    </row>
    <row r="119" spans="1:8" x14ac:dyDescent="0.2">
      <c r="A119" s="1" t="s">
        <v>187</v>
      </c>
      <c r="B119" s="1">
        <v>7678</v>
      </c>
      <c r="C119" s="1">
        <v>12985</v>
      </c>
      <c r="D119" s="1">
        <f t="shared" si="2"/>
        <v>-5307</v>
      </c>
      <c r="E119" s="1">
        <v>156.87585157816801</v>
      </c>
      <c r="F119" s="1">
        <f t="shared" si="3"/>
        <v>1.1428571428573567E-2</v>
      </c>
      <c r="G119" s="1">
        <v>6.2925575281228197</v>
      </c>
      <c r="H119" s="1">
        <v>88326.274040120494</v>
      </c>
    </row>
    <row r="120" spans="1:8" x14ac:dyDescent="0.2">
      <c r="A120" s="1" t="s">
        <v>188</v>
      </c>
      <c r="B120" s="1">
        <v>7809</v>
      </c>
      <c r="C120" s="1">
        <v>13068</v>
      </c>
      <c r="D120" s="1">
        <f t="shared" si="2"/>
        <v>-5259</v>
      </c>
      <c r="E120" s="1">
        <v>156.622621793538</v>
      </c>
      <c r="F120" s="1">
        <f t="shared" si="3"/>
        <v>-1.6142050040367688E-3</v>
      </c>
      <c r="G120" s="1">
        <v>6.2205200546291</v>
      </c>
      <c r="H120" s="1">
        <v>90465.760861567396</v>
      </c>
    </row>
    <row r="121" spans="1:8" x14ac:dyDescent="0.2">
      <c r="A121" s="1" t="s">
        <v>189</v>
      </c>
      <c r="B121" s="1">
        <v>7478</v>
      </c>
      <c r="C121" s="1">
        <v>10523</v>
      </c>
      <c r="D121" s="1">
        <f t="shared" si="2"/>
        <v>-3045</v>
      </c>
      <c r="E121" s="1">
        <v>156.87585157816801</v>
      </c>
      <c r="F121" s="1">
        <f t="shared" si="3"/>
        <v>1.6168148746981074E-3</v>
      </c>
      <c r="G121" s="1">
        <v>6.40625</v>
      </c>
      <c r="H121" s="1">
        <v>91903.536675986703</v>
      </c>
    </row>
    <row r="122" spans="1:8" x14ac:dyDescent="0.2">
      <c r="A122" s="1" t="s">
        <v>190</v>
      </c>
      <c r="B122" s="1">
        <v>6980</v>
      </c>
      <c r="C122" s="1">
        <v>11353</v>
      </c>
      <c r="D122" s="1">
        <f t="shared" si="2"/>
        <v>-4373</v>
      </c>
      <c r="E122" s="1">
        <v>157.12908136279799</v>
      </c>
      <c r="F122" s="1">
        <f t="shared" si="3"/>
        <v>1.6142050040365875E-3</v>
      </c>
      <c r="G122" s="1">
        <v>6.4095029835444999</v>
      </c>
      <c r="H122" s="1">
        <v>93196.024815594006</v>
      </c>
    </row>
    <row r="123" spans="1:8" x14ac:dyDescent="0.2">
      <c r="A123" s="1" t="s">
        <v>191</v>
      </c>
      <c r="B123" s="1">
        <v>6508</v>
      </c>
      <c r="C123" s="1">
        <v>11879</v>
      </c>
      <c r="D123" s="1">
        <f t="shared" si="2"/>
        <v>-5371</v>
      </c>
      <c r="E123" s="1">
        <v>158.01538560900201</v>
      </c>
      <c r="F123" s="1">
        <f t="shared" si="3"/>
        <v>5.6406124093452631E-3</v>
      </c>
      <c r="G123" s="1">
        <v>6.4800728937637402</v>
      </c>
      <c r="H123" s="1">
        <v>92970.788574663093</v>
      </c>
    </row>
    <row r="124" spans="1:8" x14ac:dyDescent="0.2">
      <c r="A124" s="1" t="s">
        <v>192</v>
      </c>
      <c r="B124" s="1">
        <v>7187</v>
      </c>
      <c r="C124" s="1">
        <v>12473</v>
      </c>
      <c r="D124" s="1">
        <f t="shared" si="2"/>
        <v>-5286</v>
      </c>
      <c r="E124" s="1">
        <v>158.901689855207</v>
      </c>
      <c r="F124" s="1">
        <f t="shared" si="3"/>
        <v>5.6089743589784599E-3</v>
      </c>
      <c r="G124" s="1">
        <v>6.4999457548858599</v>
      </c>
      <c r="H124" s="1">
        <v>91657.262726839297</v>
      </c>
    </row>
    <row r="125" spans="1:8" x14ac:dyDescent="0.2">
      <c r="A125" s="1" t="s">
        <v>193</v>
      </c>
      <c r="B125" s="1">
        <v>7825</v>
      </c>
      <c r="C125" s="1">
        <v>13459</v>
      </c>
      <c r="D125" s="1">
        <f t="shared" si="2"/>
        <v>-5634</v>
      </c>
      <c r="E125" s="1">
        <v>159.02830474752099</v>
      </c>
      <c r="F125" s="1">
        <f t="shared" si="3"/>
        <v>7.9681274899825202E-4</v>
      </c>
      <c r="G125" s="1">
        <v>6.5</v>
      </c>
      <c r="H125" s="1">
        <v>93536.018025212194</v>
      </c>
    </row>
    <row r="126" spans="1:8" x14ac:dyDescent="0.2">
      <c r="A126" s="1" t="s">
        <v>194</v>
      </c>
      <c r="B126" s="1">
        <v>6892</v>
      </c>
      <c r="C126" s="1">
        <v>13678</v>
      </c>
      <c r="D126" s="1">
        <f t="shared" si="2"/>
        <v>-6786</v>
      </c>
      <c r="E126" s="1">
        <v>158.901689855207</v>
      </c>
      <c r="F126" s="1">
        <f t="shared" si="3"/>
        <v>-7.9617834394332166E-4</v>
      </c>
      <c r="G126" s="1">
        <v>6.5148816815144803</v>
      </c>
      <c r="H126" s="1">
        <v>92403.414042190605</v>
      </c>
    </row>
    <row r="127" spans="1:8" x14ac:dyDescent="0.2">
      <c r="A127" s="1" t="s">
        <v>195</v>
      </c>
      <c r="B127" s="1">
        <v>7258</v>
      </c>
      <c r="C127" s="1">
        <v>12800</v>
      </c>
      <c r="D127" s="1">
        <f t="shared" si="2"/>
        <v>-5542</v>
      </c>
      <c r="E127" s="1">
        <v>159.02830474752099</v>
      </c>
      <c r="F127" s="1">
        <f t="shared" si="3"/>
        <v>7.9681274899825202E-4</v>
      </c>
      <c r="G127" s="1">
        <v>6.5179597631799497</v>
      </c>
      <c r="H127" s="1">
        <v>94993.846828106005</v>
      </c>
    </row>
    <row r="128" spans="1:8" x14ac:dyDescent="0.2">
      <c r="A128" s="1" t="s">
        <v>196</v>
      </c>
      <c r="B128" s="1">
        <v>8250</v>
      </c>
      <c r="C128" s="1">
        <v>13500</v>
      </c>
      <c r="D128" s="1">
        <f t="shared" si="2"/>
        <v>-5250</v>
      </c>
      <c r="E128" s="1">
        <v>160</v>
      </c>
      <c r="F128" s="1">
        <f t="shared" si="3"/>
        <v>6.1102031743450122E-3</v>
      </c>
      <c r="G128" s="1">
        <v>6.5258998956244696</v>
      </c>
      <c r="H128" s="1">
        <v>95281.1995192717</v>
      </c>
    </row>
    <row r="129" spans="1:8" x14ac:dyDescent="0.2">
      <c r="A129" s="1" t="s">
        <v>197</v>
      </c>
      <c r="B129" s="1">
        <v>8350</v>
      </c>
      <c r="C129" s="1">
        <v>13290</v>
      </c>
      <c r="D129" s="1">
        <f t="shared" si="2"/>
        <v>-4940</v>
      </c>
      <c r="E129" s="1">
        <v>161</v>
      </c>
      <c r="F129" s="1">
        <f t="shared" si="3"/>
        <v>6.2500000000000003E-3</v>
      </c>
      <c r="G129" s="1">
        <v>6.5258998956244696</v>
      </c>
      <c r="H129" s="1">
        <v>96281.1995192717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27DBD-BA69-D445-BC43-6F183D46179A}">
  <dimension ref="A1:P218"/>
  <sheetViews>
    <sheetView zoomScale="84" workbookViewId="0">
      <selection activeCell="C4" sqref="C4"/>
    </sheetView>
  </sheetViews>
  <sheetFormatPr baseColWidth="10" defaultRowHeight="16" x14ac:dyDescent="0.2"/>
  <cols>
    <col min="2" max="2" width="12" customWidth="1"/>
    <col min="3" max="3" width="20.6640625" customWidth="1"/>
    <col min="4" max="4" width="12.33203125" customWidth="1"/>
    <col min="7" max="7" width="8.6640625" customWidth="1"/>
  </cols>
  <sheetData>
    <row r="1" spans="1:16" x14ac:dyDescent="0.2">
      <c r="A1" s="64" t="s">
        <v>219</v>
      </c>
      <c r="B1" s="64" t="s">
        <v>210</v>
      </c>
      <c r="C1" s="124" t="s">
        <v>220</v>
      </c>
      <c r="D1" s="67" t="s">
        <v>277</v>
      </c>
      <c r="G1" s="1" t="s">
        <v>11</v>
      </c>
      <c r="H1" s="1" t="s">
        <v>210</v>
      </c>
      <c r="I1" s="1" t="s">
        <v>220</v>
      </c>
      <c r="J1" s="1" t="s">
        <v>277</v>
      </c>
      <c r="M1" s="1" t="s">
        <v>11</v>
      </c>
      <c r="N1" s="1" t="s">
        <v>210</v>
      </c>
      <c r="O1" s="1" t="s">
        <v>220</v>
      </c>
      <c r="P1" s="1" t="s">
        <v>277</v>
      </c>
    </row>
    <row r="2" spans="1:16" x14ac:dyDescent="0.2">
      <c r="A2" s="68">
        <v>41609</v>
      </c>
      <c r="B2" s="42">
        <v>2.2200000000000001E-2</v>
      </c>
      <c r="C2" s="44">
        <v>4.7551117451260102E-5</v>
      </c>
      <c r="D2" s="60">
        <f>C2/B2</f>
        <v>2.1419422275342388E-3</v>
      </c>
      <c r="G2" s="1">
        <v>2025</v>
      </c>
      <c r="H2" s="60">
        <f>AVERAGE(B135:B146)</f>
        <v>1.7124566882414326E-2</v>
      </c>
      <c r="I2" s="60">
        <f t="shared" ref="I2:J2" si="0">AVERAGE(C135:C146)</f>
        <v>4.2380772843817958E-5</v>
      </c>
      <c r="J2" s="60">
        <f t="shared" si="0"/>
        <v>2.4748434782846649E-3</v>
      </c>
      <c r="M2" s="1">
        <v>2014</v>
      </c>
      <c r="N2" s="60">
        <f>AVERAGE(B3:B14)</f>
        <v>2.2575000000000001E-2</v>
      </c>
      <c r="O2" s="60">
        <f t="shared" ref="O2:P2" si="1">AVERAGE(C3:C14)</f>
        <v>4.4789801545261968E-5</v>
      </c>
      <c r="P2" s="60">
        <f t="shared" si="1"/>
        <v>1.986179687716872E-3</v>
      </c>
    </row>
    <row r="3" spans="1:16" x14ac:dyDescent="0.2">
      <c r="A3" s="68">
        <v>41640</v>
      </c>
      <c r="B3" s="42">
        <v>2.24E-2</v>
      </c>
      <c r="C3" s="44">
        <v>4.752625825768737E-5</v>
      </c>
      <c r="D3" s="60">
        <f t="shared" ref="D3:D66" si="2">C3/B3</f>
        <v>2.1217079579324721E-3</v>
      </c>
      <c r="G3" s="1">
        <v>2026</v>
      </c>
      <c r="H3" s="60">
        <f>AVERAGE(B147:B158)</f>
        <v>1.6686792986633846E-2</v>
      </c>
      <c r="I3" s="60">
        <f t="shared" ref="I3:J3" si="3">AVERAGE(C147:C158)</f>
        <v>4.2286752957092185E-5</v>
      </c>
      <c r="J3" s="60">
        <f t="shared" si="3"/>
        <v>2.534148169518862E-3</v>
      </c>
      <c r="M3" s="3">
        <v>2015</v>
      </c>
      <c r="N3" s="130">
        <f>AVERAGE(B15:B26)</f>
        <v>2.1833333333333333E-2</v>
      </c>
      <c r="O3" s="130">
        <f t="shared" ref="O3:P3" si="4">AVERAGE(C15:C26)</f>
        <v>4.5980168319847471E-5</v>
      </c>
      <c r="P3" s="130">
        <f t="shared" si="4"/>
        <v>2.1065462431360941E-3</v>
      </c>
    </row>
    <row r="4" spans="1:16" x14ac:dyDescent="0.2">
      <c r="A4" s="68">
        <v>41671</v>
      </c>
      <c r="B4" s="42">
        <v>2.23E-2</v>
      </c>
      <c r="C4" s="44">
        <v>4.7505938242280282E-5</v>
      </c>
      <c r="D4" s="60">
        <f t="shared" si="2"/>
        <v>2.13031113194082E-3</v>
      </c>
      <c r="G4" s="1">
        <v>2027</v>
      </c>
      <c r="H4" s="60">
        <f>AVERAGE(B159:B170)</f>
        <v>1.6247080274747406E-2</v>
      </c>
      <c r="I4" s="60">
        <f t="shared" ref="I4:J4" si="5">AVERAGE(C159:C170)</f>
        <v>4.091552059015336E-5</v>
      </c>
      <c r="J4" s="60">
        <f t="shared" si="5"/>
        <v>2.5183916339580783E-3</v>
      </c>
      <c r="M4" s="1">
        <v>2016</v>
      </c>
      <c r="N4" s="125">
        <f>AVERAGE(B27:B38)</f>
        <v>2.0983333333333336E-2</v>
      </c>
      <c r="O4" s="125">
        <f t="shared" ref="O4:P4" si="6">AVERAGE(C27:C38)</f>
        <v>4.5088419760969025E-5</v>
      </c>
      <c r="P4" s="125">
        <f t="shared" si="6"/>
        <v>2.1499993788866019E-3</v>
      </c>
    </row>
    <row r="5" spans="1:16" x14ac:dyDescent="0.2">
      <c r="A5" s="68">
        <v>41699</v>
      </c>
      <c r="B5" s="42">
        <v>2.2499999999999999E-2</v>
      </c>
      <c r="C5" s="44">
        <v>4.7510452299505891E-5</v>
      </c>
      <c r="D5" s="60">
        <f t="shared" si="2"/>
        <v>2.1115756577558173E-3</v>
      </c>
      <c r="G5" s="1">
        <v>2028</v>
      </c>
      <c r="H5" s="60">
        <f>AVERAGE(B171:B182)</f>
        <v>1.5806812158744583E-2</v>
      </c>
      <c r="I5" s="60">
        <f t="shared" ref="I5:J5" si="7">AVERAGE(C171:C182)</f>
        <v>3.9899269703425309E-5</v>
      </c>
      <c r="J5" s="60">
        <f t="shared" si="7"/>
        <v>2.5241462357055832E-3</v>
      </c>
      <c r="M5" s="3">
        <v>2017</v>
      </c>
      <c r="N5" s="130">
        <f>AVERAGE(B39:B40)</f>
        <v>0.02</v>
      </c>
      <c r="O5" s="130">
        <f t="shared" ref="O5:P5" si="8">AVERAGE(C39:C40)</f>
        <v>4.4560087946518049E-5</v>
      </c>
      <c r="P5" s="130">
        <f t="shared" si="8"/>
        <v>2.2280043973259027E-3</v>
      </c>
    </row>
    <row r="6" spans="1:16" x14ac:dyDescent="0.2">
      <c r="A6" s="68">
        <v>41730</v>
      </c>
      <c r="B6" s="42">
        <v>2.2800000000000001E-2</v>
      </c>
      <c r="C6" s="44">
        <v>3.1152647975077901E-5</v>
      </c>
      <c r="D6" s="60">
        <f t="shared" si="2"/>
        <v>1.3663442094332412E-3</v>
      </c>
      <c r="G6" s="1">
        <v>2029</v>
      </c>
      <c r="H6" s="60">
        <f>AVERAGE(B183:B194)</f>
        <v>1.5576997650762122E-2</v>
      </c>
      <c r="I6" s="60">
        <f t="shared" ref="I6:J6" si="9">AVERAGE(C183:C194)</f>
        <v>3.9561772996478712E-5</v>
      </c>
      <c r="J6" s="60">
        <f t="shared" si="9"/>
        <v>2.5400048043668706E-3</v>
      </c>
      <c r="M6" s="1">
        <v>2018</v>
      </c>
      <c r="N6" s="60">
        <f>AVERAGE(B41:B52)</f>
        <v>1.965833333333333E-2</v>
      </c>
      <c r="O6" s="60">
        <f t="shared" ref="O6:P6" si="10">AVERAGE(C41:C52)</f>
        <v>4.4404635606288858E-5</v>
      </c>
      <c r="P6" s="60">
        <f t="shared" si="10"/>
        <v>2.2592447163903365E-3</v>
      </c>
    </row>
    <row r="7" spans="1:16" x14ac:dyDescent="0.2">
      <c r="A7" s="68">
        <v>41760</v>
      </c>
      <c r="B7" s="42">
        <v>2.29E-2</v>
      </c>
      <c r="C7" s="44">
        <v>4.7415836889521102E-5</v>
      </c>
      <c r="D7" s="60">
        <f t="shared" si="2"/>
        <v>2.0705605628611834E-3</v>
      </c>
      <c r="G7" s="1">
        <v>2030</v>
      </c>
      <c r="H7" s="60">
        <f>AVERAGE(B195:B206)</f>
        <v>1.5677338360614454E-2</v>
      </c>
      <c r="I7" s="60">
        <f t="shared" ref="I7:J7" si="11">AVERAGE(C195:C206)</f>
        <v>3.8955532349634795E-5</v>
      </c>
      <c r="J7" s="60">
        <f t="shared" si="11"/>
        <v>2.4856200936229683E-3</v>
      </c>
      <c r="M7" s="3">
        <v>2019</v>
      </c>
      <c r="N7" s="130">
        <f>AVERAGE(B53:B64)</f>
        <v>1.8966666666666666E-2</v>
      </c>
      <c r="O7" s="130">
        <f t="shared" ref="O7:P7" si="12">AVERAGE(C53:C64)</f>
        <v>4.329008391596785E-5</v>
      </c>
      <c r="P7" s="130">
        <f t="shared" si="12"/>
        <v>2.2827594469826597E-3</v>
      </c>
    </row>
    <row r="8" spans="1:16" x14ac:dyDescent="0.2">
      <c r="A8" s="68">
        <v>41791</v>
      </c>
      <c r="B8" s="42">
        <v>2.3099999999999999E-2</v>
      </c>
      <c r="C8" s="44">
        <v>4.7167586434602143E-5</v>
      </c>
      <c r="D8" s="60">
        <f t="shared" si="2"/>
        <v>2.0418868586407853E-3</v>
      </c>
      <c r="G8" s="1">
        <v>2031</v>
      </c>
      <c r="H8" s="60">
        <f>AVERAGE(B207:B218)</f>
        <v>1.5971608440589528E-2</v>
      </c>
      <c r="I8" s="60">
        <f t="shared" ref="I8:J8" si="13">AVERAGE(C207:C218)</f>
        <v>3.7836505666359698E-5</v>
      </c>
      <c r="J8" s="60">
        <f t="shared" si="13"/>
        <v>2.3692425232138895E-3</v>
      </c>
      <c r="M8" s="1">
        <v>2020</v>
      </c>
      <c r="N8" s="60">
        <f>AVERAGE(B65:B76)</f>
        <v>1.9508333333333332E-2</v>
      </c>
      <c r="O8" s="60">
        <f t="shared" ref="O8:P8" si="14">AVERAGE(C65:C76)</f>
        <v>4.3109036180443024E-5</v>
      </c>
      <c r="P8" s="60">
        <f t="shared" si="14"/>
        <v>2.2100070847976896E-3</v>
      </c>
    </row>
    <row r="9" spans="1:16" x14ac:dyDescent="0.2">
      <c r="A9" s="68">
        <v>41821</v>
      </c>
      <c r="B9" s="42">
        <v>2.3E-2</v>
      </c>
      <c r="C9" s="44">
        <v>3.1142946122703201E-5</v>
      </c>
      <c r="D9" s="60">
        <f t="shared" si="2"/>
        <v>1.3540411357697043E-3</v>
      </c>
      <c r="M9" s="3">
        <v>2021</v>
      </c>
      <c r="N9" s="131">
        <f>AVERAGE(B77:B88)</f>
        <v>2.0458333333333332E-2</v>
      </c>
      <c r="O9" s="131">
        <f t="shared" ref="O9:P9" si="15">AVERAGE(C77:C88)</f>
        <v>4.3062594502838541E-5</v>
      </c>
      <c r="P9" s="131">
        <f t="shared" si="15"/>
        <v>2.1053873606490898E-3</v>
      </c>
    </row>
    <row r="10" spans="1:16" x14ac:dyDescent="0.2">
      <c r="A10" s="68">
        <v>41852</v>
      </c>
      <c r="B10" s="42">
        <v>2.23E-2</v>
      </c>
      <c r="C10" s="44">
        <v>4.7666714333381001E-5</v>
      </c>
      <c r="D10" s="60">
        <f t="shared" si="2"/>
        <v>2.1375208221247085E-3</v>
      </c>
      <c r="M10" s="1">
        <v>2022</v>
      </c>
      <c r="N10" s="60">
        <f>AVERAGE(B89:B100)</f>
        <v>1.990833333333333E-2</v>
      </c>
      <c r="O10" s="60">
        <f t="shared" ref="O10:P10" si="16">AVERAGE(C89:C100)</f>
        <v>4.3741303590167457E-5</v>
      </c>
      <c r="P10" s="60">
        <f t="shared" si="16"/>
        <v>2.1987338998408902E-3</v>
      </c>
    </row>
    <row r="11" spans="1:16" x14ac:dyDescent="0.2">
      <c r="A11" s="68">
        <v>41883</v>
      </c>
      <c r="B11" s="42">
        <v>2.23E-2</v>
      </c>
      <c r="C11" s="44">
        <v>4.7961630695443642E-5</v>
      </c>
      <c r="D11" s="60">
        <f t="shared" si="2"/>
        <v>2.1507457710961274E-3</v>
      </c>
      <c r="M11" s="3">
        <v>2023</v>
      </c>
      <c r="N11" s="130">
        <f>AVERAGE(B101:B112)</f>
        <v>1.8074999999999997E-2</v>
      </c>
      <c r="O11" s="130">
        <f t="shared" ref="O11:P11" si="17">AVERAGE(C101:C112)</f>
        <v>4.2386031106508215E-5</v>
      </c>
      <c r="P11" s="130">
        <f t="shared" si="17"/>
        <v>2.3465450100527549E-3</v>
      </c>
    </row>
    <row r="12" spans="1:16" x14ac:dyDescent="0.2">
      <c r="A12" s="68">
        <v>41913</v>
      </c>
      <c r="B12" s="42">
        <v>2.2200000000000001E-2</v>
      </c>
      <c r="C12" s="44">
        <v>4.7487890587900086E-5</v>
      </c>
      <c r="D12" s="60">
        <f t="shared" si="2"/>
        <v>2.1390941706261298E-3</v>
      </c>
      <c r="M12" s="1">
        <v>2024</v>
      </c>
      <c r="N12" s="60">
        <f>AVERAGE(B123:B2134)</f>
        <v>1.6319788888275955E-2</v>
      </c>
      <c r="O12" s="60">
        <f t="shared" ref="O12:P12" si="18">AVERAGE(C123:C2134)</f>
        <v>4.0451707908849497E-5</v>
      </c>
      <c r="P12" s="60">
        <f t="shared" si="18"/>
        <v>2.4797679074661147E-3</v>
      </c>
    </row>
    <row r="13" spans="1:16" x14ac:dyDescent="0.2">
      <c r="A13" s="68">
        <v>41944</v>
      </c>
      <c r="B13" s="42">
        <v>2.24E-2</v>
      </c>
      <c r="C13" s="44">
        <v>4.7460844803037492E-5</v>
      </c>
      <c r="D13" s="60">
        <f t="shared" si="2"/>
        <v>2.1187877144213168E-3</v>
      </c>
      <c r="M13" s="3">
        <v>2025</v>
      </c>
      <c r="N13" s="130">
        <f>AVERAGE(B135:B146)</f>
        <v>1.7124566882414326E-2</v>
      </c>
      <c r="O13" s="130">
        <f t="shared" ref="O13:P13" si="19">AVERAGE(C135:C146)</f>
        <v>4.2380772843817958E-5</v>
      </c>
      <c r="P13" s="130">
        <f t="shared" si="19"/>
        <v>2.4748434782846649E-3</v>
      </c>
    </row>
    <row r="14" spans="1:16" x14ac:dyDescent="0.2">
      <c r="A14" s="68">
        <v>41974</v>
      </c>
      <c r="B14" s="42">
        <v>2.2700000000000001E-2</v>
      </c>
      <c r="C14" s="44">
        <v>4.7478871902003608E-5</v>
      </c>
      <c r="D14" s="60">
        <f t="shared" si="2"/>
        <v>2.091580260000159E-3</v>
      </c>
      <c r="M14" s="1">
        <v>2026</v>
      </c>
      <c r="N14" s="60">
        <f>AVERAGE(B147:B158)</f>
        <v>1.6686792986633846E-2</v>
      </c>
      <c r="O14" s="60">
        <f t="shared" ref="O14:P14" si="20">AVERAGE(C147:C158)</f>
        <v>4.2286752957092185E-5</v>
      </c>
      <c r="P14" s="60">
        <f t="shared" si="20"/>
        <v>2.534148169518862E-3</v>
      </c>
    </row>
    <row r="15" spans="1:16" x14ac:dyDescent="0.2">
      <c r="A15" s="68">
        <v>42005</v>
      </c>
      <c r="B15" s="42">
        <v>2.2700000000000001E-2</v>
      </c>
      <c r="C15" s="44">
        <v>4.7451836386068141E-5</v>
      </c>
      <c r="D15" s="60">
        <f t="shared" si="2"/>
        <v>2.0903892681087286E-3</v>
      </c>
      <c r="M15" s="3">
        <v>2027</v>
      </c>
      <c r="N15" s="132">
        <f>AVERAGE(B159:B170)</f>
        <v>1.6247080274747406E-2</v>
      </c>
      <c r="O15" s="132">
        <f t="shared" ref="O15:P15" si="21">AVERAGE(C159:C170)</f>
        <v>4.091552059015336E-5</v>
      </c>
      <c r="P15" s="132">
        <f t="shared" si="21"/>
        <v>2.5183916339580783E-3</v>
      </c>
    </row>
    <row r="16" spans="1:16" x14ac:dyDescent="0.2">
      <c r="A16" s="68">
        <v>42036</v>
      </c>
      <c r="B16" s="42">
        <v>2.24E-2</v>
      </c>
      <c r="C16" s="44">
        <v>4.7655356462066336E-5</v>
      </c>
      <c r="D16" s="60">
        <f t="shared" si="2"/>
        <v>2.1274712706279616E-3</v>
      </c>
      <c r="M16" s="1">
        <v>2028</v>
      </c>
      <c r="N16" s="60">
        <f>AVERAGE(B171:B182)</f>
        <v>1.5806812158744583E-2</v>
      </c>
      <c r="O16" s="60">
        <f t="shared" ref="O16:P16" si="22">AVERAGE(C171:C182)</f>
        <v>3.9899269703425309E-5</v>
      </c>
      <c r="P16" s="60">
        <f t="shared" si="22"/>
        <v>2.5241462357055832E-3</v>
      </c>
    </row>
    <row r="17" spans="1:16" x14ac:dyDescent="0.2">
      <c r="A17" s="68">
        <v>42064</v>
      </c>
      <c r="B17" s="42">
        <v>2.2700000000000001E-2</v>
      </c>
      <c r="C17" s="44">
        <v>4.7200981780421035E-5</v>
      </c>
      <c r="D17" s="60">
        <f t="shared" si="2"/>
        <v>2.0793384044238339E-3</v>
      </c>
      <c r="M17" s="3">
        <v>2029</v>
      </c>
      <c r="N17" s="130">
        <f>AVERAGE(B183:B194)</f>
        <v>1.5576997650762122E-2</v>
      </c>
      <c r="O17" s="130">
        <f t="shared" ref="O17:P17" si="23">AVERAGE(C183:C194)</f>
        <v>3.9561772996478712E-5</v>
      </c>
      <c r="P17" s="130">
        <f t="shared" si="23"/>
        <v>2.5400048043668706E-3</v>
      </c>
    </row>
    <row r="18" spans="1:16" x14ac:dyDescent="0.2">
      <c r="A18" s="68">
        <v>42095</v>
      </c>
      <c r="B18" s="42">
        <v>2.2499999999999999E-2</v>
      </c>
      <c r="C18" s="44">
        <v>4.6349942062572421E-5</v>
      </c>
      <c r="D18" s="60">
        <f t="shared" si="2"/>
        <v>2.0599974250032189E-3</v>
      </c>
      <c r="M18" s="1">
        <v>2030</v>
      </c>
      <c r="N18" s="125">
        <f>AVERAGE(B195:B206)</f>
        <v>1.5677338360614454E-2</v>
      </c>
      <c r="O18" s="125">
        <f t="shared" ref="O18:P18" si="24">AVERAGE(C195:C206)</f>
        <v>3.8955532349634795E-5</v>
      </c>
      <c r="P18" s="125">
        <f t="shared" si="24"/>
        <v>2.4856200936229683E-3</v>
      </c>
    </row>
    <row r="19" spans="1:16" x14ac:dyDescent="0.2">
      <c r="A19" s="68">
        <v>42125</v>
      </c>
      <c r="B19" s="42">
        <v>2.2200000000000001E-2</v>
      </c>
      <c r="C19" s="44">
        <v>4.5903144365389032E-5</v>
      </c>
      <c r="D19" s="60">
        <f t="shared" si="2"/>
        <v>2.0677092056481544E-3</v>
      </c>
      <c r="M19" s="3">
        <v>2031</v>
      </c>
      <c r="N19" s="130">
        <f>AVERAGE(B207:B218)</f>
        <v>1.5971608440589528E-2</v>
      </c>
      <c r="O19" s="130">
        <f t="shared" ref="O19:P19" si="25">AVERAGE(C207:C218)</f>
        <v>3.7836505666359698E-5</v>
      </c>
      <c r="P19" s="130">
        <f t="shared" si="25"/>
        <v>2.3692425232138895E-3</v>
      </c>
    </row>
    <row r="20" spans="1:16" x14ac:dyDescent="0.2">
      <c r="A20" s="68">
        <v>42156</v>
      </c>
      <c r="B20" s="42">
        <v>2.1899999999999999E-2</v>
      </c>
      <c r="C20" s="44">
        <v>4.5903144365389032E-5</v>
      </c>
      <c r="D20" s="60">
        <f t="shared" si="2"/>
        <v>2.0960339892871706E-3</v>
      </c>
    </row>
    <row r="21" spans="1:16" x14ac:dyDescent="0.2">
      <c r="A21" s="68">
        <v>42186</v>
      </c>
      <c r="B21" s="42">
        <v>2.1399999999999999E-2</v>
      </c>
      <c r="C21" s="44">
        <v>4.658746797111577E-5</v>
      </c>
      <c r="D21" s="60">
        <f t="shared" si="2"/>
        <v>2.1769844846315782E-3</v>
      </c>
    </row>
    <row r="22" spans="1:16" x14ac:dyDescent="0.2">
      <c r="A22" s="68">
        <v>42217</v>
      </c>
      <c r="B22" s="42">
        <v>2.1399999999999999E-2</v>
      </c>
      <c r="C22" s="44">
        <v>4.5189570247186951E-5</v>
      </c>
      <c r="D22" s="60">
        <f t="shared" si="2"/>
        <v>2.1116621610835027E-3</v>
      </c>
    </row>
    <row r="23" spans="1:16" x14ac:dyDescent="0.2">
      <c r="A23" s="68">
        <v>42248</v>
      </c>
      <c r="B23" s="42">
        <v>2.1399999999999999E-2</v>
      </c>
      <c r="C23" s="44">
        <v>4.5238633793259441E-5</v>
      </c>
      <c r="D23" s="60">
        <f t="shared" si="2"/>
        <v>2.1139548501523104E-3</v>
      </c>
    </row>
    <row r="24" spans="1:16" x14ac:dyDescent="0.2">
      <c r="A24" s="68">
        <v>42278</v>
      </c>
      <c r="B24" s="42">
        <v>2.12E-2</v>
      </c>
      <c r="C24" s="44">
        <v>4.4000528006336101E-5</v>
      </c>
      <c r="D24" s="60">
        <f t="shared" si="2"/>
        <v>2.0754966040724574E-3</v>
      </c>
    </row>
    <row r="25" spans="1:16" x14ac:dyDescent="0.2">
      <c r="A25" s="68">
        <v>42309</v>
      </c>
      <c r="B25" s="42">
        <v>2.1399999999999999E-2</v>
      </c>
      <c r="C25" s="44">
        <v>4.5205912933411693E-5</v>
      </c>
      <c r="D25" s="60">
        <f t="shared" si="2"/>
        <v>2.1124258380098922E-3</v>
      </c>
    </row>
    <row r="26" spans="1:16" x14ac:dyDescent="0.2">
      <c r="A26" s="68">
        <v>42339</v>
      </c>
      <c r="B26" s="42">
        <v>2.0799999999999999E-2</v>
      </c>
      <c r="C26" s="44">
        <v>4.5075501464953795E-5</v>
      </c>
      <c r="D26" s="60">
        <f t="shared" si="2"/>
        <v>2.1670914165843173E-3</v>
      </c>
    </row>
    <row r="27" spans="1:16" x14ac:dyDescent="0.2">
      <c r="A27" s="68">
        <v>42370</v>
      </c>
      <c r="B27" s="42">
        <v>2.1100000000000001E-2</v>
      </c>
      <c r="C27" s="44">
        <v>4.3900083410158503E-5</v>
      </c>
      <c r="D27" s="60">
        <f t="shared" si="2"/>
        <v>2.0805726734672274E-3</v>
      </c>
    </row>
    <row r="28" spans="1:16" x14ac:dyDescent="0.2">
      <c r="A28" s="68">
        <v>42401</v>
      </c>
      <c r="B28" s="42">
        <v>2.1899999999999999E-2</v>
      </c>
      <c r="C28" s="44">
        <v>4.5576774075930902E-5</v>
      </c>
      <c r="D28" s="60">
        <f t="shared" si="2"/>
        <v>2.0811312363438767E-3</v>
      </c>
    </row>
    <row r="29" spans="1:16" x14ac:dyDescent="0.2">
      <c r="A29" s="68">
        <v>42430</v>
      </c>
      <c r="B29" s="42">
        <v>2.1299999999999999E-2</v>
      </c>
      <c r="C29" s="44">
        <v>4.5591319412783804E-5</v>
      </c>
      <c r="D29" s="60">
        <f t="shared" si="2"/>
        <v>2.1404375311166106E-3</v>
      </c>
    </row>
    <row r="30" spans="1:16" x14ac:dyDescent="0.2">
      <c r="A30" s="68">
        <v>42461</v>
      </c>
      <c r="B30" s="42">
        <v>2.1399999999999999E-2</v>
      </c>
      <c r="C30" s="44">
        <v>4.5789642382892991E-5</v>
      </c>
      <c r="D30" s="60">
        <f t="shared" si="2"/>
        <v>2.1397029150884575E-3</v>
      </c>
    </row>
    <row r="31" spans="1:16" x14ac:dyDescent="0.2">
      <c r="A31" s="68">
        <v>42491</v>
      </c>
      <c r="B31" s="42">
        <v>2.1399999999999999E-2</v>
      </c>
      <c r="C31" s="44">
        <v>4.5413260672116258E-5</v>
      </c>
      <c r="D31" s="60">
        <f t="shared" si="2"/>
        <v>2.1221149846783298E-3</v>
      </c>
    </row>
    <row r="32" spans="1:16" x14ac:dyDescent="0.2">
      <c r="A32" s="68">
        <v>42522</v>
      </c>
      <c r="B32" s="42">
        <v>2.1299999999999999E-2</v>
      </c>
      <c r="C32" s="44">
        <v>4.5396767750136188E-5</v>
      </c>
      <c r="D32" s="60">
        <f t="shared" si="2"/>
        <v>2.1313036502411354E-3</v>
      </c>
    </row>
    <row r="33" spans="1:4" x14ac:dyDescent="0.2">
      <c r="A33" s="68">
        <v>42552</v>
      </c>
      <c r="B33" s="42">
        <v>2.1499999999999998E-2</v>
      </c>
      <c r="C33" s="44">
        <v>4.4399058739954699E-5</v>
      </c>
      <c r="D33" s="60">
        <f t="shared" si="2"/>
        <v>2.0650724995327769E-3</v>
      </c>
    </row>
    <row r="34" spans="1:4" x14ac:dyDescent="0.2">
      <c r="A34" s="68">
        <v>42583</v>
      </c>
      <c r="B34" s="42">
        <v>2.0799999999999999E-2</v>
      </c>
      <c r="C34" s="44">
        <v>4.5626682483916596E-5</v>
      </c>
      <c r="D34" s="60">
        <f t="shared" si="2"/>
        <v>2.1935905040344518E-3</v>
      </c>
    </row>
    <row r="35" spans="1:4" x14ac:dyDescent="0.2">
      <c r="A35" s="68">
        <v>42614</v>
      </c>
      <c r="B35" s="42">
        <v>2.06E-2</v>
      </c>
      <c r="C35" s="44">
        <v>4.5877873101803002E-5</v>
      </c>
      <c r="D35" s="60">
        <f t="shared" si="2"/>
        <v>2.2270812185341262E-3</v>
      </c>
    </row>
    <row r="36" spans="1:4" x14ac:dyDescent="0.2">
      <c r="A36" s="68">
        <v>42644</v>
      </c>
      <c r="B36" s="42">
        <v>2.0199999999999999E-2</v>
      </c>
      <c r="C36" s="44">
        <v>4.5628764373060775E-5</v>
      </c>
      <c r="D36" s="60">
        <f t="shared" si="2"/>
        <v>2.2588497214386521E-3</v>
      </c>
    </row>
    <row r="37" spans="1:4" x14ac:dyDescent="0.2">
      <c r="A37" s="68">
        <v>42675</v>
      </c>
      <c r="B37" s="42">
        <v>2.0199999999999999E-2</v>
      </c>
      <c r="C37" s="44">
        <v>4.4861154726122651E-5</v>
      </c>
      <c r="D37" s="60">
        <f t="shared" si="2"/>
        <v>2.2208492438674579E-3</v>
      </c>
    </row>
    <row r="38" spans="1:4" x14ac:dyDescent="0.2">
      <c r="A38" s="68">
        <v>42705</v>
      </c>
      <c r="B38" s="42">
        <v>2.01E-2</v>
      </c>
      <c r="C38" s="44">
        <v>4.2999656002751997E-5</v>
      </c>
      <c r="D38" s="60">
        <f t="shared" si="2"/>
        <v>2.1392863682961191E-3</v>
      </c>
    </row>
    <row r="39" spans="1:4" x14ac:dyDescent="0.2">
      <c r="A39" s="68">
        <v>42736</v>
      </c>
      <c r="B39" s="42">
        <v>0.02</v>
      </c>
      <c r="C39" s="44">
        <v>4.5183444785830472E-5</v>
      </c>
      <c r="D39" s="60">
        <f t="shared" si="2"/>
        <v>2.2591722392915235E-3</v>
      </c>
    </row>
    <row r="40" spans="1:4" x14ac:dyDescent="0.2">
      <c r="A40" s="68">
        <v>42767</v>
      </c>
      <c r="B40" s="42">
        <v>0.02</v>
      </c>
      <c r="C40" s="44">
        <v>4.3936731107205627E-5</v>
      </c>
      <c r="D40" s="60">
        <f t="shared" si="2"/>
        <v>2.1968365553602814E-3</v>
      </c>
    </row>
    <row r="41" spans="1:4" x14ac:dyDescent="0.2">
      <c r="A41" s="68">
        <v>42795</v>
      </c>
      <c r="B41" s="42">
        <v>1.9900000000000001E-2</v>
      </c>
      <c r="C41" s="44">
        <v>4.4573211499888568E-5</v>
      </c>
      <c r="D41" s="60">
        <f t="shared" si="2"/>
        <v>2.2398598743662594E-3</v>
      </c>
    </row>
    <row r="42" spans="1:4" x14ac:dyDescent="0.2">
      <c r="A42" s="68">
        <v>42826</v>
      </c>
      <c r="B42" s="42">
        <v>2.01E-2</v>
      </c>
      <c r="C42" s="44">
        <v>4.3099732781656801E-5</v>
      </c>
      <c r="D42" s="60">
        <f t="shared" si="2"/>
        <v>2.1442653125202387E-3</v>
      </c>
    </row>
    <row r="43" spans="1:4" x14ac:dyDescent="0.2">
      <c r="A43" s="68">
        <v>42856</v>
      </c>
      <c r="B43" s="42">
        <v>1.9800000000000002E-2</v>
      </c>
      <c r="C43" s="44">
        <v>4.483500717360115E-5</v>
      </c>
      <c r="D43" s="60">
        <f t="shared" si="2"/>
        <v>2.2643943016970275E-3</v>
      </c>
    </row>
    <row r="44" spans="1:4" x14ac:dyDescent="0.2">
      <c r="A44" s="68">
        <v>42887</v>
      </c>
      <c r="B44" s="42">
        <v>1.9800000000000002E-2</v>
      </c>
      <c r="C44" s="44">
        <v>4.4766765153550001E-5</v>
      </c>
      <c r="D44" s="60">
        <f t="shared" si="2"/>
        <v>2.2609477350277775E-3</v>
      </c>
    </row>
    <row r="45" spans="1:4" x14ac:dyDescent="0.2">
      <c r="A45" s="68">
        <v>42917</v>
      </c>
      <c r="B45" s="42">
        <v>1.9599999999999999E-2</v>
      </c>
      <c r="C45" s="44">
        <v>4.5083630133898384E-5</v>
      </c>
      <c r="D45" s="60">
        <f t="shared" si="2"/>
        <v>2.3001852109131829E-3</v>
      </c>
    </row>
    <row r="46" spans="1:4" x14ac:dyDescent="0.2">
      <c r="A46" s="68">
        <v>42948</v>
      </c>
      <c r="B46" s="42">
        <v>1.95E-2</v>
      </c>
      <c r="C46" s="44">
        <v>4.4863167339614178E-5</v>
      </c>
      <c r="D46" s="60">
        <f t="shared" si="2"/>
        <v>2.3006752481853424E-3</v>
      </c>
    </row>
    <row r="47" spans="1:4" x14ac:dyDescent="0.2">
      <c r="A47" s="68">
        <v>42979</v>
      </c>
      <c r="B47" s="42">
        <v>1.9400000000000001E-2</v>
      </c>
      <c r="C47" s="44">
        <v>4.3099732781656801E-5</v>
      </c>
      <c r="D47" s="60">
        <f t="shared" si="2"/>
        <v>2.2216357103946802E-3</v>
      </c>
    </row>
    <row r="48" spans="1:4" x14ac:dyDescent="0.2">
      <c r="A48" s="68">
        <v>43009</v>
      </c>
      <c r="B48" s="42">
        <v>1.9900000000000001E-2</v>
      </c>
      <c r="C48" s="44">
        <v>4.4740727484228892E-5</v>
      </c>
      <c r="D48" s="60">
        <f t="shared" si="2"/>
        <v>2.2482777630265776E-3</v>
      </c>
    </row>
    <row r="49" spans="1:4" x14ac:dyDescent="0.2">
      <c r="A49" s="68">
        <v>43040</v>
      </c>
      <c r="B49" s="42">
        <v>0.02</v>
      </c>
      <c r="C49" s="44">
        <v>4.4893378226711559E-5</v>
      </c>
      <c r="D49" s="60">
        <f t="shared" si="2"/>
        <v>2.2446689113355778E-3</v>
      </c>
    </row>
    <row r="50" spans="1:4" x14ac:dyDescent="0.2">
      <c r="A50" s="68">
        <v>43070</v>
      </c>
      <c r="B50" s="42">
        <v>1.95E-2</v>
      </c>
      <c r="C50" s="44">
        <v>4.4756747079622256E-5</v>
      </c>
      <c r="D50" s="60">
        <f t="shared" si="2"/>
        <v>2.2952177989549877E-3</v>
      </c>
    </row>
    <row r="51" spans="1:4" x14ac:dyDescent="0.2">
      <c r="A51" s="68">
        <v>43101</v>
      </c>
      <c r="B51" s="42">
        <v>1.9199999999999998E-2</v>
      </c>
      <c r="C51" s="44">
        <v>4.4127119853599626E-5</v>
      </c>
      <c r="D51" s="60">
        <f t="shared" si="2"/>
        <v>2.2982874923749806E-3</v>
      </c>
    </row>
    <row r="52" spans="1:4" x14ac:dyDescent="0.2">
      <c r="A52" s="68">
        <v>43132</v>
      </c>
      <c r="B52" s="42">
        <v>1.9199999999999998E-2</v>
      </c>
      <c r="C52" s="44">
        <v>4.4016407767438149E-5</v>
      </c>
      <c r="D52" s="60">
        <f t="shared" si="2"/>
        <v>2.2925212378874038E-3</v>
      </c>
    </row>
    <row r="53" spans="1:4" x14ac:dyDescent="0.2">
      <c r="A53" s="68">
        <v>43160</v>
      </c>
      <c r="B53" s="42">
        <v>1.9400000000000001E-2</v>
      </c>
      <c r="C53" s="44">
        <v>4.3902202680629862E-5</v>
      </c>
      <c r="D53" s="60">
        <f t="shared" si="2"/>
        <v>2.2630001381767971E-3</v>
      </c>
    </row>
    <row r="54" spans="1:4" x14ac:dyDescent="0.2">
      <c r="A54" s="68">
        <v>43191</v>
      </c>
      <c r="B54" s="42">
        <v>1.9E-2</v>
      </c>
      <c r="C54" s="44">
        <v>4.3997624128297071E-5</v>
      </c>
      <c r="D54" s="60">
        <f t="shared" si="2"/>
        <v>2.3156644278051089E-3</v>
      </c>
    </row>
    <row r="55" spans="1:4" x14ac:dyDescent="0.2">
      <c r="A55" s="68">
        <v>43221</v>
      </c>
      <c r="B55" s="42">
        <v>1.8700000000000001E-2</v>
      </c>
      <c r="C55" s="44">
        <v>4.3821209465381244E-5</v>
      </c>
      <c r="D55" s="60">
        <f t="shared" si="2"/>
        <v>2.343380185314505E-3</v>
      </c>
    </row>
    <row r="56" spans="1:4" x14ac:dyDescent="0.2">
      <c r="A56" s="68">
        <v>43252</v>
      </c>
      <c r="B56" s="42">
        <v>1.89E-2</v>
      </c>
      <c r="C56" s="44">
        <v>4.3656683838295645E-5</v>
      </c>
      <c r="D56" s="60">
        <f t="shared" si="2"/>
        <v>2.3098774517616742E-3</v>
      </c>
    </row>
    <row r="57" spans="1:4" x14ac:dyDescent="0.2">
      <c r="A57" s="68">
        <v>43282</v>
      </c>
      <c r="B57" s="42">
        <v>1.8700000000000001E-2</v>
      </c>
      <c r="C57" s="44">
        <v>4.3061685865001613E-5</v>
      </c>
      <c r="D57" s="60">
        <f t="shared" si="2"/>
        <v>2.3027639500000862E-3</v>
      </c>
    </row>
    <row r="58" spans="1:4" x14ac:dyDescent="0.2">
      <c r="A58" s="68">
        <v>43313</v>
      </c>
      <c r="B58" s="42">
        <v>1.8599999999999998E-2</v>
      </c>
      <c r="C58" s="44">
        <v>4.2977479800584495E-5</v>
      </c>
      <c r="D58" s="60">
        <f t="shared" si="2"/>
        <v>2.310617193579812E-3</v>
      </c>
    </row>
    <row r="59" spans="1:4" x14ac:dyDescent="0.2">
      <c r="A59" s="68">
        <v>43344</v>
      </c>
      <c r="B59" s="42">
        <v>1.8700000000000001E-2</v>
      </c>
      <c r="C59" s="44">
        <v>4.289544235924933E-5</v>
      </c>
      <c r="D59" s="60">
        <f t="shared" si="2"/>
        <v>2.2938739229545094E-3</v>
      </c>
    </row>
    <row r="60" spans="1:4" x14ac:dyDescent="0.2">
      <c r="A60" s="68">
        <v>43374</v>
      </c>
      <c r="B60" s="42">
        <v>1.9099999999999999E-2</v>
      </c>
      <c r="C60" s="44">
        <v>4.2900042900042899E-5</v>
      </c>
      <c r="D60" s="60">
        <f t="shared" si="2"/>
        <v>2.2460755445048641E-3</v>
      </c>
    </row>
    <row r="61" spans="1:4" x14ac:dyDescent="0.2">
      <c r="A61" s="68">
        <v>43405</v>
      </c>
      <c r="B61" s="42">
        <v>1.9E-2</v>
      </c>
      <c r="C61" s="44">
        <v>4.2932274337233013E-5</v>
      </c>
      <c r="D61" s="60">
        <f t="shared" si="2"/>
        <v>2.2595933861701586E-3</v>
      </c>
    </row>
    <row r="62" spans="1:4" x14ac:dyDescent="0.2">
      <c r="A62" s="68">
        <v>43435</v>
      </c>
      <c r="B62" s="42">
        <v>1.9199999999999998E-2</v>
      </c>
      <c r="C62" s="44">
        <v>4.3114598603087008E-5</v>
      </c>
      <c r="D62" s="60">
        <f t="shared" si="2"/>
        <v>2.2455520105774487E-3</v>
      </c>
    </row>
    <row r="63" spans="1:4" x14ac:dyDescent="0.2">
      <c r="A63" s="68">
        <v>43466</v>
      </c>
      <c r="B63" s="42">
        <v>1.9300000000000001E-2</v>
      </c>
      <c r="C63" s="44">
        <v>4.3114598603087008E-5</v>
      </c>
      <c r="D63" s="60">
        <f t="shared" si="2"/>
        <v>2.2339170260666842E-3</v>
      </c>
    </row>
    <row r="64" spans="1:4" x14ac:dyDescent="0.2">
      <c r="A64" s="68">
        <v>43497</v>
      </c>
      <c r="B64" s="42">
        <v>1.9E-2</v>
      </c>
      <c r="C64" s="44">
        <v>4.3107164410725064E-5</v>
      </c>
      <c r="D64" s="60">
        <f t="shared" si="2"/>
        <v>2.2687981268802665E-3</v>
      </c>
    </row>
    <row r="65" spans="1:4" x14ac:dyDescent="0.2">
      <c r="A65" s="68">
        <v>43525</v>
      </c>
      <c r="B65" s="42">
        <v>1.9199999999999998E-2</v>
      </c>
      <c r="C65" s="44">
        <v>4.3107164410725064E-5</v>
      </c>
      <c r="D65" s="60">
        <f t="shared" si="2"/>
        <v>2.2451648130585975E-3</v>
      </c>
    </row>
    <row r="66" spans="1:4" x14ac:dyDescent="0.2">
      <c r="A66" s="68">
        <v>43556</v>
      </c>
      <c r="B66" s="42">
        <v>1.9199999999999998E-2</v>
      </c>
      <c r="C66" s="44">
        <v>4.3001689226757559E-5</v>
      </c>
      <c r="D66" s="60">
        <f t="shared" si="2"/>
        <v>2.2396713138936233E-3</v>
      </c>
    </row>
    <row r="67" spans="1:4" x14ac:dyDescent="0.2">
      <c r="A67" s="68">
        <v>43586</v>
      </c>
      <c r="B67" s="42">
        <v>1.9599999999999999E-2</v>
      </c>
      <c r="C67" s="44">
        <v>4.2766662285079565E-5</v>
      </c>
      <c r="D67" s="60">
        <f t="shared" ref="D67:D130" si="26">C67/B67</f>
        <v>2.1819725655652842E-3</v>
      </c>
    </row>
    <row r="68" spans="1:4" x14ac:dyDescent="0.2">
      <c r="A68" s="68">
        <v>43617</v>
      </c>
      <c r="B68" s="42">
        <v>1.9699999999999999E-2</v>
      </c>
      <c r="C68" s="44">
        <v>4.2955326460481103E-5</v>
      </c>
      <c r="D68" s="60">
        <f t="shared" si="26"/>
        <v>2.1804734243899039E-3</v>
      </c>
    </row>
    <row r="69" spans="1:4" x14ac:dyDescent="0.2">
      <c r="A69" s="68">
        <v>43647</v>
      </c>
      <c r="B69" s="42">
        <v>1.9199999999999998E-2</v>
      </c>
      <c r="C69" s="44">
        <v>4.3090446847933813E-5</v>
      </c>
      <c r="D69" s="60">
        <f t="shared" si="26"/>
        <v>2.2442941066632195E-3</v>
      </c>
    </row>
    <row r="70" spans="1:4" x14ac:dyDescent="0.2">
      <c r="A70" s="68">
        <v>43678</v>
      </c>
      <c r="B70" s="42">
        <v>1.9300000000000001E-2</v>
      </c>
      <c r="C70" s="44">
        <v>4.3090446847933813E-5</v>
      </c>
      <c r="D70" s="60">
        <f t="shared" si="26"/>
        <v>2.2326656397893166E-3</v>
      </c>
    </row>
    <row r="71" spans="1:4" x14ac:dyDescent="0.2">
      <c r="A71" s="68">
        <v>43709</v>
      </c>
      <c r="B71" s="42">
        <v>1.9699999999999999E-2</v>
      </c>
      <c r="C71" s="44">
        <v>4.3792232900967944E-5</v>
      </c>
      <c r="D71" s="60">
        <f t="shared" si="26"/>
        <v>2.222955984820708E-3</v>
      </c>
    </row>
    <row r="72" spans="1:4" x14ac:dyDescent="0.2">
      <c r="A72" s="68">
        <v>43739</v>
      </c>
      <c r="B72" s="42">
        <v>1.9699999999999999E-2</v>
      </c>
      <c r="C72" s="44">
        <v>4.3090446847933813E-5</v>
      </c>
      <c r="D72" s="60">
        <f t="shared" si="26"/>
        <v>2.1873323273062851E-3</v>
      </c>
    </row>
    <row r="73" spans="1:4" x14ac:dyDescent="0.2">
      <c r="A73" s="68">
        <v>43770</v>
      </c>
      <c r="B73" s="42">
        <v>1.9699999999999999E-2</v>
      </c>
      <c r="C73" s="44">
        <v>4.3090446847933813E-5</v>
      </c>
      <c r="D73" s="60">
        <f t="shared" si="26"/>
        <v>2.1873323273062851E-3</v>
      </c>
    </row>
    <row r="74" spans="1:4" x14ac:dyDescent="0.2">
      <c r="A74" s="68">
        <v>43800</v>
      </c>
      <c r="B74" s="42">
        <v>1.9699999999999999E-2</v>
      </c>
      <c r="C74" s="44">
        <v>4.3157395019636617E-5</v>
      </c>
      <c r="D74" s="60">
        <f t="shared" si="26"/>
        <v>2.1907307116566812E-3</v>
      </c>
    </row>
    <row r="75" spans="1:4" x14ac:dyDescent="0.2">
      <c r="A75" s="68">
        <v>43831</v>
      </c>
      <c r="B75" s="42">
        <v>1.9599999999999999E-2</v>
      </c>
      <c r="C75" s="44">
        <v>4.3136916573203351E-5</v>
      </c>
      <c r="D75" s="60">
        <f t="shared" si="26"/>
        <v>2.2008630904695589E-3</v>
      </c>
    </row>
    <row r="76" spans="1:4" x14ac:dyDescent="0.2">
      <c r="A76" s="68">
        <v>43862</v>
      </c>
      <c r="B76" s="42">
        <v>1.95E-2</v>
      </c>
      <c r="C76" s="44">
        <v>4.3029259896729779E-5</v>
      </c>
      <c r="D76" s="60">
        <f t="shared" si="26"/>
        <v>2.2066287126528091E-3</v>
      </c>
    </row>
    <row r="77" spans="1:4" x14ac:dyDescent="0.2">
      <c r="A77" s="68">
        <v>43891</v>
      </c>
      <c r="B77" s="42">
        <v>1.9800000000000002E-2</v>
      </c>
      <c r="C77" s="44">
        <v>4.2317295078498584E-5</v>
      </c>
      <c r="D77" s="60">
        <f t="shared" si="26"/>
        <v>2.137237125176696E-3</v>
      </c>
    </row>
    <row r="78" spans="1:4" x14ac:dyDescent="0.2">
      <c r="A78" s="68">
        <v>43922</v>
      </c>
      <c r="B78" s="42">
        <v>1.9699999999999999E-2</v>
      </c>
      <c r="C78" s="44">
        <v>4.265483705852244E-5</v>
      </c>
      <c r="D78" s="60">
        <f t="shared" si="26"/>
        <v>2.1652201552549463E-3</v>
      </c>
    </row>
    <row r="79" spans="1:4" x14ac:dyDescent="0.2">
      <c r="A79" s="68">
        <v>43952</v>
      </c>
      <c r="B79" s="42">
        <v>2.01E-2</v>
      </c>
      <c r="C79" s="44">
        <v>4.2901883392680941E-5</v>
      </c>
      <c r="D79" s="60">
        <f t="shared" si="26"/>
        <v>2.1344220593373601E-3</v>
      </c>
    </row>
    <row r="80" spans="1:4" x14ac:dyDescent="0.2">
      <c r="A80" s="68">
        <v>43983</v>
      </c>
      <c r="B80" s="42">
        <v>2.0400000000000001E-2</v>
      </c>
      <c r="C80" s="44">
        <v>4.2984869325997249E-5</v>
      </c>
      <c r="D80" s="60">
        <f t="shared" si="26"/>
        <v>2.1071014375488848E-3</v>
      </c>
    </row>
    <row r="81" spans="1:4" x14ac:dyDescent="0.2">
      <c r="A81" s="68">
        <v>44013</v>
      </c>
      <c r="B81" s="42">
        <v>2.07E-2</v>
      </c>
      <c r="C81" s="44">
        <v>4.3149946062567421E-5</v>
      </c>
      <c r="D81" s="60">
        <f t="shared" si="26"/>
        <v>2.0845384571288612E-3</v>
      </c>
    </row>
    <row r="82" spans="1:4" x14ac:dyDescent="0.2">
      <c r="A82" s="68">
        <v>44044</v>
      </c>
      <c r="B82" s="42">
        <v>2.07E-2</v>
      </c>
      <c r="C82" s="44">
        <v>4.3151808060757745E-5</v>
      </c>
      <c r="D82" s="60">
        <f t="shared" si="26"/>
        <v>2.0846284087322584E-3</v>
      </c>
    </row>
    <row r="83" spans="1:4" x14ac:dyDescent="0.2">
      <c r="A83" s="68">
        <v>44075</v>
      </c>
      <c r="B83" s="42">
        <v>2.07E-2</v>
      </c>
      <c r="C83" s="44">
        <v>4.3122035360068997E-5</v>
      </c>
      <c r="D83" s="60">
        <f t="shared" si="26"/>
        <v>2.0831901140129952E-3</v>
      </c>
    </row>
    <row r="84" spans="1:4" x14ac:dyDescent="0.2">
      <c r="A84" s="68">
        <v>44105</v>
      </c>
      <c r="B84" s="42">
        <v>2.0799999999999999E-2</v>
      </c>
      <c r="C84" s="44">
        <v>4.3159257660768235E-5</v>
      </c>
      <c r="D84" s="60">
        <f t="shared" si="26"/>
        <v>2.0749643106138574E-3</v>
      </c>
    </row>
    <row r="85" spans="1:4" x14ac:dyDescent="0.2">
      <c r="A85" s="68">
        <v>44136</v>
      </c>
      <c r="B85" s="42">
        <v>2.0799999999999999E-2</v>
      </c>
      <c r="C85" s="44">
        <v>4.3177892918825559E-5</v>
      </c>
      <c r="D85" s="60">
        <f t="shared" si="26"/>
        <v>2.0758602364819982E-3</v>
      </c>
    </row>
    <row r="86" spans="1:4" x14ac:dyDescent="0.2">
      <c r="A86" s="68">
        <v>44166</v>
      </c>
      <c r="B86" s="42">
        <v>2.0799999999999999E-2</v>
      </c>
      <c r="C86" s="44">
        <v>4.3312543312543313E-5</v>
      </c>
      <c r="D86" s="60">
        <f t="shared" si="26"/>
        <v>2.0823338131030441E-3</v>
      </c>
    </row>
    <row r="87" spans="1:4" x14ac:dyDescent="0.2">
      <c r="A87" s="68">
        <v>44197</v>
      </c>
      <c r="B87" s="42">
        <v>2.0400000000000001E-2</v>
      </c>
      <c r="C87" s="44">
        <v>4.3387712599791739E-5</v>
      </c>
      <c r="D87" s="60">
        <f t="shared" si="26"/>
        <v>2.1268486568525361E-3</v>
      </c>
    </row>
    <row r="88" spans="1:4" x14ac:dyDescent="0.2">
      <c r="A88" s="68">
        <v>44228</v>
      </c>
      <c r="B88" s="42">
        <v>2.06E-2</v>
      </c>
      <c r="C88" s="44">
        <v>4.3431053203040177E-5</v>
      </c>
      <c r="D88" s="60">
        <f t="shared" si="26"/>
        <v>2.1083035535456396E-3</v>
      </c>
    </row>
    <row r="89" spans="1:4" x14ac:dyDescent="0.2">
      <c r="A89" s="68">
        <v>44256</v>
      </c>
      <c r="B89" s="42">
        <v>2.06E-2</v>
      </c>
      <c r="C89" s="44">
        <v>4.3346337234503684E-5</v>
      </c>
      <c r="D89" s="60">
        <f t="shared" si="26"/>
        <v>2.1041911278885284E-3</v>
      </c>
    </row>
    <row r="90" spans="1:4" x14ac:dyDescent="0.2">
      <c r="A90" s="68">
        <v>44287</v>
      </c>
      <c r="B90" s="42">
        <v>2.0899999999999998E-2</v>
      </c>
      <c r="C90" s="44">
        <v>4.3376420577773921E-5</v>
      </c>
      <c r="D90" s="60">
        <f t="shared" si="26"/>
        <v>2.0754268219030586E-3</v>
      </c>
    </row>
    <row r="91" spans="1:4" x14ac:dyDescent="0.2">
      <c r="A91" s="68">
        <v>44317</v>
      </c>
      <c r="B91" s="42">
        <v>2.0500000000000001E-2</v>
      </c>
      <c r="C91" s="44">
        <v>4.3393360815795186E-5</v>
      </c>
      <c r="D91" s="60">
        <f t="shared" si="26"/>
        <v>2.11674930808757E-3</v>
      </c>
    </row>
    <row r="92" spans="1:4" x14ac:dyDescent="0.2">
      <c r="A92" s="68">
        <v>44348</v>
      </c>
      <c r="B92" s="42">
        <v>1.9900000000000001E-2</v>
      </c>
      <c r="C92" s="44">
        <v>4.3440486533449174E-5</v>
      </c>
      <c r="D92" s="60">
        <f t="shared" si="26"/>
        <v>2.1829390217813654E-3</v>
      </c>
    </row>
    <row r="93" spans="1:4" x14ac:dyDescent="0.2">
      <c r="A93" s="68">
        <v>44378</v>
      </c>
      <c r="B93" s="42">
        <v>0.02</v>
      </c>
      <c r="C93" s="44">
        <v>4.3544524276072285E-5</v>
      </c>
      <c r="D93" s="60">
        <f t="shared" si="26"/>
        <v>2.1772262138036141E-3</v>
      </c>
    </row>
    <row r="94" spans="1:4" x14ac:dyDescent="0.2">
      <c r="A94" s="68">
        <v>44409</v>
      </c>
      <c r="B94" s="42">
        <v>1.9599999999999999E-2</v>
      </c>
      <c r="C94" s="44">
        <v>4.3907793633369924E-5</v>
      </c>
      <c r="D94" s="60">
        <f t="shared" si="26"/>
        <v>2.2401935527229552E-3</v>
      </c>
    </row>
    <row r="95" spans="1:4" x14ac:dyDescent="0.2">
      <c r="A95" s="68">
        <v>44440</v>
      </c>
      <c r="B95" s="42">
        <v>1.9699999999999999E-2</v>
      </c>
      <c r="C95" s="44">
        <v>4.3950248318903001E-5</v>
      </c>
      <c r="D95" s="60">
        <f t="shared" si="26"/>
        <v>2.2309770720255334E-3</v>
      </c>
    </row>
    <row r="96" spans="1:4" x14ac:dyDescent="0.2">
      <c r="A96" s="68">
        <v>44470</v>
      </c>
      <c r="B96" s="42">
        <v>1.9900000000000001E-2</v>
      </c>
      <c r="C96" s="44">
        <v>4.3956043956043955E-5</v>
      </c>
      <c r="D96" s="60">
        <f t="shared" si="26"/>
        <v>2.2088464299519573E-3</v>
      </c>
    </row>
    <row r="97" spans="1:4" x14ac:dyDescent="0.2">
      <c r="A97" s="68">
        <v>44501</v>
      </c>
      <c r="B97" s="42">
        <v>1.95E-2</v>
      </c>
      <c r="C97" s="44">
        <v>4.4072278536800355E-5</v>
      </c>
      <c r="D97" s="60">
        <f t="shared" si="26"/>
        <v>2.260116848041044E-3</v>
      </c>
    </row>
    <row r="98" spans="1:4" x14ac:dyDescent="0.2">
      <c r="A98" s="68">
        <v>44531</v>
      </c>
      <c r="B98" s="42">
        <v>1.9599999999999999E-2</v>
      </c>
      <c r="C98" s="44">
        <v>4.392708104546453E-5</v>
      </c>
      <c r="D98" s="60">
        <f t="shared" si="26"/>
        <v>2.2411776043604354E-3</v>
      </c>
    </row>
    <row r="99" spans="1:4" x14ac:dyDescent="0.2">
      <c r="A99" s="68">
        <v>44562</v>
      </c>
      <c r="B99" s="42">
        <v>1.95E-2</v>
      </c>
      <c r="C99" s="44">
        <v>4.41598586884522E-5</v>
      </c>
      <c r="D99" s="60">
        <f t="shared" si="26"/>
        <v>2.2646081378693435E-3</v>
      </c>
    </row>
    <row r="100" spans="1:4" x14ac:dyDescent="0.2">
      <c r="A100" s="68">
        <v>44593</v>
      </c>
      <c r="B100" s="42">
        <v>1.9199999999999998E-2</v>
      </c>
      <c r="C100" s="44">
        <v>4.3821209465381244E-5</v>
      </c>
      <c r="D100" s="60">
        <f t="shared" si="26"/>
        <v>2.2823546596552734E-3</v>
      </c>
    </row>
    <row r="101" spans="1:4" x14ac:dyDescent="0.2">
      <c r="A101" s="68">
        <v>44621</v>
      </c>
      <c r="B101" s="42">
        <v>1.9E-2</v>
      </c>
      <c r="C101" s="44">
        <v>4.3756016452262186E-5</v>
      </c>
      <c r="D101" s="60">
        <f t="shared" si="26"/>
        <v>2.3029482343295887E-3</v>
      </c>
    </row>
    <row r="102" spans="1:4" x14ac:dyDescent="0.2">
      <c r="A102" s="68">
        <v>44652</v>
      </c>
      <c r="B102" s="42">
        <v>1.9099999999999999E-2</v>
      </c>
      <c r="C102" s="44">
        <v>4.3561596096880988E-5</v>
      </c>
      <c r="D102" s="60">
        <f t="shared" si="26"/>
        <v>2.2807118375330363E-3</v>
      </c>
    </row>
    <row r="103" spans="1:4" x14ac:dyDescent="0.2">
      <c r="A103" s="68">
        <v>44682</v>
      </c>
      <c r="B103" s="42">
        <v>1.8200000000000001E-2</v>
      </c>
      <c r="C103" s="44">
        <v>4.3148084225060405E-5</v>
      </c>
      <c r="D103" s="60">
        <f t="shared" si="26"/>
        <v>2.3707738585198022E-3</v>
      </c>
    </row>
    <row r="104" spans="1:4" x14ac:dyDescent="0.2">
      <c r="A104" s="68">
        <v>44713</v>
      </c>
      <c r="B104" s="42">
        <v>1.7899999999999999E-2</v>
      </c>
      <c r="C104" s="44">
        <v>4.2983021706425962E-5</v>
      </c>
      <c r="D104" s="60">
        <f t="shared" si="26"/>
        <v>2.4012861288506123E-3</v>
      </c>
    </row>
    <row r="105" spans="1:4" x14ac:dyDescent="0.2">
      <c r="A105" s="68">
        <v>44743</v>
      </c>
      <c r="B105" s="42">
        <v>1.78E-2</v>
      </c>
      <c r="C105" s="44">
        <v>4.2811884579159176E-5</v>
      </c>
      <c r="D105" s="60">
        <f t="shared" si="26"/>
        <v>2.4051620550089425E-3</v>
      </c>
    </row>
    <row r="106" spans="1:4" x14ac:dyDescent="0.2">
      <c r="A106" s="68">
        <v>44774</v>
      </c>
      <c r="B106" s="42">
        <v>1.7100000000000001E-2</v>
      </c>
      <c r="C106" s="44">
        <v>4.2707666026051675E-5</v>
      </c>
      <c r="D106" s="60">
        <f t="shared" si="26"/>
        <v>2.4975243290088697E-3</v>
      </c>
    </row>
    <row r="107" spans="1:4" x14ac:dyDescent="0.2">
      <c r="A107" s="68">
        <v>44805</v>
      </c>
      <c r="B107" s="42">
        <v>1.7299999999999999E-2</v>
      </c>
      <c r="C107" s="44">
        <v>4.1981528127623844E-5</v>
      </c>
      <c r="D107" s="60">
        <f t="shared" si="26"/>
        <v>2.4266779264522456E-3</v>
      </c>
    </row>
    <row r="108" spans="1:4" x14ac:dyDescent="0.2">
      <c r="A108" s="68">
        <v>44835</v>
      </c>
      <c r="B108" s="42">
        <v>1.77E-2</v>
      </c>
      <c r="C108" s="44">
        <v>4.0290088638195005E-5</v>
      </c>
      <c r="D108" s="60">
        <f t="shared" si="26"/>
        <v>2.2762761942483052E-3</v>
      </c>
    </row>
    <row r="109" spans="1:4" x14ac:dyDescent="0.2">
      <c r="A109" s="68">
        <v>44866</v>
      </c>
      <c r="B109" s="42">
        <v>1.7999999999999999E-2</v>
      </c>
      <c r="C109" s="44">
        <v>4.0404040404040405E-5</v>
      </c>
      <c r="D109" s="60">
        <f t="shared" si="26"/>
        <v>2.2446689113355782E-3</v>
      </c>
    </row>
    <row r="110" spans="1:4" x14ac:dyDescent="0.2">
      <c r="A110" s="68">
        <v>44896</v>
      </c>
      <c r="B110" s="42">
        <v>1.83E-2</v>
      </c>
      <c r="C110" s="44">
        <v>4.2372881355932206E-5</v>
      </c>
      <c r="D110" s="60">
        <f t="shared" si="26"/>
        <v>2.3154579975919239E-3</v>
      </c>
    </row>
    <row r="111" spans="1:4" x14ac:dyDescent="0.2">
      <c r="A111" s="68">
        <v>44927</v>
      </c>
      <c r="B111" s="42">
        <v>1.8100000000000002E-2</v>
      </c>
      <c r="C111" s="44">
        <v>4.2607584149978694E-5</v>
      </c>
      <c r="D111" s="60">
        <f t="shared" si="26"/>
        <v>2.3540101740319717E-3</v>
      </c>
    </row>
    <row r="112" spans="1:4" x14ac:dyDescent="0.2">
      <c r="A112" s="68">
        <v>44958</v>
      </c>
      <c r="B112" s="42">
        <v>1.84E-2</v>
      </c>
      <c r="C112" s="44">
        <v>4.2007981516488134E-5</v>
      </c>
      <c r="D112" s="60">
        <f t="shared" si="26"/>
        <v>2.2830424737221812E-3</v>
      </c>
    </row>
    <row r="113" spans="1:4" x14ac:dyDescent="0.2">
      <c r="A113" s="68">
        <v>44986</v>
      </c>
      <c r="B113" s="42">
        <v>1.8100000000000002E-2</v>
      </c>
      <c r="C113" s="44">
        <v>4.2607584149978694E-5</v>
      </c>
      <c r="D113" s="60">
        <f t="shared" si="26"/>
        <v>2.3540101740319717E-3</v>
      </c>
    </row>
    <row r="114" spans="1:4" x14ac:dyDescent="0.2">
      <c r="A114" s="68">
        <v>45017</v>
      </c>
      <c r="B114" s="42">
        <v>1.77E-2</v>
      </c>
      <c r="C114" s="44">
        <v>4.2653017701002346E-5</v>
      </c>
      <c r="D114" s="60">
        <f t="shared" si="26"/>
        <v>2.4097750113560648E-3</v>
      </c>
    </row>
    <row r="115" spans="1:4" x14ac:dyDescent="0.2">
      <c r="A115" s="68">
        <v>45047</v>
      </c>
      <c r="B115" s="42">
        <v>1.7999999999999999E-2</v>
      </c>
      <c r="C115" s="44">
        <v>4.2589437819420782E-5</v>
      </c>
      <c r="D115" s="60">
        <f t="shared" si="26"/>
        <v>2.3660798788567102E-3</v>
      </c>
    </row>
    <row r="116" spans="1:4" x14ac:dyDescent="0.2">
      <c r="A116" s="68">
        <v>45078</v>
      </c>
      <c r="B116" s="42">
        <v>1.8200000000000001E-2</v>
      </c>
      <c r="C116" s="44">
        <v>4.2428613857185285E-5</v>
      </c>
      <c r="D116" s="60">
        <f t="shared" si="26"/>
        <v>2.3312425196255651E-3</v>
      </c>
    </row>
    <row r="117" spans="1:4" x14ac:dyDescent="0.2">
      <c r="A117" s="68">
        <v>45108</v>
      </c>
      <c r="B117" s="42">
        <v>1.7600000000000001E-2</v>
      </c>
      <c r="C117" s="44">
        <v>4.2220814861726833E-5</v>
      </c>
      <c r="D117" s="60">
        <f t="shared" si="26"/>
        <v>2.3989099353253882E-3</v>
      </c>
    </row>
    <row r="118" spans="1:4" x14ac:dyDescent="0.2">
      <c r="A118" s="68">
        <v>45139</v>
      </c>
      <c r="B118" s="42">
        <v>1.77E-2</v>
      </c>
      <c r="C118" s="44">
        <v>4.1476565740356696E-5</v>
      </c>
      <c r="D118" s="60">
        <f t="shared" si="26"/>
        <v>2.3433087988902089E-3</v>
      </c>
    </row>
    <row r="119" spans="1:4" x14ac:dyDescent="0.2">
      <c r="A119" s="68">
        <v>45170</v>
      </c>
      <c r="B119" s="42">
        <v>1.7600000000000001E-2</v>
      </c>
      <c r="C119" s="44">
        <v>4.1008816895632564E-5</v>
      </c>
      <c r="D119" s="60">
        <f t="shared" si="26"/>
        <v>2.3300464145245775E-3</v>
      </c>
    </row>
    <row r="120" spans="1:4" x14ac:dyDescent="0.2">
      <c r="A120" s="68">
        <v>45200</v>
      </c>
      <c r="B120" s="42">
        <v>1.8100000000000002E-2</v>
      </c>
      <c r="C120" s="44">
        <v>4.0719928332926137E-5</v>
      </c>
      <c r="D120" s="60">
        <f t="shared" si="26"/>
        <v>2.2497197973992337E-3</v>
      </c>
    </row>
    <row r="121" spans="1:4" x14ac:dyDescent="0.2">
      <c r="A121" s="68">
        <v>45231</v>
      </c>
      <c r="B121" s="42">
        <v>1.8100000000000002E-2</v>
      </c>
      <c r="C121" s="44">
        <v>4.1220115416323168E-5</v>
      </c>
      <c r="D121" s="60">
        <f t="shared" si="26"/>
        <v>2.2773544428907827E-3</v>
      </c>
    </row>
    <row r="122" spans="1:4" x14ac:dyDescent="0.2">
      <c r="A122" s="68">
        <v>45261</v>
      </c>
      <c r="B122" s="42">
        <v>1.78E-2</v>
      </c>
      <c r="C122" s="44">
        <v>4.1262636682484009E-5</v>
      </c>
      <c r="D122" s="60">
        <f t="shared" si="26"/>
        <v>2.3181256563193265E-3</v>
      </c>
    </row>
    <row r="123" spans="1:4" x14ac:dyDescent="0.2">
      <c r="A123" s="68">
        <v>45292</v>
      </c>
      <c r="B123" s="42">
        <v>1.78E-2</v>
      </c>
      <c r="C123" s="44">
        <v>4.0992006558721051E-5</v>
      </c>
      <c r="D123" s="60">
        <f t="shared" si="26"/>
        <v>2.3029217167820815E-3</v>
      </c>
    </row>
    <row r="124" spans="1:4" x14ac:dyDescent="0.2">
      <c r="A124" s="68">
        <v>45323</v>
      </c>
      <c r="B124" s="42">
        <v>1.78E-2</v>
      </c>
      <c r="C124" s="44">
        <v>4.0617384240454911E-5</v>
      </c>
      <c r="D124" s="60">
        <f t="shared" si="26"/>
        <v>2.2818755191266805E-3</v>
      </c>
    </row>
    <row r="125" spans="1:4" x14ac:dyDescent="0.2">
      <c r="A125" s="68">
        <v>45352</v>
      </c>
      <c r="B125" s="42">
        <v>1.7299999999999999E-2</v>
      </c>
      <c r="C125" s="44">
        <v>4.0338846308995566E-5</v>
      </c>
      <c r="D125" s="60">
        <f t="shared" si="26"/>
        <v>2.3317252201731542E-3</v>
      </c>
    </row>
    <row r="126" spans="1:4" x14ac:dyDescent="0.2">
      <c r="A126" s="68">
        <v>45383</v>
      </c>
      <c r="B126" s="42">
        <v>1.7100000000000001E-2</v>
      </c>
      <c r="C126" s="44">
        <v>3.9478878799842084E-5</v>
      </c>
      <c r="D126" s="60">
        <f t="shared" si="26"/>
        <v>2.3087063625638646E-3</v>
      </c>
    </row>
    <row r="127" spans="1:4" x14ac:dyDescent="0.2">
      <c r="A127" s="68">
        <v>45413</v>
      </c>
      <c r="B127" s="42">
        <v>1.7100000000000001E-2</v>
      </c>
      <c r="C127" s="44">
        <v>3.929273084479371E-5</v>
      </c>
      <c r="D127" s="60">
        <f t="shared" si="26"/>
        <v>2.2978205172393983E-3</v>
      </c>
    </row>
    <row r="128" spans="1:4" x14ac:dyDescent="0.2">
      <c r="A128" s="68">
        <v>45444</v>
      </c>
      <c r="B128" s="42">
        <v>1.7100000000000001E-2</v>
      </c>
      <c r="C128" s="44">
        <v>3.9285012767629152E-5</v>
      </c>
      <c r="D128" s="60">
        <f t="shared" si="26"/>
        <v>2.2973691676976111E-3</v>
      </c>
    </row>
    <row r="129" spans="1:4" x14ac:dyDescent="0.2">
      <c r="A129" s="68">
        <v>45474</v>
      </c>
      <c r="B129" s="42">
        <v>1.78E-2</v>
      </c>
      <c r="C129" s="44">
        <v>3.9564787339268051E-5</v>
      </c>
      <c r="D129" s="60">
        <f t="shared" si="26"/>
        <v>2.2227408617566322E-3</v>
      </c>
    </row>
    <row r="130" spans="1:4" x14ac:dyDescent="0.2">
      <c r="A130" s="69">
        <v>45505</v>
      </c>
      <c r="B130" s="65">
        <f>_xlfn.FORECAST.ETS(A130,B$3:B129, A$3:A129)</f>
        <v>1.7689880675075584E-2</v>
      </c>
      <c r="C130" s="62">
        <f>_xlfn.FORECAST.ETS(B130,C$3:C129,B$3:B129)</f>
        <v>4.4190534688673093E-5</v>
      </c>
      <c r="D130" s="59">
        <f t="shared" si="26"/>
        <v>2.4980685568408607E-3</v>
      </c>
    </row>
    <row r="131" spans="1:4" x14ac:dyDescent="0.2">
      <c r="A131" s="68">
        <v>45536</v>
      </c>
      <c r="B131" s="43">
        <f>_xlfn.FORECAST.ETS(A131,B$3:B130, A$3:A130)</f>
        <v>1.7625778908733382E-2</v>
      </c>
      <c r="C131" s="44">
        <f>_xlfn.FORECAST.ETS(B131,C$3:C130,B$3:B130)</f>
        <v>4.4202458864634442E-5</v>
      </c>
      <c r="D131" s="60">
        <f t="shared" ref="D131:D146" si="27">C131/B131</f>
        <v>2.5078300989428959E-3</v>
      </c>
    </row>
    <row r="132" spans="1:4" x14ac:dyDescent="0.2">
      <c r="A132" s="68">
        <v>45566</v>
      </c>
      <c r="B132" s="43">
        <f>_xlfn.FORECAST.ETS(A132,B$3:B131, A$3:A131)</f>
        <v>1.753222835727274E-2</v>
      </c>
      <c r="C132" s="44">
        <f>_xlfn.FORECAST.ETS(B132,C$3:C131,B$3:B131)</f>
        <v>4.428215537553791E-5</v>
      </c>
      <c r="D132" s="60">
        <f t="shared" si="27"/>
        <v>2.525757392223832E-3</v>
      </c>
    </row>
    <row r="133" spans="1:4" x14ac:dyDescent="0.2">
      <c r="A133" s="68">
        <v>45597</v>
      </c>
      <c r="B133" s="43">
        <f>_xlfn.FORECAST.ETS(A133,B$3:B132, A$3:A132)</f>
        <v>1.73971787393285E-2</v>
      </c>
      <c r="C133" s="44">
        <f>_xlfn.FORECAST.ETS(B133,C$3:C132,B$3:B132)</f>
        <v>4.4479461560638856E-5</v>
      </c>
      <c r="D133" s="60">
        <f t="shared" si="27"/>
        <v>2.5567054421351356E-3</v>
      </c>
    </row>
    <row r="134" spans="1:4" x14ac:dyDescent="0.2">
      <c r="A134" s="68">
        <v>45627</v>
      </c>
      <c r="B134" s="43">
        <f>_xlfn.FORECAST.ETS(A134,B$3:B133, A$3:A133)</f>
        <v>1.7360305540007122E-2</v>
      </c>
      <c r="C134" s="44">
        <f>_xlfn.FORECAST.ETS(B134,C$3:C133,B$3:B133)</f>
        <v>4.4606176616819375E-5</v>
      </c>
      <c r="D134" s="60">
        <f t="shared" si="27"/>
        <v>2.5694349972138265E-3</v>
      </c>
    </row>
    <row r="135" spans="1:4" x14ac:dyDescent="0.2">
      <c r="A135" s="68">
        <v>45658</v>
      </c>
      <c r="B135" s="43">
        <f>_xlfn.FORECAST.ETS(A135,B$3:B134, A$3:A134)</f>
        <v>1.732439691027295E-2</v>
      </c>
      <c r="C135" s="44">
        <f>_xlfn.FORECAST.ETS(B135,C$3:C134,B$3:B134)</f>
        <v>4.4595376723074491E-5</v>
      </c>
      <c r="D135" s="60">
        <f t="shared" si="27"/>
        <v>2.5741373251862236E-3</v>
      </c>
    </row>
    <row r="136" spans="1:4" x14ac:dyDescent="0.2">
      <c r="A136" s="68">
        <v>45689</v>
      </c>
      <c r="B136" s="43">
        <f>_xlfn.FORECAST.ETS(A136,B$3:B135, A$3:A135)</f>
        <v>1.7288208109975826E-2</v>
      </c>
      <c r="C136" s="44">
        <f>_xlfn.FORECAST.ETS(B136,C$3:C135,B$3:B135)</f>
        <v>4.4728827144916426E-5</v>
      </c>
      <c r="D136" s="60">
        <f t="shared" si="27"/>
        <v>2.5872448353456896E-3</v>
      </c>
    </row>
    <row r="137" spans="1:4" x14ac:dyDescent="0.2">
      <c r="A137" s="68">
        <v>45717</v>
      </c>
      <c r="B137" s="43">
        <f>_xlfn.FORECAST.ETS(A137,B$3:B136, A$3:A136)</f>
        <v>1.7251920042864678E-2</v>
      </c>
      <c r="C137" s="44">
        <f>_xlfn.FORECAST.ETS(B137,C$3:C136,B$3:B136)</f>
        <v>4.479323549438238E-5</v>
      </c>
      <c r="D137" s="60">
        <f t="shared" si="27"/>
        <v>2.5964203047016019E-3</v>
      </c>
    </row>
    <row r="138" spans="1:4" x14ac:dyDescent="0.2">
      <c r="A138" s="68">
        <v>45748</v>
      </c>
      <c r="B138" s="43">
        <f>_xlfn.FORECAST.ETS(A138,B$3:B137, A$3:A137)</f>
        <v>1.721561166299701E-2</v>
      </c>
      <c r="C138" s="44">
        <f>_xlfn.FORECAST.ETS(B138,C$3:C137,B$3:B137)</f>
        <v>3.9964326632908152E-5</v>
      </c>
      <c r="D138" s="60">
        <f t="shared" si="27"/>
        <v>2.3214003321651885E-3</v>
      </c>
    </row>
    <row r="139" spans="1:4" x14ac:dyDescent="0.2">
      <c r="A139" s="68">
        <v>45778</v>
      </c>
      <c r="B139" s="43">
        <f>_xlfn.FORECAST.ETS(A139,B$3:B138, A$3:A138)</f>
        <v>1.7179283784271193E-2</v>
      </c>
      <c r="C139" s="44">
        <f>_xlfn.FORECAST.ETS(B139,C$3:C138,B$3:B138)</f>
        <v>4.0255803128499726E-5</v>
      </c>
      <c r="D139" s="60">
        <f t="shared" si="27"/>
        <v>2.3432759848438303E-3</v>
      </c>
    </row>
    <row r="140" spans="1:4" x14ac:dyDescent="0.2">
      <c r="A140" s="68">
        <v>45809</v>
      </c>
      <c r="B140" s="43">
        <f>_xlfn.FORECAST.ETS(A140,B$3:B139, A$3:A139)</f>
        <v>1.7142937180574507E-2</v>
      </c>
      <c r="C140" s="44">
        <f>_xlfn.FORECAST.ETS(B140,C$3:C139,B$3:B139)</f>
        <v>4.0270683685413336E-5</v>
      </c>
      <c r="D140" s="60">
        <f t="shared" si="27"/>
        <v>2.3491122472901549E-3</v>
      </c>
    </row>
    <row r="141" spans="1:4" x14ac:dyDescent="0.2">
      <c r="A141" s="68">
        <v>45839</v>
      </c>
      <c r="B141" s="43">
        <f>_xlfn.FORECAST.ETS(A141,B$3:B140, A$3:A140)</f>
        <v>1.7106496331481834E-2</v>
      </c>
      <c r="C141" s="44">
        <f>_xlfn.FORECAST.ETS(B141,C$3:C140,B$3:B140)</f>
        <v>4.0264663474644615E-5</v>
      </c>
      <c r="D141" s="60">
        <f t="shared" si="27"/>
        <v>2.353764481891233E-3</v>
      </c>
    </row>
    <row r="142" spans="1:4" x14ac:dyDescent="0.2">
      <c r="A142" s="68">
        <v>45870</v>
      </c>
      <c r="B142" s="43">
        <f>_xlfn.FORECAST.ETS(A142,B$3:B141, A$3:A141)</f>
        <v>1.7070121977601788E-2</v>
      </c>
      <c r="C142" s="44">
        <f>_xlfn.FORECAST.ETS(B142,C$3:C141,B$3:B141)</f>
        <v>4.2185745549305476E-5</v>
      </c>
      <c r="D142" s="60">
        <f t="shared" si="27"/>
        <v>2.4713206856200932E-3</v>
      </c>
    </row>
    <row r="143" spans="1:4" x14ac:dyDescent="0.2">
      <c r="A143" s="68">
        <v>45901</v>
      </c>
      <c r="B143" s="43">
        <f>_xlfn.FORECAST.ETS(A143,B$3:B142, A$3:A142)</f>
        <v>1.7033650409583531E-2</v>
      </c>
      <c r="C143" s="44">
        <f>_xlfn.FORECAST.ETS(B143,C$3:C142,B$3:B142)</f>
        <v>4.2807605604206186E-5</v>
      </c>
      <c r="D143" s="60">
        <f t="shared" si="27"/>
        <v>2.5131198876854736E-3</v>
      </c>
    </row>
    <row r="144" spans="1:4" x14ac:dyDescent="0.2">
      <c r="A144" s="68">
        <v>45931</v>
      </c>
      <c r="B144" s="43">
        <f>_xlfn.FORECAST.ETS(A144,B$3:B143, A$3:A143)</f>
        <v>1.6997179698423698E-2</v>
      </c>
      <c r="C144" s="44">
        <f>_xlfn.FORECAST.ETS(B144,C$3:C143,B$3:B143)</f>
        <v>4.2874315337448248E-5</v>
      </c>
      <c r="D144" s="60">
        <f t="shared" si="27"/>
        <v>2.5224370217974672E-3</v>
      </c>
    </row>
    <row r="145" spans="1:4" x14ac:dyDescent="0.2">
      <c r="A145" s="68">
        <v>45962</v>
      </c>
      <c r="B145" s="43">
        <f>_xlfn.FORECAST.ETS(A145,B$3:B144, A$3:A144)</f>
        <v>1.6960755818733266E-2</v>
      </c>
      <c r="C145" s="44">
        <f>_xlfn.FORECAST.ETS(B145,C$3:C144,B$3:B144)</f>
        <v>4.2905888118847145E-5</v>
      </c>
      <c r="D145" s="60">
        <f t="shared" si="27"/>
        <v>2.5297155726667149E-3</v>
      </c>
    </row>
    <row r="146" spans="1:4" x14ac:dyDescent="0.2">
      <c r="A146" s="68">
        <v>45992</v>
      </c>
      <c r="B146" s="43">
        <f>_xlfn.FORECAST.ETS(A146,B$3:B145, A$3:A145)</f>
        <v>1.6924240662191632E-2</v>
      </c>
      <c r="C146" s="66">
        <f>_xlfn.FORECAST.ETS(B146,C$3:C145,B$3:B145)</f>
        <v>4.2922803232169342E-5</v>
      </c>
      <c r="D146" s="60">
        <f t="shared" si="27"/>
        <v>2.5361730602223064E-3</v>
      </c>
    </row>
    <row r="147" spans="1:4" x14ac:dyDescent="0.2">
      <c r="A147" s="68">
        <v>46023</v>
      </c>
      <c r="B147" s="43">
        <f>_xlfn.FORECAST.ETS(A147,B$3:B146, A$3:A146)</f>
        <v>1.6887727165812692E-2</v>
      </c>
      <c r="C147" s="44">
        <f>_xlfn.FORECAST.ETS(B147,C$3:C146,B$3:B146)</f>
        <v>4.2345050220673359E-5</v>
      </c>
      <c r="D147" s="60">
        <f t="shared" ref="D147:D178" si="28">C147/B147</f>
        <v>2.5074451881480038E-3</v>
      </c>
    </row>
    <row r="148" spans="1:4" x14ac:dyDescent="0.2">
      <c r="A148" s="68">
        <v>46054</v>
      </c>
      <c r="B148" s="43">
        <f>_xlfn.FORECAST.ETS(A148,B$3:B147, A$3:A147)</f>
        <v>1.6851259964205605E-2</v>
      </c>
      <c r="C148" s="44">
        <f>_xlfn.FORECAST.ETS(B148,C$3:C147,B$3:B147)</f>
        <v>4.2626508314555678E-5</v>
      </c>
      <c r="D148" s="60">
        <f t="shared" si="28"/>
        <v>2.5295739550099073E-3</v>
      </c>
    </row>
    <row r="149" spans="1:4" x14ac:dyDescent="0.2">
      <c r="A149" s="68">
        <v>46082</v>
      </c>
      <c r="B149" s="43">
        <f>_xlfn.FORECAST.ETS(A149,B$3:B148, A$3:A148)</f>
        <v>1.6814773360228279E-2</v>
      </c>
      <c r="C149" s="44">
        <f>_xlfn.FORECAST.ETS(B149,C$3:C148,B$3:B148)</f>
        <v>4.2610266400799817E-5</v>
      </c>
      <c r="D149" s="60">
        <f t="shared" si="28"/>
        <v>2.5340969805507586E-3</v>
      </c>
    </row>
    <row r="150" spans="1:4" x14ac:dyDescent="0.2">
      <c r="A150" s="68">
        <v>46113</v>
      </c>
      <c r="B150" s="43">
        <f>_xlfn.FORECAST.ETS(A150,B$3:B149, A$3:A149)</f>
        <v>1.6778273939974782E-2</v>
      </c>
      <c r="C150" s="44">
        <f>_xlfn.FORECAST.ETS(B150,C$3:C149,B$3:B149)</f>
        <v>4.2601829862559266E-5</v>
      </c>
      <c r="D150" s="60">
        <f t="shared" si="28"/>
        <v>2.5391068243950307E-3</v>
      </c>
    </row>
    <row r="151" spans="1:4" x14ac:dyDescent="0.2">
      <c r="A151" s="68">
        <v>46143</v>
      </c>
      <c r="B151" s="43">
        <f>_xlfn.FORECAST.ETS(A151,B$3:B150, A$3:A150)</f>
        <v>1.6741693143327768E-2</v>
      </c>
      <c r="C151" s="44">
        <f>_xlfn.FORECAST.ETS(B151,C$3:C150,B$3:B150)</f>
        <v>4.2583556717138605E-5</v>
      </c>
      <c r="D151" s="60">
        <f t="shared" si="28"/>
        <v>2.5435633273513825E-3</v>
      </c>
    </row>
    <row r="152" spans="1:4" x14ac:dyDescent="0.2">
      <c r="A152" s="68">
        <v>46174</v>
      </c>
      <c r="B152" s="43">
        <f>_xlfn.FORECAST.ETS(A152,B$3:B151, A$3:A151)</f>
        <v>1.6705118188970528E-2</v>
      </c>
      <c r="C152" s="44">
        <f>_xlfn.FORECAST.ETS(B152,C$3:C151,B$3:B151)</f>
        <v>4.2561060809939191E-5</v>
      </c>
      <c r="D152" s="60">
        <f t="shared" si="28"/>
        <v>2.5477856743354216E-3</v>
      </c>
    </row>
    <row r="153" spans="1:4" x14ac:dyDescent="0.2">
      <c r="A153" s="68">
        <v>46204</v>
      </c>
      <c r="B153" s="43">
        <f>_xlfn.FORECAST.ETS(A153,B$3:B152, A$3:A152)</f>
        <v>1.6668588623502668E-2</v>
      </c>
      <c r="C153" s="44">
        <f>_xlfn.FORECAST.ETS(B153,C$3:C152,B$3:B152)</f>
        <v>4.253241727451097E-5</v>
      </c>
      <c r="D153" s="60">
        <f t="shared" si="28"/>
        <v>2.5516507867103019E-3</v>
      </c>
    </row>
    <row r="154" spans="1:4" x14ac:dyDescent="0.2">
      <c r="A154" s="68">
        <v>46235</v>
      </c>
      <c r="B154" s="43">
        <f>_xlfn.FORECAST.ETS(A154,B$3:B153, A$3:A153)</f>
        <v>1.6632042124719006E-2</v>
      </c>
      <c r="C154" s="44">
        <f>_xlfn.FORECAST.ETS(B154,C$3:C153,B$3:B153)</f>
        <v>4.2501694730411618E-5</v>
      </c>
      <c r="D154" s="60">
        <f t="shared" si="28"/>
        <v>2.555410478863832E-3</v>
      </c>
    </row>
    <row r="155" spans="1:4" x14ac:dyDescent="0.2">
      <c r="A155" s="68">
        <v>46266</v>
      </c>
      <c r="B155" s="43">
        <f>_xlfn.FORECAST.ETS(A155,B$3:B154, A$3:A154)</f>
        <v>1.6595484882717539E-2</v>
      </c>
      <c r="C155" s="44">
        <f>_xlfn.FORECAST.ETS(A155,C$3:C154,A$3:A154)</f>
        <v>4.2047700891795014E-5</v>
      </c>
      <c r="D155" s="60">
        <f t="shared" si="28"/>
        <v>2.533683178825543E-3</v>
      </c>
    </row>
    <row r="156" spans="1:4" x14ac:dyDescent="0.2">
      <c r="A156" s="68">
        <v>46296</v>
      </c>
      <c r="B156" s="43">
        <f>_xlfn.FORECAST.ETS(A156,B$3:B155, A$3:A155)</f>
        <v>1.6558917263894069E-2</v>
      </c>
      <c r="C156" s="44">
        <f>_xlfn.FORECAST.ETS(A156,C$3:C155,A$3:A155)</f>
        <v>4.1867741100532678E-5</v>
      </c>
      <c r="D156" s="60">
        <f t="shared" si="28"/>
        <v>2.5284105496331754E-3</v>
      </c>
    </row>
    <row r="157" spans="1:4" x14ac:dyDescent="0.2">
      <c r="A157" s="68">
        <v>46327</v>
      </c>
      <c r="B157" s="43">
        <f>_xlfn.FORECAST.ETS(A157,B$3:B156, A$3:A156)</f>
        <v>1.6522274545200579E-2</v>
      </c>
      <c r="C157" s="44">
        <f>_xlfn.FORECAST.ETS(A157,C$3:C156,A$3:A156)</f>
        <v>4.1460032458919517E-5</v>
      </c>
      <c r="D157" s="60">
        <f t="shared" si="28"/>
        <v>2.5093416978089682E-3</v>
      </c>
    </row>
    <row r="158" spans="1:4" x14ac:dyDescent="0.2">
      <c r="A158" s="68">
        <v>46357</v>
      </c>
      <c r="B158" s="43">
        <f>_xlfn.FORECAST.ETS(A158,B$3:B157, A$3:A157)</f>
        <v>1.6485362637052622E-2</v>
      </c>
      <c r="C158" s="44">
        <f>_xlfn.FORECAST.ETS(A158,C$3:C157,A$3:A157)</f>
        <v>4.1703176703270563E-5</v>
      </c>
      <c r="D158" s="60">
        <f t="shared" si="28"/>
        <v>2.5297093925940213E-3</v>
      </c>
    </row>
    <row r="159" spans="1:4" x14ac:dyDescent="0.2">
      <c r="A159" s="68">
        <v>46388</v>
      </c>
      <c r="B159" s="43">
        <f>_xlfn.FORECAST.ETS(A159,B$3:B158, A$3:A158)</f>
        <v>1.6448589968685933E-2</v>
      </c>
      <c r="C159" s="44">
        <f>_xlfn.FORECAST.ETS(A159,C$3:C158,A$3:A158)</f>
        <v>4.1132608601865015E-5</v>
      </c>
      <c r="D159" s="60">
        <f t="shared" si="28"/>
        <v>2.5006768774813756E-3</v>
      </c>
    </row>
    <row r="160" spans="1:4" x14ac:dyDescent="0.2">
      <c r="A160" s="68">
        <v>46419</v>
      </c>
      <c r="B160" s="43">
        <f>_xlfn.FORECAST.ETS(A160,B$3:B159, A$3:A159)</f>
        <v>1.6412004233780593E-2</v>
      </c>
      <c r="C160" s="44">
        <f>_xlfn.FORECAST.ETS(A160,C$3:C159,A$3:A159)</f>
        <v>4.1150316233972199E-5</v>
      </c>
      <c r="D160" s="60">
        <f t="shared" si="28"/>
        <v>2.5073303447773363E-3</v>
      </c>
    </row>
    <row r="161" spans="1:4" x14ac:dyDescent="0.2">
      <c r="A161" s="68">
        <v>46447</v>
      </c>
      <c r="B161" s="43">
        <f>_xlfn.FORECAST.ETS(A161,B$3:B160, A$3:A160)</f>
        <v>1.6375388771542997E-2</v>
      </c>
      <c r="C161" s="44">
        <f>_xlfn.FORECAST.ETS(A161,C$3:C160,A$3:A160)</f>
        <v>4.1623205657030073E-5</v>
      </c>
      <c r="D161" s="60">
        <f t="shared" si="28"/>
        <v>2.5418148074360532E-3</v>
      </c>
    </row>
    <row r="162" spans="1:4" x14ac:dyDescent="0.2">
      <c r="A162" s="68">
        <v>46478</v>
      </c>
      <c r="B162" s="43">
        <f>_xlfn.FORECAST.ETS(A162,B$3:B161, A$3:A161)</f>
        <v>1.6338705166482045E-2</v>
      </c>
      <c r="C162" s="44">
        <f>_xlfn.FORECAST.ETS(A162,C$3:C161,A$3:A161)</f>
        <v>4.0756843199404322E-5</v>
      </c>
      <c r="D162" s="60">
        <f t="shared" si="28"/>
        <v>2.4944965212429894E-3</v>
      </c>
    </row>
    <row r="163" spans="1:4" x14ac:dyDescent="0.2">
      <c r="A163" s="68">
        <v>46508</v>
      </c>
      <c r="B163" s="43">
        <f>_xlfn.FORECAST.ETS(A163,B$3:B162, A$3:A162)</f>
        <v>1.6302078691229703E-2</v>
      </c>
      <c r="C163" s="44">
        <f>_xlfn.FORECAST.ETS(A163,C$3:C162,A$3:A162)</f>
        <v>4.1363788873802332E-5</v>
      </c>
      <c r="D163" s="60">
        <f t="shared" si="28"/>
        <v>2.5373321805921283E-3</v>
      </c>
    </row>
    <row r="164" spans="1:4" x14ac:dyDescent="0.2">
      <c r="A164" s="68">
        <v>46539</v>
      </c>
      <c r="B164" s="43">
        <f>_xlfn.FORECAST.ETS(A164,B$3:B163, A$3:A163)</f>
        <v>1.6265438202285785E-2</v>
      </c>
      <c r="C164" s="44">
        <f>_xlfn.FORECAST.ETS(A164,C$3:C163,A$3:A163)</f>
        <v>4.0949344945200947E-5</v>
      </c>
      <c r="D164" s="60">
        <f t="shared" si="28"/>
        <v>2.5175678906361296E-3</v>
      </c>
    </row>
    <row r="165" spans="1:4" x14ac:dyDescent="0.2">
      <c r="A165" s="68">
        <v>46569</v>
      </c>
      <c r="B165" s="43">
        <f>_xlfn.FORECAST.ETS(A165,B$3:B164, A$3:A164)</f>
        <v>1.6228789907830988E-2</v>
      </c>
      <c r="C165" s="44">
        <f>_xlfn.FORECAST.ETS(A165,C$3:C164,A$3:A164)</f>
        <v>4.1014466842416921E-5</v>
      </c>
      <c r="D165" s="60">
        <f t="shared" si="28"/>
        <v>2.5272658698123839E-3</v>
      </c>
    </row>
    <row r="166" spans="1:4" x14ac:dyDescent="0.2">
      <c r="A166" s="68">
        <v>46600</v>
      </c>
      <c r="B166" s="43">
        <f>_xlfn.FORECAST.ETS(A166,B$3:B165, A$3:A165)</f>
        <v>1.6192134050159353E-2</v>
      </c>
      <c r="C166" s="44">
        <f>_xlfn.FORECAST.ETS(A166,C$3:C165,A$3:A165)</f>
        <v>3.9995697905501652E-5</v>
      </c>
      <c r="D166" s="60">
        <f t="shared" si="28"/>
        <v>2.4700695894441438E-3</v>
      </c>
    </row>
    <row r="167" spans="1:4" x14ac:dyDescent="0.2">
      <c r="A167" s="68">
        <v>46631</v>
      </c>
      <c r="B167" s="43">
        <f>_xlfn.FORECAST.ETS(A167,B$3:B166, A$3:A166)</f>
        <v>1.615547086178646E-2</v>
      </c>
      <c r="C167" s="44">
        <f>_xlfn.FORECAST.ETS(A167,C$3:C166,A$3:A166)</f>
        <v>4.0733789872684957E-5</v>
      </c>
      <c r="D167" s="60">
        <f t="shared" si="28"/>
        <v>2.5213619721251904E-3</v>
      </c>
    </row>
    <row r="168" spans="1:4" x14ac:dyDescent="0.2">
      <c r="A168" s="68">
        <v>46661</v>
      </c>
      <c r="B168" s="43">
        <f>_xlfn.FORECAST.ETS(A168,B$3:B167, A$3:A167)</f>
        <v>1.6118800565909544E-2</v>
      </c>
      <c r="C168" s="44">
        <f>_xlfn.FORECAST.ETS(A168,C$3:C167,A$3:A167)</f>
        <v>4.0064399628360028E-5</v>
      </c>
      <c r="D168" s="60">
        <f t="shared" si="28"/>
        <v>2.4855695350616985E-3</v>
      </c>
    </row>
    <row r="169" spans="1:4" x14ac:dyDescent="0.2">
      <c r="A169" s="68">
        <v>46692</v>
      </c>
      <c r="B169" s="43">
        <f>_xlfn.FORECAST.ETS(A169,B$3:B168, A$3:A168)</f>
        <v>1.6082123376843217E-2</v>
      </c>
      <c r="C169" s="44">
        <f>_xlfn.FORECAST.ETS(A169,C$3:C168,A$3:A168)</f>
        <v>4.1138078138590946E-5</v>
      </c>
      <c r="D169" s="60">
        <f t="shared" si="28"/>
        <v>2.5580004067016428E-3</v>
      </c>
    </row>
    <row r="170" spans="1:4" x14ac:dyDescent="0.2">
      <c r="A170" s="68">
        <v>46722</v>
      </c>
      <c r="B170" s="43">
        <f>_xlfn.FORECAST.ETS(A170,B$3:B169, A$3:A169)</f>
        <v>1.6045439500432239E-2</v>
      </c>
      <c r="C170" s="44">
        <f>_xlfn.FORECAST.ETS(A170,C$3:C169,A$3:A169)</f>
        <v>4.1063707183011027E-5</v>
      </c>
      <c r="D170" s="60">
        <f t="shared" si="28"/>
        <v>2.5592136121858696E-3</v>
      </c>
    </row>
    <row r="171" spans="1:4" x14ac:dyDescent="0.2">
      <c r="A171" s="68">
        <v>46753</v>
      </c>
      <c r="B171" s="43">
        <f>_xlfn.FORECAST.ETS(A171,B$3:B170, A$3:A170)</f>
        <v>1.6008749134442651E-2</v>
      </c>
      <c r="C171" s="44">
        <f>_xlfn.FORECAST.ETS(A171,C$3:C170,A$3:A170)</f>
        <v>4.0851747874286709E-5</v>
      </c>
      <c r="D171" s="60">
        <f t="shared" si="28"/>
        <v>2.5518388433231559E-3</v>
      </c>
    </row>
    <row r="172" spans="1:4" x14ac:dyDescent="0.2">
      <c r="A172" s="68">
        <v>46784</v>
      </c>
      <c r="B172" s="43">
        <f>_xlfn.FORECAST.ETS(A172,B$3:B171, A$3:A171)</f>
        <v>1.5972052468932543E-2</v>
      </c>
      <c r="C172" s="44">
        <f>_xlfn.FORECAST.ETS(A172,C$3:C171,A$3:A171)</f>
        <v>4.0617229220585053E-5</v>
      </c>
      <c r="D172" s="60">
        <f t="shared" si="28"/>
        <v>2.5430187697911824E-3</v>
      </c>
    </row>
    <row r="173" spans="1:4" x14ac:dyDescent="0.2">
      <c r="A173" s="68">
        <v>46813</v>
      </c>
      <c r="B173" s="43">
        <f>_xlfn.FORECAST.ETS(A173,B$3:B172, A$3:A172)</f>
        <v>1.5935349686603636E-2</v>
      </c>
      <c r="C173" s="44">
        <f>_xlfn.FORECAST.ETS(A173,C$3:C172,A$3:A172)</f>
        <v>4.0429212947812895E-5</v>
      </c>
      <c r="D173" s="60">
        <f t="shared" si="28"/>
        <v>2.5370772366420363E-3</v>
      </c>
    </row>
    <row r="174" spans="1:4" x14ac:dyDescent="0.2">
      <c r="A174" s="68">
        <v>46844</v>
      </c>
      <c r="B174" s="43">
        <f>_xlfn.FORECAST.ETS(A174,B$3:B173, A$3:A173)</f>
        <v>1.5898640963134793E-2</v>
      </c>
      <c r="C174" s="44">
        <f>_xlfn.FORECAST.ETS(A174,C$3:C173,A$3:A173)</f>
        <v>4.001340714590845E-5</v>
      </c>
      <c r="D174" s="60">
        <f t="shared" si="28"/>
        <v>2.5167816065970747E-3</v>
      </c>
    </row>
    <row r="175" spans="1:4" x14ac:dyDescent="0.2">
      <c r="A175" s="68">
        <v>46874</v>
      </c>
      <c r="B175" s="43">
        <f>_xlfn.FORECAST.ETS(A175,B$3:B174, A$3:A174)</f>
        <v>1.586192646749841E-2</v>
      </c>
      <c r="C175" s="44">
        <f>_xlfn.FORECAST.ETS(A175,C$3:C174,A$3:A174)</f>
        <v>3.9911987711103483E-5</v>
      </c>
      <c r="D175" s="60">
        <f t="shared" si="28"/>
        <v>2.5162131341917647E-3</v>
      </c>
    </row>
    <row r="176" spans="1:4" x14ac:dyDescent="0.2">
      <c r="A176" s="68">
        <v>46905</v>
      </c>
      <c r="B176" s="43">
        <f>_xlfn.FORECAST.ETS(A176,B$3:B175, A$3:A175)</f>
        <v>1.5825206362260792E-2</v>
      </c>
      <c r="C176" s="44">
        <f>_xlfn.FORECAST.ETS(A176,C$3:C175,A$3:A175)</f>
        <v>3.9626137545217135E-5</v>
      </c>
      <c r="D176" s="60">
        <f t="shared" si="28"/>
        <v>2.5039886771850055E-3</v>
      </c>
    </row>
    <row r="177" spans="1:4" x14ac:dyDescent="0.2">
      <c r="A177" s="68">
        <v>46935</v>
      </c>
      <c r="B177" s="43">
        <f>_xlfn.FORECAST.ETS(A177,B$3:B176, A$3:A176)</f>
        <v>1.5788480803867293E-2</v>
      </c>
      <c r="C177" s="44">
        <f>_xlfn.FORECAST.ETS(A177,C$3:C176,A$3:A176)</f>
        <v>3.9535774808489551E-5</v>
      </c>
      <c r="D177" s="60">
        <f t="shared" si="28"/>
        <v>2.5040898677728069E-3</v>
      </c>
    </row>
    <row r="178" spans="1:4" x14ac:dyDescent="0.2">
      <c r="A178" s="68">
        <v>46966</v>
      </c>
      <c r="B178" s="43">
        <f>_xlfn.FORECAST.ETS(A178,B$3:B177, A$3:A177)</f>
        <v>1.5751749942913142E-2</v>
      </c>
      <c r="C178" s="44">
        <f>_xlfn.FORECAST.ETS(A178,C$3:C177,A$3:A177)</f>
        <v>3.9593901869390358E-5</v>
      </c>
      <c r="D178" s="60">
        <f t="shared" si="28"/>
        <v>2.5136192494729145E-3</v>
      </c>
    </row>
    <row r="179" spans="1:4" x14ac:dyDescent="0.2">
      <c r="A179" s="68">
        <v>46997</v>
      </c>
      <c r="B179" s="43">
        <f>_xlfn.FORECAST.ETS(A179,B$3:B178, A$3:A178)</f>
        <v>1.5715013924400716E-2</v>
      </c>
      <c r="C179" s="44">
        <f>_xlfn.FORECAST.ETS(A179,C$3:C178,A$3:A178)</f>
        <v>3.9330920938953974E-5</v>
      </c>
      <c r="D179" s="60">
        <f t="shared" ref="D179:D210" si="29">C179/B179</f>
        <v>2.5027608074775433E-3</v>
      </c>
    </row>
    <row r="180" spans="1:4" x14ac:dyDescent="0.2">
      <c r="A180" s="68">
        <v>47027</v>
      </c>
      <c r="B180" s="43">
        <f>_xlfn.FORECAST.ETS(A180,B$3:B179, A$3:A179)</f>
        <v>1.5678272887984058E-2</v>
      </c>
      <c r="C180" s="44">
        <f>_xlfn.FORECAST.ETS(A180,C$3:C179,A$3:A179)</f>
        <v>3.962734535364111E-5</v>
      </c>
      <c r="D180" s="60">
        <f t="shared" si="29"/>
        <v>2.5275325692290886E-3</v>
      </c>
    </row>
    <row r="181" spans="1:4" x14ac:dyDescent="0.2">
      <c r="A181" s="68">
        <v>47058</v>
      </c>
      <c r="B181" s="43">
        <f>_xlfn.FORECAST.ETS(A181,B$3:B180, A$3:A180)</f>
        <v>1.5641526968201293E-2</v>
      </c>
      <c r="C181" s="44">
        <f>_xlfn.FORECAST.ETS(A181,C$3:C180,A$3:A180)</f>
        <v>3.9637343178813221E-5</v>
      </c>
      <c r="D181" s="60">
        <f t="shared" si="29"/>
        <v>2.534109569954048E-3</v>
      </c>
    </row>
    <row r="182" spans="1:4" x14ac:dyDescent="0.2">
      <c r="A182" s="68">
        <v>47088</v>
      </c>
      <c r="B182" s="43">
        <f>_xlfn.FORECAST.ETS(A182,B$3:B181, A$3:A181)</f>
        <v>1.5604776294695645E-2</v>
      </c>
      <c r="C182" s="44">
        <f>_xlfn.FORECAST.ETS(A182,C$3:C181,A$3:A181)</f>
        <v>3.9616227846901816E-5</v>
      </c>
      <c r="D182" s="60">
        <f t="shared" si="29"/>
        <v>2.5387244968303781E-3</v>
      </c>
    </row>
    <row r="183" spans="1:4" x14ac:dyDescent="0.2">
      <c r="A183" s="68">
        <v>47119</v>
      </c>
      <c r="B183" s="43">
        <f>_xlfn.FORECAST.ETS(A183,B$3:B182, A$3:A182)</f>
        <v>1.5568020992425626E-2</v>
      </c>
      <c r="C183" s="44">
        <f>_xlfn.FORECAST.ETS(A183,C$3:C182,A$3:A182)</f>
        <v>3.9550874362417673E-5</v>
      </c>
      <c r="D183" s="60">
        <f t="shared" si="29"/>
        <v>2.5405203642557086E-3</v>
      </c>
    </row>
    <row r="184" spans="1:4" x14ac:dyDescent="0.2">
      <c r="A184" s="68">
        <v>47150</v>
      </c>
      <c r="B184" s="43">
        <f>_xlfn.FORECAST.ETS(A184,B$3:B183, A$3:A183)</f>
        <v>1.5531261181865055E-2</v>
      </c>
      <c r="C184" s="44">
        <f>_xlfn.FORECAST.ETS(A184,C$3:C183,A$3:A183)</f>
        <v>3.9465886497566933E-5</v>
      </c>
      <c r="D184" s="60">
        <f t="shared" si="29"/>
        <v>2.5410612850712304E-3</v>
      </c>
    </row>
    <row r="185" spans="1:4" x14ac:dyDescent="0.2">
      <c r="A185" s="68">
        <v>47178</v>
      </c>
      <c r="B185" s="43">
        <f>_xlfn.FORECAST.ETS(A185,B$3:B184, A$3:A184)</f>
        <v>1.5494496979193388E-2</v>
      </c>
      <c r="C185" s="44">
        <f>_xlfn.FORECAST.ETS(A185,C$3:C184,A$3:A184)</f>
        <v>3.9624218656886534E-5</v>
      </c>
      <c r="D185" s="60">
        <f t="shared" si="29"/>
        <v>2.5573091343394673E-3</v>
      </c>
    </row>
    <row r="186" spans="1:4" x14ac:dyDescent="0.2">
      <c r="A186" s="68">
        <v>47209</v>
      </c>
      <c r="B186" s="43">
        <f>_xlfn.FORECAST.ETS(A186,B$3:B185, A$3:A185)</f>
        <v>1.545772849647691E-2</v>
      </c>
      <c r="C186" s="44">
        <f>_xlfn.FORECAST.ETS(A186,C$3:C185,A$3:A185)</f>
        <v>3.9617063581512224E-5</v>
      </c>
      <c r="D186" s="60">
        <f t="shared" si="29"/>
        <v>2.5629291904396985E-3</v>
      </c>
    </row>
    <row r="187" spans="1:4" x14ac:dyDescent="0.2">
      <c r="A187" s="68">
        <v>47239</v>
      </c>
      <c r="B187" s="43">
        <f>_xlfn.FORECAST.ETS(A187,B$3:B186, A$3:A186)</f>
        <v>1.5420955841841286E-2</v>
      </c>
      <c r="C187" s="44">
        <f>_xlfn.FORECAST.ETS(A187,C$3:C186,A$3:A186)</f>
        <v>3.9615089411446365E-5</v>
      </c>
      <c r="D187" s="60">
        <f t="shared" si="29"/>
        <v>2.5689127066922633E-3</v>
      </c>
    </row>
    <row r="188" spans="1:4" x14ac:dyDescent="0.2">
      <c r="A188" s="68">
        <v>47270</v>
      </c>
      <c r="B188" s="43">
        <f>_xlfn.FORECAST.ETS(A188,B$3:B187, A$3:A187)</f>
        <v>1.5384179119635903E-2</v>
      </c>
      <c r="C188" s="44">
        <f>_xlfn.FORECAST.ETS(A188,C$3:C187,A$3:A187)</f>
        <v>3.9530091655622053E-5</v>
      </c>
      <c r="D188" s="60">
        <f t="shared" si="29"/>
        <v>2.5695288223189648E-3</v>
      </c>
    </row>
    <row r="189" spans="1:4" x14ac:dyDescent="0.2">
      <c r="A189" s="68">
        <v>47300</v>
      </c>
      <c r="B189" s="43">
        <f>_xlfn.FORECAST.ETS(A189,B$3:B188, A$3:A188)</f>
        <v>1.5527768829180692E-2</v>
      </c>
      <c r="C189" s="44">
        <f>_xlfn.FORECAST.ETS(A189,C$3:C188,A$3:A188)</f>
        <v>3.9535058915166399E-5</v>
      </c>
      <c r="D189" s="60">
        <f t="shared" si="29"/>
        <v>2.546087551282307E-3</v>
      </c>
    </row>
    <row r="190" spans="1:4" x14ac:dyDescent="0.2">
      <c r="A190" s="68">
        <v>47331</v>
      </c>
      <c r="B190" s="43">
        <f>_xlfn.FORECAST.ETS(A190,B$3:B189, A$3:A189)</f>
        <v>1.5535329247756489E-2</v>
      </c>
      <c r="C190" s="44">
        <f>_xlfn.FORECAST.ETS(A190,C$3:C189,A$3:A189)</f>
        <v>3.9429303093798952E-5</v>
      </c>
      <c r="D190" s="60">
        <f t="shared" si="29"/>
        <v>2.5380410331176644E-3</v>
      </c>
    </row>
    <row r="191" spans="1:4" x14ac:dyDescent="0.2">
      <c r="A191" s="68">
        <v>47362</v>
      </c>
      <c r="B191" s="43">
        <f>_xlfn.FORECAST.ETS(A191,B$3:B190, A$3:A190)</f>
        <v>1.5636977534979713E-2</v>
      </c>
      <c r="C191" s="44">
        <f>_xlfn.FORECAST.ETS(A191,C$3:C190,A$3:A190)</f>
        <v>3.9686738869918495E-5</v>
      </c>
      <c r="D191" s="60">
        <f t="shared" si="29"/>
        <v>2.5380057483065242E-3</v>
      </c>
    </row>
    <row r="192" spans="1:4" x14ac:dyDescent="0.2">
      <c r="A192" s="68">
        <v>47392</v>
      </c>
      <c r="B192" s="43">
        <f>_xlfn.FORECAST.ETS(A192,B$3:B191, A$3:A191)</f>
        <v>1.5713834476454781E-2</v>
      </c>
      <c r="C192" s="44">
        <f>_xlfn.FORECAST.ETS(A192,C$3:C191,A$3:A191)</f>
        <v>3.9592468928717874E-5</v>
      </c>
      <c r="D192" s="60">
        <f t="shared" si="29"/>
        <v>2.5195931004645777E-3</v>
      </c>
    </row>
    <row r="193" spans="1:4" x14ac:dyDescent="0.2">
      <c r="A193" s="68">
        <v>47423</v>
      </c>
      <c r="B193" s="43">
        <f>_xlfn.FORECAST.ETS(A193,B$3:B192, A$3:A192)</f>
        <v>1.5958174839173941E-2</v>
      </c>
      <c r="C193" s="44">
        <f>_xlfn.FORECAST.ETS(A193,C$3:C192,A$3:A192)</f>
        <v>3.9364137403134123E-5</v>
      </c>
      <c r="D193" s="60">
        <f t="shared" si="29"/>
        <v>2.4667067380727964E-3</v>
      </c>
    </row>
    <row r="194" spans="1:4" x14ac:dyDescent="0.2">
      <c r="A194" s="68">
        <v>47453</v>
      </c>
      <c r="B194" s="43">
        <f>_xlfn.FORECAST.ETS(A194,B$3:B193, A$3:A193)</f>
        <v>1.5695244270161678E-2</v>
      </c>
      <c r="C194" s="44">
        <f>_xlfn.FORECAST.ETS(A194,C$3:C193,A$3:A193)</f>
        <v>3.973034458155696E-5</v>
      </c>
      <c r="D194" s="60">
        <f t="shared" si="29"/>
        <v>2.5313619780412437E-3</v>
      </c>
    </row>
    <row r="195" spans="1:4" x14ac:dyDescent="0.2">
      <c r="A195" s="68">
        <v>47484</v>
      </c>
      <c r="B195" s="43">
        <f>_xlfn.FORECAST.ETS(A195,B$3:B194, A$3:A194)</f>
        <v>1.5929324372669727E-2</v>
      </c>
      <c r="C195" s="44">
        <f>_xlfn.FORECAST.ETS(A195,C$3:C194,A$3:A194)</f>
        <v>3.9487524184391758E-5</v>
      </c>
      <c r="D195" s="60">
        <f t="shared" si="29"/>
        <v>2.4789202141015675E-3</v>
      </c>
    </row>
    <row r="196" spans="1:4" x14ac:dyDescent="0.2">
      <c r="A196" s="68">
        <v>47515</v>
      </c>
      <c r="B196" s="43">
        <f>_xlfn.FORECAST.ETS(A196,B$3:B195, A$3:A195)</f>
        <v>1.6013268641448541E-2</v>
      </c>
      <c r="C196" s="44">
        <f>_xlfn.FORECAST.ETS(A196,C$3:C195,A$3:A195)</f>
        <v>3.9669295840568761E-5</v>
      </c>
      <c r="D196" s="60">
        <f t="shared" si="29"/>
        <v>2.4772766090921162E-3</v>
      </c>
    </row>
    <row r="197" spans="1:4" x14ac:dyDescent="0.2">
      <c r="A197" s="68">
        <v>47543</v>
      </c>
      <c r="B197" s="43">
        <f>_xlfn.FORECAST.ETS(A197,B$3:B196, A$3:A196)</f>
        <v>1.6155756745468944E-2</v>
      </c>
      <c r="C197" s="44">
        <f>_xlfn.FORECAST.ETS(A197,C$3:C196,A$3:A196)</f>
        <v>3.9003128968429603E-5</v>
      </c>
      <c r="D197" s="60">
        <f t="shared" si="29"/>
        <v>2.4141938742280487E-3</v>
      </c>
    </row>
    <row r="198" spans="1:4" x14ac:dyDescent="0.2">
      <c r="A198" s="68">
        <v>47574</v>
      </c>
      <c r="B198" s="43">
        <f>_xlfn.FORECAST.ETS(A198,B$3:B197, A$3:A197)</f>
        <v>1.625266667497887E-2</v>
      </c>
      <c r="C198" s="44">
        <f>_xlfn.FORECAST.ETS(A198,C$3:C197,A$3:A197)</f>
        <v>3.9185647614420497E-5</v>
      </c>
      <c r="D198" s="60">
        <f t="shared" si="29"/>
        <v>2.4110288113363674E-3</v>
      </c>
    </row>
    <row r="199" spans="1:4" x14ac:dyDescent="0.2">
      <c r="A199" s="68">
        <v>47604</v>
      </c>
      <c r="B199" s="43">
        <f>_xlfn.FORECAST.ETS(A199,B$3:B198, A$3:A198)</f>
        <v>1.5751426188650993E-2</v>
      </c>
      <c r="C199" s="44">
        <f>_xlfn.FORECAST.ETS(A199,C$3:C198,A$3:A198)</f>
        <v>3.9308392765121252E-5</v>
      </c>
      <c r="D199" s="60">
        <f t="shared" si="29"/>
        <v>2.4955449934713349E-3</v>
      </c>
    </row>
    <row r="200" spans="1:4" x14ac:dyDescent="0.2">
      <c r="A200" s="68">
        <v>47635</v>
      </c>
      <c r="B200" s="43">
        <f>_xlfn.FORECAST.ETS(A200,B$3:B199, A$3:A199)</f>
        <v>1.5905885378741141E-2</v>
      </c>
      <c r="C200" s="44">
        <f>_xlfn.FORECAST.ETS(A200,C$3:C199,A$3:A199)</f>
        <v>3.9114236532632733E-5</v>
      </c>
      <c r="D200" s="60">
        <f t="shared" si="29"/>
        <v>2.4591046396518416E-3</v>
      </c>
    </row>
    <row r="201" spans="1:4" x14ac:dyDescent="0.2">
      <c r="A201" s="68">
        <v>47665</v>
      </c>
      <c r="B201" s="43">
        <f>_xlfn.FORECAST.ETS(A201,B$3:B200, A$3:A200)</f>
        <v>1.5403991618388778E-2</v>
      </c>
      <c r="C201" s="44">
        <f>_xlfn.FORECAST.ETS(A201,C$3:C200,A$3:A200)</f>
        <v>3.9023736173369588E-5</v>
      </c>
      <c r="D201" s="60">
        <f t="shared" si="29"/>
        <v>2.5333522076696237E-3</v>
      </c>
    </row>
    <row r="202" spans="1:4" x14ac:dyDescent="0.2">
      <c r="A202" s="68">
        <v>47696</v>
      </c>
      <c r="B202" s="43">
        <f>_xlfn.FORECAST.ETS(A202,B$3:B201, A$3:A201)</f>
        <v>1.5500565239935215E-2</v>
      </c>
      <c r="C202" s="44">
        <f>_xlfn.FORECAST.ETS(A202,C$3:C201,A$3:A201)</f>
        <v>3.8909247923747283E-5</v>
      </c>
      <c r="D202" s="60">
        <f t="shared" si="29"/>
        <v>2.5101825205381934E-3</v>
      </c>
    </row>
    <row r="203" spans="1:4" x14ac:dyDescent="0.2">
      <c r="A203" s="68">
        <v>47727</v>
      </c>
      <c r="B203" s="43">
        <f>_xlfn.FORECAST.ETS(A203,B$3:B202, A$3:A202)</f>
        <v>1.5149883065069845E-2</v>
      </c>
      <c r="C203" s="44">
        <f>_xlfn.FORECAST.ETS(A203,C$3:C202,A$3:A202)</f>
        <v>3.8422239672368451E-5</v>
      </c>
      <c r="D203" s="60">
        <f t="shared" si="29"/>
        <v>2.5361410056659942E-3</v>
      </c>
    </row>
    <row r="204" spans="1:4" x14ac:dyDescent="0.2">
      <c r="A204" s="68">
        <v>47757</v>
      </c>
      <c r="B204" s="43">
        <f>_xlfn.FORECAST.ETS(A204,B$3:B203, A$3:A203)</f>
        <v>1.5213030030141794E-2</v>
      </c>
      <c r="C204" s="44">
        <f>_xlfn.FORECAST.ETS(A204,C$3:C203,A$3:A203)</f>
        <v>3.8393010684040461E-5</v>
      </c>
      <c r="D204" s="60">
        <f t="shared" si="29"/>
        <v>2.5236925588112192E-3</v>
      </c>
    </row>
    <row r="205" spans="1:4" x14ac:dyDescent="0.2">
      <c r="A205" s="68">
        <v>47788</v>
      </c>
      <c r="B205" s="43">
        <f>_xlfn.FORECAST.ETS(A205,B$3:B204, A$3:A204)</f>
        <v>1.5538163956313522E-2</v>
      </c>
      <c r="C205" s="44">
        <f>_xlfn.FORECAST.ETS(A205,C$3:C204,A$3:A204)</f>
        <v>3.9052381181352526E-5</v>
      </c>
      <c r="D205" s="60">
        <f t="shared" si="29"/>
        <v>2.5133201896408502E-3</v>
      </c>
    </row>
    <row r="206" spans="1:4" x14ac:dyDescent="0.2">
      <c r="A206" s="68">
        <v>47818</v>
      </c>
      <c r="B206" s="43">
        <f>_xlfn.FORECAST.ETS(A206,B$3:B205, A$3:A205)</f>
        <v>1.5314098415566073E-2</v>
      </c>
      <c r="C206" s="44">
        <f>_xlfn.FORECAST.ETS(A206,C$3:C205,A$3:A205)</f>
        <v>3.7897546655174645E-5</v>
      </c>
      <c r="D206" s="60">
        <f t="shared" si="29"/>
        <v>2.4746834992684613E-3</v>
      </c>
    </row>
    <row r="207" spans="1:4" x14ac:dyDescent="0.2">
      <c r="A207" s="68">
        <v>47849</v>
      </c>
      <c r="B207" s="43">
        <f>_xlfn.FORECAST.ETS(A207,B$3:B206, A$3:A206)</f>
        <v>1.5713757066248564E-2</v>
      </c>
      <c r="C207" s="44">
        <f>_xlfn.FORECAST.ETS(A207,C$3:C206,A$3:A206)</f>
        <v>3.8588725107797235E-5</v>
      </c>
      <c r="D207" s="60">
        <f t="shared" si="29"/>
        <v>2.4557287569808247E-3</v>
      </c>
    </row>
    <row r="208" spans="1:4" x14ac:dyDescent="0.2">
      <c r="A208" s="68">
        <v>47880</v>
      </c>
      <c r="B208" s="43">
        <f>_xlfn.FORECAST.ETS(A208,B$3:B207, A$3:A207)</f>
        <v>1.5712824866465032E-2</v>
      </c>
      <c r="C208" s="44">
        <f>_xlfn.FORECAST.ETS(A208,C$3:C207,A$3:A207)</f>
        <v>3.7862724885517603E-5</v>
      </c>
      <c r="D208" s="60">
        <f t="shared" si="29"/>
        <v>2.4096701393474967E-3</v>
      </c>
    </row>
    <row r="209" spans="1:4" x14ac:dyDescent="0.2">
      <c r="A209" s="68">
        <v>47908</v>
      </c>
      <c r="B209" s="43">
        <f>_xlfn.FORECAST.ETS(A209,B$3:B208, A$3:A208)</f>
        <v>1.5950837348804484E-2</v>
      </c>
      <c r="C209" s="44">
        <f>_xlfn.FORECAST.ETS(A209,C$3:C208,A$3:A208)</f>
        <v>3.8597123741462569E-5</v>
      </c>
      <c r="D209" s="60">
        <f t="shared" si="29"/>
        <v>2.4197553330550024E-3</v>
      </c>
    </row>
    <row r="210" spans="1:4" x14ac:dyDescent="0.2">
      <c r="A210" s="68">
        <v>47939</v>
      </c>
      <c r="B210" s="43">
        <f>_xlfn.FORECAST.ETS(A210,B$3:B209, A$3:A209)</f>
        <v>1.596038933775111E-2</v>
      </c>
      <c r="C210" s="44">
        <f>_xlfn.FORECAST.ETS(A210,C$3:C209,A$3:A209)</f>
        <v>3.7879330531965839E-5</v>
      </c>
      <c r="D210" s="60">
        <f t="shared" si="29"/>
        <v>2.3733337408235935E-3</v>
      </c>
    </row>
    <row r="211" spans="1:4" x14ac:dyDescent="0.2">
      <c r="A211" s="68">
        <v>47969</v>
      </c>
      <c r="B211" s="43">
        <f>_xlfn.FORECAST.ETS(A211,B$3:B210, A$3:A210)</f>
        <v>1.5966625243781032E-2</v>
      </c>
      <c r="C211" s="44">
        <f>_xlfn.FORECAST.ETS(A211,C$3:C210,A$3:A210)</f>
        <v>3.7871922046646205E-5</v>
      </c>
      <c r="D211" s="60">
        <f t="shared" ref="D211:D218" si="30">C211/B211</f>
        <v>2.3719428162439801E-3</v>
      </c>
    </row>
    <row r="212" spans="1:4" x14ac:dyDescent="0.2">
      <c r="A212" s="68">
        <v>48000</v>
      </c>
      <c r="B212" s="43">
        <f>_xlfn.FORECAST.ETS(A212,B$3:B211, A$3:A211)</f>
        <v>1.6083824930875658E-2</v>
      </c>
      <c r="C212" s="44">
        <f>_xlfn.FORECAST.ETS(A212,C$3:C211,A$3:A211)</f>
        <v>3.7868299732405559E-5</v>
      </c>
      <c r="D212" s="60">
        <f t="shared" si="30"/>
        <v>2.3544337180461889E-3</v>
      </c>
    </row>
    <row r="213" spans="1:4" x14ac:dyDescent="0.2">
      <c r="A213" s="68">
        <v>48030</v>
      </c>
      <c r="B213" s="43">
        <f>_xlfn.FORECAST.ETS(A213,B$3:B212, A$3:A212)</f>
        <v>1.6095843894174851E-2</v>
      </c>
      <c r="C213" s="44">
        <f>_xlfn.FORECAST.ETS(A213,C$3:C212,A$3:A212)</f>
        <v>3.7841753469164088E-5</v>
      </c>
      <c r="D213" s="60">
        <f t="shared" si="30"/>
        <v>2.3510263716498372E-3</v>
      </c>
    </row>
    <row r="214" spans="1:4" x14ac:dyDescent="0.2">
      <c r="A214" s="68">
        <v>48061</v>
      </c>
      <c r="B214" s="43">
        <f>_xlfn.FORECAST.ETS(A214,B$3:B213, A$3:A213)</f>
        <v>1.6104265536525865E-2</v>
      </c>
      <c r="C214" s="44">
        <f>_xlfn.FORECAST.ETS(A214,C$3:C213,A$3:A213)</f>
        <v>3.7897235357274678E-5</v>
      </c>
      <c r="D214" s="60">
        <f t="shared" si="30"/>
        <v>2.3532420818149374E-3</v>
      </c>
    </row>
    <row r="215" spans="1:4" x14ac:dyDescent="0.2">
      <c r="A215" s="68">
        <v>48092</v>
      </c>
      <c r="B215" s="43">
        <f>_xlfn.FORECAST.ETS(A215,B$3:B214, A$3:A214)</f>
        <v>1.6066672892893721E-2</v>
      </c>
      <c r="C215" s="44">
        <f>_xlfn.FORECAST.ETS(A215,C$3:C214,A$3:A214)</f>
        <v>3.7346051585550858E-5</v>
      </c>
      <c r="D215" s="60">
        <f t="shared" si="30"/>
        <v>2.3244421439655369E-3</v>
      </c>
    </row>
    <row r="216" spans="1:4" x14ac:dyDescent="0.2">
      <c r="A216" s="68">
        <v>48122</v>
      </c>
      <c r="B216" s="43">
        <f>_xlfn.FORECAST.ETS(A216,B$3:B215, A$3:A215)</f>
        <v>1.6033962673419243E-2</v>
      </c>
      <c r="C216" s="44">
        <f>_xlfn.FORECAST.ETS(A216,C$3:C215,A$3:A215)</f>
        <v>3.7117995546334488E-5</v>
      </c>
      <c r="D216" s="60">
        <f t="shared" si="30"/>
        <v>2.314960830479411E-3</v>
      </c>
    </row>
    <row r="217" spans="1:4" x14ac:dyDescent="0.2">
      <c r="A217" s="68">
        <v>48153</v>
      </c>
      <c r="B217" s="43">
        <f>_xlfn.FORECAST.ETS(A217,B$3:B216, A$3:A216)</f>
        <v>1.6001379039569951E-2</v>
      </c>
      <c r="C217" s="44">
        <f>_xlfn.FORECAST.ETS(A217,C$3:C216,A$3:A216)</f>
        <v>3.7007333700583875E-5</v>
      </c>
      <c r="D217" s="60">
        <f t="shared" si="30"/>
        <v>2.3127590196487511E-3</v>
      </c>
    </row>
    <row r="218" spans="1:4" x14ac:dyDescent="0.2">
      <c r="A218" s="68">
        <v>48183</v>
      </c>
      <c r="B218" s="43">
        <f>_xlfn.FORECAST.ETS(A218,B$3:B217, A$3:A217)</f>
        <v>1.5968918456564847E-2</v>
      </c>
      <c r="C218" s="44">
        <f>_xlfn.FORECAST.ETS(A218,C$3:C217,A$3:A217)</f>
        <v>3.8159572291613437E-5</v>
      </c>
      <c r="D218" s="60">
        <f t="shared" si="30"/>
        <v>2.3896153265111062E-3</v>
      </c>
    </row>
  </sheetData>
  <pageMargins left="0.7" right="0.7" top="0.75" bottom="0.75" header="0.3" footer="0.3"/>
  <ignoredErrors>
    <ignoredError sqref="N2:P18" formulaRange="1"/>
  </ignoredErrors>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CEFD9-A272-9349-B54E-FE3CE2EE0D1A}">
  <dimension ref="A1:P475"/>
  <sheetViews>
    <sheetView topLeftCell="G1" workbookViewId="0">
      <selection activeCell="J4" sqref="J4"/>
    </sheetView>
  </sheetViews>
  <sheetFormatPr baseColWidth="10" defaultRowHeight="16" x14ac:dyDescent="0.2"/>
  <cols>
    <col min="1" max="1" width="20.5" customWidth="1"/>
    <col min="2" max="2" width="28.33203125" customWidth="1"/>
    <col min="3" max="3" width="17.33203125" customWidth="1"/>
    <col min="4" max="4" width="28.5" customWidth="1"/>
    <col min="5" max="5" width="25.5" customWidth="1"/>
    <col min="6" max="6" width="25.1640625" customWidth="1"/>
    <col min="7" max="7" width="30.6640625" customWidth="1"/>
    <col min="8" max="8" width="35" customWidth="1"/>
    <col min="9" max="9" width="21.33203125" customWidth="1"/>
    <col min="10" max="10" width="22.1640625" customWidth="1"/>
    <col min="12" max="12" width="21.83203125" customWidth="1"/>
    <col min="13" max="13" width="16.33203125" customWidth="1"/>
    <col min="15" max="15" width="23.33203125" customWidth="1"/>
    <col min="16" max="16" width="25.6640625" customWidth="1"/>
  </cols>
  <sheetData>
    <row r="1" spans="1:16" x14ac:dyDescent="0.2">
      <c r="A1" s="1" t="s">
        <v>219</v>
      </c>
      <c r="B1" s="1" t="s">
        <v>210</v>
      </c>
      <c r="C1" s="1" t="s">
        <v>218</v>
      </c>
      <c r="D1" s="1" t="s">
        <v>61</v>
      </c>
      <c r="E1" s="1" t="s">
        <v>217</v>
      </c>
      <c r="F1" s="1" t="s">
        <v>216</v>
      </c>
      <c r="G1" s="1" t="s">
        <v>62</v>
      </c>
      <c r="H1" s="1" t="s">
        <v>274</v>
      </c>
      <c r="I1" s="27" t="s">
        <v>275</v>
      </c>
      <c r="J1" s="1" t="s">
        <v>262</v>
      </c>
      <c r="K1" s="1" t="s">
        <v>263</v>
      </c>
      <c r="L1" s="1" t="s">
        <v>264</v>
      </c>
      <c r="M1" s="25" t="s">
        <v>248</v>
      </c>
      <c r="O1" s="153" t="s">
        <v>342</v>
      </c>
      <c r="P1" s="154"/>
    </row>
    <row r="2" spans="1:16" x14ac:dyDescent="0.2">
      <c r="A2" s="53">
        <v>41609</v>
      </c>
      <c r="B2" s="1">
        <v>2.2200000000000001E-2</v>
      </c>
      <c r="C2" s="1"/>
      <c r="D2" s="1"/>
      <c r="E2" s="1"/>
      <c r="F2" s="1"/>
      <c r="G2" s="1"/>
      <c r="H2" s="1"/>
      <c r="I2" s="1"/>
      <c r="J2" s="1">
        <f t="shared" ref="J2:J33" si="0">I2-B2</f>
        <v>-2.2200000000000001E-2</v>
      </c>
      <c r="K2" s="1">
        <f t="shared" ref="K2:K33" si="1">ABS(J2/B2)</f>
        <v>1</v>
      </c>
      <c r="L2" s="34">
        <f t="shared" ref="L2:L33" si="2">K2^2</f>
        <v>1</v>
      </c>
      <c r="M2" s="1"/>
      <c r="O2" s="127" t="s">
        <v>343</v>
      </c>
      <c r="P2" s="126" t="s">
        <v>344</v>
      </c>
    </row>
    <row r="3" spans="1:16" x14ac:dyDescent="0.2">
      <c r="A3" s="53">
        <v>41640</v>
      </c>
      <c r="B3" s="1">
        <v>2.24E-2</v>
      </c>
      <c r="C3" s="1">
        <v>1.357466063348408E-2</v>
      </c>
      <c r="D3" s="1">
        <v>-0.97391897008708828</v>
      </c>
      <c r="E3" s="1">
        <v>-1.4943652861559853E-3</v>
      </c>
      <c r="F3" s="1">
        <v>1.8130841121495322</v>
      </c>
      <c r="G3" s="1">
        <v>-0.46242421058162142</v>
      </c>
      <c r="H3" s="1">
        <v>1.6973514568902882E-2</v>
      </c>
      <c r="I3" s="1">
        <f>(1+H3)*B2</f>
        <v>2.2576812023429645E-2</v>
      </c>
      <c r="J3" s="1">
        <f t="shared" si="0"/>
        <v>1.7681202342964553E-4</v>
      </c>
      <c r="K3" s="1">
        <f t="shared" si="1"/>
        <v>7.8933939031091745E-3</v>
      </c>
      <c r="L3" s="34">
        <f t="shared" si="2"/>
        <v>6.2305667309641092E-5</v>
      </c>
      <c r="M3" s="1">
        <v>-3.3988539354188017E-3</v>
      </c>
      <c r="O3" s="128">
        <f>AVERAGE(K3:K130)</f>
        <v>1.1677541587752449E-2</v>
      </c>
      <c r="P3" s="129">
        <f>AVERAGE(L3:L130)</f>
        <v>2.2718992014266371E-4</v>
      </c>
    </row>
    <row r="4" spans="1:16" x14ac:dyDescent="0.2">
      <c r="A4" s="53">
        <v>41671</v>
      </c>
      <c r="B4" s="1">
        <v>2.23E-2</v>
      </c>
      <c r="C4" s="1">
        <v>-4.4642857142856871E-3</v>
      </c>
      <c r="D4" s="1">
        <v>-0.97016384285980262</v>
      </c>
      <c r="E4" s="1">
        <v>-2.7372163328008847E-3</v>
      </c>
      <c r="F4" s="1">
        <v>-0.33157777777777786</v>
      </c>
      <c r="G4" s="1">
        <v>-0.46297054342922683</v>
      </c>
      <c r="H4" s="1">
        <v>-5.2243100736904195E-3</v>
      </c>
      <c r="I4" s="1">
        <f t="shared" ref="I4:I33" si="3">(1+H4)*B3</f>
        <v>2.2282975454349336E-2</v>
      </c>
      <c r="J4" s="1">
        <f t="shared" si="0"/>
        <v>-1.7024545650664441E-5</v>
      </c>
      <c r="K4" s="1">
        <f t="shared" si="1"/>
        <v>7.6343254038853999E-4</v>
      </c>
      <c r="L4" s="34">
        <f t="shared" si="2"/>
        <v>5.8282924372409971E-7</v>
      </c>
      <c r="M4" s="1">
        <v>7.6002435940473231E-4</v>
      </c>
    </row>
    <row r="5" spans="1:16" x14ac:dyDescent="0.2">
      <c r="A5" s="53">
        <v>41699</v>
      </c>
      <c r="B5" s="1">
        <v>2.2499999999999999E-2</v>
      </c>
      <c r="C5" s="1">
        <v>8.9686098654707981E-3</v>
      </c>
      <c r="D5" s="1">
        <v>-0.99145348950138878</v>
      </c>
      <c r="E5" s="1">
        <v>-7.3424261938831448E-3</v>
      </c>
      <c r="F5" s="1">
        <v>-0.33171111111111118</v>
      </c>
      <c r="G5" s="1">
        <v>-0.4618011830967621</v>
      </c>
      <c r="H5" s="1">
        <v>-5.473090547720624E-3</v>
      </c>
      <c r="I5" s="1">
        <f t="shared" si="3"/>
        <v>2.2177950080785831E-2</v>
      </c>
      <c r="J5" s="1">
        <f t="shared" si="0"/>
        <v>-3.2204991921416792E-4</v>
      </c>
      <c r="K5" s="1">
        <f t="shared" si="1"/>
        <v>1.4313329742851908E-2</v>
      </c>
      <c r="L5" s="34">
        <f t="shared" si="2"/>
        <v>2.0487140832760908E-4</v>
      </c>
      <c r="M5" s="1">
        <v>1.4441700413191422E-2</v>
      </c>
    </row>
    <row r="6" spans="1:16" x14ac:dyDescent="0.2">
      <c r="A6" s="53">
        <v>41730</v>
      </c>
      <c r="B6" s="1">
        <v>2.2800000000000001E-2</v>
      </c>
      <c r="C6" s="1">
        <v>1.3333333333333407E-2</v>
      </c>
      <c r="D6" s="1">
        <v>-0.99184792095800023</v>
      </c>
      <c r="E6" s="1">
        <v>-4.4358104873998272E-4</v>
      </c>
      <c r="F6" s="1">
        <v>-0.32835555555555551</v>
      </c>
      <c r="G6" s="1">
        <v>-0.46234041899956191</v>
      </c>
      <c r="H6" s="1">
        <v>-3.3272441582593015E-3</v>
      </c>
      <c r="I6" s="1">
        <f t="shared" si="3"/>
        <v>2.2425137006439166E-2</v>
      </c>
      <c r="J6" s="1">
        <f t="shared" si="0"/>
        <v>-3.7486299356083441E-4</v>
      </c>
      <c r="K6" s="1">
        <f t="shared" si="1"/>
        <v>1.6441359366703264E-2</v>
      </c>
      <c r="L6" s="34">
        <f t="shared" si="2"/>
        <v>2.7031829782508113E-4</v>
      </c>
      <c r="M6" s="1">
        <v>1.6660577491592707E-2</v>
      </c>
    </row>
    <row r="7" spans="1:16" x14ac:dyDescent="0.2">
      <c r="A7" s="53">
        <v>41760</v>
      </c>
      <c r="B7" s="1">
        <v>2.29E-2</v>
      </c>
      <c r="C7" s="1">
        <v>4.3859649122806755E-3</v>
      </c>
      <c r="D7" s="1">
        <v>-0.98557452469375306</v>
      </c>
      <c r="E7" s="1">
        <v>2.9781918803517549E-4</v>
      </c>
      <c r="F7" s="1">
        <v>-0.32973333333333332</v>
      </c>
      <c r="G7" s="1">
        <v>-0.46089578064571324</v>
      </c>
      <c r="H7" s="1">
        <v>-3.4449045399629762E-3</v>
      </c>
      <c r="I7" s="1">
        <f t="shared" si="3"/>
        <v>2.2721456176488845E-2</v>
      </c>
      <c r="J7" s="1">
        <f t="shared" si="0"/>
        <v>-1.7854382351115486E-4</v>
      </c>
      <c r="K7" s="1">
        <f t="shared" si="1"/>
        <v>7.7966735157709542E-3</v>
      </c>
      <c r="L7" s="34">
        <f t="shared" si="2"/>
        <v>6.0788117911524215E-5</v>
      </c>
      <c r="M7" s="1">
        <v>7.8308694522436512E-3</v>
      </c>
    </row>
    <row r="8" spans="1:16" x14ac:dyDescent="0.2">
      <c r="A8" s="53">
        <v>41791</v>
      </c>
      <c r="B8" s="1">
        <v>2.3099999999999999E-2</v>
      </c>
      <c r="C8" s="1">
        <v>8.7336244541484191E-3</v>
      </c>
      <c r="D8" s="1">
        <v>-1.0094679290572077</v>
      </c>
      <c r="E8" s="1">
        <v>1.9114619242233122E-3</v>
      </c>
      <c r="F8" s="1">
        <v>-0.33004444444444436</v>
      </c>
      <c r="G8" s="1">
        <v>-0.45743797499876571</v>
      </c>
      <c r="H8" s="1">
        <v>-1.6550952119210268E-3</v>
      </c>
      <c r="I8" s="1">
        <f t="shared" si="3"/>
        <v>2.2862098319647011E-2</v>
      </c>
      <c r="J8" s="1">
        <f t="shared" si="0"/>
        <v>-2.3790168035298792E-4</v>
      </c>
      <c r="K8" s="1">
        <f t="shared" si="1"/>
        <v>1.0298774041254889E-2</v>
      </c>
      <c r="L8" s="34">
        <f t="shared" si="2"/>
        <v>1.0606474675282554E-4</v>
      </c>
      <c r="M8" s="1">
        <v>1.0388719666069446E-2</v>
      </c>
    </row>
    <row r="9" spans="1:16" x14ac:dyDescent="0.2">
      <c r="A9" s="53">
        <v>41821</v>
      </c>
      <c r="B9" s="1">
        <v>2.3E-2</v>
      </c>
      <c r="C9" s="1">
        <v>-4.329004329004303E-3</v>
      </c>
      <c r="D9" s="1">
        <v>-1.0062771533264274</v>
      </c>
      <c r="E9" s="1">
        <v>6.0369521805185844E-3</v>
      </c>
      <c r="F9" s="1">
        <v>-0.3056888888888889</v>
      </c>
      <c r="G9" s="1">
        <v>-0.45988192233229053</v>
      </c>
      <c r="H9" s="1">
        <v>-3.4275911270870152E-4</v>
      </c>
      <c r="I9" s="1">
        <f t="shared" si="3"/>
        <v>2.3092082264496428E-2</v>
      </c>
      <c r="J9" s="1">
        <f t="shared" si="0"/>
        <v>9.2082264496428506E-5</v>
      </c>
      <c r="K9" s="1">
        <f t="shared" si="1"/>
        <v>4.0035767172360223E-3</v>
      </c>
      <c r="L9" s="34">
        <f t="shared" si="2"/>
        <v>1.6028626530794364E-5</v>
      </c>
      <c r="M9" s="1">
        <v>-3.9862452162956015E-3</v>
      </c>
    </row>
    <row r="10" spans="1:16" x14ac:dyDescent="0.2">
      <c r="A10" s="53">
        <v>41852</v>
      </c>
      <c r="B10" s="1">
        <v>2.23E-2</v>
      </c>
      <c r="C10" s="1">
        <v>-3.0434782608695619E-2</v>
      </c>
      <c r="D10" s="1">
        <v>-0.99440663381052963</v>
      </c>
      <c r="E10" s="1">
        <v>3.5473474500498092E-3</v>
      </c>
      <c r="F10" s="1">
        <v>-0.31016842105263154</v>
      </c>
      <c r="G10" s="1">
        <v>-0.44928330173471043</v>
      </c>
      <c r="H10" s="1">
        <v>-1.7210262745223385E-3</v>
      </c>
      <c r="I10" s="1">
        <f t="shared" si="3"/>
        <v>2.2960416395685985E-2</v>
      </c>
      <c r="J10" s="1">
        <f t="shared" si="0"/>
        <v>6.6041639568598445E-4</v>
      </c>
      <c r="K10" s="1">
        <f t="shared" si="1"/>
        <v>2.9615085008340109E-2</v>
      </c>
      <c r="L10" s="34">
        <f t="shared" si="2"/>
        <v>8.7705326005121107E-4</v>
      </c>
      <c r="M10" s="1">
        <v>-2.8713756334173279E-2</v>
      </c>
    </row>
    <row r="11" spans="1:16" x14ac:dyDescent="0.2">
      <c r="A11" s="53">
        <v>41883</v>
      </c>
      <c r="B11" s="1">
        <v>2.23E-2</v>
      </c>
      <c r="C11" s="1">
        <v>0</v>
      </c>
      <c r="D11" s="1">
        <v>-0.98926879122921119</v>
      </c>
      <c r="E11" s="1">
        <v>1.1140064412900053E-3</v>
      </c>
      <c r="F11" s="1">
        <v>-0.30907368421052639</v>
      </c>
      <c r="G11" s="1">
        <v>-0.441016936337848</v>
      </c>
      <c r="H11" s="1">
        <v>-2.6776031431774675E-3</v>
      </c>
      <c r="I11" s="1">
        <f t="shared" si="3"/>
        <v>2.2240289449907143E-2</v>
      </c>
      <c r="J11" s="1">
        <f t="shared" si="0"/>
        <v>-5.9710550092857695E-5</v>
      </c>
      <c r="K11" s="1">
        <f t="shared" si="1"/>
        <v>2.6776031431774753E-3</v>
      </c>
      <c r="L11" s="34">
        <f t="shared" si="2"/>
        <v>7.1695585923538951E-6</v>
      </c>
      <c r="M11" s="1">
        <v>2.6776031431774675E-3</v>
      </c>
    </row>
    <row r="12" spans="1:16" x14ac:dyDescent="0.2">
      <c r="A12" s="53">
        <v>41913</v>
      </c>
      <c r="B12" s="1">
        <v>2.2200000000000001E-2</v>
      </c>
      <c r="C12" s="1">
        <v>-4.4843049327353991E-3</v>
      </c>
      <c r="D12" s="1">
        <v>-0.99676086376966144</v>
      </c>
      <c r="E12" s="1">
        <v>1.5842915438346594E-3</v>
      </c>
      <c r="F12" s="1">
        <v>-0.31155999999999995</v>
      </c>
      <c r="G12" s="1">
        <v>-0.42872538031283935</v>
      </c>
      <c r="H12" s="1">
        <v>-2.0876467123881379E-3</v>
      </c>
      <c r="I12" s="1">
        <f t="shared" si="3"/>
        <v>2.2253445478313746E-2</v>
      </c>
      <c r="J12" s="1">
        <f t="shared" si="0"/>
        <v>5.3445478313745437E-5</v>
      </c>
      <c r="K12" s="1">
        <f t="shared" si="1"/>
        <v>2.4074539780966414E-3</v>
      </c>
      <c r="L12" s="34">
        <f t="shared" si="2"/>
        <v>5.7958346566533436E-6</v>
      </c>
      <c r="M12" s="1">
        <v>-2.3966582203472611E-3</v>
      </c>
    </row>
    <row r="13" spans="1:16" x14ac:dyDescent="0.2">
      <c r="A13" s="53">
        <v>41944</v>
      </c>
      <c r="B13" s="1">
        <v>2.24E-2</v>
      </c>
      <c r="C13" s="1">
        <v>9.0090090090089534E-3</v>
      </c>
      <c r="D13" s="1">
        <v>-0.98905680041688382</v>
      </c>
      <c r="E13" s="1">
        <v>3.552930053550174E-3</v>
      </c>
      <c r="F13" s="1">
        <v>-0.29659999999999997</v>
      </c>
      <c r="G13" s="1">
        <v>-0.42433808459739397</v>
      </c>
      <c r="H13" s="1">
        <v>-1.7282988443234775E-3</v>
      </c>
      <c r="I13" s="1">
        <f t="shared" si="3"/>
        <v>2.2161631765656019E-2</v>
      </c>
      <c r="J13" s="1">
        <f t="shared" si="0"/>
        <v>-2.3836823434398094E-4</v>
      </c>
      <c r="K13" s="1">
        <f t="shared" si="1"/>
        <v>1.0641439033213435E-2</v>
      </c>
      <c r="L13" s="34">
        <f t="shared" si="2"/>
        <v>1.1324022469759848E-4</v>
      </c>
      <c r="M13" s="1">
        <v>1.0737307853332431E-2</v>
      </c>
    </row>
    <row r="14" spans="1:16" x14ac:dyDescent="0.2">
      <c r="A14" s="53">
        <v>41974</v>
      </c>
      <c r="B14" s="1">
        <v>2.2700000000000001E-2</v>
      </c>
      <c r="C14" s="1">
        <v>1.3392857142857217E-2</v>
      </c>
      <c r="D14" s="1">
        <v>-0.98881346367695144</v>
      </c>
      <c r="E14" s="1">
        <v>2.882707836578513E-3</v>
      </c>
      <c r="F14" s="1">
        <v>-0.29180000000000006</v>
      </c>
      <c r="G14" s="1">
        <v>-0.41721392312332028</v>
      </c>
      <c r="H14" s="1">
        <v>-1.8559547216400684E-3</v>
      </c>
      <c r="I14" s="1">
        <f t="shared" si="3"/>
        <v>2.2358426614235264E-2</v>
      </c>
      <c r="J14" s="1">
        <f t="shared" si="0"/>
        <v>-3.4157338576473739E-4</v>
      </c>
      <c r="K14" s="1">
        <f t="shared" si="1"/>
        <v>1.5047285716508254E-2</v>
      </c>
      <c r="L14" s="34">
        <f t="shared" si="2"/>
        <v>2.2642080743423332E-4</v>
      </c>
      <c r="M14" s="1">
        <v>1.5248811864497286E-2</v>
      </c>
    </row>
    <row r="15" spans="1:16" x14ac:dyDescent="0.2">
      <c r="A15" s="53">
        <v>42005</v>
      </c>
      <c r="B15" s="1">
        <v>2.2700000000000001E-2</v>
      </c>
      <c r="C15" s="1">
        <v>0</v>
      </c>
      <c r="D15" s="1">
        <v>-0.98578411587963588</v>
      </c>
      <c r="E15" s="1">
        <v>5.6697808748260581E-3</v>
      </c>
      <c r="F15" s="1">
        <v>-0.28800000000000003</v>
      </c>
      <c r="G15" s="1">
        <v>-0.39472239170267276</v>
      </c>
      <c r="H15" s="1">
        <v>-1.0067386737423025E-3</v>
      </c>
      <c r="I15" s="1">
        <f t="shared" si="3"/>
        <v>2.2677147032106049E-2</v>
      </c>
      <c r="J15" s="1">
        <f t="shared" si="0"/>
        <v>-2.2852967893952775E-5</v>
      </c>
      <c r="K15" s="1">
        <f t="shared" si="1"/>
        <v>1.0067386737424128E-3</v>
      </c>
      <c r="L15" s="34">
        <f t="shared" si="2"/>
        <v>1.0135227572086325E-6</v>
      </c>
      <c r="M15" s="1">
        <v>1.0067386737423025E-3</v>
      </c>
    </row>
    <row r="16" spans="1:16" x14ac:dyDescent="0.2">
      <c r="A16" s="53">
        <v>42036</v>
      </c>
      <c r="B16" s="1">
        <v>2.24E-2</v>
      </c>
      <c r="C16" s="1">
        <v>-1.3215859030837076E-2</v>
      </c>
      <c r="D16" s="1">
        <v>-0.9751044277360067</v>
      </c>
      <c r="E16" s="1">
        <v>-3.3919837977527401E-3</v>
      </c>
      <c r="F16" s="1">
        <v>-0.29139999999999999</v>
      </c>
      <c r="G16" s="1">
        <v>-0.37115027261654365</v>
      </c>
      <c r="H16" s="1">
        <v>-4.2312212920390183E-3</v>
      </c>
      <c r="I16" s="1">
        <f t="shared" si="3"/>
        <v>2.2603951276670715E-2</v>
      </c>
      <c r="J16" s="1">
        <f t="shared" si="0"/>
        <v>2.0395127667071494E-4</v>
      </c>
      <c r="K16" s="1">
        <f t="shared" si="1"/>
        <v>9.1049677085140602E-3</v>
      </c>
      <c r="L16" s="34">
        <f t="shared" si="2"/>
        <v>8.2900436973083771E-5</v>
      </c>
      <c r="M16" s="1">
        <v>-8.9846377387980576E-3</v>
      </c>
    </row>
    <row r="17" spans="1:13" x14ac:dyDescent="0.2">
      <c r="A17" s="53">
        <v>42064</v>
      </c>
      <c r="B17" s="1">
        <v>2.2700000000000001E-2</v>
      </c>
      <c r="C17" s="1">
        <v>1.3392857142857217E-2</v>
      </c>
      <c r="D17" s="1">
        <v>-0.96957342544987146</v>
      </c>
      <c r="E17" s="1">
        <v>-6.846427276948952E-3</v>
      </c>
      <c r="F17" s="1">
        <v>-0.29537999999999998</v>
      </c>
      <c r="G17" s="1">
        <v>-0.356023104948474</v>
      </c>
      <c r="H17" s="1">
        <v>-5.5310216196875414E-3</v>
      </c>
      <c r="I17" s="1">
        <f t="shared" si="3"/>
        <v>2.2276105115718998E-2</v>
      </c>
      <c r="J17" s="1">
        <f t="shared" si="0"/>
        <v>-4.2389488428100364E-4</v>
      </c>
      <c r="K17" s="1">
        <f t="shared" si="1"/>
        <v>1.8673783448502363E-2</v>
      </c>
      <c r="L17" s="34">
        <f t="shared" si="2"/>
        <v>3.4871018828156082E-4</v>
      </c>
      <c r="M17" s="1">
        <v>1.8923878762544758E-2</v>
      </c>
    </row>
    <row r="18" spans="1:13" x14ac:dyDescent="0.2">
      <c r="A18" s="53">
        <v>42095</v>
      </c>
      <c r="B18" s="1">
        <v>2.2499999999999999E-2</v>
      </c>
      <c r="C18" s="1">
        <v>-8.8105726872247693E-3</v>
      </c>
      <c r="D18" s="1">
        <v>-0.99185177862821794</v>
      </c>
      <c r="E18" s="1">
        <v>-1.5988904439190321E-4</v>
      </c>
      <c r="F18" s="1">
        <v>-0.29526000000000008</v>
      </c>
      <c r="G18" s="1">
        <v>-0.32530087282104947</v>
      </c>
      <c r="H18" s="1">
        <v>-2.129088741414683E-3</v>
      </c>
      <c r="I18" s="1">
        <f t="shared" si="3"/>
        <v>2.2651669685569888E-2</v>
      </c>
      <c r="J18" s="1">
        <f t="shared" si="0"/>
        <v>1.5166968556988916E-4</v>
      </c>
      <c r="K18" s="1">
        <f t="shared" si="1"/>
        <v>6.7408749142172965E-3</v>
      </c>
      <c r="L18" s="34">
        <f t="shared" si="2"/>
        <v>4.5439394609124046E-5</v>
      </c>
      <c r="M18" s="1">
        <v>-6.6814839458100867E-3</v>
      </c>
    </row>
    <row r="19" spans="1:13" x14ac:dyDescent="0.2">
      <c r="A19" s="53">
        <v>42125</v>
      </c>
      <c r="B19" s="1">
        <v>2.2200000000000001E-2</v>
      </c>
      <c r="C19" s="1">
        <v>-1.3333333333333253E-2</v>
      </c>
      <c r="D19" s="1">
        <v>-0.98658007371299483</v>
      </c>
      <c r="E19" s="1">
        <v>-6.0012218445740784E-3</v>
      </c>
      <c r="F19" s="1">
        <v>-0.29398000000000002</v>
      </c>
      <c r="G19" s="1">
        <v>-0.33382374085109723</v>
      </c>
      <c r="H19" s="1">
        <v>-4.2207142475030948E-3</v>
      </c>
      <c r="I19" s="1">
        <f t="shared" si="3"/>
        <v>2.2405033929431179E-2</v>
      </c>
      <c r="J19" s="1">
        <f t="shared" si="0"/>
        <v>2.0503392943117815E-4</v>
      </c>
      <c r="K19" s="1">
        <f t="shared" si="1"/>
        <v>9.2357625869900067E-3</v>
      </c>
      <c r="L19" s="34">
        <f t="shared" si="2"/>
        <v>8.5299310563244335E-5</v>
      </c>
      <c r="M19" s="1">
        <v>-9.1126190858301578E-3</v>
      </c>
    </row>
    <row r="20" spans="1:13" x14ac:dyDescent="0.2">
      <c r="A20" s="53">
        <v>42156</v>
      </c>
      <c r="B20" s="1">
        <v>2.1899999999999999E-2</v>
      </c>
      <c r="C20" s="1">
        <v>-1.3513513513513587E-2</v>
      </c>
      <c r="D20" s="1">
        <v>-0.99757925972200534</v>
      </c>
      <c r="E20" s="1">
        <v>-3.4897784830686396E-3</v>
      </c>
      <c r="F20" s="1">
        <v>-0.29591999999999996</v>
      </c>
      <c r="G20" s="1">
        <v>-0.32784805743071277</v>
      </c>
      <c r="H20" s="1">
        <v>-2.8531989422452028E-3</v>
      </c>
      <c r="I20" s="1">
        <f t="shared" si="3"/>
        <v>2.2136658983482157E-2</v>
      </c>
      <c r="J20" s="1">
        <f t="shared" si="0"/>
        <v>2.3665898348215753E-4</v>
      </c>
      <c r="K20" s="1">
        <f t="shared" si="1"/>
        <v>1.0806346277724088E-2</v>
      </c>
      <c r="L20" s="34">
        <f t="shared" si="2"/>
        <v>1.1677711987408125E-4</v>
      </c>
      <c r="M20" s="1">
        <v>-1.0660314571268384E-2</v>
      </c>
    </row>
    <row r="21" spans="1:13" x14ac:dyDescent="0.2">
      <c r="A21" s="53">
        <v>42186</v>
      </c>
      <c r="B21" s="1">
        <v>2.1399999999999999E-2</v>
      </c>
      <c r="C21" s="1">
        <v>-2.2831050228310522E-2</v>
      </c>
      <c r="D21" s="1">
        <v>-0.98856540201493159</v>
      </c>
      <c r="E21" s="1">
        <v>1.8028704565058451E-3</v>
      </c>
      <c r="F21" s="1">
        <v>-0.29679999999999995</v>
      </c>
      <c r="G21" s="1">
        <v>-0.32962077247150645</v>
      </c>
      <c r="H21" s="1">
        <v>-1.7499605049287558E-3</v>
      </c>
      <c r="I21" s="1">
        <f t="shared" si="3"/>
        <v>2.1861675864942059E-2</v>
      </c>
      <c r="J21" s="1">
        <f t="shared" si="0"/>
        <v>4.6167586494206062E-4</v>
      </c>
      <c r="K21" s="1">
        <f t="shared" si="1"/>
        <v>2.1573638548694422E-2</v>
      </c>
      <c r="L21" s="34">
        <f t="shared" si="2"/>
        <v>4.6542188022971398E-4</v>
      </c>
      <c r="M21" s="1">
        <v>-2.1081089723381765E-2</v>
      </c>
    </row>
    <row r="22" spans="1:13" x14ac:dyDescent="0.2">
      <c r="A22" s="53">
        <v>42217</v>
      </c>
      <c r="B22" s="1">
        <v>2.1399999999999999E-2</v>
      </c>
      <c r="C22" s="1">
        <v>0</v>
      </c>
      <c r="D22" s="1">
        <v>-0.97780289932171827</v>
      </c>
      <c r="E22" s="1">
        <v>1.5049732959901974E-3</v>
      </c>
      <c r="F22" s="1">
        <v>-0.29614000000000007</v>
      </c>
      <c r="G22" s="1">
        <v>-0.32147753077322916</v>
      </c>
      <c r="H22" s="1">
        <v>-2.3656342778827165E-3</v>
      </c>
      <c r="I22" s="1">
        <f t="shared" si="3"/>
        <v>2.1349375426453307E-2</v>
      </c>
      <c r="J22" s="1">
        <f t="shared" si="0"/>
        <v>-5.0624573546691892E-5</v>
      </c>
      <c r="K22" s="1">
        <f t="shared" si="1"/>
        <v>2.3656342778827989E-3</v>
      </c>
      <c r="L22" s="34">
        <f t="shared" si="2"/>
        <v>5.5962255366940717E-6</v>
      </c>
      <c r="M22" s="1">
        <v>2.3656342778827165E-3</v>
      </c>
    </row>
    <row r="23" spans="1:13" x14ac:dyDescent="0.2">
      <c r="A23" s="53">
        <v>42248</v>
      </c>
      <c r="B23" s="1">
        <v>2.1399999999999999E-2</v>
      </c>
      <c r="C23" s="1">
        <v>0</v>
      </c>
      <c r="D23" s="1">
        <v>-0.98270375552080758</v>
      </c>
      <c r="E23" s="1">
        <v>-3.9767255872991125E-4</v>
      </c>
      <c r="F23" s="1">
        <v>-0.29564000000000001</v>
      </c>
      <c r="G23" s="1">
        <v>-0.33455170075723961</v>
      </c>
      <c r="H23" s="1">
        <v>-2.7490547705289322E-3</v>
      </c>
      <c r="I23" s="1">
        <f t="shared" si="3"/>
        <v>2.1341170227910679E-2</v>
      </c>
      <c r="J23" s="1">
        <f t="shared" si="0"/>
        <v>-5.8829772089319388E-5</v>
      </c>
      <c r="K23" s="1">
        <f t="shared" si="1"/>
        <v>2.7490547705289435E-3</v>
      </c>
      <c r="L23" s="34">
        <f t="shared" si="2"/>
        <v>7.5573021313679425E-6</v>
      </c>
      <c r="M23" s="1">
        <v>2.7490547705289322E-3</v>
      </c>
    </row>
    <row r="24" spans="1:13" x14ac:dyDescent="0.2">
      <c r="A24" s="53">
        <v>42278</v>
      </c>
      <c r="B24" s="1">
        <v>2.12E-2</v>
      </c>
      <c r="C24" s="1">
        <v>-9.3457943925233083E-3</v>
      </c>
      <c r="D24" s="1">
        <v>-0.97737068965517238</v>
      </c>
      <c r="E24" s="1">
        <v>1.3857605995146738E-3</v>
      </c>
      <c r="F24" s="1">
        <v>-0.29424000000000006</v>
      </c>
      <c r="G24" s="1">
        <v>-0.32645019717662804</v>
      </c>
      <c r="H24" s="1">
        <v>-2.4341261859897965E-3</v>
      </c>
      <c r="I24" s="1">
        <f t="shared" si="3"/>
        <v>2.1347909699619815E-2</v>
      </c>
      <c r="J24" s="1">
        <f t="shared" si="0"/>
        <v>1.4790969961981509E-4</v>
      </c>
      <c r="K24" s="1">
        <f t="shared" si="1"/>
        <v>6.976872623576184E-3</v>
      </c>
      <c r="L24" s="34">
        <f t="shared" si="2"/>
        <v>4.8676751605606826E-5</v>
      </c>
      <c r="M24" s="1">
        <v>-6.9116682065335118E-3</v>
      </c>
    </row>
    <row r="25" spans="1:13" x14ac:dyDescent="0.2">
      <c r="A25" s="53">
        <v>42309</v>
      </c>
      <c r="B25" s="1">
        <v>2.1399999999999999E-2</v>
      </c>
      <c r="C25" s="1">
        <v>9.4339622641508858E-3</v>
      </c>
      <c r="D25" s="1">
        <v>-0.96646107495097067</v>
      </c>
      <c r="E25" s="1">
        <v>4.9248134038690772E-3</v>
      </c>
      <c r="F25" s="1">
        <v>-0.29418</v>
      </c>
      <c r="G25" s="1">
        <v>-0.31698755100300635</v>
      </c>
      <c r="H25" s="1">
        <v>-1.8916867219481842E-3</v>
      </c>
      <c r="I25" s="1">
        <f t="shared" si="3"/>
        <v>2.11598962414947E-2</v>
      </c>
      <c r="J25" s="1">
        <f t="shared" si="0"/>
        <v>-2.4010375850529869E-4</v>
      </c>
      <c r="K25" s="1">
        <f t="shared" si="1"/>
        <v>1.1219801799313023E-2</v>
      </c>
      <c r="L25" s="34">
        <f t="shared" si="2"/>
        <v>1.2588395241586777E-4</v>
      </c>
      <c r="M25" s="1">
        <v>1.1325648986099069E-2</v>
      </c>
    </row>
    <row r="26" spans="1:13" x14ac:dyDescent="0.2">
      <c r="A26" s="53">
        <v>42339</v>
      </c>
      <c r="B26" s="1">
        <v>2.0799999999999999E-2</v>
      </c>
      <c r="C26" s="1">
        <v>-2.8037383177570086E-2</v>
      </c>
      <c r="D26" s="1">
        <v>-0.98034148454655456</v>
      </c>
      <c r="E26" s="1">
        <v>5.2991369976829183E-3</v>
      </c>
      <c r="F26" s="1">
        <v>-0.29564000000000001</v>
      </c>
      <c r="G26" s="1">
        <v>-0.30423072169201437</v>
      </c>
      <c r="H26" s="1">
        <v>-9.7469082468910353E-4</v>
      </c>
      <c r="I26" s="1">
        <f t="shared" si="3"/>
        <v>2.1379141616351651E-2</v>
      </c>
      <c r="J26" s="1">
        <f t="shared" si="0"/>
        <v>5.7914161635165204E-4</v>
      </c>
      <c r="K26" s="1">
        <f t="shared" si="1"/>
        <v>2.7843346939983273E-2</v>
      </c>
      <c r="L26" s="34">
        <f t="shared" si="2"/>
        <v>7.7525196882027587E-4</v>
      </c>
      <c r="M26" s="1">
        <v>-2.7062692352880984E-2</v>
      </c>
    </row>
    <row r="27" spans="1:13" x14ac:dyDescent="0.2">
      <c r="A27" s="53">
        <v>42370</v>
      </c>
      <c r="B27" s="1">
        <v>2.1100000000000001E-2</v>
      </c>
      <c r="C27" s="1">
        <v>1.4423076923077004E-2</v>
      </c>
      <c r="D27" s="1">
        <v>-0.96845290205655132</v>
      </c>
      <c r="E27" s="1">
        <v>-7.2167664567246437E-4</v>
      </c>
      <c r="F27" s="1">
        <v>-0.29324000000000006</v>
      </c>
      <c r="G27" s="1">
        <v>-0.30575836420416747</v>
      </c>
      <c r="H27" s="1">
        <v>-3.4252314049849847E-3</v>
      </c>
      <c r="I27" s="1">
        <f t="shared" si="3"/>
        <v>2.0728755186776311E-2</v>
      </c>
      <c r="J27" s="1">
        <f t="shared" si="0"/>
        <v>-3.7124481322368952E-4</v>
      </c>
      <c r="K27" s="1">
        <f t="shared" si="1"/>
        <v>1.7594540911075332E-2</v>
      </c>
      <c r="L27" s="34">
        <f t="shared" si="2"/>
        <v>3.0956786987150356E-4</v>
      </c>
      <c r="M27" s="1">
        <v>1.7848308328061988E-2</v>
      </c>
    </row>
    <row r="28" spans="1:13" x14ac:dyDescent="0.2">
      <c r="A28" s="53">
        <v>42401</v>
      </c>
      <c r="B28" s="1">
        <v>2.1899999999999999E-2</v>
      </c>
      <c r="C28" s="1">
        <v>3.7914691943127896E-2</v>
      </c>
      <c r="D28" s="1">
        <v>-0.95177487105489611</v>
      </c>
      <c r="E28" s="1">
        <v>-2.6796070712327147E-3</v>
      </c>
      <c r="F28" s="1">
        <v>-0.29410000000000003</v>
      </c>
      <c r="G28" s="1">
        <v>-0.30613500164258334</v>
      </c>
      <c r="H28" s="1">
        <v>-4.9262351924305864E-3</v>
      </c>
      <c r="I28" s="1">
        <f t="shared" si="3"/>
        <v>2.0996056437439715E-2</v>
      </c>
      <c r="J28" s="1">
        <f t="shared" si="0"/>
        <v>-9.0394356256028388E-4</v>
      </c>
      <c r="K28" s="1">
        <f t="shared" si="1"/>
        <v>4.1275961760743558E-2</v>
      </c>
      <c r="L28" s="34">
        <f t="shared" si="2"/>
        <v>1.7037050192743645E-3</v>
      </c>
      <c r="M28" s="1">
        <v>4.2840927135558482E-2</v>
      </c>
    </row>
    <row r="29" spans="1:13" x14ac:dyDescent="0.2">
      <c r="A29" s="53">
        <v>42430</v>
      </c>
      <c r="B29" s="1">
        <v>2.1299999999999999E-2</v>
      </c>
      <c r="C29" s="1">
        <v>-2.7397260273972598E-2</v>
      </c>
      <c r="D29" s="1">
        <v>-0.97027063931430424</v>
      </c>
      <c r="E29" s="1">
        <v>-4.2875380041303979E-3</v>
      </c>
      <c r="F29" s="1">
        <v>-0.29442000000000002</v>
      </c>
      <c r="G29" s="1">
        <v>-0.30246463559515824</v>
      </c>
      <c r="H29" s="1">
        <v>-4.4030614423495361E-3</v>
      </c>
      <c r="I29" s="1">
        <f t="shared" si="3"/>
        <v>2.1803572954412542E-2</v>
      </c>
      <c r="J29" s="1">
        <f t="shared" si="0"/>
        <v>5.0357295441254279E-4</v>
      </c>
      <c r="K29" s="1">
        <f t="shared" si="1"/>
        <v>2.3641922742372902E-2</v>
      </c>
      <c r="L29" s="34">
        <f t="shared" si="2"/>
        <v>5.5894051095632907E-4</v>
      </c>
      <c r="M29" s="1">
        <v>-2.2994198831623062E-2</v>
      </c>
    </row>
    <row r="30" spans="1:13" x14ac:dyDescent="0.2">
      <c r="A30" s="53">
        <v>42461</v>
      </c>
      <c r="B30" s="1">
        <v>2.1399999999999999E-2</v>
      </c>
      <c r="C30" s="1">
        <v>4.6948356807511452E-3</v>
      </c>
      <c r="D30" s="1">
        <v>-0.95861306131034674</v>
      </c>
      <c r="E30" s="1">
        <v>-1.9385809456746728E-3</v>
      </c>
      <c r="F30" s="1">
        <v>-0.29415999999999998</v>
      </c>
      <c r="G30" s="1">
        <v>-0.30798132094812913</v>
      </c>
      <c r="H30" s="1">
        <v>-4.3450687573281261E-3</v>
      </c>
      <c r="I30" s="1">
        <f t="shared" si="3"/>
        <v>2.1207450035468912E-2</v>
      </c>
      <c r="J30" s="1">
        <f t="shared" si="0"/>
        <v>-1.9254996453108714E-4</v>
      </c>
      <c r="K30" s="1">
        <f t="shared" si="1"/>
        <v>8.9976618939760344E-3</v>
      </c>
      <c r="L30" s="34">
        <f t="shared" si="2"/>
        <v>8.0957919558308396E-5</v>
      </c>
      <c r="M30" s="1">
        <v>9.0399044380792722E-3</v>
      </c>
    </row>
    <row r="31" spans="1:13" x14ac:dyDescent="0.2">
      <c r="A31" s="53">
        <v>42491</v>
      </c>
      <c r="B31" s="1">
        <v>2.1399999999999999E-2</v>
      </c>
      <c r="C31" s="1">
        <v>0</v>
      </c>
      <c r="D31" s="1">
        <v>-0.95040640287247324</v>
      </c>
      <c r="E31" s="1">
        <v>-2.179961117488638E-3</v>
      </c>
      <c r="F31" s="1">
        <v>-0.29410000000000003</v>
      </c>
      <c r="G31" s="1">
        <v>-0.31283460634370186</v>
      </c>
      <c r="H31" s="1">
        <v>-4.8861474116171973E-3</v>
      </c>
      <c r="I31" s="1">
        <f t="shared" si="3"/>
        <v>2.1295436445391391E-2</v>
      </c>
      <c r="J31" s="1">
        <f t="shared" si="0"/>
        <v>-1.0456355460860753E-4</v>
      </c>
      <c r="K31" s="1">
        <f t="shared" si="1"/>
        <v>4.8861474116171748E-3</v>
      </c>
      <c r="L31" s="34">
        <f t="shared" si="2"/>
        <v>2.3874436528053216E-5</v>
      </c>
      <c r="M31" s="1">
        <v>4.8861474116171973E-3</v>
      </c>
    </row>
    <row r="32" spans="1:13" x14ac:dyDescent="0.2">
      <c r="A32" s="53">
        <v>42522</v>
      </c>
      <c r="B32" s="1">
        <v>2.1299999999999999E-2</v>
      </c>
      <c r="C32" s="1">
        <v>-4.6728971962616541E-3</v>
      </c>
      <c r="D32" s="1">
        <v>-0.9613016567179018</v>
      </c>
      <c r="E32" s="1">
        <v>4.2138608377295661E-4</v>
      </c>
      <c r="F32" s="1">
        <v>-0.29408000000000001</v>
      </c>
      <c r="G32" s="1">
        <v>-0.30414958608699094</v>
      </c>
      <c r="H32" s="1">
        <v>-3.46178666393449E-3</v>
      </c>
      <c r="I32" s="1">
        <f t="shared" si="3"/>
        <v>2.1325917765391802E-2</v>
      </c>
      <c r="J32" s="1">
        <f t="shared" si="0"/>
        <v>2.5917765391802322E-5</v>
      </c>
      <c r="K32" s="1">
        <f t="shared" si="1"/>
        <v>1.2167964972677147E-3</v>
      </c>
      <c r="L32" s="34">
        <f t="shared" si="2"/>
        <v>1.4805937157629796E-6</v>
      </c>
      <c r="M32" s="1">
        <v>-1.2111105323271642E-3</v>
      </c>
    </row>
    <row r="33" spans="1:13" x14ac:dyDescent="0.2">
      <c r="A33" s="53">
        <v>42552</v>
      </c>
      <c r="B33" s="1">
        <v>2.1499999999999998E-2</v>
      </c>
      <c r="C33" s="1">
        <v>9.3896713615022904E-3</v>
      </c>
      <c r="D33" s="1">
        <v>-0.95881017405810487</v>
      </c>
      <c r="E33" s="1">
        <v>3.4704741736848455E-3</v>
      </c>
      <c r="F33" s="1">
        <v>-0.11787499999999995</v>
      </c>
      <c r="G33" s="1">
        <v>-0.29509235596419214</v>
      </c>
      <c r="H33" s="1">
        <v>-8.4279960429962855E-4</v>
      </c>
      <c r="I33" s="1">
        <f t="shared" si="3"/>
        <v>2.1282048368428418E-2</v>
      </c>
      <c r="J33" s="1">
        <f t="shared" si="0"/>
        <v>-2.1795163157158071E-4</v>
      </c>
      <c r="K33" s="1">
        <f t="shared" si="1"/>
        <v>1.0137285189375848E-2</v>
      </c>
      <c r="L33" s="34">
        <f t="shared" si="2"/>
        <v>1.0276455101073892E-4</v>
      </c>
      <c r="M33" s="1">
        <v>1.0232470965801918E-2</v>
      </c>
    </row>
    <row r="34" spans="1:13" x14ac:dyDescent="0.2">
      <c r="A34" s="53">
        <v>42583</v>
      </c>
      <c r="B34" s="1">
        <v>2.0799999999999999E-2</v>
      </c>
      <c r="C34" s="1">
        <v>-3.2558139534883686E-2</v>
      </c>
      <c r="D34" s="1">
        <v>-0.96068819631453606</v>
      </c>
      <c r="E34" s="1">
        <v>-9.1758736802738383E-4</v>
      </c>
      <c r="F34" s="1">
        <v>-0.11839999999999995</v>
      </c>
      <c r="G34" s="1">
        <v>-0.295958743331597</v>
      </c>
      <c r="H34" s="1">
        <v>-2.0839654307440456E-3</v>
      </c>
      <c r="I34" s="1">
        <f t="shared" ref="I34:I65" si="4">(1+H34)*B33</f>
        <v>2.1455194743239002E-2</v>
      </c>
      <c r="J34" s="1">
        <f t="shared" ref="J34:J65" si="5">I34-B34</f>
        <v>6.551947432390029E-4</v>
      </c>
      <c r="K34" s="1">
        <f t="shared" ref="K34:K65" si="6">ABS(J34/B34)</f>
        <v>3.149974727110591E-2</v>
      </c>
      <c r="L34" s="34">
        <f t="shared" ref="L34:L65" si="7">K34^2</f>
        <v>9.9223407814354419E-4</v>
      </c>
      <c r="M34" s="1">
        <v>-3.0474174104139641E-2</v>
      </c>
    </row>
    <row r="35" spans="1:13" x14ac:dyDescent="0.2">
      <c r="A35" s="53">
        <v>42614</v>
      </c>
      <c r="B35" s="1">
        <v>2.06E-2</v>
      </c>
      <c r="C35" s="1">
        <v>-9.6153846153845569E-3</v>
      </c>
      <c r="D35" s="1">
        <v>-0.96680744219776782</v>
      </c>
      <c r="E35" s="1">
        <v>-5.5933325743218187E-4</v>
      </c>
      <c r="F35" s="1">
        <v>-0.118425</v>
      </c>
      <c r="G35" s="1">
        <v>-0.29047627281242516</v>
      </c>
      <c r="H35" s="1">
        <v>-1.6156226877195002E-3</v>
      </c>
      <c r="I35" s="1">
        <f t="shared" si="4"/>
        <v>2.0766395048095434E-2</v>
      </c>
      <c r="J35" s="1">
        <f t="shared" si="5"/>
        <v>1.6639504809543362E-4</v>
      </c>
      <c r="K35" s="1">
        <f t="shared" si="6"/>
        <v>8.0774295191958067E-3</v>
      </c>
      <c r="L35" s="34">
        <f t="shared" si="7"/>
        <v>6.52448676375758E-5</v>
      </c>
      <c r="M35" s="1">
        <v>-7.9997619276650569E-3</v>
      </c>
    </row>
    <row r="36" spans="1:13" x14ac:dyDescent="0.2">
      <c r="A36" s="53">
        <v>42644</v>
      </c>
      <c r="B36" s="1">
        <v>2.0199999999999999E-2</v>
      </c>
      <c r="C36" s="1">
        <v>-1.941747572815539E-2</v>
      </c>
      <c r="D36" s="1">
        <v>-0.96332182202317473</v>
      </c>
      <c r="E36" s="1">
        <v>5.9243926714924733E-4</v>
      </c>
      <c r="F36" s="1">
        <v>-0.12017500000000003</v>
      </c>
      <c r="G36" s="1">
        <v>-0.30125976569900581</v>
      </c>
      <c r="H36" s="1">
        <v>-1.532168807606393E-3</v>
      </c>
      <c r="I36" s="1">
        <f t="shared" si="4"/>
        <v>2.0568437322563308E-2</v>
      </c>
      <c r="J36" s="1">
        <f t="shared" si="5"/>
        <v>3.6843732256330863E-4</v>
      </c>
      <c r="K36" s="1">
        <f t="shared" si="6"/>
        <v>1.8239471414025179E-2</v>
      </c>
      <c r="L36" s="34">
        <f t="shared" si="7"/>
        <v>3.3267831746304168E-4</v>
      </c>
      <c r="M36" s="1">
        <v>-1.7885306920548998E-2</v>
      </c>
    </row>
    <row r="37" spans="1:13" x14ac:dyDescent="0.2">
      <c r="A37" s="53">
        <v>42675</v>
      </c>
      <c r="B37" s="1">
        <v>2.0199999999999999E-2</v>
      </c>
      <c r="C37" s="1">
        <v>0</v>
      </c>
      <c r="D37" s="1">
        <v>-0.96139511047506165</v>
      </c>
      <c r="E37" s="1">
        <v>7.0761093518005858E-3</v>
      </c>
      <c r="F37" s="1">
        <v>-0.12465000000000004</v>
      </c>
      <c r="G37" s="1">
        <v>-0.30011478333485053</v>
      </c>
      <c r="H37" s="1">
        <v>2.9361698595863116E-4</v>
      </c>
      <c r="I37" s="1">
        <f t="shared" si="4"/>
        <v>2.0205931063116363E-2</v>
      </c>
      <c r="J37" s="1">
        <f t="shared" si="5"/>
        <v>5.9310631163635164E-6</v>
      </c>
      <c r="K37" s="1">
        <f t="shared" si="6"/>
        <v>2.9361698595858991E-4</v>
      </c>
      <c r="L37" s="34">
        <f t="shared" si="7"/>
        <v>8.6210934443406782E-8</v>
      </c>
      <c r="M37" s="1">
        <v>-2.9361698595863116E-4</v>
      </c>
    </row>
    <row r="38" spans="1:13" x14ac:dyDescent="0.2">
      <c r="A38" s="53">
        <v>42705</v>
      </c>
      <c r="B38" s="1">
        <v>2.01E-2</v>
      </c>
      <c r="C38" s="1">
        <v>-4.9504950495049211E-3</v>
      </c>
      <c r="D38" s="1">
        <v>-0.96037771829546603</v>
      </c>
      <c r="E38" s="1">
        <v>3.3245584451164767E-3</v>
      </c>
      <c r="F38" s="1">
        <v>-0.12485000000000002</v>
      </c>
      <c r="G38" s="1">
        <v>-0.30909945529778471</v>
      </c>
      <c r="H38" s="1">
        <v>-9.5272888519592276E-4</v>
      </c>
      <c r="I38" s="1">
        <f t="shared" si="4"/>
        <v>2.018075487651904E-2</v>
      </c>
      <c r="J38" s="1">
        <f t="shared" si="5"/>
        <v>8.0754876519040231E-5</v>
      </c>
      <c r="K38" s="1">
        <f t="shared" si="6"/>
        <v>4.0176555482109568E-3</v>
      </c>
      <c r="L38" s="34">
        <f t="shared" si="7"/>
        <v>1.6141556104070284E-5</v>
      </c>
      <c r="M38" s="1">
        <v>-3.9977661643089985E-3</v>
      </c>
    </row>
    <row r="39" spans="1:13" x14ac:dyDescent="0.2">
      <c r="A39" s="53">
        <v>42736</v>
      </c>
      <c r="B39" s="1">
        <v>0.02</v>
      </c>
      <c r="C39" s="1">
        <v>-4.9751243781094223E-3</v>
      </c>
      <c r="D39" s="1">
        <v>-0.9533704758240128</v>
      </c>
      <c r="E39" s="1">
        <v>-2.1753779500244264E-3</v>
      </c>
      <c r="F39" s="1">
        <v>-0.11929999999999996</v>
      </c>
      <c r="G39" s="1">
        <v>-0.30913116213806491</v>
      </c>
      <c r="H39" s="1">
        <v>-2.9427079810937255E-3</v>
      </c>
      <c r="I39" s="1">
        <f t="shared" si="4"/>
        <v>2.0040851569580017E-2</v>
      </c>
      <c r="J39" s="1">
        <f t="shared" si="5"/>
        <v>4.0851569580016567E-5</v>
      </c>
      <c r="K39" s="1">
        <f t="shared" si="6"/>
        <v>2.0425784790008283E-3</v>
      </c>
      <c r="L39" s="34">
        <f t="shared" si="7"/>
        <v>4.1721268428773372E-6</v>
      </c>
      <c r="M39" s="1">
        <v>-2.0324163970156968E-3</v>
      </c>
    </row>
    <row r="40" spans="1:13" x14ac:dyDescent="0.2">
      <c r="A40" s="53">
        <v>42767</v>
      </c>
      <c r="B40" s="1">
        <v>0.02</v>
      </c>
      <c r="C40" s="1">
        <v>0</v>
      </c>
      <c r="D40" s="1">
        <v>-0.96176348527662159</v>
      </c>
      <c r="E40" s="1">
        <v>4.7884935206776724E-4</v>
      </c>
      <c r="F40" s="1">
        <v>-0.11702500000000005</v>
      </c>
      <c r="G40" s="1">
        <v>-0.31816429648749922</v>
      </c>
      <c r="H40" s="1">
        <v>-1.7146142592420381E-3</v>
      </c>
      <c r="I40" s="1">
        <f t="shared" si="4"/>
        <v>1.9965707714815161E-2</v>
      </c>
      <c r="J40" s="1">
        <f t="shared" si="5"/>
        <v>-3.4292285184839288E-5</v>
      </c>
      <c r="K40" s="1">
        <f t="shared" si="6"/>
        <v>1.7146142592419644E-3</v>
      </c>
      <c r="L40" s="34">
        <f t="shared" si="7"/>
        <v>2.9399020579958704E-6</v>
      </c>
      <c r="M40" s="1">
        <v>1.7146142592420381E-3</v>
      </c>
    </row>
    <row r="41" spans="1:13" x14ac:dyDescent="0.2">
      <c r="A41" s="53">
        <v>42795</v>
      </c>
      <c r="B41" s="1">
        <v>1.9900000000000001E-2</v>
      </c>
      <c r="C41" s="1">
        <v>-4.9999999999999697E-3</v>
      </c>
      <c r="D41" s="1">
        <v>-0.96262572074655117</v>
      </c>
      <c r="E41" s="1">
        <v>-8.1213776809696547E-4</v>
      </c>
      <c r="F41" s="1">
        <v>-0.11629999999999996</v>
      </c>
      <c r="G41" s="1">
        <v>-0.31390156000309444</v>
      </c>
      <c r="H41" s="1">
        <v>-2.0286125301719276E-3</v>
      </c>
      <c r="I41" s="1">
        <f t="shared" si="4"/>
        <v>1.9959427749396561E-2</v>
      </c>
      <c r="J41" s="1">
        <f t="shared" si="5"/>
        <v>5.9427749396559482E-5</v>
      </c>
      <c r="K41" s="1">
        <f t="shared" si="6"/>
        <v>2.9863190651537425E-3</v>
      </c>
      <c r="L41" s="34">
        <f t="shared" si="7"/>
        <v>8.9181015589007223E-6</v>
      </c>
      <c r="M41" s="1">
        <v>-2.9713874698280422E-3</v>
      </c>
    </row>
    <row r="42" spans="1:13" x14ac:dyDescent="0.2">
      <c r="A42" s="53">
        <v>42826</v>
      </c>
      <c r="B42" s="1">
        <v>2.01E-2</v>
      </c>
      <c r="C42" s="1">
        <v>1.0050251256281346E-2</v>
      </c>
      <c r="D42" s="1">
        <v>-0.95970771203807193</v>
      </c>
      <c r="E42" s="1">
        <v>6.4592060260637574E-4</v>
      </c>
      <c r="F42" s="1">
        <v>-0.11545000000000005</v>
      </c>
      <c r="G42" s="1">
        <v>-0.32246320137179907</v>
      </c>
      <c r="H42" s="1">
        <v>-1.7828811448142177E-3</v>
      </c>
      <c r="I42" s="1">
        <f t="shared" si="4"/>
        <v>1.98645206652182E-2</v>
      </c>
      <c r="J42" s="1">
        <f t="shared" si="5"/>
        <v>-2.3547933478179975E-4</v>
      </c>
      <c r="K42" s="1">
        <f t="shared" si="6"/>
        <v>1.171538979013929E-2</v>
      </c>
      <c r="L42" s="34">
        <f t="shared" si="7"/>
        <v>1.3725035793489993E-4</v>
      </c>
      <c r="M42" s="1">
        <v>1.1833132401095564E-2</v>
      </c>
    </row>
    <row r="43" spans="1:13" x14ac:dyDescent="0.2">
      <c r="A43" s="53">
        <v>42856</v>
      </c>
      <c r="B43" s="1">
        <v>1.9800000000000002E-2</v>
      </c>
      <c r="C43" s="1">
        <v>-1.4925373134328268E-2</v>
      </c>
      <c r="D43" s="1">
        <v>-0.97038006185332393</v>
      </c>
      <c r="E43" s="1">
        <v>-1.7533132407994145E-3</v>
      </c>
      <c r="F43" s="1">
        <v>-0.10197500000000004</v>
      </c>
      <c r="G43" s="1">
        <v>-0.32023165174612211</v>
      </c>
      <c r="H43" s="1">
        <v>-1.7892832814840145E-3</v>
      </c>
      <c r="I43" s="1">
        <f t="shared" si="4"/>
        <v>2.0064035406042173E-2</v>
      </c>
      <c r="J43" s="1">
        <f t="shared" si="5"/>
        <v>2.6403540604217138E-4</v>
      </c>
      <c r="K43" s="1">
        <f t="shared" si="6"/>
        <v>1.3335121517281381E-2</v>
      </c>
      <c r="L43" s="34">
        <f t="shared" si="7"/>
        <v>1.7782546588066087E-4</v>
      </c>
      <c r="M43" s="1">
        <v>-1.3136089852844254E-2</v>
      </c>
    </row>
    <row r="44" spans="1:13" x14ac:dyDescent="0.2">
      <c r="A44" s="53">
        <v>42887</v>
      </c>
      <c r="B44" s="1">
        <v>1.9800000000000002E-2</v>
      </c>
      <c r="C44" s="1">
        <v>0</v>
      </c>
      <c r="D44" s="1">
        <v>-0.96081684407454648</v>
      </c>
      <c r="E44" s="1">
        <v>-9.0628891020771984E-4</v>
      </c>
      <c r="F44" s="1">
        <v>-0.10419999999999996</v>
      </c>
      <c r="G44" s="1">
        <v>-0.3297262540659418</v>
      </c>
      <c r="H44" s="1">
        <v>-2.1222783845189289E-3</v>
      </c>
      <c r="I44" s="1">
        <f t="shared" si="4"/>
        <v>1.9757978887986527E-2</v>
      </c>
      <c r="J44" s="1">
        <f t="shared" si="5"/>
        <v>-4.202111201347461E-5</v>
      </c>
      <c r="K44" s="1">
        <f t="shared" si="6"/>
        <v>2.1222783845189193E-3</v>
      </c>
      <c r="L44" s="34">
        <f t="shared" si="7"/>
        <v>4.5040655413962336E-6</v>
      </c>
      <c r="M44" s="1">
        <v>2.1222783845189289E-3</v>
      </c>
    </row>
    <row r="45" spans="1:13" x14ac:dyDescent="0.2">
      <c r="A45" s="53">
        <v>42917</v>
      </c>
      <c r="B45" s="1">
        <v>1.9599999999999999E-2</v>
      </c>
      <c r="C45" s="1">
        <v>-1.0101010101010215E-2</v>
      </c>
      <c r="D45" s="1">
        <v>-0.97141529197803433</v>
      </c>
      <c r="E45" s="1">
        <v>1.5919218426718729E-3</v>
      </c>
      <c r="F45" s="1">
        <v>-0.10614999999999997</v>
      </c>
      <c r="G45" s="1">
        <v>-0.33780717395501125</v>
      </c>
      <c r="H45" s="1">
        <v>-8.6023816635022129E-4</v>
      </c>
      <c r="I45" s="1">
        <f t="shared" si="4"/>
        <v>1.9782967284306268E-2</v>
      </c>
      <c r="J45" s="1">
        <f t="shared" si="5"/>
        <v>1.8296728430626866E-4</v>
      </c>
      <c r="K45" s="1">
        <f t="shared" si="6"/>
        <v>9.3350655258300341E-3</v>
      </c>
      <c r="L45" s="34">
        <f t="shared" si="7"/>
        <v>8.7143448371540365E-5</v>
      </c>
      <c r="M45" s="1">
        <v>-9.2407719346599936E-3</v>
      </c>
    </row>
    <row r="46" spans="1:13" x14ac:dyDescent="0.2">
      <c r="A46" s="53">
        <v>42948</v>
      </c>
      <c r="B46" s="1">
        <v>1.95E-2</v>
      </c>
      <c r="C46" s="1">
        <v>-5.1020408163264998E-3</v>
      </c>
      <c r="D46" s="1">
        <v>-0.97724551302111184</v>
      </c>
      <c r="E46" s="1">
        <v>-1.1907067645001712E-3</v>
      </c>
      <c r="F46" s="1">
        <v>-0.10340000000000005</v>
      </c>
      <c r="G46" s="1">
        <v>-0.35141373689005717</v>
      </c>
      <c r="H46" s="1">
        <v>-1.4411672710720768E-3</v>
      </c>
      <c r="I46" s="1">
        <f t="shared" si="4"/>
        <v>1.9571753121486984E-2</v>
      </c>
      <c r="J46" s="1">
        <f t="shared" si="5"/>
        <v>7.1753121486984456E-5</v>
      </c>
      <c r="K46" s="1">
        <f t="shared" si="6"/>
        <v>3.6796472557427927E-3</v>
      </c>
      <c r="L46" s="34">
        <f t="shared" si="7"/>
        <v>1.3539803926695464E-5</v>
      </c>
      <c r="M46" s="1">
        <v>-3.660873545254423E-3</v>
      </c>
    </row>
    <row r="47" spans="1:13" x14ac:dyDescent="0.2">
      <c r="A47" s="53">
        <v>42979</v>
      </c>
      <c r="B47" s="1">
        <v>1.9400000000000001E-2</v>
      </c>
      <c r="C47" s="1">
        <v>-5.128205128205097E-3</v>
      </c>
      <c r="D47" s="1">
        <v>-0.95839883324083641</v>
      </c>
      <c r="E47" s="1">
        <v>9.8916474860510917E-4</v>
      </c>
      <c r="F47" s="1">
        <v>-0.10650000000000004</v>
      </c>
      <c r="G47" s="1">
        <v>-0.35413243326222865</v>
      </c>
      <c r="H47" s="1">
        <v>-1.8386645485316518E-3</v>
      </c>
      <c r="I47" s="1">
        <f t="shared" si="4"/>
        <v>1.9464146041303632E-2</v>
      </c>
      <c r="J47" s="1">
        <f t="shared" si="5"/>
        <v>6.414604130363169E-5</v>
      </c>
      <c r="K47" s="1">
        <f t="shared" si="6"/>
        <v>3.3064969744140047E-3</v>
      </c>
      <c r="L47" s="34">
        <f t="shared" si="7"/>
        <v>1.0932922241808967E-5</v>
      </c>
      <c r="M47" s="1">
        <v>-3.2895405796734452E-3</v>
      </c>
    </row>
    <row r="48" spans="1:13" x14ac:dyDescent="0.2">
      <c r="A48" s="53">
        <v>43009</v>
      </c>
      <c r="B48" s="1">
        <v>1.9900000000000001E-2</v>
      </c>
      <c r="C48" s="1">
        <v>2.5773195876288683E-2</v>
      </c>
      <c r="D48" s="1">
        <v>-0.9686346464904193</v>
      </c>
      <c r="E48" s="1">
        <v>3.3127073027954257E-3</v>
      </c>
      <c r="F48" s="1">
        <v>-0.10362499999999997</v>
      </c>
      <c r="G48" s="1">
        <v>-0.35387058724606124</v>
      </c>
      <c r="H48" s="1">
        <v>-5.5310828804547925E-4</v>
      </c>
      <c r="I48" s="1">
        <f t="shared" si="4"/>
        <v>1.9389269699211918E-2</v>
      </c>
      <c r="J48" s="1">
        <f t="shared" si="5"/>
        <v>-5.1073030078808285E-4</v>
      </c>
      <c r="K48" s="1">
        <f t="shared" si="6"/>
        <v>2.5664839235582052E-2</v>
      </c>
      <c r="L48" s="34">
        <f t="shared" si="7"/>
        <v>6.5868397298827195E-4</v>
      </c>
      <c r="M48" s="1">
        <v>2.6326304164334163E-2</v>
      </c>
    </row>
    <row r="49" spans="1:13" x14ac:dyDescent="0.2">
      <c r="A49" s="53">
        <v>43040</v>
      </c>
      <c r="B49" s="1">
        <v>0.02</v>
      </c>
      <c r="C49" s="1">
        <v>5.0251256281406732E-3</v>
      </c>
      <c r="D49" s="1">
        <v>-0.96137674196438772</v>
      </c>
      <c r="E49" s="1">
        <v>4.4279273568195165E-3</v>
      </c>
      <c r="F49" s="1">
        <v>-7.5274999999999981E-2</v>
      </c>
      <c r="G49" s="1">
        <v>-0.35161118777011136</v>
      </c>
      <c r="H49" s="1">
        <v>-3.0594656655249294E-4</v>
      </c>
      <c r="I49" s="1">
        <f t="shared" si="4"/>
        <v>1.9893911663325606E-2</v>
      </c>
      <c r="J49" s="1">
        <f t="shared" si="5"/>
        <v>-1.0608833667439393E-4</v>
      </c>
      <c r="K49" s="1">
        <f t="shared" si="6"/>
        <v>5.3044168337196967E-3</v>
      </c>
      <c r="L49" s="34">
        <f t="shared" si="7"/>
        <v>2.8136837945848894E-5</v>
      </c>
      <c r="M49" s="1">
        <v>5.3310721946931662E-3</v>
      </c>
    </row>
    <row r="50" spans="1:13" x14ac:dyDescent="0.2">
      <c r="A50" s="53">
        <v>43070</v>
      </c>
      <c r="B50" s="1">
        <v>1.95E-2</v>
      </c>
      <c r="C50" s="1">
        <v>-2.5000000000000022E-2</v>
      </c>
      <c r="D50" s="1">
        <v>-0.95109856386527603</v>
      </c>
      <c r="E50" s="1">
        <v>3.249316798639823E-3</v>
      </c>
      <c r="F50" s="1">
        <v>-7.3300000000000032E-2</v>
      </c>
      <c r="G50" s="1">
        <v>-0.35700481123752781</v>
      </c>
      <c r="H50" s="1">
        <v>-1.2265370769909481E-3</v>
      </c>
      <c r="I50" s="1">
        <f t="shared" si="4"/>
        <v>1.9975469258460183E-2</v>
      </c>
      <c r="J50" s="1">
        <f t="shared" si="5"/>
        <v>4.7546925846018301E-4</v>
      </c>
      <c r="K50" s="1">
        <f t="shared" si="6"/>
        <v>2.4383038895394001E-2</v>
      </c>
      <c r="L50" s="34">
        <f t="shared" si="7"/>
        <v>5.9453258577429674E-4</v>
      </c>
      <c r="M50" s="1">
        <v>-2.3773462923009074E-2</v>
      </c>
    </row>
    <row r="51" spans="1:13" x14ac:dyDescent="0.2">
      <c r="A51" s="53">
        <v>43101</v>
      </c>
      <c r="B51" s="1">
        <v>1.9199999999999998E-2</v>
      </c>
      <c r="C51" s="1">
        <v>-1.5384615384615469E-2</v>
      </c>
      <c r="D51" s="1">
        <v>-0.93526386081641921</v>
      </c>
      <c r="E51" s="1">
        <v>3.3755981275342961E-3</v>
      </c>
      <c r="F51" s="1">
        <v>1.6925000000000079E-2</v>
      </c>
      <c r="G51" s="1">
        <v>-0.34763856033865681</v>
      </c>
      <c r="H51" s="1">
        <v>-1.0762829056602989E-3</v>
      </c>
      <c r="I51" s="1">
        <f t="shared" si="4"/>
        <v>1.9479012483339626E-2</v>
      </c>
      <c r="J51" s="1">
        <f t="shared" si="5"/>
        <v>2.7901248333962736E-4</v>
      </c>
      <c r="K51" s="1">
        <f t="shared" si="6"/>
        <v>1.4531900173938926E-2</v>
      </c>
      <c r="L51" s="34">
        <f t="shared" si="7"/>
        <v>2.1117612266532618E-4</v>
      </c>
      <c r="M51" s="1">
        <v>-1.4308332478955171E-2</v>
      </c>
    </row>
    <row r="52" spans="1:13" x14ac:dyDescent="0.2">
      <c r="A52" s="53">
        <v>43132</v>
      </c>
      <c r="B52" s="1">
        <v>1.9199999999999998E-2</v>
      </c>
      <c r="C52" s="1">
        <v>0</v>
      </c>
      <c r="D52" s="1">
        <v>-0.95577977196777086</v>
      </c>
      <c r="E52" s="1">
        <v>2.6549168906715437E-3</v>
      </c>
      <c r="F52" s="1">
        <v>2.2561263750000116E-2</v>
      </c>
      <c r="G52" s="1">
        <v>-0.3685724488068155</v>
      </c>
      <c r="H52" s="1">
        <v>-2.549952917030912E-4</v>
      </c>
      <c r="I52" s="1">
        <f t="shared" si="4"/>
        <v>1.9195104090399297E-2</v>
      </c>
      <c r="J52" s="1">
        <f t="shared" si="5"/>
        <v>-4.8959096007016034E-6</v>
      </c>
      <c r="K52" s="1">
        <f t="shared" si="6"/>
        <v>2.5499529170320851E-4</v>
      </c>
      <c r="L52" s="34">
        <f t="shared" si="7"/>
        <v>6.5022598790804396E-8</v>
      </c>
      <c r="M52" s="1">
        <v>2.549952917030912E-4</v>
      </c>
    </row>
    <row r="53" spans="1:13" x14ac:dyDescent="0.2">
      <c r="A53" s="53">
        <v>43160</v>
      </c>
      <c r="B53" s="1">
        <v>1.9400000000000001E-2</v>
      </c>
      <c r="C53" s="1">
        <v>1.0416666666666786E-2</v>
      </c>
      <c r="D53" s="1">
        <v>-0.95438226955969307</v>
      </c>
      <c r="E53" s="1">
        <v>2.8397054625262097E-3</v>
      </c>
      <c r="F53" s="1">
        <v>1.8936752000000112E-2</v>
      </c>
      <c r="G53" s="1">
        <v>-0.37110578859283783</v>
      </c>
      <c r="H53" s="1">
        <v>-3.2490087689479065E-4</v>
      </c>
      <c r="I53" s="1">
        <f t="shared" si="4"/>
        <v>1.919376190316362E-2</v>
      </c>
      <c r="J53" s="1">
        <f t="shared" si="5"/>
        <v>-2.0623809683638014E-4</v>
      </c>
      <c r="K53" s="1">
        <f t="shared" si="6"/>
        <v>1.0630829733834028E-2</v>
      </c>
      <c r="L53" s="34">
        <f t="shared" si="7"/>
        <v>1.1301454082976967E-4</v>
      </c>
      <c r="M53" s="1">
        <v>1.0741567543561576E-2</v>
      </c>
    </row>
    <row r="54" spans="1:13" x14ac:dyDescent="0.2">
      <c r="A54" s="53">
        <v>43191</v>
      </c>
      <c r="B54" s="1">
        <v>1.9E-2</v>
      </c>
      <c r="C54" s="1">
        <v>-2.0618556701030983E-2</v>
      </c>
      <c r="D54" s="1">
        <v>-0.9566286032736121</v>
      </c>
      <c r="E54" s="1">
        <v>8.9592946897143477E-5</v>
      </c>
      <c r="F54" s="1">
        <v>1.8154921749999886E-2</v>
      </c>
      <c r="G54" s="1">
        <v>-0.37452769788075757</v>
      </c>
      <c r="H54" s="1">
        <v>-1.0662417288661327E-3</v>
      </c>
      <c r="I54" s="1">
        <f t="shared" si="4"/>
        <v>1.9379314910459997E-2</v>
      </c>
      <c r="J54" s="1">
        <f t="shared" si="5"/>
        <v>3.7931491045999771E-4</v>
      </c>
      <c r="K54" s="1">
        <f t="shared" si="6"/>
        <v>1.9963942655789355E-2</v>
      </c>
      <c r="L54" s="34">
        <f t="shared" si="7"/>
        <v>3.9855900636364571E-4</v>
      </c>
      <c r="M54" s="1">
        <v>-1.955231497216485E-2</v>
      </c>
    </row>
    <row r="55" spans="1:13" x14ac:dyDescent="0.2">
      <c r="A55" s="53">
        <v>43221</v>
      </c>
      <c r="B55" s="1">
        <v>1.8700000000000001E-2</v>
      </c>
      <c r="C55" s="1">
        <v>-1.578947368421043E-2</v>
      </c>
      <c r="D55" s="1">
        <v>-0.94253595039039695</v>
      </c>
      <c r="E55" s="1">
        <v>-2.1257844664662739E-3</v>
      </c>
      <c r="F55" s="1">
        <v>4.1276654499999843E-2</v>
      </c>
      <c r="G55" s="1">
        <v>-0.37125603445268018</v>
      </c>
      <c r="H55" s="1">
        <v>-2.2440706993487529E-3</v>
      </c>
      <c r="I55" s="1">
        <f t="shared" si="4"/>
        <v>1.8957362656712374E-2</v>
      </c>
      <c r="J55" s="1">
        <f t="shared" si="5"/>
        <v>2.5736265671237255E-4</v>
      </c>
      <c r="K55" s="1">
        <f t="shared" si="6"/>
        <v>1.3762708915100135E-2</v>
      </c>
      <c r="L55" s="34">
        <f t="shared" si="7"/>
        <v>1.8941215668177673E-4</v>
      </c>
      <c r="M55" s="1">
        <v>-1.3545402984861676E-2</v>
      </c>
    </row>
    <row r="56" spans="1:13" x14ac:dyDescent="0.2">
      <c r="A56" s="53">
        <v>43252</v>
      </c>
      <c r="B56" s="1">
        <v>1.89E-2</v>
      </c>
      <c r="C56" s="1">
        <v>1.0695187165775336E-2</v>
      </c>
      <c r="D56" s="1">
        <v>-0.94322916456868577</v>
      </c>
      <c r="E56" s="1">
        <v>2.4426350821493692E-3</v>
      </c>
      <c r="F56" s="1">
        <v>1.168444823529402E-2</v>
      </c>
      <c r="G56" s="1">
        <v>-0.36490118621187106</v>
      </c>
      <c r="H56" s="1">
        <v>-1.0824152132734915E-3</v>
      </c>
      <c r="I56" s="1">
        <f t="shared" si="4"/>
        <v>1.8679758835511789E-2</v>
      </c>
      <c r="J56" s="1">
        <f t="shared" si="5"/>
        <v>-2.2024116448821074E-4</v>
      </c>
      <c r="K56" s="1">
        <f t="shared" si="6"/>
        <v>1.1652971666042896E-2</v>
      </c>
      <c r="L56" s="34">
        <f t="shared" si="7"/>
        <v>1.3579174864959855E-4</v>
      </c>
      <c r="M56" s="1">
        <v>1.1777602379048829E-2</v>
      </c>
    </row>
    <row r="57" spans="1:13" x14ac:dyDescent="0.2">
      <c r="A57" s="53">
        <v>43282</v>
      </c>
      <c r="B57" s="1">
        <v>1.8700000000000001E-2</v>
      </c>
      <c r="C57" s="1">
        <v>-1.0582010582010517E-2</v>
      </c>
      <c r="D57" s="1">
        <v>-0.94429582977031645</v>
      </c>
      <c r="E57" s="1">
        <v>7.980288099876276E-3</v>
      </c>
      <c r="F57" s="1">
        <v>2.8329866666676473E-4</v>
      </c>
      <c r="G57" s="1">
        <v>-0.38967438054778147</v>
      </c>
      <c r="H57" s="1">
        <v>4.0004073562975584E-4</v>
      </c>
      <c r="I57" s="1">
        <f t="shared" si="4"/>
        <v>1.8907560769903402E-2</v>
      </c>
      <c r="J57" s="1">
        <f t="shared" si="5"/>
        <v>2.0756076990340044E-4</v>
      </c>
      <c r="K57" s="1">
        <f t="shared" si="6"/>
        <v>1.1099506411946547E-2</v>
      </c>
      <c r="L57" s="34">
        <f t="shared" si="7"/>
        <v>1.231990425888425E-4</v>
      </c>
      <c r="M57" s="1">
        <v>-1.0982051317640273E-2</v>
      </c>
    </row>
    <row r="58" spans="1:13" x14ac:dyDescent="0.2">
      <c r="A58" s="53">
        <v>43313</v>
      </c>
      <c r="B58" s="1">
        <v>1.8599999999999998E-2</v>
      </c>
      <c r="C58" s="1">
        <v>-5.3475935828878537E-3</v>
      </c>
      <c r="D58" s="1">
        <v>-0.94875670279775104</v>
      </c>
      <c r="E58" s="1">
        <v>8.4218149251182872E-3</v>
      </c>
      <c r="F58" s="1">
        <v>3.1683978000000002E-2</v>
      </c>
      <c r="G58" s="1">
        <v>-0.39346686348874182</v>
      </c>
      <c r="H58" s="1">
        <v>1.0686318267698861E-3</v>
      </c>
      <c r="I58" s="1">
        <f t="shared" si="4"/>
        <v>1.8719983415160599E-2</v>
      </c>
      <c r="J58" s="1">
        <f t="shared" si="5"/>
        <v>1.1998341516060093E-4</v>
      </c>
      <c r="K58" s="1">
        <f t="shared" si="6"/>
        <v>6.4507212451935993E-3</v>
      </c>
      <c r="L58" s="34">
        <f t="shared" si="7"/>
        <v>4.1611804583192062E-5</v>
      </c>
      <c r="M58" s="1">
        <v>-6.4162254096577394E-3</v>
      </c>
    </row>
    <row r="59" spans="1:13" x14ac:dyDescent="0.2">
      <c r="A59" s="53">
        <v>43344</v>
      </c>
      <c r="B59" s="1">
        <v>1.8700000000000001E-2</v>
      </c>
      <c r="C59" s="1">
        <v>5.3763440860216602E-3</v>
      </c>
      <c r="D59" s="1">
        <v>-0.95447327541256011</v>
      </c>
      <c r="E59" s="1">
        <v>8.7190399150429698E-3</v>
      </c>
      <c r="F59" s="1">
        <v>-2.1000000000001018E-3</v>
      </c>
      <c r="G59" s="1">
        <v>-0.38044532548031695</v>
      </c>
      <c r="H59" s="1">
        <v>1.1993834777334644E-3</v>
      </c>
      <c r="I59" s="1">
        <f t="shared" si="4"/>
        <v>1.862230853268584E-2</v>
      </c>
      <c r="J59" s="1">
        <f t="shared" si="5"/>
        <v>-7.769146731416085E-5</v>
      </c>
      <c r="K59" s="1">
        <f t="shared" si="6"/>
        <v>4.1546239205433608E-3</v>
      </c>
      <c r="L59" s="34">
        <f t="shared" si="7"/>
        <v>1.7260899921151085E-5</v>
      </c>
      <c r="M59" s="1">
        <v>4.1769606082881962E-3</v>
      </c>
    </row>
    <row r="60" spans="1:13" x14ac:dyDescent="0.2">
      <c r="A60" s="53">
        <v>43374</v>
      </c>
      <c r="B60" s="1">
        <v>1.9099999999999999E-2</v>
      </c>
      <c r="C60" s="1">
        <v>2.1390374331550673E-2</v>
      </c>
      <c r="D60" s="1">
        <v>-0.94147466836191074</v>
      </c>
      <c r="E60" s="1">
        <v>1.9176160583200819E-4</v>
      </c>
      <c r="F60" s="1">
        <v>-5.0745454545454538E-2</v>
      </c>
      <c r="G60" s="1">
        <v>-0.40222428354606099</v>
      </c>
      <c r="H60" s="1">
        <v>-2.7010279627981398E-3</v>
      </c>
      <c r="I60" s="1">
        <f t="shared" si="4"/>
        <v>1.8649490777095677E-2</v>
      </c>
      <c r="J60" s="1">
        <f t="shared" si="5"/>
        <v>-4.5050922290432172E-4</v>
      </c>
      <c r="K60" s="1">
        <f t="shared" si="6"/>
        <v>2.3586870309126793E-2</v>
      </c>
      <c r="L60" s="34">
        <f t="shared" si="7"/>
        <v>5.5634045097956706E-4</v>
      </c>
      <c r="M60" s="1">
        <v>2.4091402294348814E-2</v>
      </c>
    </row>
    <row r="61" spans="1:13" x14ac:dyDescent="0.2">
      <c r="A61" s="53">
        <v>43405</v>
      </c>
      <c r="B61" s="1">
        <v>1.9E-2</v>
      </c>
      <c r="C61" s="1">
        <v>-5.2356020942408059E-3</v>
      </c>
      <c r="D61" s="1">
        <v>-0.94624662392646952</v>
      </c>
      <c r="E61" s="1">
        <v>4.1819788893815435E-4</v>
      </c>
      <c r="F61" s="1">
        <v>2.629090909090892E-2</v>
      </c>
      <c r="G61" s="1">
        <v>-0.40596492800842798</v>
      </c>
      <c r="H61" s="1">
        <v>-1.6207580973948285E-3</v>
      </c>
      <c r="I61" s="1">
        <f t="shared" si="4"/>
        <v>1.9069043520339758E-2</v>
      </c>
      <c r="J61" s="1">
        <f t="shared" si="5"/>
        <v>6.9043520339758663E-5</v>
      </c>
      <c r="K61" s="1">
        <f t="shared" si="6"/>
        <v>3.6338694915662457E-3</v>
      </c>
      <c r="L61" s="34">
        <f t="shared" si="7"/>
        <v>1.3205007481735925E-5</v>
      </c>
      <c r="M61" s="1">
        <v>-3.6148439968459777E-3</v>
      </c>
    </row>
    <row r="62" spans="1:13" x14ac:dyDescent="0.2">
      <c r="A62" s="53">
        <v>43435</v>
      </c>
      <c r="B62" s="1">
        <v>1.9199999999999998E-2</v>
      </c>
      <c r="C62" s="1">
        <v>1.0526315789473622E-2</v>
      </c>
      <c r="D62" s="1">
        <v>-0.94174757800592812</v>
      </c>
      <c r="E62" s="1">
        <v>-2.697004257367519E-3</v>
      </c>
      <c r="F62" s="1">
        <v>3.843478260869615E-3</v>
      </c>
      <c r="G62" s="1">
        <v>-0.39617603288612335</v>
      </c>
      <c r="H62" s="1">
        <v>-2.978605605040192E-3</v>
      </c>
      <c r="I62" s="1">
        <f t="shared" si="4"/>
        <v>1.8943406493504237E-2</v>
      </c>
      <c r="J62" s="1">
        <f t="shared" si="5"/>
        <v>-2.565935064957614E-4</v>
      </c>
      <c r="K62" s="1">
        <f t="shared" si="6"/>
        <v>1.3364245129987575E-2</v>
      </c>
      <c r="L62" s="34">
        <f t="shared" si="7"/>
        <v>1.7860304789439662E-4</v>
      </c>
      <c r="M62" s="1">
        <v>1.3504921394513814E-2</v>
      </c>
    </row>
    <row r="63" spans="1:13" x14ac:dyDescent="0.2">
      <c r="A63" s="53">
        <v>43466</v>
      </c>
      <c r="B63" s="1">
        <v>1.9300000000000001E-2</v>
      </c>
      <c r="C63" s="1">
        <v>5.2083333333334831E-3</v>
      </c>
      <c r="D63" s="1">
        <v>-0.9398907331918247</v>
      </c>
      <c r="E63" s="1">
        <v>-9.1865187275941285E-4</v>
      </c>
      <c r="F63" s="1">
        <v>3.4399999999999986E-2</v>
      </c>
      <c r="G63" s="1">
        <v>-0.38095053632283993</v>
      </c>
      <c r="H63" s="1">
        <v>-2.1441544309733053E-3</v>
      </c>
      <c r="I63" s="1">
        <f t="shared" si="4"/>
        <v>1.9158832234925312E-2</v>
      </c>
      <c r="J63" s="1">
        <f t="shared" si="5"/>
        <v>-1.411677650746887E-4</v>
      </c>
      <c r="K63" s="1">
        <f t="shared" si="6"/>
        <v>7.3143919727817978E-3</v>
      </c>
      <c r="L63" s="34">
        <f t="shared" si="7"/>
        <v>5.3500329931494796E-5</v>
      </c>
      <c r="M63" s="1">
        <v>7.3524877643067884E-3</v>
      </c>
    </row>
    <row r="64" spans="1:13" x14ac:dyDescent="0.2">
      <c r="A64" s="53">
        <v>43497</v>
      </c>
      <c r="B64" s="1">
        <v>1.9E-2</v>
      </c>
      <c r="C64" s="1">
        <v>-1.5544041450777287E-2</v>
      </c>
      <c r="D64" s="1">
        <v>-0.94073237764451467</v>
      </c>
      <c r="E64" s="1">
        <v>-3.2281857524950608E-3</v>
      </c>
      <c r="F64" s="1">
        <v>6.0591304347826114E-2</v>
      </c>
      <c r="G64" s="1">
        <v>-0.35759051315504686</v>
      </c>
      <c r="H64" s="1">
        <v>-2.4032732856294364E-3</v>
      </c>
      <c r="I64" s="1">
        <f t="shared" si="4"/>
        <v>1.9253616825587353E-2</v>
      </c>
      <c r="J64" s="1">
        <f t="shared" si="5"/>
        <v>2.536168255873536E-4</v>
      </c>
      <c r="K64" s="1">
        <f t="shared" si="6"/>
        <v>1.3348253978281769E-2</v>
      </c>
      <c r="L64" s="34">
        <f t="shared" si="7"/>
        <v>1.7817588426871506E-4</v>
      </c>
      <c r="M64" s="1">
        <v>-1.3140768165147851E-2</v>
      </c>
    </row>
    <row r="65" spans="1:13" x14ac:dyDescent="0.2">
      <c r="A65" s="53">
        <v>43525</v>
      </c>
      <c r="B65" s="1">
        <v>1.9199999999999998E-2</v>
      </c>
      <c r="C65" s="1">
        <v>1.0526315789473622E-2</v>
      </c>
      <c r="D65" s="1">
        <v>-0.94814057648469041</v>
      </c>
      <c r="E65" s="1">
        <v>-4.6309813628894192E-3</v>
      </c>
      <c r="F65" s="1">
        <v>6.3269565217391355E-2</v>
      </c>
      <c r="G65" s="1">
        <v>-0.35164971073509543</v>
      </c>
      <c r="H65" s="1">
        <v>-2.3703439855305617E-3</v>
      </c>
      <c r="I65" s="1">
        <f t="shared" si="4"/>
        <v>1.8954963464274919E-2</v>
      </c>
      <c r="J65" s="1">
        <f t="shared" si="5"/>
        <v>-2.4503653572507944E-4</v>
      </c>
      <c r="K65" s="1">
        <f t="shared" si="6"/>
        <v>1.2762319569014555E-2</v>
      </c>
      <c r="L65" s="34">
        <f t="shared" si="7"/>
        <v>1.6287680078165188E-4</v>
      </c>
      <c r="M65" s="1">
        <v>1.2896659775004184E-2</v>
      </c>
    </row>
    <row r="66" spans="1:13" x14ac:dyDescent="0.2">
      <c r="A66" s="53">
        <v>43556</v>
      </c>
      <c r="B66" s="1">
        <v>1.9199999999999998E-2</v>
      </c>
      <c r="C66" s="1">
        <v>0</v>
      </c>
      <c r="D66" s="1">
        <v>-0.94091704694156497</v>
      </c>
      <c r="E66" s="1">
        <v>-2.3327969419471017E-3</v>
      </c>
      <c r="F66" s="1">
        <v>7.3826086956521708E-2</v>
      </c>
      <c r="G66" s="1">
        <v>-0.33937636202743748</v>
      </c>
      <c r="H66" s="1">
        <v>-1.8847555431128686E-3</v>
      </c>
      <c r="I66" s="1">
        <f t="shared" ref="I66:I97" si="8">(1+H66)*B65</f>
        <v>1.9163812693572233E-2</v>
      </c>
      <c r="J66" s="1">
        <f t="shared" ref="J66:J97" si="9">I66-B66</f>
        <v>-3.6187306427765131E-5</v>
      </c>
      <c r="K66" s="1">
        <f t="shared" ref="K66:K97" si="10">ABS(J66/B66)</f>
        <v>1.8847555431127673E-3</v>
      </c>
      <c r="L66" s="34">
        <f t="shared" ref="L66:L97" si="11">K66^2</f>
        <v>3.5523034572943025E-6</v>
      </c>
      <c r="M66" s="1">
        <v>1.8847555431128686E-3</v>
      </c>
    </row>
    <row r="67" spans="1:13" x14ac:dyDescent="0.2">
      <c r="A67" s="53">
        <v>43586</v>
      </c>
      <c r="B67" s="1">
        <v>1.9599999999999999E-2</v>
      </c>
      <c r="C67" s="1">
        <v>2.0833333333333391E-2</v>
      </c>
      <c r="D67" s="1">
        <v>-0.94622395557621608</v>
      </c>
      <c r="E67" s="1">
        <v>-1.6761745854798615E-4</v>
      </c>
      <c r="F67" s="1">
        <v>8.2208695652173924E-2</v>
      </c>
      <c r="G67" s="1">
        <v>-0.34820558782296041</v>
      </c>
      <c r="H67" s="1">
        <v>-9.0816309211217403E-4</v>
      </c>
      <c r="I67" s="1">
        <f t="shared" si="8"/>
        <v>1.9182563268631443E-2</v>
      </c>
      <c r="J67" s="1">
        <f t="shared" si="9"/>
        <v>-4.1743673136855619E-4</v>
      </c>
      <c r="K67" s="1">
        <f t="shared" si="10"/>
        <v>2.1297792416763071E-2</v>
      </c>
      <c r="L67" s="34">
        <f t="shared" si="11"/>
        <v>4.535959618275306E-4</v>
      </c>
      <c r="M67" s="1">
        <v>2.1741496425445567E-2</v>
      </c>
    </row>
    <row r="68" spans="1:13" x14ac:dyDescent="0.2">
      <c r="A68" s="53">
        <v>43617</v>
      </c>
      <c r="B68" s="1">
        <v>1.9699999999999999E-2</v>
      </c>
      <c r="C68" s="1">
        <v>5.1020408163264998E-3</v>
      </c>
      <c r="D68" s="1">
        <v>-0.95048552198566438</v>
      </c>
      <c r="E68" s="1">
        <v>-1.177386289537008E-3</v>
      </c>
      <c r="F68" s="1">
        <v>9.8799999999999999E-2</v>
      </c>
      <c r="G68" s="1">
        <v>-0.33556629831989138</v>
      </c>
      <c r="H68" s="1">
        <v>-7.4671019330434501E-4</v>
      </c>
      <c r="I68" s="1">
        <f t="shared" si="8"/>
        <v>1.9585364480211236E-2</v>
      </c>
      <c r="J68" s="1">
        <f t="shared" si="9"/>
        <v>-1.1463551978876246E-4</v>
      </c>
      <c r="K68" s="1">
        <f t="shared" si="10"/>
        <v>5.819061918211293E-3</v>
      </c>
      <c r="L68" s="34">
        <f t="shared" si="11"/>
        <v>3.3861481607976894E-5</v>
      </c>
      <c r="M68" s="1">
        <v>5.8487510096308449E-3</v>
      </c>
    </row>
    <row r="69" spans="1:13" x14ac:dyDescent="0.2">
      <c r="A69" s="53">
        <v>43647</v>
      </c>
      <c r="B69" s="1">
        <v>1.9199999999999998E-2</v>
      </c>
      <c r="C69" s="1">
        <v>-2.5380710659898501E-2</v>
      </c>
      <c r="D69" s="1">
        <v>-0.95952508856888286</v>
      </c>
      <c r="E69" s="1">
        <v>1.2652400237642691E-3</v>
      </c>
      <c r="F69" s="1">
        <v>7.9436363636363527E-2</v>
      </c>
      <c r="G69" s="1">
        <v>-0.34436394945738702</v>
      </c>
      <c r="H69" s="1">
        <v>2.3513660992867868E-4</v>
      </c>
      <c r="I69" s="1">
        <f t="shared" si="8"/>
        <v>1.9704632191215595E-2</v>
      </c>
      <c r="J69" s="1">
        <f t="shared" si="9"/>
        <v>5.0463219121559683E-4</v>
      </c>
      <c r="K69" s="1">
        <f t="shared" si="10"/>
        <v>2.6282926625812338E-2</v>
      </c>
      <c r="L69" s="34">
        <f t="shared" si="11"/>
        <v>6.9079223201783514E-4</v>
      </c>
      <c r="M69" s="1">
        <v>-2.5615847269827179E-2</v>
      </c>
    </row>
    <row r="70" spans="1:13" x14ac:dyDescent="0.2">
      <c r="A70" s="53">
        <v>43678</v>
      </c>
      <c r="B70" s="1">
        <v>1.9300000000000001E-2</v>
      </c>
      <c r="C70" s="1">
        <v>5.2083333333334831E-3</v>
      </c>
      <c r="D70" s="1">
        <v>-0.95464231318519677</v>
      </c>
      <c r="E70" s="1">
        <v>1.0272827866952827E-3</v>
      </c>
      <c r="F70" s="1">
        <v>4.9636363636363479E-2</v>
      </c>
      <c r="G70" s="1">
        <v>-0.34501143190204842</v>
      </c>
      <c r="H70" s="1">
        <v>-4.0341505223174569E-4</v>
      </c>
      <c r="I70" s="1">
        <f t="shared" si="8"/>
        <v>1.919225443099715E-2</v>
      </c>
      <c r="J70" s="1">
        <f t="shared" si="9"/>
        <v>-1.0774556900285115E-4</v>
      </c>
      <c r="K70" s="1">
        <f t="shared" si="10"/>
        <v>5.582671969059645E-3</v>
      </c>
      <c r="L70" s="34">
        <f t="shared" si="11"/>
        <v>3.1166226314124294E-5</v>
      </c>
      <c r="M70" s="1">
        <v>5.6117483855652288E-3</v>
      </c>
    </row>
    <row r="71" spans="1:13" x14ac:dyDescent="0.2">
      <c r="A71" s="53">
        <v>43709</v>
      </c>
      <c r="B71" s="1">
        <v>1.9699999999999999E-2</v>
      </c>
      <c r="C71" s="1">
        <v>2.0725388601036142E-2</v>
      </c>
      <c r="D71" s="1">
        <v>-0.95883248015862466</v>
      </c>
      <c r="E71" s="1">
        <v>1.9201074862040812E-4</v>
      </c>
      <c r="F71" s="1">
        <v>3.0152380952380931E-2</v>
      </c>
      <c r="G71" s="1">
        <v>-0.3359532903239939</v>
      </c>
      <c r="H71" s="1">
        <v>-5.7677174237787295E-4</v>
      </c>
      <c r="I71" s="1">
        <f t="shared" si="8"/>
        <v>1.9288868305372107E-2</v>
      </c>
      <c r="J71" s="1">
        <f t="shared" si="9"/>
        <v>-4.1113169462789201E-4</v>
      </c>
      <c r="K71" s="1">
        <f t="shared" si="10"/>
        <v>2.0869629168928528E-2</v>
      </c>
      <c r="L71" s="34">
        <f t="shared" si="11"/>
        <v>4.3554142164859246E-4</v>
      </c>
      <c r="M71" s="1">
        <v>2.1302160343414013E-2</v>
      </c>
    </row>
    <row r="72" spans="1:13" x14ac:dyDescent="0.2">
      <c r="A72" s="53">
        <v>43739</v>
      </c>
      <c r="B72" s="1">
        <v>1.9699999999999999E-2</v>
      </c>
      <c r="C72" s="1">
        <v>0</v>
      </c>
      <c r="D72" s="1">
        <v>-0.95061035852707398</v>
      </c>
      <c r="E72" s="1">
        <v>6.3633128139262141E-4</v>
      </c>
      <c r="F72" s="1">
        <v>6.4510625400000077E-2</v>
      </c>
      <c r="G72" s="1">
        <v>-0.3345058782680802</v>
      </c>
      <c r="H72" s="1">
        <v>-5.2909023682373387E-4</v>
      </c>
      <c r="I72" s="1">
        <f t="shared" si="8"/>
        <v>1.9689576922334574E-2</v>
      </c>
      <c r="J72" s="1">
        <f t="shared" si="9"/>
        <v>-1.0423077665425162E-5</v>
      </c>
      <c r="K72" s="1">
        <f t="shared" si="10"/>
        <v>5.2909023682361233E-4</v>
      </c>
      <c r="L72" s="34">
        <f t="shared" si="11"/>
        <v>2.7993647870206621E-7</v>
      </c>
      <c r="M72" s="1">
        <v>5.2909023682373387E-4</v>
      </c>
    </row>
    <row r="73" spans="1:13" x14ac:dyDescent="0.2">
      <c r="A73" s="53">
        <v>43770</v>
      </c>
      <c r="B73" s="1">
        <v>1.9699999999999999E-2</v>
      </c>
      <c r="C73" s="1">
        <v>0</v>
      </c>
      <c r="D73" s="1">
        <v>-0.95075705755643147</v>
      </c>
      <c r="E73" s="1">
        <v>3.4535468701708538E-3</v>
      </c>
      <c r="F73" s="1">
        <v>1.8365613199999853E-2</v>
      </c>
      <c r="G73" s="1">
        <v>-0.33924465408672067</v>
      </c>
      <c r="H73" s="1">
        <v>-1.5814595133896805E-4</v>
      </c>
      <c r="I73" s="1">
        <f t="shared" si="8"/>
        <v>1.969688452475862E-2</v>
      </c>
      <c r="J73" s="1">
        <f t="shared" si="9"/>
        <v>-3.115475241378951E-6</v>
      </c>
      <c r="K73" s="1">
        <f t="shared" si="10"/>
        <v>1.5814595133903305E-4</v>
      </c>
      <c r="L73" s="34">
        <f t="shared" si="11"/>
        <v>2.501014192492781E-8</v>
      </c>
      <c r="M73" s="1">
        <v>1.5814595133896805E-4</v>
      </c>
    </row>
    <row r="74" spans="1:13" x14ac:dyDescent="0.2">
      <c r="A74" s="53">
        <v>43800</v>
      </c>
      <c r="B74" s="1">
        <v>1.9699999999999999E-2</v>
      </c>
      <c r="C74" s="1">
        <v>0</v>
      </c>
      <c r="D74" s="1">
        <v>-0.93914722624599256</v>
      </c>
      <c r="E74" s="1">
        <v>6.7298456218731761E-3</v>
      </c>
      <c r="F74" s="1">
        <v>3.5052552079999355E-3</v>
      </c>
      <c r="G74" s="1">
        <v>-0.33093396099003292</v>
      </c>
      <c r="H74" s="1">
        <v>1.1000591495647174E-4</v>
      </c>
      <c r="I74" s="1">
        <f t="shared" si="8"/>
        <v>1.9702167116524644E-2</v>
      </c>
      <c r="J74" s="1">
        <f t="shared" si="9"/>
        <v>2.1671165246449353E-6</v>
      </c>
      <c r="K74" s="1">
        <f t="shared" si="10"/>
        <v>1.1000591495659571E-4</v>
      </c>
      <c r="L74" s="34">
        <f t="shared" si="11"/>
        <v>1.2101301325437766E-8</v>
      </c>
      <c r="M74" s="1">
        <v>-1.1000591495647174E-4</v>
      </c>
    </row>
    <row r="75" spans="1:13" x14ac:dyDescent="0.2">
      <c r="A75" s="53">
        <v>43831</v>
      </c>
      <c r="B75" s="1">
        <v>1.9599999999999999E-2</v>
      </c>
      <c r="C75" s="1">
        <v>-5.0761421319796647E-3</v>
      </c>
      <c r="D75" s="1">
        <v>-0.95343388388302597</v>
      </c>
      <c r="E75" s="1">
        <v>2.8528994263654628E-3</v>
      </c>
      <c r="F75" s="1">
        <v>-5.9728298519999834E-3</v>
      </c>
      <c r="G75" s="1">
        <v>-0.32602566795637022</v>
      </c>
      <c r="H75" s="1">
        <v>-3.6688380334554561E-4</v>
      </c>
      <c r="I75" s="1">
        <f t="shared" si="8"/>
        <v>1.969277238907409E-2</v>
      </c>
      <c r="J75" s="1">
        <f t="shared" si="9"/>
        <v>9.27723890740903E-5</v>
      </c>
      <c r="K75" s="1">
        <f t="shared" si="10"/>
        <v>4.7332851568413423E-3</v>
      </c>
      <c r="L75" s="34">
        <f t="shared" si="11"/>
        <v>2.2403988375974569E-5</v>
      </c>
      <c r="M75" s="1">
        <v>-4.7092583286341191E-3</v>
      </c>
    </row>
    <row r="76" spans="1:13" x14ac:dyDescent="0.2">
      <c r="A76" s="53">
        <v>43862</v>
      </c>
      <c r="B76" s="1">
        <v>1.95E-2</v>
      </c>
      <c r="C76" s="1">
        <v>-5.1020408163264998E-3</v>
      </c>
      <c r="D76" s="1">
        <v>-0.94026278590049439</v>
      </c>
      <c r="E76" s="1">
        <v>-6.5504171356897123E-3</v>
      </c>
      <c r="F76" s="1">
        <v>-3.5680846787078169E-2</v>
      </c>
      <c r="G76" s="1">
        <v>-0.33076744351946374</v>
      </c>
      <c r="H76" s="1">
        <v>-4.2548258204276584E-3</v>
      </c>
      <c r="I76" s="1">
        <f t="shared" si="8"/>
        <v>1.9516605413919617E-2</v>
      </c>
      <c r="J76" s="1">
        <f t="shared" si="9"/>
        <v>1.6605413919616729E-5</v>
      </c>
      <c r="K76" s="1">
        <f t="shared" si="10"/>
        <v>8.5155968818547334E-4</v>
      </c>
      <c r="L76" s="34">
        <f t="shared" si="11"/>
        <v>7.2515390254254062E-7</v>
      </c>
      <c r="M76" s="1">
        <v>-8.4721499589884147E-4</v>
      </c>
    </row>
    <row r="77" spans="1:13" x14ac:dyDescent="0.2">
      <c r="A77" s="53">
        <v>43891</v>
      </c>
      <c r="B77" s="1">
        <v>1.9800000000000002E-2</v>
      </c>
      <c r="C77" s="1">
        <v>1.5384615384615469E-2</v>
      </c>
      <c r="D77" s="1">
        <v>-0.95375607969877996</v>
      </c>
      <c r="E77" s="1">
        <v>2.5577813342381184E-4</v>
      </c>
      <c r="F77" s="1">
        <v>0.56934421839797</v>
      </c>
      <c r="G77" s="1">
        <v>-0.3170170820688315</v>
      </c>
      <c r="H77" s="1">
        <v>4.7118694696479703E-3</v>
      </c>
      <c r="I77" s="1">
        <f t="shared" si="8"/>
        <v>1.9591881454658136E-2</v>
      </c>
      <c r="J77" s="1">
        <f t="shared" si="9"/>
        <v>-2.0811854534186561E-4</v>
      </c>
      <c r="K77" s="1">
        <f t="shared" si="10"/>
        <v>1.0511037643528565E-2</v>
      </c>
      <c r="L77" s="34">
        <f t="shared" si="11"/>
        <v>1.1048191234367451E-4</v>
      </c>
      <c r="M77" s="1">
        <v>1.0672745914967498E-2</v>
      </c>
    </row>
    <row r="78" spans="1:13" x14ac:dyDescent="0.2">
      <c r="A78" s="53">
        <v>43922</v>
      </c>
      <c r="B78" s="1">
        <v>1.9699999999999999E-2</v>
      </c>
      <c r="C78" s="1">
        <v>-5.0505050505051949E-3</v>
      </c>
      <c r="D78" s="1">
        <v>-0.95270741931311176</v>
      </c>
      <c r="E78" s="1">
        <v>5.7630149050458268E-3</v>
      </c>
      <c r="F78" s="1">
        <v>6.8071396446894195E-2</v>
      </c>
      <c r="G78" s="1">
        <v>-0.30823457343695615</v>
      </c>
      <c r="H78" s="1">
        <v>1.3246751214758103E-3</v>
      </c>
      <c r="I78" s="1">
        <f t="shared" si="8"/>
        <v>1.9826228567405221E-2</v>
      </c>
      <c r="J78" s="1">
        <f t="shared" si="9"/>
        <v>1.2622856740522256E-4</v>
      </c>
      <c r="K78" s="1">
        <f t="shared" si="10"/>
        <v>6.4075414926508915E-3</v>
      </c>
      <c r="L78" s="34">
        <f t="shared" si="11"/>
        <v>4.1056587980042816E-5</v>
      </c>
      <c r="M78" s="1">
        <v>-6.3751801719810052E-3</v>
      </c>
    </row>
    <row r="79" spans="1:13" x14ac:dyDescent="0.2">
      <c r="A79" s="53">
        <v>43952</v>
      </c>
      <c r="B79" s="1">
        <v>2.01E-2</v>
      </c>
      <c r="C79" s="1">
        <v>2.0304568527918836E-2</v>
      </c>
      <c r="D79" s="1">
        <v>-0.99826027608552514</v>
      </c>
      <c r="E79" s="1">
        <v>-1.9501236380281561E-5</v>
      </c>
      <c r="F79" s="1">
        <v>-0.26080617099176595</v>
      </c>
      <c r="G79" s="1">
        <v>-0.29582970011390952</v>
      </c>
      <c r="H79" s="1">
        <v>-1.2275882869995768E-3</v>
      </c>
      <c r="I79" s="1">
        <f t="shared" si="8"/>
        <v>1.9675816510746107E-2</v>
      </c>
      <c r="J79" s="1">
        <f t="shared" si="9"/>
        <v>-4.2418348925389246E-4</v>
      </c>
      <c r="K79" s="1">
        <f t="shared" si="10"/>
        <v>2.1103656181785696E-2</v>
      </c>
      <c r="L79" s="34">
        <f t="shared" si="11"/>
        <v>4.4536430423902163E-4</v>
      </c>
      <c r="M79" s="1">
        <v>2.1532156814918414E-2</v>
      </c>
    </row>
    <row r="80" spans="1:13" x14ac:dyDescent="0.2">
      <c r="A80" s="53">
        <v>43983</v>
      </c>
      <c r="B80" s="1">
        <v>2.0400000000000001E-2</v>
      </c>
      <c r="C80" s="1">
        <v>1.4925373134328441E-2</v>
      </c>
      <c r="D80" s="1">
        <v>-0.97779306254974407</v>
      </c>
      <c r="E80" s="1">
        <v>3.0662204282361216E-4</v>
      </c>
      <c r="F80" s="1">
        <v>-9.296732899678517E-2</v>
      </c>
      <c r="G80" s="1">
        <v>-0.29641717394375577</v>
      </c>
      <c r="H80" s="1">
        <v>-5.3980495410191429E-4</v>
      </c>
      <c r="I80" s="1">
        <f t="shared" si="8"/>
        <v>2.0089149920422551E-2</v>
      </c>
      <c r="J80" s="1">
        <f t="shared" si="9"/>
        <v>-3.108500795774502E-4</v>
      </c>
      <c r="K80" s="1">
        <f t="shared" si="10"/>
        <v>1.5237748998894617E-2</v>
      </c>
      <c r="L80" s="34">
        <f t="shared" si="11"/>
        <v>2.321889945533139E-4</v>
      </c>
      <c r="M80" s="1">
        <v>1.5465178088430356E-2</v>
      </c>
    </row>
    <row r="81" spans="1:13" x14ac:dyDescent="0.2">
      <c r="A81" s="53">
        <v>44013</v>
      </c>
      <c r="B81" s="1">
        <v>2.07E-2</v>
      </c>
      <c r="C81" s="1">
        <v>1.4705882352941086E-2</v>
      </c>
      <c r="D81" s="1">
        <v>-0.97667343753100222</v>
      </c>
      <c r="E81" s="1">
        <v>-2.6761779503847727E-4</v>
      </c>
      <c r="F81" s="1">
        <v>-0.19293824660238124</v>
      </c>
      <c r="G81" s="1">
        <v>-0.30439551796495368</v>
      </c>
      <c r="H81" s="1">
        <v>-1.8271458150247862E-3</v>
      </c>
      <c r="I81" s="1">
        <f t="shared" si="8"/>
        <v>2.0362726225373495E-2</v>
      </c>
      <c r="J81" s="1">
        <f t="shared" si="9"/>
        <v>-3.3727377462650435E-4</v>
      </c>
      <c r="K81" s="1">
        <f t="shared" si="10"/>
        <v>1.6293419064082337E-2</v>
      </c>
      <c r="L81" s="34">
        <f t="shared" si="11"/>
        <v>2.6547550479780175E-4</v>
      </c>
      <c r="M81" s="1">
        <v>1.6533028167965872E-2</v>
      </c>
    </row>
    <row r="82" spans="1:13" x14ac:dyDescent="0.2">
      <c r="A82" s="53">
        <v>44044</v>
      </c>
      <c r="B82" s="1">
        <v>2.07E-2</v>
      </c>
      <c r="C82" s="1">
        <v>0</v>
      </c>
      <c r="D82" s="1">
        <v>-0.96802587080242108</v>
      </c>
      <c r="E82" s="1">
        <v>-4.0935914150768138E-3</v>
      </c>
      <c r="F82" s="1">
        <v>3.0612244897959995E-2</v>
      </c>
      <c r="G82" s="1">
        <v>-0.3329328873154066</v>
      </c>
      <c r="H82" s="1">
        <v>-1.3618609973602427E-3</v>
      </c>
      <c r="I82" s="1">
        <f t="shared" si="8"/>
        <v>2.0671809477354641E-2</v>
      </c>
      <c r="J82" s="1">
        <f t="shared" si="9"/>
        <v>-2.8190522645358401E-5</v>
      </c>
      <c r="K82" s="1">
        <f t="shared" si="10"/>
        <v>1.3618609973603093E-3</v>
      </c>
      <c r="L82" s="34">
        <f t="shared" si="11"/>
        <v>1.8546653761312162E-6</v>
      </c>
      <c r="M82" s="1">
        <v>1.3618609973602427E-3</v>
      </c>
    </row>
    <row r="83" spans="1:13" x14ac:dyDescent="0.2">
      <c r="A83" s="53">
        <v>44075</v>
      </c>
      <c r="B83" s="1">
        <v>2.07E-2</v>
      </c>
      <c r="C83" s="1">
        <v>0</v>
      </c>
      <c r="D83" s="1">
        <v>-0.97145895184156772</v>
      </c>
      <c r="E83" s="1">
        <v>-4.3793853242501957E-4</v>
      </c>
      <c r="F83" s="1">
        <v>-0.25</v>
      </c>
      <c r="G83" s="1">
        <v>-0.32803661357657177</v>
      </c>
      <c r="H83" s="1">
        <v>-2.8683416682351321E-3</v>
      </c>
      <c r="I83" s="1">
        <f t="shared" si="8"/>
        <v>2.0640625327467532E-2</v>
      </c>
      <c r="J83" s="1">
        <f t="shared" si="9"/>
        <v>-5.9374672532468142E-5</v>
      </c>
      <c r="K83" s="1">
        <f t="shared" si="10"/>
        <v>2.8683416682351759E-3</v>
      </c>
      <c r="L83" s="34">
        <f t="shared" si="11"/>
        <v>8.2273839257341516E-6</v>
      </c>
      <c r="M83" s="1">
        <v>2.8683416682351321E-3</v>
      </c>
    </row>
    <row r="84" spans="1:13" x14ac:dyDescent="0.2">
      <c r="A84" s="53">
        <v>44105</v>
      </c>
      <c r="B84" s="1">
        <v>2.0799999999999999E-2</v>
      </c>
      <c r="C84" s="1">
        <v>4.8309178743961064E-3</v>
      </c>
      <c r="D84" s="1">
        <v>-0.9701495557613663</v>
      </c>
      <c r="E84" s="1">
        <v>3.3968081627737678E-3</v>
      </c>
      <c r="F84" s="1">
        <v>-0.22305309111392801</v>
      </c>
      <c r="G84" s="1">
        <v>-0.30543376096014851</v>
      </c>
      <c r="H84" s="1">
        <v>-1.3748193861309861E-3</v>
      </c>
      <c r="I84" s="1">
        <f t="shared" si="8"/>
        <v>2.067154123870709E-2</v>
      </c>
      <c r="J84" s="1">
        <f t="shared" si="9"/>
        <v>-1.2845876129290862E-4</v>
      </c>
      <c r="K84" s="1">
        <f t="shared" si="10"/>
        <v>6.1759019852359919E-3</v>
      </c>
      <c r="L84" s="34">
        <f t="shared" si="11"/>
        <v>3.8141765331241869E-5</v>
      </c>
      <c r="M84" s="1">
        <v>6.2057372605270923E-3</v>
      </c>
    </row>
    <row r="85" spans="1:13" x14ac:dyDescent="0.2">
      <c r="A85" s="53">
        <v>44136</v>
      </c>
      <c r="B85" s="1">
        <v>2.0799999999999999E-2</v>
      </c>
      <c r="C85" s="1">
        <v>0</v>
      </c>
      <c r="D85" s="1">
        <v>-0.97230714447581323</v>
      </c>
      <c r="E85" s="1">
        <v>1.011347894669945E-2</v>
      </c>
      <c r="F85" s="1">
        <v>-0.11655011655011682</v>
      </c>
      <c r="G85" s="1">
        <v>-0.28248975408424448</v>
      </c>
      <c r="H85" s="1">
        <v>1.9834266898239774E-3</v>
      </c>
      <c r="I85" s="1">
        <f t="shared" si="8"/>
        <v>2.0841255275148338E-2</v>
      </c>
      <c r="J85" s="1">
        <f t="shared" si="9"/>
        <v>4.1255275148338599E-5</v>
      </c>
      <c r="K85" s="1">
        <f t="shared" si="10"/>
        <v>1.9834266898239713E-3</v>
      </c>
      <c r="L85" s="34">
        <f t="shared" si="11"/>
        <v>3.9339814339060761E-6</v>
      </c>
      <c r="M85" s="1">
        <v>-1.9834266898239774E-3</v>
      </c>
    </row>
    <row r="86" spans="1:13" x14ac:dyDescent="0.2">
      <c r="A86" s="53">
        <v>44166</v>
      </c>
      <c r="B86" s="1">
        <v>2.0799999999999999E-2</v>
      </c>
      <c r="C86" s="1">
        <v>0</v>
      </c>
      <c r="D86" s="1">
        <v>-0.97252213824449629</v>
      </c>
      <c r="E86" s="1">
        <v>7.5180474042930712E-3</v>
      </c>
      <c r="F86" s="1">
        <v>-0.11538461538461542</v>
      </c>
      <c r="G86" s="1">
        <v>-0.27723501212768265</v>
      </c>
      <c r="H86" s="1">
        <v>1.2488145781214528E-3</v>
      </c>
      <c r="I86" s="1">
        <f t="shared" si="8"/>
        <v>2.0825975343224928E-2</v>
      </c>
      <c r="J86" s="1">
        <f t="shared" si="9"/>
        <v>2.5975343224928643E-5</v>
      </c>
      <c r="K86" s="1">
        <f t="shared" si="10"/>
        <v>1.2488145781215695E-3</v>
      </c>
      <c r="L86" s="34">
        <f t="shared" si="11"/>
        <v>1.5595378505289536E-6</v>
      </c>
      <c r="M86" s="1">
        <v>-1.2488145781214528E-3</v>
      </c>
    </row>
    <row r="87" spans="1:13" x14ac:dyDescent="0.2">
      <c r="A87" s="53">
        <v>44197</v>
      </c>
      <c r="B87" s="1">
        <v>2.0400000000000001E-2</v>
      </c>
      <c r="C87" s="1">
        <v>-1.9230769230769114E-2</v>
      </c>
      <c r="D87" s="1">
        <v>-0.96852066219196353</v>
      </c>
      <c r="E87" s="1">
        <v>6.9108491079055145E-3</v>
      </c>
      <c r="F87" s="1">
        <v>-0.11279213744002459</v>
      </c>
      <c r="G87" s="1">
        <v>-0.26400438466480092</v>
      </c>
      <c r="H87" s="1">
        <v>9.5083239514886977E-4</v>
      </c>
      <c r="I87" s="1">
        <f t="shared" si="8"/>
        <v>2.0819777313819093E-2</v>
      </c>
      <c r="J87" s="1">
        <f t="shared" si="9"/>
        <v>4.1977731381909189E-4</v>
      </c>
      <c r="K87" s="1">
        <f t="shared" si="10"/>
        <v>2.0577319304857445E-2</v>
      </c>
      <c r="L87" s="34">
        <f t="shared" si="11"/>
        <v>4.2342606977405889E-4</v>
      </c>
      <c r="M87" s="1">
        <v>-2.0181601625917985E-2</v>
      </c>
    </row>
    <row r="88" spans="1:13" x14ac:dyDescent="0.2">
      <c r="A88" s="53">
        <v>44228</v>
      </c>
      <c r="B88" s="1">
        <v>2.06E-2</v>
      </c>
      <c r="C88" s="1">
        <v>9.8039215686273901E-3</v>
      </c>
      <c r="D88" s="1">
        <v>-0.96287920527840321</v>
      </c>
      <c r="E88" s="1">
        <v>-4.5270905422613028E-3</v>
      </c>
      <c r="F88" s="1">
        <v>-7.7935222672064541E-2</v>
      </c>
      <c r="G88" s="1">
        <v>-0.26311886359454595</v>
      </c>
      <c r="H88" s="1">
        <v>-2.4674579101367474E-3</v>
      </c>
      <c r="I88" s="1">
        <f t="shared" si="8"/>
        <v>2.0349663858633214E-2</v>
      </c>
      <c r="J88" s="1">
        <f t="shared" si="9"/>
        <v>-2.5033614136678664E-4</v>
      </c>
      <c r="K88" s="1">
        <f t="shared" si="10"/>
        <v>1.2152239872174109E-2</v>
      </c>
      <c r="L88" s="34">
        <f t="shared" si="11"/>
        <v>1.4767693391085822E-4</v>
      </c>
      <c r="M88" s="1">
        <v>1.2271379478764138E-2</v>
      </c>
    </row>
    <row r="89" spans="1:13" x14ac:dyDescent="0.2">
      <c r="A89" s="53">
        <v>44256</v>
      </c>
      <c r="B89" s="1">
        <v>2.06E-2</v>
      </c>
      <c r="C89" s="1">
        <v>0</v>
      </c>
      <c r="D89" s="1">
        <v>-0.96231132098432992</v>
      </c>
      <c r="E89" s="1">
        <v>-9.7789828855254779E-3</v>
      </c>
      <c r="F89" s="1">
        <v>-0.17307692307692313</v>
      </c>
      <c r="G89" s="1">
        <v>-0.27480616180262674</v>
      </c>
      <c r="H89" s="1">
        <v>-5.1172860222929873E-3</v>
      </c>
      <c r="I89" s="1">
        <f t="shared" si="8"/>
        <v>2.0494583907940764E-2</v>
      </c>
      <c r="J89" s="1">
        <f t="shared" si="9"/>
        <v>-1.0541609205923577E-4</v>
      </c>
      <c r="K89" s="1">
        <f t="shared" si="10"/>
        <v>5.1172860222929986E-3</v>
      </c>
      <c r="L89" s="34">
        <f t="shared" si="11"/>
        <v>2.6186616233955299E-5</v>
      </c>
      <c r="M89" s="1">
        <v>5.1172860222929873E-3</v>
      </c>
    </row>
    <row r="90" spans="1:13" x14ac:dyDescent="0.2">
      <c r="A90" s="53">
        <v>44287</v>
      </c>
      <c r="B90" s="1">
        <v>2.0899999999999998E-2</v>
      </c>
      <c r="C90" s="1">
        <v>1.4563106796116417E-2</v>
      </c>
      <c r="D90" s="1">
        <v>-0.95648745137972913</v>
      </c>
      <c r="E90" s="1">
        <v>-9.0685896572549884E-3</v>
      </c>
      <c r="F90" s="1">
        <v>-0.22945845004668664</v>
      </c>
      <c r="G90" s="1">
        <v>-0.25497094159179767</v>
      </c>
      <c r="H90" s="1">
        <v>-5.6701407590295672E-3</v>
      </c>
      <c r="I90" s="1">
        <f t="shared" si="8"/>
        <v>2.0483195100363991E-2</v>
      </c>
      <c r="J90" s="1">
        <f t="shared" si="9"/>
        <v>-4.1680489963600784E-4</v>
      </c>
      <c r="K90" s="1">
        <f t="shared" si="10"/>
        <v>1.9942818164402291E-2</v>
      </c>
      <c r="L90" s="34">
        <f t="shared" si="11"/>
        <v>3.9771599633841399E-4</v>
      </c>
      <c r="M90" s="1">
        <v>2.0233247555145984E-2</v>
      </c>
    </row>
    <row r="91" spans="1:13" x14ac:dyDescent="0.2">
      <c r="A91" s="53">
        <v>44317</v>
      </c>
      <c r="B91" s="1">
        <v>2.0500000000000001E-2</v>
      </c>
      <c r="C91" s="1">
        <v>-1.9138755980861129E-2</v>
      </c>
      <c r="D91" s="1">
        <v>-0.96103474111994003</v>
      </c>
      <c r="E91" s="1">
        <v>-7.9533423726303454E-3</v>
      </c>
      <c r="F91" s="1">
        <v>-0.20880967532983996</v>
      </c>
      <c r="G91" s="1">
        <v>-0.24357746598026031</v>
      </c>
      <c r="H91" s="1">
        <v>-4.8145461254367342E-3</v>
      </c>
      <c r="I91" s="1">
        <f t="shared" si="8"/>
        <v>2.079937598597837E-2</v>
      </c>
      <c r="J91" s="1">
        <f t="shared" si="9"/>
        <v>2.9937598597836942E-4</v>
      </c>
      <c r="K91" s="1">
        <f t="shared" si="10"/>
        <v>1.4603706633091192E-2</v>
      </c>
      <c r="L91" s="34">
        <f t="shared" si="11"/>
        <v>2.1326824742539166E-4</v>
      </c>
      <c r="M91" s="1">
        <v>-1.4324209855424395E-2</v>
      </c>
    </row>
    <row r="92" spans="1:13" x14ac:dyDescent="0.2">
      <c r="A92" s="53">
        <v>44348</v>
      </c>
      <c r="B92" s="1">
        <v>1.9900000000000001E-2</v>
      </c>
      <c r="C92" s="1">
        <v>-2.9268292682926821E-2</v>
      </c>
      <c r="D92" s="1">
        <v>-0.95941233810792237</v>
      </c>
      <c r="E92" s="1">
        <v>-7.3720330678125334E-3</v>
      </c>
      <c r="F92" s="1">
        <v>-0.14673645786049327</v>
      </c>
      <c r="G92" s="1">
        <v>-0.25559073519478182</v>
      </c>
      <c r="H92" s="1">
        <v>-4.1678629906522595E-3</v>
      </c>
      <c r="I92" s="1">
        <f t="shared" si="8"/>
        <v>2.041455880869163E-2</v>
      </c>
      <c r="J92" s="1">
        <f t="shared" si="9"/>
        <v>5.1455880869162932E-4</v>
      </c>
      <c r="K92" s="1">
        <f t="shared" si="10"/>
        <v>2.5857226567418557E-2</v>
      </c>
      <c r="L92" s="34">
        <f t="shared" si="11"/>
        <v>6.685961657588161E-4</v>
      </c>
      <c r="M92" s="1">
        <v>-2.5100429692274561E-2</v>
      </c>
    </row>
    <row r="93" spans="1:13" x14ac:dyDescent="0.2">
      <c r="A93" s="53">
        <v>44378</v>
      </c>
      <c r="B93" s="1">
        <v>0.02</v>
      </c>
      <c r="C93" s="1">
        <v>5.0251256281406732E-3</v>
      </c>
      <c r="D93" s="1">
        <v>-0.95819546919956777</v>
      </c>
      <c r="E93" s="1">
        <v>-1.9279093016821847E-4</v>
      </c>
      <c r="F93" s="1">
        <v>-3.125E-2</v>
      </c>
      <c r="G93" s="1">
        <v>-0.24976707526420128</v>
      </c>
      <c r="H93" s="1">
        <v>-8.5718098757663508E-4</v>
      </c>
      <c r="I93" s="1">
        <f t="shared" si="8"/>
        <v>1.9882942098347227E-2</v>
      </c>
      <c r="J93" s="1">
        <f t="shared" si="9"/>
        <v>-1.1705790165277355E-4</v>
      </c>
      <c r="K93" s="1">
        <f t="shared" si="10"/>
        <v>5.8528950826386775E-3</v>
      </c>
      <c r="L93" s="34">
        <f t="shared" si="11"/>
        <v>3.4256380848376014E-5</v>
      </c>
      <c r="M93" s="1">
        <v>5.8823066157173082E-3</v>
      </c>
    </row>
    <row r="94" spans="1:13" x14ac:dyDescent="0.2">
      <c r="A94" s="53">
        <v>44409</v>
      </c>
      <c r="B94" s="1">
        <v>1.9599999999999999E-2</v>
      </c>
      <c r="C94" s="1">
        <v>-2.0000000000000052E-2</v>
      </c>
      <c r="D94" s="1">
        <v>-0.9605620633181513</v>
      </c>
      <c r="E94" s="1">
        <v>3.4416843040294687E-3</v>
      </c>
      <c r="F94" s="1">
        <v>-8.333333333333337E-2</v>
      </c>
      <c r="G94" s="1">
        <v>-0.24330184499505003</v>
      </c>
      <c r="H94" s="1">
        <v>-1.1515628238908883E-4</v>
      </c>
      <c r="I94" s="1">
        <f t="shared" si="8"/>
        <v>1.9997696874352218E-2</v>
      </c>
      <c r="J94" s="1">
        <f t="shared" si="9"/>
        <v>3.9769687435221857E-4</v>
      </c>
      <c r="K94" s="1">
        <f t="shared" si="10"/>
        <v>2.029065685470503E-2</v>
      </c>
      <c r="L94" s="34">
        <f t="shared" si="11"/>
        <v>4.1171075559538821E-4</v>
      </c>
      <c r="M94" s="1">
        <v>-1.9884843717610963E-2</v>
      </c>
    </row>
    <row r="95" spans="1:13" x14ac:dyDescent="0.2">
      <c r="A95" s="53">
        <v>44440</v>
      </c>
      <c r="B95" s="1">
        <v>1.9699999999999999E-2</v>
      </c>
      <c r="C95" s="1">
        <v>5.1020408163264998E-3</v>
      </c>
      <c r="D95" s="1">
        <v>-0.9623111577546819</v>
      </c>
      <c r="E95" s="1">
        <v>-3.6202152424098522E-3</v>
      </c>
      <c r="F95" s="1">
        <v>-7.9710144927536697E-2</v>
      </c>
      <c r="G95" s="1">
        <v>-0.59199073391533652</v>
      </c>
      <c r="H95" s="1">
        <v>-4.1083480018089457E-3</v>
      </c>
      <c r="I95" s="1">
        <f t="shared" si="8"/>
        <v>1.9519476379164544E-2</v>
      </c>
      <c r="J95" s="1">
        <f t="shared" si="9"/>
        <v>-1.8052362083545437E-4</v>
      </c>
      <c r="K95" s="1">
        <f t="shared" si="10"/>
        <v>9.1636355754037748E-3</v>
      </c>
      <c r="L95" s="34">
        <f t="shared" si="11"/>
        <v>8.3972216958805673E-5</v>
      </c>
      <c r="M95" s="1">
        <v>9.2103888181354447E-3</v>
      </c>
    </row>
    <row r="96" spans="1:13" x14ac:dyDescent="0.2">
      <c r="A96" s="53">
        <v>44470</v>
      </c>
      <c r="B96" s="1">
        <v>1.9900000000000001E-2</v>
      </c>
      <c r="C96" s="1">
        <v>1.0152284263959506E-2</v>
      </c>
      <c r="D96" s="1">
        <v>-0.95869030393462595</v>
      </c>
      <c r="E96" s="1">
        <v>-6.4249134429119614E-3</v>
      </c>
      <c r="F96" s="1">
        <v>0</v>
      </c>
      <c r="G96" s="1">
        <v>-0.59183777177997143</v>
      </c>
      <c r="H96" s="1">
        <v>-4.3498682938662644E-3</v>
      </c>
      <c r="I96" s="1">
        <f t="shared" si="8"/>
        <v>1.9614307594610834E-2</v>
      </c>
      <c r="J96" s="1">
        <f t="shared" si="9"/>
        <v>-2.8569240538916726E-4</v>
      </c>
      <c r="K96" s="1">
        <f t="shared" si="10"/>
        <v>1.4356402280862676E-2</v>
      </c>
      <c r="L96" s="34">
        <f t="shared" si="11"/>
        <v>2.0610628644995903E-4</v>
      </c>
      <c r="M96" s="1">
        <v>1.4502152557825771E-2</v>
      </c>
    </row>
    <row r="97" spans="1:13" x14ac:dyDescent="0.2">
      <c r="A97" s="53">
        <v>44501</v>
      </c>
      <c r="B97" s="1">
        <v>1.95E-2</v>
      </c>
      <c r="C97" s="1">
        <v>-2.0100502512562866E-2</v>
      </c>
      <c r="D97" s="1">
        <v>-0.96074885114685693</v>
      </c>
      <c r="E97" s="1">
        <v>1.4720338280787004E-3</v>
      </c>
      <c r="F97" s="1">
        <v>-0.10416666666666663</v>
      </c>
      <c r="G97" s="1">
        <v>-0.59080673208181245</v>
      </c>
      <c r="H97" s="1">
        <v>-2.8864726842799723E-3</v>
      </c>
      <c r="I97" s="1">
        <f t="shared" si="8"/>
        <v>1.984255919358283E-2</v>
      </c>
      <c r="J97" s="1">
        <f t="shared" si="9"/>
        <v>3.4255919358282955E-4</v>
      </c>
      <c r="K97" s="1">
        <f t="shared" si="10"/>
        <v>1.7567138132452798E-2</v>
      </c>
      <c r="L97" s="34">
        <f t="shared" si="11"/>
        <v>3.0860434216467721E-4</v>
      </c>
      <c r="M97" s="1">
        <v>-1.7214029828282892E-2</v>
      </c>
    </row>
    <row r="98" spans="1:13" x14ac:dyDescent="0.2">
      <c r="A98" s="53">
        <v>44531</v>
      </c>
      <c r="B98" s="1">
        <v>1.9599999999999999E-2</v>
      </c>
      <c r="C98" s="1">
        <v>5.128205128205097E-3</v>
      </c>
      <c r="D98" s="1">
        <v>-0.94548051031049807</v>
      </c>
      <c r="E98" s="1">
        <v>-3.491214308942725E-4</v>
      </c>
      <c r="F98" s="1">
        <v>-0.10590277777777668</v>
      </c>
      <c r="G98" s="1">
        <v>-0.58726127165737418</v>
      </c>
      <c r="H98" s="1">
        <v>-4.2567910344716298E-3</v>
      </c>
      <c r="I98" s="1">
        <f t="shared" ref="I98:I129" si="12">(1+H98)*B97</f>
        <v>1.9416992574827804E-2</v>
      </c>
      <c r="J98" s="1">
        <f t="shared" ref="J98:J129" si="13">I98-B98</f>
        <v>-1.8300742517219498E-4</v>
      </c>
      <c r="K98" s="1">
        <f t="shared" ref="K98:K129" si="14">ABS(J98/B98)</f>
        <v>9.3371135291936223E-3</v>
      </c>
      <c r="L98" s="34">
        <f t="shared" ref="L98:L129" si="15">K98^2</f>
        <v>8.7181689057050585E-5</v>
      </c>
      <c r="M98" s="1">
        <v>9.3849961626767259E-3</v>
      </c>
    </row>
    <row r="99" spans="1:13" x14ac:dyDescent="0.2">
      <c r="A99" s="53">
        <v>44562</v>
      </c>
      <c r="B99" s="1">
        <v>1.95E-2</v>
      </c>
      <c r="C99" s="1">
        <v>-5.1020408163264998E-3</v>
      </c>
      <c r="D99" s="1">
        <v>-0.9493241218424997</v>
      </c>
      <c r="E99" s="1">
        <v>2.4247514730637576E-3</v>
      </c>
      <c r="F99" s="1">
        <v>-5.6818181818183433E-2</v>
      </c>
      <c r="G99" s="1">
        <v>-0.58591440537820993</v>
      </c>
      <c r="H99" s="1">
        <v>-2.7060365365281242E-3</v>
      </c>
      <c r="I99" s="1">
        <f t="shared" si="12"/>
        <v>1.9546961683884048E-2</v>
      </c>
      <c r="J99" s="1">
        <f t="shared" si="13"/>
        <v>4.6961683884048228E-5</v>
      </c>
      <c r="K99" s="1">
        <f t="shared" si="14"/>
        <v>2.4082914812332424E-3</v>
      </c>
      <c r="L99" s="34">
        <f t="shared" si="15"/>
        <v>5.7998678585806049E-6</v>
      </c>
      <c r="M99" s="1">
        <v>-2.3960042797983756E-3</v>
      </c>
    </row>
    <row r="100" spans="1:13" x14ac:dyDescent="0.2">
      <c r="A100" s="53">
        <v>44593</v>
      </c>
      <c r="B100" s="1">
        <v>1.9199999999999998E-2</v>
      </c>
      <c r="C100" s="1">
        <v>-1.5384615384615469E-2</v>
      </c>
      <c r="D100" s="1">
        <v>-0.95311911450391251</v>
      </c>
      <c r="E100" s="1">
        <v>-8.164152905482891E-3</v>
      </c>
      <c r="F100" s="1">
        <v>-1.5076754385963453E-2</v>
      </c>
      <c r="G100" s="1">
        <v>-0.58849295232767818</v>
      </c>
      <c r="H100" s="1">
        <v>-5.3099953878478125E-3</v>
      </c>
      <c r="I100" s="1">
        <f t="shared" si="12"/>
        <v>1.9396455089936968E-2</v>
      </c>
      <c r="J100" s="1">
        <f t="shared" si="13"/>
        <v>1.9645508993696922E-4</v>
      </c>
      <c r="K100" s="1">
        <f t="shared" si="14"/>
        <v>1.0232035934217149E-2</v>
      </c>
      <c r="L100" s="34">
        <f t="shared" si="15"/>
        <v>1.0469455935911099E-4</v>
      </c>
      <c r="M100" s="1">
        <v>-1.0074619996767656E-2</v>
      </c>
    </row>
    <row r="101" spans="1:13" x14ac:dyDescent="0.2">
      <c r="A101" s="53">
        <v>44621</v>
      </c>
      <c r="B101" s="1">
        <v>1.9E-2</v>
      </c>
      <c r="C101" s="1">
        <v>-1.0416666666666605E-2</v>
      </c>
      <c r="D101" s="1">
        <v>-0.95857908988408957</v>
      </c>
      <c r="E101" s="1">
        <v>-6.996782174344518E-3</v>
      </c>
      <c r="F101" s="1">
        <v>-1.6666666666666607E-2</v>
      </c>
      <c r="G101" s="1">
        <v>-0.59034456743542241</v>
      </c>
      <c r="H101" s="1">
        <v>-4.6889141295870318E-3</v>
      </c>
      <c r="I101" s="1">
        <f t="shared" si="12"/>
        <v>1.9109972848711927E-2</v>
      </c>
      <c r="J101" s="1">
        <f t="shared" si="13"/>
        <v>1.0997284871192697E-4</v>
      </c>
      <c r="K101" s="1">
        <f t="shared" si="14"/>
        <v>5.7880446690487886E-3</v>
      </c>
      <c r="L101" s="34">
        <f t="shared" si="15"/>
        <v>3.3501461090904102E-5</v>
      </c>
      <c r="M101" s="1">
        <v>-5.7277525370795735E-3</v>
      </c>
    </row>
    <row r="102" spans="1:13" x14ac:dyDescent="0.2">
      <c r="A102" s="53">
        <v>44652</v>
      </c>
      <c r="B102" s="1">
        <v>1.9099999999999999E-2</v>
      </c>
      <c r="C102" s="1">
        <v>5.2631578947368108E-3</v>
      </c>
      <c r="D102" s="1">
        <v>-0.94380773277288454</v>
      </c>
      <c r="E102" s="1">
        <v>2.4040483001206425E-3</v>
      </c>
      <c r="F102" s="1">
        <v>-9.9206349206326649E-4</v>
      </c>
      <c r="G102" s="1">
        <v>-0.58720862141530628</v>
      </c>
      <c r="H102" s="1">
        <v>-2.4533440530480075E-3</v>
      </c>
      <c r="I102" s="1">
        <f t="shared" si="12"/>
        <v>1.8953386462992088E-2</v>
      </c>
      <c r="J102" s="1">
        <f t="shared" si="13"/>
        <v>-1.4661353700791066E-4</v>
      </c>
      <c r="K102" s="1">
        <f t="shared" si="14"/>
        <v>7.6761014140267368E-3</v>
      </c>
      <c r="L102" s="34">
        <f t="shared" si="15"/>
        <v>5.8922532918423267E-5</v>
      </c>
      <c r="M102" s="1">
        <v>7.7165019477848183E-3</v>
      </c>
    </row>
    <row r="103" spans="1:13" x14ac:dyDescent="0.2">
      <c r="A103" s="53">
        <v>44682</v>
      </c>
      <c r="B103" s="1">
        <v>1.8200000000000001E-2</v>
      </c>
      <c r="C103" s="1">
        <v>-4.7120418848167436E-2</v>
      </c>
      <c r="D103" s="1">
        <v>-0.95373589431708794</v>
      </c>
      <c r="E103" s="1">
        <v>-6.5422344453380799E-3</v>
      </c>
      <c r="F103" s="1">
        <v>-3.6765402394666524E-2</v>
      </c>
      <c r="G103" s="1">
        <v>-0.58191985398077672</v>
      </c>
      <c r="H103" s="1">
        <v>-4.9658534437409859E-3</v>
      </c>
      <c r="I103" s="1">
        <f t="shared" si="12"/>
        <v>1.9005152199224544E-2</v>
      </c>
      <c r="J103" s="1">
        <f t="shared" si="13"/>
        <v>8.0515219922454306E-4</v>
      </c>
      <c r="K103" s="1">
        <f t="shared" si="14"/>
        <v>4.4239131825524344E-2</v>
      </c>
      <c r="L103" s="34">
        <f t="shared" si="15"/>
        <v>1.9571007846761208E-3</v>
      </c>
      <c r="M103" s="1">
        <v>-4.2154565404426449E-2</v>
      </c>
    </row>
    <row r="104" spans="1:13" x14ac:dyDescent="0.2">
      <c r="A104" s="53">
        <v>44713</v>
      </c>
      <c r="B104" s="1">
        <v>1.7899999999999999E-2</v>
      </c>
      <c r="C104" s="1">
        <v>-1.6483516483516574E-2</v>
      </c>
      <c r="D104" s="1">
        <v>-0.94407518963857817</v>
      </c>
      <c r="E104" s="1">
        <v>-4.8892849153242546E-3</v>
      </c>
      <c r="F104" s="1">
        <v>-4.166666666666663E-2</v>
      </c>
      <c r="G104" s="1">
        <v>-0.59086516117007093</v>
      </c>
      <c r="H104" s="1">
        <v>-5.0833296312671073E-3</v>
      </c>
      <c r="I104" s="1">
        <f t="shared" si="12"/>
        <v>1.8107483400710941E-2</v>
      </c>
      <c r="J104" s="1">
        <f t="shared" si="13"/>
        <v>2.0748340071094148E-4</v>
      </c>
      <c r="K104" s="1">
        <f t="shared" si="14"/>
        <v>1.1591251436365446E-2</v>
      </c>
      <c r="L104" s="34">
        <f t="shared" si="15"/>
        <v>1.3435710986104402E-4</v>
      </c>
      <c r="M104" s="1">
        <v>-1.1400186852249467E-2</v>
      </c>
    </row>
    <row r="105" spans="1:13" x14ac:dyDescent="0.2">
      <c r="A105" s="53">
        <v>44743</v>
      </c>
      <c r="B105" s="1">
        <v>1.78E-2</v>
      </c>
      <c r="C105" s="1">
        <v>-5.5865921787709161E-3</v>
      </c>
      <c r="D105" s="1">
        <v>-0.94436118206307129</v>
      </c>
      <c r="E105" s="1">
        <v>7.9519565889176747E-3</v>
      </c>
      <c r="F105" s="1">
        <v>-4.1536693908956757E-2</v>
      </c>
      <c r="G105" s="1">
        <v>-0.59602677451300745</v>
      </c>
      <c r="H105" s="1">
        <v>-1.1984664786056426E-3</v>
      </c>
      <c r="I105" s="1">
        <f t="shared" si="12"/>
        <v>1.7878547450032957E-2</v>
      </c>
      <c r="J105" s="1">
        <f t="shared" si="13"/>
        <v>7.8547450032957072E-5</v>
      </c>
      <c r="K105" s="1">
        <f t="shared" si="14"/>
        <v>4.4127780917391614E-3</v>
      </c>
      <c r="L105" s="34">
        <f t="shared" si="15"/>
        <v>1.9472610486933113E-5</v>
      </c>
      <c r="M105" s="1">
        <v>-4.3881257001652735E-3</v>
      </c>
    </row>
    <row r="106" spans="1:13" x14ac:dyDescent="0.2">
      <c r="A106" s="53">
        <v>44774</v>
      </c>
      <c r="B106" s="1">
        <v>1.7100000000000001E-2</v>
      </c>
      <c r="C106" s="1">
        <v>-3.9325842696629171E-2</v>
      </c>
      <c r="D106" s="1">
        <v>-0.94179189648262551</v>
      </c>
      <c r="E106" s="1">
        <v>4.6738449755046041E-3</v>
      </c>
      <c r="F106" s="1">
        <v>0.12369866057259005</v>
      </c>
      <c r="G106" s="1">
        <v>-0.59876329471268619</v>
      </c>
      <c r="H106" s="1">
        <v>-6.8159712705345883E-4</v>
      </c>
      <c r="I106" s="1">
        <f t="shared" si="12"/>
        <v>1.7787867571138448E-2</v>
      </c>
      <c r="J106" s="1">
        <f t="shared" si="13"/>
        <v>6.8786757113844729E-4</v>
      </c>
      <c r="K106" s="1">
        <f t="shared" si="14"/>
        <v>4.0226173750786388E-2</v>
      </c>
      <c r="L106" s="34">
        <f t="shared" si="15"/>
        <v>1.6181450546284559E-3</v>
      </c>
      <c r="M106" s="1">
        <v>-3.8644245569575714E-2</v>
      </c>
    </row>
    <row r="107" spans="1:13" x14ac:dyDescent="0.2">
      <c r="A107" s="53">
        <v>44805</v>
      </c>
      <c r="B107" s="1">
        <v>1.7299999999999999E-2</v>
      </c>
      <c r="C107" s="1">
        <v>1.1695906432748466E-2</v>
      </c>
      <c r="D107" s="1">
        <v>-0.93639716314119414</v>
      </c>
      <c r="E107" s="1">
        <v>2.1438307084140629E-3</v>
      </c>
      <c r="F107" s="1">
        <v>0.35064446328762333</v>
      </c>
      <c r="G107" s="1">
        <v>-0.60142854597851469</v>
      </c>
      <c r="H107" s="1">
        <v>5.3292535441249204E-4</v>
      </c>
      <c r="I107" s="1">
        <f t="shared" si="12"/>
        <v>1.7109113023560454E-2</v>
      </c>
      <c r="J107" s="1">
        <f t="shared" si="13"/>
        <v>-1.9088697643954503E-4</v>
      </c>
      <c r="K107" s="1">
        <f t="shared" si="14"/>
        <v>1.1033929273962141E-2</v>
      </c>
      <c r="L107" s="34">
        <f t="shared" si="15"/>
        <v>1.217475952227987E-4</v>
      </c>
      <c r="M107" s="1">
        <v>1.1162981078335974E-2</v>
      </c>
    </row>
    <row r="108" spans="1:13" x14ac:dyDescent="0.2">
      <c r="A108" s="53">
        <v>44835</v>
      </c>
      <c r="B108" s="1">
        <v>1.77E-2</v>
      </c>
      <c r="C108" s="1">
        <v>2.3121387283237056E-2</v>
      </c>
      <c r="D108" s="1">
        <v>-0.95175977175182402</v>
      </c>
      <c r="E108" s="1">
        <v>5.339653510321174E-3</v>
      </c>
      <c r="F108" s="1">
        <v>0.42439194577352346</v>
      </c>
      <c r="G108" s="1">
        <v>-0.61350001587383951</v>
      </c>
      <c r="H108" s="1">
        <v>3.0029117238363663E-3</v>
      </c>
      <c r="I108" s="1">
        <f t="shared" si="12"/>
        <v>1.7351950372822368E-2</v>
      </c>
      <c r="J108" s="1">
        <f t="shared" si="13"/>
        <v>-3.4804962717763233E-4</v>
      </c>
      <c r="K108" s="1">
        <f t="shared" si="14"/>
        <v>1.9663820744499003E-2</v>
      </c>
      <c r="L108" s="34">
        <f t="shared" si="15"/>
        <v>3.8666584627178931E-4</v>
      </c>
      <c r="M108" s="1">
        <v>2.0118475559400689E-2</v>
      </c>
    </row>
    <row r="109" spans="1:13" x14ac:dyDescent="0.2">
      <c r="A109" s="53">
        <v>44866</v>
      </c>
      <c r="B109" s="1">
        <v>1.7999999999999999E-2</v>
      </c>
      <c r="C109" s="1">
        <v>1.6949152542372777E-2</v>
      </c>
      <c r="D109" s="1">
        <v>-0.96414421057415589</v>
      </c>
      <c r="E109" s="1">
        <v>1.035042126870156E-2</v>
      </c>
      <c r="F109" s="1">
        <v>0.65696007008484014</v>
      </c>
      <c r="G109" s="1">
        <v>-0.61331560421336384</v>
      </c>
      <c r="H109" s="1">
        <v>7.5341112319564597E-3</v>
      </c>
      <c r="I109" s="1">
        <f t="shared" si="12"/>
        <v>1.783335376880563E-2</v>
      </c>
      <c r="J109" s="1">
        <f t="shared" si="13"/>
        <v>-1.6664623119436867E-4</v>
      </c>
      <c r="K109" s="1">
        <f t="shared" si="14"/>
        <v>9.2581239552427044E-3</v>
      </c>
      <c r="L109" s="34">
        <f t="shared" si="15"/>
        <v>8.5712859170638817E-5</v>
      </c>
      <c r="M109" s="1">
        <v>9.4150413104163166E-3</v>
      </c>
    </row>
    <row r="110" spans="1:13" x14ac:dyDescent="0.2">
      <c r="A110" s="53">
        <v>44896</v>
      </c>
      <c r="B110" s="1">
        <v>1.83E-2</v>
      </c>
      <c r="C110" s="1">
        <v>1.666666666666676E-2</v>
      </c>
      <c r="D110" s="1">
        <v>-0.96092861577359379</v>
      </c>
      <c r="E110" s="1">
        <v>6.451241905060634E-3</v>
      </c>
      <c r="F110" s="1">
        <v>0.61034030324901822</v>
      </c>
      <c r="G110" s="1">
        <v>-0.62312472235123506</v>
      </c>
      <c r="H110" s="1">
        <v>5.652330344226391E-3</v>
      </c>
      <c r="I110" s="1">
        <f t="shared" si="12"/>
        <v>1.8101741946196074E-2</v>
      </c>
      <c r="J110" s="1">
        <f t="shared" si="13"/>
        <v>-1.9825805380392636E-4</v>
      </c>
      <c r="K110" s="1">
        <f t="shared" si="14"/>
        <v>1.0833773431908543E-2</v>
      </c>
      <c r="L110" s="34">
        <f t="shared" si="15"/>
        <v>1.1737064677392742E-4</v>
      </c>
      <c r="M110" s="1">
        <v>1.1014336322440369E-2</v>
      </c>
    </row>
    <row r="111" spans="1:13" x14ac:dyDescent="0.2">
      <c r="A111" s="53">
        <v>44927</v>
      </c>
      <c r="B111" s="1">
        <v>1.8100000000000002E-2</v>
      </c>
      <c r="C111" s="1">
        <v>-1.0928961748633814E-2</v>
      </c>
      <c r="D111" s="1">
        <v>-0.94398682571439807</v>
      </c>
      <c r="E111" s="1">
        <v>8.6856103113674976E-3</v>
      </c>
      <c r="F111" s="1">
        <v>0.60114368139530283</v>
      </c>
      <c r="G111" s="1">
        <v>-0.62679582072730344</v>
      </c>
      <c r="H111" s="1">
        <v>5.3068475368338221E-3</v>
      </c>
      <c r="I111" s="1">
        <f t="shared" si="12"/>
        <v>1.8397115309924061E-2</v>
      </c>
      <c r="J111" s="1">
        <f t="shared" si="13"/>
        <v>2.9711530992405921E-4</v>
      </c>
      <c r="K111" s="1">
        <f t="shared" si="14"/>
        <v>1.6415210493041944E-2</v>
      </c>
      <c r="L111" s="34">
        <f t="shared" si="15"/>
        <v>2.6945913553087433E-4</v>
      </c>
      <c r="M111" s="1">
        <v>-1.6235809285467636E-2</v>
      </c>
    </row>
    <row r="112" spans="1:13" x14ac:dyDescent="0.2">
      <c r="A112" s="53">
        <v>44958</v>
      </c>
      <c r="B112" s="1">
        <v>1.84E-2</v>
      </c>
      <c r="C112" s="1">
        <v>1.6574585635359015E-2</v>
      </c>
      <c r="D112" s="1">
        <v>-0.94555540117354087</v>
      </c>
      <c r="E112" s="1">
        <v>-5.551123520808221E-3</v>
      </c>
      <c r="F112" s="1">
        <v>0.48941176470588243</v>
      </c>
      <c r="G112" s="1">
        <v>-0.61507597279858595</v>
      </c>
      <c r="H112" s="1">
        <v>1.0482566807562717E-5</v>
      </c>
      <c r="I112" s="1">
        <f t="shared" si="12"/>
        <v>1.8100189734459218E-2</v>
      </c>
      <c r="J112" s="1">
        <f t="shared" si="13"/>
        <v>-2.9981026554078138E-4</v>
      </c>
      <c r="K112" s="1">
        <f t="shared" si="14"/>
        <v>1.629403617069464E-2</v>
      </c>
      <c r="L112" s="34">
        <f t="shared" si="15"/>
        <v>2.6549561473190528E-4</v>
      </c>
      <c r="M112" s="1">
        <v>1.6564103068551453E-2</v>
      </c>
    </row>
    <row r="113" spans="1:13" x14ac:dyDescent="0.2">
      <c r="A113" s="53">
        <v>44986</v>
      </c>
      <c r="B113" s="1">
        <v>1.8100000000000002E-2</v>
      </c>
      <c r="C113" s="1">
        <v>-1.6304347826086859E-2</v>
      </c>
      <c r="D113" s="1">
        <v>-0.95595831353799188</v>
      </c>
      <c r="E113" s="1">
        <v>-5.7628205006379218E-3</v>
      </c>
      <c r="F113" s="1">
        <v>0.37176025010365055</v>
      </c>
      <c r="G113" s="1">
        <v>-0.61758804165872649</v>
      </c>
      <c r="H113" s="1">
        <v>-6.9499188250391917E-4</v>
      </c>
      <c r="I113" s="1">
        <f t="shared" si="12"/>
        <v>1.8387212149361929E-2</v>
      </c>
      <c r="J113" s="1">
        <f t="shared" si="13"/>
        <v>2.8721214936192757E-4</v>
      </c>
      <c r="K113" s="1">
        <f t="shared" si="14"/>
        <v>1.5868074550382739E-2</v>
      </c>
      <c r="L113" s="34">
        <f t="shared" si="15"/>
        <v>2.5179578993650436E-4</v>
      </c>
      <c r="M113" s="1">
        <v>-1.5609355943582939E-2</v>
      </c>
    </row>
    <row r="114" spans="1:13" x14ac:dyDescent="0.2">
      <c r="A114" s="53">
        <v>45017</v>
      </c>
      <c r="B114" s="1">
        <v>1.77E-2</v>
      </c>
      <c r="C114" s="1">
        <v>-2.2099447513812209E-2</v>
      </c>
      <c r="D114" s="1">
        <v>-0.93589336315234384</v>
      </c>
      <c r="E114" s="1">
        <v>-6.6767882164845416E-3</v>
      </c>
      <c r="F114" s="1">
        <v>0.2972054201506249</v>
      </c>
      <c r="G114" s="1">
        <v>-0.61230890716199826</v>
      </c>
      <c r="H114" s="1">
        <v>-2.7717220855278278E-3</v>
      </c>
      <c r="I114" s="1">
        <f t="shared" si="12"/>
        <v>1.8049831830251949E-2</v>
      </c>
      <c r="J114" s="1">
        <f t="shared" si="13"/>
        <v>3.4983183025194889E-4</v>
      </c>
      <c r="K114" s="1">
        <f t="shared" si="14"/>
        <v>1.9764510183725926E-2</v>
      </c>
      <c r="L114" s="34">
        <f t="shared" si="15"/>
        <v>3.9063586280260585E-4</v>
      </c>
      <c r="M114" s="1">
        <v>-1.9327725428284381E-2</v>
      </c>
    </row>
    <row r="115" spans="1:13" x14ac:dyDescent="0.2">
      <c r="A115" s="53">
        <v>45047</v>
      </c>
      <c r="B115" s="1">
        <v>1.7999999999999999E-2</v>
      </c>
      <c r="C115" s="1">
        <v>1.6949152542372777E-2</v>
      </c>
      <c r="D115" s="1">
        <v>-0.94032724896129971</v>
      </c>
      <c r="E115" s="1">
        <v>-2.5121084283888928E-3</v>
      </c>
      <c r="F115" s="1">
        <v>0.39400290873641519</v>
      </c>
      <c r="G115" s="1">
        <v>-0.61161729727628211</v>
      </c>
      <c r="H115" s="1">
        <v>-2.8995733762182067E-4</v>
      </c>
      <c r="I115" s="1">
        <f t="shared" si="12"/>
        <v>1.7694867755124095E-2</v>
      </c>
      <c r="J115" s="1">
        <f t="shared" si="13"/>
        <v>-3.051322448759039E-4</v>
      </c>
      <c r="K115" s="1">
        <f t="shared" si="14"/>
        <v>1.6951791381994662E-2</v>
      </c>
      <c r="L115" s="34">
        <f t="shared" si="15"/>
        <v>2.8736323105866852E-4</v>
      </c>
      <c r="M115" s="1">
        <v>1.7239109879994597E-2</v>
      </c>
    </row>
    <row r="116" spans="1:13" x14ac:dyDescent="0.2">
      <c r="A116" s="53">
        <v>45078</v>
      </c>
      <c r="B116" s="1">
        <v>1.8200000000000001E-2</v>
      </c>
      <c r="C116" s="1">
        <v>1.1111111111111238E-2</v>
      </c>
      <c r="D116" s="1">
        <v>-0.94500421585160199</v>
      </c>
      <c r="E116" s="1">
        <v>-1.5695864576448226E-3</v>
      </c>
      <c r="F116" s="1">
        <v>0.22695785554631986</v>
      </c>
      <c r="G116" s="1">
        <v>-0.61038016395286099</v>
      </c>
      <c r="H116" s="1">
        <v>-1.429243491290963E-3</v>
      </c>
      <c r="I116" s="1">
        <f t="shared" si="12"/>
        <v>1.7974273617156762E-2</v>
      </c>
      <c r="J116" s="1">
        <f t="shared" si="13"/>
        <v>-2.2572638284323876E-4</v>
      </c>
      <c r="K116" s="1">
        <f t="shared" si="14"/>
        <v>1.2402548507870261E-2</v>
      </c>
      <c r="L116" s="34">
        <f t="shared" si="15"/>
        <v>1.5382320949007484E-4</v>
      </c>
      <c r="M116" s="1">
        <v>1.2540354602402201E-2</v>
      </c>
    </row>
    <row r="117" spans="1:13" x14ac:dyDescent="0.2">
      <c r="A117" s="53">
        <v>45108</v>
      </c>
      <c r="B117" s="1">
        <v>1.7600000000000001E-2</v>
      </c>
      <c r="C117" s="1">
        <v>-3.2967032967032954E-2</v>
      </c>
      <c r="D117" s="1">
        <v>-0.94777529469312594</v>
      </c>
      <c r="E117" s="1">
        <v>-1.0796916596215178E-3</v>
      </c>
      <c r="F117" s="1">
        <v>0.13851505074850312</v>
      </c>
      <c r="G117" s="1">
        <v>-0.61635689364773294</v>
      </c>
      <c r="H117" s="1">
        <v>-2.057039091438053E-3</v>
      </c>
      <c r="I117" s="1">
        <f t="shared" si="12"/>
        <v>1.8162561888535829E-2</v>
      </c>
      <c r="J117" s="1">
        <f t="shared" si="13"/>
        <v>5.6256188853582786E-4</v>
      </c>
      <c r="K117" s="1">
        <f t="shared" si="14"/>
        <v>3.1963743666808396E-2</v>
      </c>
      <c r="L117" s="34">
        <f t="shared" si="15"/>
        <v>1.0216809091974338E-3</v>
      </c>
      <c r="M117" s="1">
        <v>-3.0909993875594902E-2</v>
      </c>
    </row>
    <row r="118" spans="1:13" x14ac:dyDescent="0.2">
      <c r="A118" s="53">
        <v>45139</v>
      </c>
      <c r="B118" s="1">
        <v>1.77E-2</v>
      </c>
      <c r="C118" s="1">
        <v>5.6818181818181473E-3</v>
      </c>
      <c r="D118" s="1">
        <v>-0.94736410844693908</v>
      </c>
      <c r="E118" s="1">
        <v>6.3312679101596991E-3</v>
      </c>
      <c r="F118" s="1">
        <v>0.12672158416524315</v>
      </c>
      <c r="G118" s="1">
        <v>-0.61682802828504668</v>
      </c>
      <c r="H118" s="1">
        <v>4.8665740679220467E-5</v>
      </c>
      <c r="I118" s="1">
        <f t="shared" si="12"/>
        <v>1.7600856517035957E-2</v>
      </c>
      <c r="J118" s="1">
        <f t="shared" si="13"/>
        <v>-9.9143482964043211E-5</v>
      </c>
      <c r="K118" s="1">
        <f t="shared" si="14"/>
        <v>5.6013267211323849E-3</v>
      </c>
      <c r="L118" s="34">
        <f t="shared" si="15"/>
        <v>3.1374861036871673E-5</v>
      </c>
      <c r="M118" s="1">
        <v>5.6331524411389264E-3</v>
      </c>
    </row>
    <row r="119" spans="1:13" x14ac:dyDescent="0.2">
      <c r="A119" s="53">
        <v>45170</v>
      </c>
      <c r="B119" s="1">
        <v>1.7600000000000001E-2</v>
      </c>
      <c r="C119" s="1">
        <v>-5.6497175141242591E-3</v>
      </c>
      <c r="D119" s="1">
        <v>-0.94794256134296495</v>
      </c>
      <c r="E119" s="1">
        <v>8.921269348250549E-3</v>
      </c>
      <c r="F119" s="1">
        <v>4.4760348007942818E-2</v>
      </c>
      <c r="G119" s="1">
        <v>-0.6161879296312458</v>
      </c>
      <c r="H119" s="1">
        <v>4.3401490452588034E-5</v>
      </c>
      <c r="I119" s="1">
        <f t="shared" si="12"/>
        <v>1.7700768206381012E-2</v>
      </c>
      <c r="J119" s="1">
        <f t="shared" si="13"/>
        <v>1.0076820638101058E-4</v>
      </c>
      <c r="K119" s="1">
        <f t="shared" si="14"/>
        <v>5.7254662716483282E-3</v>
      </c>
      <c r="L119" s="34">
        <f t="shared" si="15"/>
        <v>3.2780964027782611E-5</v>
      </c>
      <c r="M119" s="1">
        <v>-5.6931190045768475E-3</v>
      </c>
    </row>
    <row r="120" spans="1:13" x14ac:dyDescent="0.2">
      <c r="A120" s="53">
        <v>45200</v>
      </c>
      <c r="B120" s="1">
        <v>1.8100000000000002E-2</v>
      </c>
      <c r="C120" s="1">
        <v>2.8409090909090932E-2</v>
      </c>
      <c r="D120" s="1">
        <v>-0.94720923291214809</v>
      </c>
      <c r="E120" s="1">
        <v>-1.2312975353185873E-3</v>
      </c>
      <c r="F120" s="1">
        <v>9.3444680454468632E-3</v>
      </c>
      <c r="G120" s="1">
        <v>-0.61588521391636275</v>
      </c>
      <c r="H120" s="1">
        <v>-3.4326773936473763E-3</v>
      </c>
      <c r="I120" s="1">
        <f t="shared" si="12"/>
        <v>1.7539584877871807E-2</v>
      </c>
      <c r="J120" s="1">
        <f t="shared" si="13"/>
        <v>-5.6041512212819458E-4</v>
      </c>
      <c r="K120" s="1">
        <f t="shared" si="14"/>
        <v>3.096216144354666E-2</v>
      </c>
      <c r="L120" s="34">
        <f t="shared" si="15"/>
        <v>9.5865544125624735E-4</v>
      </c>
      <c r="M120" s="1">
        <v>3.1841768302738306E-2</v>
      </c>
    </row>
    <row r="121" spans="1:13" x14ac:dyDescent="0.2">
      <c r="A121" s="53">
        <v>45231</v>
      </c>
      <c r="B121" s="1">
        <v>1.8100000000000002E-2</v>
      </c>
      <c r="C121" s="1">
        <v>0</v>
      </c>
      <c r="D121" s="1">
        <v>-0.94590534979423868</v>
      </c>
      <c r="E121" s="1">
        <v>3.6392880964890573E-3</v>
      </c>
      <c r="F121" s="1">
        <v>5.8700038790095999E-3</v>
      </c>
      <c r="G121" s="1">
        <v>-0.60610717687436755</v>
      </c>
      <c r="H121" s="1">
        <v>-2.0039148560524215E-3</v>
      </c>
      <c r="I121" s="1">
        <f t="shared" si="12"/>
        <v>1.8063729141105451E-2</v>
      </c>
      <c r="J121" s="1">
        <f t="shared" si="13"/>
        <v>-3.6270858894550673E-5</v>
      </c>
      <c r="K121" s="1">
        <f t="shared" si="14"/>
        <v>2.003914856052523E-3</v>
      </c>
      <c r="L121" s="34">
        <f t="shared" si="15"/>
        <v>4.0156747503080037E-6</v>
      </c>
      <c r="M121" s="1">
        <v>2.0039148560524215E-3</v>
      </c>
    </row>
    <row r="122" spans="1:13" x14ac:dyDescent="0.2">
      <c r="A122" s="53">
        <v>45261</v>
      </c>
      <c r="B122" s="1">
        <v>1.78E-2</v>
      </c>
      <c r="C122" s="1">
        <v>-1.6574585635359206E-2</v>
      </c>
      <c r="D122" s="1">
        <v>-0.97134195710708171</v>
      </c>
      <c r="E122" s="1">
        <v>2.6101180152104941E-3</v>
      </c>
      <c r="F122" s="1">
        <v>-4.0661993615034309E-3</v>
      </c>
      <c r="G122" s="1">
        <v>-0.60445300496447529</v>
      </c>
      <c r="H122" s="1">
        <v>-1.0405908095559155E-3</v>
      </c>
      <c r="I122" s="1">
        <f t="shared" si="12"/>
        <v>1.8081165306347041E-2</v>
      </c>
      <c r="J122" s="1">
        <f t="shared" si="13"/>
        <v>2.8116530634704137E-4</v>
      </c>
      <c r="K122" s="1">
        <f t="shared" si="14"/>
        <v>1.5795803727361876E-2</v>
      </c>
      <c r="L122" s="34">
        <f t="shared" si="15"/>
        <v>2.4950741539333935E-4</v>
      </c>
      <c r="M122" s="1">
        <v>-1.5533994825803289E-2</v>
      </c>
    </row>
    <row r="123" spans="1:13" x14ac:dyDescent="0.2">
      <c r="A123" s="53">
        <v>45292</v>
      </c>
      <c r="B123" s="1">
        <v>1.78E-2</v>
      </c>
      <c r="C123" s="1">
        <v>0</v>
      </c>
      <c r="D123" s="1">
        <v>-0.95504000329075911</v>
      </c>
      <c r="E123" s="1">
        <v>1.9206235102808833E-4</v>
      </c>
      <c r="F123" s="1">
        <v>2.155172413793105E-2</v>
      </c>
      <c r="G123" s="1">
        <v>-0.60191231670356704</v>
      </c>
      <c r="H123" s="1">
        <v>-2.3776108426824295E-3</v>
      </c>
      <c r="I123" s="1">
        <f t="shared" si="12"/>
        <v>1.7757678527000251E-2</v>
      </c>
      <c r="J123" s="1">
        <f t="shared" si="13"/>
        <v>-4.2321472999748422E-5</v>
      </c>
      <c r="K123" s="1">
        <f t="shared" si="14"/>
        <v>2.3776108426824955E-3</v>
      </c>
      <c r="L123" s="34">
        <f t="shared" si="15"/>
        <v>5.6530333192413665E-6</v>
      </c>
      <c r="M123" s="1">
        <v>2.3776108426824295E-3</v>
      </c>
    </row>
    <row r="124" spans="1:13" x14ac:dyDescent="0.2">
      <c r="A124" s="53">
        <v>45323</v>
      </c>
      <c r="B124" s="1">
        <v>1.78E-2</v>
      </c>
      <c r="C124" s="1">
        <v>0</v>
      </c>
      <c r="D124" s="1">
        <v>-0.93779970811036206</v>
      </c>
      <c r="E124" s="1">
        <v>-5.7712520100228204E-4</v>
      </c>
      <c r="F124" s="1">
        <v>2.2000411523379393E-2</v>
      </c>
      <c r="G124" s="1">
        <v>-0.60092073243743727</v>
      </c>
      <c r="H124" s="1">
        <v>-3.5270579261202544E-3</v>
      </c>
      <c r="I124" s="1">
        <f t="shared" si="12"/>
        <v>1.7737218368915057E-2</v>
      </c>
      <c r="J124" s="1">
        <f t="shared" si="13"/>
        <v>-6.2781631084942585E-5</v>
      </c>
      <c r="K124" s="1">
        <f t="shared" si="14"/>
        <v>3.5270579261203702E-3</v>
      </c>
      <c r="L124" s="34">
        <f t="shared" si="15"/>
        <v>1.2440137614208526E-5</v>
      </c>
      <c r="M124" s="1">
        <v>3.5270579261202544E-3</v>
      </c>
    </row>
    <row r="125" spans="1:13" x14ac:dyDescent="0.2">
      <c r="A125" s="53">
        <v>45352</v>
      </c>
      <c r="B125" s="1">
        <v>1.7299999999999999E-2</v>
      </c>
      <c r="C125" s="1">
        <v>-2.8089887640449462E-2</v>
      </c>
      <c r="D125" s="1">
        <v>-0.94738623580125236</v>
      </c>
      <c r="E125" s="1">
        <v>-5.6309577208047967E-3</v>
      </c>
      <c r="F125" s="1">
        <v>3.1734192243274562E-2</v>
      </c>
      <c r="G125" s="1">
        <v>-0.60601916656671229</v>
      </c>
      <c r="H125" s="1">
        <v>-4.4768351532471018E-3</v>
      </c>
      <c r="I125" s="1">
        <f t="shared" si="12"/>
        <v>1.7720312334272202E-2</v>
      </c>
      <c r="J125" s="1">
        <f t="shared" si="13"/>
        <v>4.2031233427220274E-4</v>
      </c>
      <c r="K125" s="1">
        <f t="shared" si="14"/>
        <v>2.4295510651572413E-2</v>
      </c>
      <c r="L125" s="34">
        <f t="shared" si="15"/>
        <v>5.902718378206686E-4</v>
      </c>
      <c r="M125" s="1">
        <v>-2.3613052487202361E-2</v>
      </c>
    </row>
    <row r="126" spans="1:13" x14ac:dyDescent="0.2">
      <c r="A126" s="53">
        <v>45383</v>
      </c>
      <c r="B126" s="1">
        <v>1.7100000000000001E-2</v>
      </c>
      <c r="C126" s="1">
        <v>-1.1560693641618427E-2</v>
      </c>
      <c r="D126" s="1">
        <v>-0.93163751987281396</v>
      </c>
      <c r="E126" s="1">
        <v>-4.6712846981061817E-3</v>
      </c>
      <c r="F126" s="1">
        <v>3.4475276535980592E-2</v>
      </c>
      <c r="G126" s="1">
        <v>-0.59814351964061041</v>
      </c>
      <c r="H126" s="1">
        <v>-4.9592200195612791E-3</v>
      </c>
      <c r="I126" s="1">
        <f t="shared" si="12"/>
        <v>1.7214205493661591E-2</v>
      </c>
      <c r="J126" s="1">
        <f t="shared" si="13"/>
        <v>1.1420549366158994E-4</v>
      </c>
      <c r="K126" s="1">
        <f t="shared" si="14"/>
        <v>6.6786838398590603E-3</v>
      </c>
      <c r="L126" s="34">
        <f t="shared" si="15"/>
        <v>4.4604817832794564E-5</v>
      </c>
      <c r="M126" s="1">
        <v>-6.601473622057148E-3</v>
      </c>
    </row>
    <row r="127" spans="1:13" x14ac:dyDescent="0.2">
      <c r="A127" s="53">
        <v>45413</v>
      </c>
      <c r="B127" s="1">
        <v>1.7100000000000001E-2</v>
      </c>
      <c r="C127" s="1">
        <v>0</v>
      </c>
      <c r="D127" s="1">
        <v>-0.92198369533971869</v>
      </c>
      <c r="E127" s="1">
        <v>-8.6338020045184649E-4</v>
      </c>
      <c r="F127" s="1">
        <v>0</v>
      </c>
      <c r="G127" s="1">
        <v>-0.59922140809535551</v>
      </c>
      <c r="H127" s="1">
        <v>-4.6756583237304453E-3</v>
      </c>
      <c r="I127" s="1">
        <f t="shared" si="12"/>
        <v>1.7020046242664212E-2</v>
      </c>
      <c r="J127" s="1">
        <f t="shared" si="13"/>
        <v>-7.9953757335788495E-5</v>
      </c>
      <c r="K127" s="1">
        <f t="shared" si="14"/>
        <v>4.6756583237303213E-3</v>
      </c>
      <c r="L127" s="34">
        <f t="shared" si="15"/>
        <v>2.1861780760268638E-5</v>
      </c>
      <c r="M127" s="1">
        <v>4.6756583237304453E-3</v>
      </c>
    </row>
    <row r="128" spans="1:13" x14ac:dyDescent="0.2">
      <c r="A128" s="53">
        <v>45444</v>
      </c>
      <c r="B128" s="1">
        <v>1.7100000000000001E-2</v>
      </c>
      <c r="C128" s="1">
        <v>0</v>
      </c>
      <c r="D128" s="1">
        <v>-0.9483144600115665</v>
      </c>
      <c r="E128" s="1">
        <v>5.7707500621044794E-3</v>
      </c>
      <c r="F128" s="1">
        <v>1.9842242019307843E-3</v>
      </c>
      <c r="G128" s="1">
        <v>-0.5905669010665564</v>
      </c>
      <c r="H128" s="1">
        <v>-1.1784764166230415E-3</v>
      </c>
      <c r="I128" s="1">
        <f t="shared" si="12"/>
        <v>1.7079848053275747E-2</v>
      </c>
      <c r="J128" s="1">
        <f t="shared" si="13"/>
        <v>-2.015194672425405E-5</v>
      </c>
      <c r="K128" s="1">
        <f t="shared" si="14"/>
        <v>1.1784764166230437E-3</v>
      </c>
      <c r="L128" s="34">
        <f t="shared" si="15"/>
        <v>1.3888066645366896E-6</v>
      </c>
      <c r="M128" s="1">
        <v>1.1784764166230415E-3</v>
      </c>
    </row>
    <row r="129" spans="1:13" x14ac:dyDescent="0.2">
      <c r="A129" s="53">
        <v>45474</v>
      </c>
      <c r="B129" s="1">
        <v>1.78E-2</v>
      </c>
      <c r="C129" s="1">
        <v>4.0935672514619839E-2</v>
      </c>
      <c r="D129" s="1">
        <v>-0.95391733389521005</v>
      </c>
      <c r="E129" s="1">
        <v>5.0823225980840547E-3</v>
      </c>
      <c r="F129" s="1">
        <v>2.3946350906600689E-3</v>
      </c>
      <c r="G129" s="1">
        <v>-0.58766592118629002</v>
      </c>
      <c r="H129" s="1">
        <v>-1.0658284468445679E-3</v>
      </c>
      <c r="I129" s="1">
        <f t="shared" si="12"/>
        <v>1.7081774333558959E-2</v>
      </c>
      <c r="J129" s="1">
        <f t="shared" si="13"/>
        <v>-7.1822566644104066E-4</v>
      </c>
      <c r="K129" s="1">
        <f t="shared" si="14"/>
        <v>4.0349756541631497E-2</v>
      </c>
      <c r="L129" s="34">
        <f t="shared" si="15"/>
        <v>1.6281028529689337E-3</v>
      </c>
      <c r="M129" s="1">
        <v>4.2001500961464405E-2</v>
      </c>
    </row>
    <row r="130" spans="1:13" s="57" customFormat="1" x14ac:dyDescent="0.2">
      <c r="A130" s="54">
        <v>45505</v>
      </c>
      <c r="B130" s="61">
        <f>_xlfn.FORECAST.ETS(A130,B$3:B129, A$3:A129)</f>
        <v>1.7689880675075584E-2</v>
      </c>
      <c r="C130" s="55"/>
      <c r="D130" s="55"/>
      <c r="E130" s="55"/>
      <c r="F130" s="55"/>
      <c r="G130" s="55"/>
      <c r="H130" s="55"/>
      <c r="I130" s="55">
        <f t="shared" ref="I130:I132" si="16">(1+H130)*B129</f>
        <v>1.78E-2</v>
      </c>
      <c r="J130" s="55">
        <f t="shared" ref="J130:J132" si="17">I130-B130</f>
        <v>1.1011932492441603E-4</v>
      </c>
      <c r="K130" s="55">
        <f t="shared" ref="K130:K132" si="18">ABS(J130/B130)</f>
        <v>6.2249896959209157E-3</v>
      </c>
      <c r="L130" s="56">
        <f t="shared" ref="L130:L132" si="19">K130^2</f>
        <v>3.8750496714321577E-5</v>
      </c>
      <c r="M130" s="55"/>
    </row>
    <row r="131" spans="1:13" x14ac:dyDescent="0.2">
      <c r="A131" s="53">
        <v>45536</v>
      </c>
      <c r="B131" s="36">
        <f>_xlfn.FORECAST.ETS(A131,B$3:B130, A$3:A130)</f>
        <v>1.7625778908733382E-2</v>
      </c>
      <c r="C131" s="1"/>
      <c r="D131" s="1"/>
      <c r="E131" s="1"/>
      <c r="F131" s="1"/>
      <c r="G131" s="1"/>
      <c r="H131" s="1"/>
      <c r="I131" s="1">
        <f t="shared" si="16"/>
        <v>1.7689880675075584E-2</v>
      </c>
      <c r="J131" s="1">
        <f t="shared" si="17"/>
        <v>6.4101766342201938E-5</v>
      </c>
      <c r="K131" s="1">
        <f t="shared" si="18"/>
        <v>3.6368189272157616E-3</v>
      </c>
      <c r="L131" s="34">
        <f t="shared" si="19"/>
        <v>1.3226451909354803E-5</v>
      </c>
      <c r="M131" s="1"/>
    </row>
    <row r="132" spans="1:13" x14ac:dyDescent="0.2">
      <c r="A132" s="53">
        <v>45566</v>
      </c>
      <c r="B132" s="36">
        <f>_xlfn.FORECAST.ETS(A132,B$3:B131, A$3:A131)</f>
        <v>1.753222835727274E-2</v>
      </c>
      <c r="C132" s="1"/>
      <c r="D132" s="1"/>
      <c r="E132" s="1"/>
      <c r="F132" s="1"/>
      <c r="G132" s="1"/>
      <c r="H132" s="1"/>
      <c r="I132" s="1">
        <f t="shared" si="16"/>
        <v>1.7625778908733382E-2</v>
      </c>
      <c r="J132" s="1">
        <f t="shared" si="17"/>
        <v>9.3550551460642312E-5</v>
      </c>
      <c r="K132" s="1">
        <f t="shared" si="18"/>
        <v>5.3359190602736799E-3</v>
      </c>
      <c r="L132" s="34">
        <f t="shared" si="19"/>
        <v>2.8472032217791949E-5</v>
      </c>
      <c r="M132" s="1"/>
    </row>
    <row r="133" spans="1:13" x14ac:dyDescent="0.2">
      <c r="A133" s="53">
        <v>45597</v>
      </c>
      <c r="B133" s="36">
        <f>_xlfn.FORECAST.ETS(A133,B$3:B132, A$3:A132)</f>
        <v>1.73971787393285E-2</v>
      </c>
      <c r="C133" s="1"/>
      <c r="D133" s="1"/>
      <c r="E133" s="1"/>
      <c r="F133" s="1"/>
      <c r="G133" s="1"/>
      <c r="H133" s="1"/>
      <c r="I133" s="1">
        <f t="shared" ref="I133:I146" si="20">(1+H133)*B132</f>
        <v>1.753222835727274E-2</v>
      </c>
      <c r="J133" s="1">
        <f t="shared" ref="J133:J146" si="21">I133-B133</f>
        <v>1.3504961794423911E-4</v>
      </c>
      <c r="K133" s="1">
        <f t="shared" ref="K133:K146" si="22">ABS(J133/B133)</f>
        <v>7.7627309558499016E-3</v>
      </c>
      <c r="L133" s="34">
        <f t="shared" ref="L133:L146" si="23">K133^2</f>
        <v>6.025999189291033E-5</v>
      </c>
      <c r="M133" s="1"/>
    </row>
    <row r="134" spans="1:13" x14ac:dyDescent="0.2">
      <c r="A134" s="53">
        <v>45627</v>
      </c>
      <c r="B134" s="36">
        <f>_xlfn.FORECAST.ETS(A134,B$3:B133, A$3:A133)</f>
        <v>1.7360305540007122E-2</v>
      </c>
      <c r="C134" s="1"/>
      <c r="D134" s="1"/>
      <c r="E134" s="1"/>
      <c r="F134" s="1"/>
      <c r="G134" s="1"/>
      <c r="H134" s="1"/>
      <c r="I134" s="1">
        <f t="shared" si="20"/>
        <v>1.73971787393285E-2</v>
      </c>
      <c r="J134" s="1">
        <f t="shared" si="21"/>
        <v>3.6873199321378614E-5</v>
      </c>
      <c r="K134" s="1">
        <f t="shared" si="22"/>
        <v>2.1239948361740347E-3</v>
      </c>
      <c r="L134" s="34">
        <f t="shared" si="23"/>
        <v>4.5113540640939647E-6</v>
      </c>
      <c r="M134" s="1"/>
    </row>
    <row r="135" spans="1:13" x14ac:dyDescent="0.2">
      <c r="A135" s="53">
        <v>45658</v>
      </c>
      <c r="B135" s="36">
        <f>_xlfn.FORECAST.ETS(A135,B$3:B134, A$3:A134)</f>
        <v>1.732439691027295E-2</v>
      </c>
      <c r="C135" s="1"/>
      <c r="D135" s="1"/>
      <c r="E135" s="1"/>
      <c r="F135" s="1"/>
      <c r="G135" s="1"/>
      <c r="H135" s="1"/>
      <c r="I135" s="1">
        <f t="shared" si="20"/>
        <v>1.7360305540007122E-2</v>
      </c>
      <c r="J135" s="1">
        <f t="shared" si="21"/>
        <v>3.590862973417222E-5</v>
      </c>
      <c r="K135" s="1">
        <f t="shared" si="22"/>
        <v>2.072720333074294E-3</v>
      </c>
      <c r="L135" s="34">
        <f t="shared" si="23"/>
        <v>4.2961695791396117E-6</v>
      </c>
      <c r="M135" s="1"/>
    </row>
    <row r="136" spans="1:13" x14ac:dyDescent="0.2">
      <c r="A136" s="53">
        <v>45689</v>
      </c>
      <c r="B136" s="36">
        <f>_xlfn.FORECAST.ETS(A136,B$3:B135, A$3:A135)</f>
        <v>1.7288208109975826E-2</v>
      </c>
      <c r="C136" s="1"/>
      <c r="D136" s="1"/>
      <c r="E136" s="1"/>
      <c r="F136" s="1"/>
      <c r="G136" s="1"/>
      <c r="H136" s="1"/>
      <c r="I136" s="1">
        <f t="shared" si="20"/>
        <v>1.732439691027295E-2</v>
      </c>
      <c r="J136" s="1">
        <f t="shared" si="21"/>
        <v>3.6188800297123208E-5</v>
      </c>
      <c r="K136" s="1">
        <f t="shared" si="22"/>
        <v>2.0932649622745552E-3</v>
      </c>
      <c r="L136" s="34">
        <f t="shared" si="23"/>
        <v>4.3817582022862954E-6</v>
      </c>
      <c r="M136" s="1"/>
    </row>
    <row r="137" spans="1:13" x14ac:dyDescent="0.2">
      <c r="A137" s="53">
        <v>45717</v>
      </c>
      <c r="B137" s="36">
        <f>_xlfn.FORECAST.ETS(A137,B$3:B136, A$3:A136)</f>
        <v>1.7251920042864678E-2</v>
      </c>
      <c r="C137" s="1"/>
      <c r="D137" s="1"/>
      <c r="E137" s="1"/>
      <c r="F137" s="1"/>
      <c r="G137" s="1"/>
      <c r="H137" s="1"/>
      <c r="I137" s="1">
        <f t="shared" si="20"/>
        <v>1.7288208109975826E-2</v>
      </c>
      <c r="J137" s="1">
        <f t="shared" si="21"/>
        <v>3.6288067111148875E-5</v>
      </c>
      <c r="K137" s="1">
        <f t="shared" si="22"/>
        <v>2.1034219391804724E-3</v>
      </c>
      <c r="L137" s="34">
        <f t="shared" si="23"/>
        <v>4.424383854225739E-6</v>
      </c>
      <c r="M137" s="1"/>
    </row>
    <row r="138" spans="1:13" x14ac:dyDescent="0.2">
      <c r="A138" s="53">
        <v>45748</v>
      </c>
      <c r="B138" s="36">
        <f>_xlfn.FORECAST.ETS(A138,B$3:B137, A$3:A137)</f>
        <v>1.721561166299701E-2</v>
      </c>
      <c r="C138" s="1"/>
      <c r="D138" s="1"/>
      <c r="E138" s="1"/>
      <c r="F138" s="1"/>
      <c r="G138" s="1"/>
      <c r="H138" s="1"/>
      <c r="I138" s="1">
        <f t="shared" si="20"/>
        <v>1.7251920042864678E-2</v>
      </c>
      <c r="J138" s="1">
        <f t="shared" si="21"/>
        <v>3.6308379867667356E-5</v>
      </c>
      <c r="K138" s="1">
        <f t="shared" si="22"/>
        <v>2.1090380393342673E-3</v>
      </c>
      <c r="L138" s="34">
        <f t="shared" si="23"/>
        <v>4.4480414513589304E-6</v>
      </c>
      <c r="M138" s="1"/>
    </row>
    <row r="139" spans="1:13" x14ac:dyDescent="0.2">
      <c r="A139" s="53">
        <v>45778</v>
      </c>
      <c r="B139" s="36">
        <f>_xlfn.FORECAST.ETS(A139,B$3:B138, A$3:A138)</f>
        <v>1.7179283784271193E-2</v>
      </c>
      <c r="C139" s="1"/>
      <c r="D139" s="1"/>
      <c r="E139" s="1"/>
      <c r="F139" s="1"/>
      <c r="G139" s="1"/>
      <c r="H139" s="1"/>
      <c r="I139" s="1">
        <f t="shared" si="20"/>
        <v>1.721561166299701E-2</v>
      </c>
      <c r="J139" s="1">
        <f t="shared" si="21"/>
        <v>3.6327878725816998E-5</v>
      </c>
      <c r="K139" s="1">
        <f t="shared" si="22"/>
        <v>2.1146329021631072E-3</v>
      </c>
      <c r="L139" s="34">
        <f t="shared" si="23"/>
        <v>4.471672310910765E-6</v>
      </c>
      <c r="M139" s="1"/>
    </row>
    <row r="140" spans="1:13" x14ac:dyDescent="0.2">
      <c r="A140" s="53">
        <v>45809</v>
      </c>
      <c r="B140" s="36">
        <f>_xlfn.FORECAST.ETS(A140,B$3:B139, A$3:A139)</f>
        <v>1.7142937180574507E-2</v>
      </c>
      <c r="C140" s="1"/>
      <c r="D140" s="1"/>
      <c r="E140" s="1"/>
      <c r="F140" s="1"/>
      <c r="G140" s="1"/>
      <c r="H140" s="1"/>
      <c r="I140" s="1">
        <f t="shared" si="20"/>
        <v>1.7179283784271193E-2</v>
      </c>
      <c r="J140" s="1">
        <f t="shared" si="21"/>
        <v>3.6346603696685992E-5</v>
      </c>
      <c r="K140" s="1">
        <f t="shared" si="22"/>
        <v>2.1202086500014764E-3</v>
      </c>
      <c r="L140" s="34">
        <f t="shared" si="23"/>
        <v>4.4952847195410831E-6</v>
      </c>
      <c r="M140" s="1"/>
    </row>
    <row r="141" spans="1:13" x14ac:dyDescent="0.2">
      <c r="A141" s="53">
        <v>45839</v>
      </c>
      <c r="B141" s="36">
        <f>_xlfn.FORECAST.ETS(A141,B$3:B140, A$3:A140)</f>
        <v>1.7106496331481834E-2</v>
      </c>
      <c r="C141" s="1"/>
      <c r="D141" s="1"/>
      <c r="E141" s="1"/>
      <c r="F141" s="1"/>
      <c r="G141" s="1"/>
      <c r="H141" s="1"/>
      <c r="I141" s="1">
        <f t="shared" si="20"/>
        <v>1.7142937180574507E-2</v>
      </c>
      <c r="J141" s="1">
        <f t="shared" si="21"/>
        <v>3.6440849092673339E-5</v>
      </c>
      <c r="K141" s="1">
        <f t="shared" si="22"/>
        <v>2.1302345253253088E-3</v>
      </c>
      <c r="L141" s="34">
        <f t="shared" si="23"/>
        <v>4.5378991328879438E-6</v>
      </c>
      <c r="M141" s="1"/>
    </row>
    <row r="142" spans="1:13" x14ac:dyDescent="0.2">
      <c r="A142" s="53">
        <v>45870</v>
      </c>
      <c r="B142" s="36">
        <f>_xlfn.FORECAST.ETS(A142,B$3:B141, A$3:A141)</f>
        <v>1.7070121977601788E-2</v>
      </c>
      <c r="C142" s="1"/>
      <c r="D142" s="1"/>
      <c r="E142" s="1"/>
      <c r="F142" s="1"/>
      <c r="G142" s="1"/>
      <c r="H142" s="1"/>
      <c r="I142" s="1">
        <f t="shared" si="20"/>
        <v>1.7106496331481834E-2</v>
      </c>
      <c r="J142" s="1">
        <f t="shared" si="21"/>
        <v>3.6374353880045535E-5</v>
      </c>
      <c r="K142" s="1">
        <f t="shared" si="22"/>
        <v>2.130878380820793E-3</v>
      </c>
      <c r="L142" s="34">
        <f t="shared" si="23"/>
        <v>4.5406426738494448E-6</v>
      </c>
      <c r="M142" s="1"/>
    </row>
    <row r="143" spans="1:13" x14ac:dyDescent="0.2">
      <c r="A143" s="53">
        <v>45901</v>
      </c>
      <c r="B143" s="36">
        <f>_xlfn.FORECAST.ETS(A143,B$3:B142, A$3:A142)</f>
        <v>1.7033650409583531E-2</v>
      </c>
      <c r="C143" s="1"/>
      <c r="D143" s="1"/>
      <c r="E143" s="1"/>
      <c r="F143" s="1"/>
      <c r="G143" s="1"/>
      <c r="H143" s="1"/>
      <c r="I143" s="1">
        <f t="shared" si="20"/>
        <v>1.7070121977601788E-2</v>
      </c>
      <c r="J143" s="1">
        <f t="shared" si="21"/>
        <v>3.6471568018257156E-5</v>
      </c>
      <c r="K143" s="1">
        <f t="shared" si="22"/>
        <v>2.1411480887113545E-3</v>
      </c>
      <c r="L143" s="34">
        <f t="shared" si="23"/>
        <v>4.5845151377922867E-6</v>
      </c>
      <c r="M143" s="1"/>
    </row>
    <row r="144" spans="1:13" x14ac:dyDescent="0.2">
      <c r="A144" s="53">
        <v>45931</v>
      </c>
      <c r="B144" s="36">
        <f>_xlfn.FORECAST.ETS(A144,B$3:B143, A$3:A143)</f>
        <v>1.6997179698423698E-2</v>
      </c>
      <c r="C144" s="1"/>
      <c r="D144" s="1"/>
      <c r="E144" s="1"/>
      <c r="F144" s="1"/>
      <c r="G144" s="1"/>
      <c r="H144" s="1"/>
      <c r="I144" s="1">
        <f t="shared" si="20"/>
        <v>1.7033650409583531E-2</v>
      </c>
      <c r="J144" s="1">
        <f t="shared" si="21"/>
        <v>3.6470711159832664E-5</v>
      </c>
      <c r="K144" s="1">
        <f t="shared" si="22"/>
        <v>2.1456919210670533E-3</v>
      </c>
      <c r="L144" s="34">
        <f t="shared" si="23"/>
        <v>4.6039938201324212E-6</v>
      </c>
      <c r="M144" s="1"/>
    </row>
    <row r="145" spans="1:13" x14ac:dyDescent="0.2">
      <c r="A145" s="53">
        <v>45962</v>
      </c>
      <c r="B145" s="36">
        <f>_xlfn.FORECAST.ETS(A145,B$3:B144, A$3:A144)</f>
        <v>1.6960755818733266E-2</v>
      </c>
      <c r="C145" s="1"/>
      <c r="D145" s="1"/>
      <c r="E145" s="1"/>
      <c r="F145" s="1"/>
      <c r="G145" s="1"/>
      <c r="H145" s="1"/>
      <c r="I145" s="1">
        <f t="shared" si="20"/>
        <v>1.6997179698423698E-2</v>
      </c>
      <c r="J145" s="1">
        <f t="shared" si="21"/>
        <v>3.6423879690432315E-5</v>
      </c>
      <c r="K145" s="1">
        <f t="shared" si="22"/>
        <v>2.1475387111110876E-3</v>
      </c>
      <c r="L145" s="34">
        <f t="shared" si="23"/>
        <v>4.6119225157206712E-6</v>
      </c>
      <c r="M145" s="1"/>
    </row>
    <row r="146" spans="1:13" x14ac:dyDescent="0.2">
      <c r="A146" s="53">
        <v>45992</v>
      </c>
      <c r="B146" s="36">
        <f>_xlfn.FORECAST.ETS(A146,B$3:B145, A$3:A145)</f>
        <v>1.6924240662191632E-2</v>
      </c>
      <c r="C146" s="1"/>
      <c r="D146" s="1"/>
      <c r="E146" s="1"/>
      <c r="F146" s="1"/>
      <c r="G146" s="1"/>
      <c r="H146" s="1"/>
      <c r="I146" s="1">
        <f t="shared" si="20"/>
        <v>1.6960755818733266E-2</v>
      </c>
      <c r="J146" s="1">
        <f t="shared" si="21"/>
        <v>3.6515156541634675E-5</v>
      </c>
      <c r="K146" s="1">
        <f t="shared" si="22"/>
        <v>2.1575654276300088E-3</v>
      </c>
      <c r="L146" s="34">
        <f t="shared" si="23"/>
        <v>4.6550885745042632E-6</v>
      </c>
      <c r="M146" s="1"/>
    </row>
    <row r="147" spans="1:13" x14ac:dyDescent="0.2">
      <c r="A147" s="1"/>
      <c r="B147" s="1"/>
      <c r="C147" s="1"/>
      <c r="D147" s="1"/>
      <c r="E147" s="1"/>
      <c r="F147" s="1"/>
      <c r="G147" s="1"/>
      <c r="H147" s="1"/>
      <c r="I147" s="1"/>
      <c r="J147" s="1"/>
      <c r="K147" s="1"/>
      <c r="L147" s="34"/>
      <c r="M147" s="1"/>
    </row>
    <row r="322" spans="1:6" x14ac:dyDescent="0.2">
      <c r="A322" t="s">
        <v>221</v>
      </c>
    </row>
    <row r="323" spans="1:6" ht="17" thickBot="1" x14ac:dyDescent="0.25"/>
    <row r="324" spans="1:6" x14ac:dyDescent="0.2">
      <c r="A324" s="41" t="s">
        <v>222</v>
      </c>
      <c r="B324" s="41"/>
    </row>
    <row r="325" spans="1:6" x14ac:dyDescent="0.2">
      <c r="A325" t="s">
        <v>223</v>
      </c>
      <c r="B325">
        <v>0.18189514160138937</v>
      </c>
    </row>
    <row r="326" spans="1:6" x14ac:dyDescent="0.2">
      <c r="A326" t="s">
        <v>224</v>
      </c>
      <c r="B326">
        <v>3.3085842538189483E-2</v>
      </c>
    </row>
    <row r="327" spans="1:6" x14ac:dyDescent="0.2">
      <c r="A327" t="s">
        <v>225</v>
      </c>
      <c r="B327">
        <v>1.3837390148514301E-3</v>
      </c>
    </row>
    <row r="328" spans="1:6" x14ac:dyDescent="0.2">
      <c r="A328" t="s">
        <v>226</v>
      </c>
      <c r="B328">
        <v>1.53357386922697E-2</v>
      </c>
    </row>
    <row r="329" spans="1:6" ht="17" thickBot="1" x14ac:dyDescent="0.25">
      <c r="A329" s="39" t="s">
        <v>227</v>
      </c>
      <c r="B329" s="39">
        <v>127</v>
      </c>
    </row>
    <row r="331" spans="1:6" ht="17" thickBot="1" x14ac:dyDescent="0.25">
      <c r="A331" t="s">
        <v>228</v>
      </c>
    </row>
    <row r="332" spans="1:6" x14ac:dyDescent="0.2">
      <c r="A332" s="40"/>
      <c r="B332" s="40" t="s">
        <v>233</v>
      </c>
      <c r="C332" s="40" t="s">
        <v>234</v>
      </c>
      <c r="D332" s="40" t="s">
        <v>235</v>
      </c>
      <c r="E332" s="40" t="s">
        <v>236</v>
      </c>
      <c r="F332" s="40" t="s">
        <v>237</v>
      </c>
    </row>
    <row r="333" spans="1:6" x14ac:dyDescent="0.2">
      <c r="A333" t="s">
        <v>229</v>
      </c>
      <c r="B333">
        <v>4</v>
      </c>
      <c r="C333">
        <v>9.8180108991959697E-4</v>
      </c>
      <c r="D333">
        <v>2.4545027247989924E-4</v>
      </c>
      <c r="E333">
        <v>1.0436481766527819</v>
      </c>
      <c r="F333">
        <v>0.38762905404504799</v>
      </c>
    </row>
    <row r="334" spans="1:6" x14ac:dyDescent="0.2">
      <c r="A334" t="s">
        <v>230</v>
      </c>
      <c r="B334">
        <v>122</v>
      </c>
      <c r="C334">
        <v>2.869255551098451E-2</v>
      </c>
      <c r="D334">
        <v>2.3518488123757794E-4</v>
      </c>
    </row>
    <row r="335" spans="1:6" ht="17" thickBot="1" x14ac:dyDescent="0.25">
      <c r="A335" s="39" t="s">
        <v>231</v>
      </c>
      <c r="B335" s="39">
        <v>126</v>
      </c>
      <c r="C335" s="39">
        <v>2.9674356600904107E-2</v>
      </c>
      <c r="D335" s="39"/>
      <c r="E335" s="39"/>
      <c r="F335" s="39"/>
    </row>
    <row r="336" spans="1:6" ht="17" thickBot="1" x14ac:dyDescent="0.25"/>
    <row r="337" spans="1:9" x14ac:dyDescent="0.2">
      <c r="A337" s="40"/>
      <c r="B337" s="40" t="s">
        <v>238</v>
      </c>
      <c r="C337" s="40" t="s">
        <v>226</v>
      </c>
      <c r="D337" s="40" t="s">
        <v>239</v>
      </c>
      <c r="E337" s="40" t="s">
        <v>240</v>
      </c>
      <c r="F337" s="40" t="s">
        <v>241</v>
      </c>
      <c r="G337" s="40" t="s">
        <v>242</v>
      </c>
      <c r="H337" s="40" t="s">
        <v>243</v>
      </c>
      <c r="I337" s="40" t="s">
        <v>244</v>
      </c>
    </row>
    <row r="338" spans="1:9" x14ac:dyDescent="0.2">
      <c r="A338" t="s">
        <v>232</v>
      </c>
      <c r="B338">
        <v>-5.053906286989765E-2</v>
      </c>
      <c r="C338">
        <v>8.88808288398764E-2</v>
      </c>
      <c r="D338">
        <v>-0.56861601685720653</v>
      </c>
      <c r="E338">
        <v>0.57066196550600901</v>
      </c>
      <c r="F338">
        <v>-0.22648754084110884</v>
      </c>
      <c r="G338">
        <v>0.12540941510131354</v>
      </c>
      <c r="H338">
        <v>-0.22648754084110884</v>
      </c>
      <c r="I338">
        <v>0.12540941510131354</v>
      </c>
    </row>
    <row r="339" spans="1:9" x14ac:dyDescent="0.2">
      <c r="A339" t="s">
        <v>61</v>
      </c>
      <c r="B339">
        <v>-5.371956470056561E-2</v>
      </c>
      <c r="C339">
        <v>9.1589175027522257E-2</v>
      </c>
      <c r="D339">
        <v>-0.58652744371180388</v>
      </c>
      <c r="E339">
        <v>0.5586048223323794</v>
      </c>
      <c r="F339">
        <v>-0.23502948445574029</v>
      </c>
      <c r="G339">
        <v>0.12759035505460908</v>
      </c>
      <c r="H339">
        <v>-0.23502948445574029</v>
      </c>
      <c r="I339">
        <v>0.12759035505460908</v>
      </c>
    </row>
    <row r="340" spans="1:9" x14ac:dyDescent="0.2">
      <c r="A340" t="s">
        <v>217</v>
      </c>
      <c r="B340">
        <v>0.30351455643052255</v>
      </c>
      <c r="C340">
        <v>0.31265159843855339</v>
      </c>
      <c r="D340">
        <v>0.97077564274846795</v>
      </c>
      <c r="E340">
        <v>0.33358073461062088</v>
      </c>
      <c r="F340">
        <v>-0.31541050984709157</v>
      </c>
      <c r="G340">
        <v>0.92243962270813662</v>
      </c>
      <c r="H340">
        <v>-0.31541050984709157</v>
      </c>
      <c r="I340">
        <v>0.92243962270813662</v>
      </c>
    </row>
    <row r="341" spans="1:9" x14ac:dyDescent="0.2">
      <c r="A341" t="s">
        <v>216</v>
      </c>
      <c r="B341">
        <v>1.0078872952375455E-2</v>
      </c>
      <c r="C341">
        <v>6.0423162302073886E-3</v>
      </c>
      <c r="D341">
        <v>1.6680479088446387</v>
      </c>
      <c r="E341">
        <v>9.7870935650275284E-2</v>
      </c>
      <c r="F341">
        <v>-1.8824955227209443E-3</v>
      </c>
      <c r="G341">
        <v>2.2040241427471855E-2</v>
      </c>
      <c r="H341">
        <v>-1.8824955227209443E-3</v>
      </c>
      <c r="I341">
        <v>2.2040241427471855E-2</v>
      </c>
    </row>
    <row r="342" spans="1:9" ht="17" thickBot="1" x14ac:dyDescent="0.25">
      <c r="A342" s="39" t="s">
        <v>62</v>
      </c>
      <c r="B342" s="39">
        <v>5.6792192734689551E-3</v>
      </c>
      <c r="C342" s="39">
        <v>1.210050176230512E-2</v>
      </c>
      <c r="D342" s="39">
        <v>0.46933750228115134</v>
      </c>
      <c r="E342" s="39">
        <v>0.63966611879945212</v>
      </c>
      <c r="F342" s="39">
        <v>-1.8274932544817636E-2</v>
      </c>
      <c r="G342" s="39">
        <v>2.9633371091755546E-2</v>
      </c>
      <c r="H342" s="39">
        <v>-1.8274932544817636E-2</v>
      </c>
      <c r="I342" s="39">
        <v>2.9633371091755546E-2</v>
      </c>
    </row>
    <row r="346" spans="1:9" x14ac:dyDescent="0.2">
      <c r="A346" t="s">
        <v>245</v>
      </c>
    </row>
    <row r="347" spans="1:9" ht="17" thickBot="1" x14ac:dyDescent="0.25"/>
    <row r="348" spans="1:9" x14ac:dyDescent="0.2">
      <c r="A348" s="40" t="s">
        <v>246</v>
      </c>
      <c r="B348" s="40" t="s">
        <v>247</v>
      </c>
      <c r="C348" s="40" t="s">
        <v>248</v>
      </c>
    </row>
    <row r="349" spans="1:9" x14ac:dyDescent="0.2">
      <c r="A349">
        <v>1</v>
      </c>
      <c r="B349">
        <v>1.6973514568902882E-2</v>
      </c>
      <c r="C349">
        <v>-3.3988539354188017E-3</v>
      </c>
    </row>
    <row r="350" spans="1:9" x14ac:dyDescent="0.2">
      <c r="A350">
        <v>2</v>
      </c>
      <c r="B350">
        <v>-5.2243100736904195E-3</v>
      </c>
      <c r="C350">
        <v>7.6002435940473231E-4</v>
      </c>
    </row>
    <row r="351" spans="1:9" x14ac:dyDescent="0.2">
      <c r="A351">
        <v>3</v>
      </c>
      <c r="B351">
        <v>-5.473090547720624E-3</v>
      </c>
      <c r="C351">
        <v>1.4441700413191422E-2</v>
      </c>
    </row>
    <row r="352" spans="1:9" x14ac:dyDescent="0.2">
      <c r="A352">
        <v>4</v>
      </c>
      <c r="B352">
        <v>-3.3272441582593015E-3</v>
      </c>
      <c r="C352">
        <v>1.6660577491592707E-2</v>
      </c>
    </row>
    <row r="353" spans="1:3" x14ac:dyDescent="0.2">
      <c r="A353">
        <v>5</v>
      </c>
      <c r="B353">
        <v>-3.4449045399629762E-3</v>
      </c>
      <c r="C353">
        <v>7.8308694522436512E-3</v>
      </c>
    </row>
    <row r="354" spans="1:3" x14ac:dyDescent="0.2">
      <c r="A354">
        <v>6</v>
      </c>
      <c r="B354">
        <v>-1.6550952119210268E-3</v>
      </c>
      <c r="C354">
        <v>1.0388719666069446E-2</v>
      </c>
    </row>
    <row r="355" spans="1:3" x14ac:dyDescent="0.2">
      <c r="A355">
        <v>7</v>
      </c>
      <c r="B355">
        <v>-3.4275911270870152E-4</v>
      </c>
      <c r="C355">
        <v>-3.9862452162956015E-3</v>
      </c>
    </row>
    <row r="356" spans="1:3" x14ac:dyDescent="0.2">
      <c r="A356">
        <v>8</v>
      </c>
      <c r="B356">
        <v>-1.7210262745223385E-3</v>
      </c>
      <c r="C356">
        <v>-2.8713756334173279E-2</v>
      </c>
    </row>
    <row r="357" spans="1:3" x14ac:dyDescent="0.2">
      <c r="A357">
        <v>9</v>
      </c>
      <c r="B357">
        <v>-2.6776031431774675E-3</v>
      </c>
      <c r="C357">
        <v>2.6776031431774675E-3</v>
      </c>
    </row>
    <row r="358" spans="1:3" x14ac:dyDescent="0.2">
      <c r="A358">
        <v>10</v>
      </c>
      <c r="B358">
        <v>-2.0876467123881379E-3</v>
      </c>
      <c r="C358">
        <v>-2.3966582203472611E-3</v>
      </c>
    </row>
    <row r="359" spans="1:3" x14ac:dyDescent="0.2">
      <c r="A359">
        <v>11</v>
      </c>
      <c r="B359">
        <v>-1.7282988443234775E-3</v>
      </c>
      <c r="C359">
        <v>1.0737307853332431E-2</v>
      </c>
    </row>
    <row r="360" spans="1:3" x14ac:dyDescent="0.2">
      <c r="A360">
        <v>12</v>
      </c>
      <c r="B360">
        <v>-1.8559547216400684E-3</v>
      </c>
      <c r="C360">
        <v>1.5248811864497286E-2</v>
      </c>
    </row>
    <row r="361" spans="1:3" x14ac:dyDescent="0.2">
      <c r="A361">
        <v>13</v>
      </c>
      <c r="B361">
        <v>-1.0067386737423025E-3</v>
      </c>
      <c r="C361">
        <v>1.0067386737423025E-3</v>
      </c>
    </row>
    <row r="362" spans="1:3" x14ac:dyDescent="0.2">
      <c r="A362">
        <v>14</v>
      </c>
      <c r="B362">
        <v>-4.2312212920390183E-3</v>
      </c>
      <c r="C362">
        <v>-8.9846377387980576E-3</v>
      </c>
    </row>
    <row r="363" spans="1:3" x14ac:dyDescent="0.2">
      <c r="A363">
        <v>15</v>
      </c>
      <c r="B363">
        <v>-5.5310216196875414E-3</v>
      </c>
      <c r="C363">
        <v>1.8923878762544758E-2</v>
      </c>
    </row>
    <row r="364" spans="1:3" x14ac:dyDescent="0.2">
      <c r="A364">
        <v>16</v>
      </c>
      <c r="B364">
        <v>-2.129088741414683E-3</v>
      </c>
      <c r="C364">
        <v>-6.6814839458100867E-3</v>
      </c>
    </row>
    <row r="365" spans="1:3" x14ac:dyDescent="0.2">
      <c r="A365">
        <v>17</v>
      </c>
      <c r="B365">
        <v>-4.2207142475030948E-3</v>
      </c>
      <c r="C365">
        <v>-9.1126190858301578E-3</v>
      </c>
    </row>
    <row r="366" spans="1:3" x14ac:dyDescent="0.2">
      <c r="A366">
        <v>18</v>
      </c>
      <c r="B366">
        <v>-2.8531989422452028E-3</v>
      </c>
      <c r="C366">
        <v>-1.0660314571268384E-2</v>
      </c>
    </row>
    <row r="367" spans="1:3" x14ac:dyDescent="0.2">
      <c r="A367">
        <v>19</v>
      </c>
      <c r="B367">
        <v>-1.7499605049287558E-3</v>
      </c>
      <c r="C367">
        <v>-2.1081089723381765E-2</v>
      </c>
    </row>
    <row r="368" spans="1:3" x14ac:dyDescent="0.2">
      <c r="A368">
        <v>20</v>
      </c>
      <c r="B368">
        <v>-2.3656342778827165E-3</v>
      </c>
      <c r="C368">
        <v>2.3656342778827165E-3</v>
      </c>
    </row>
    <row r="369" spans="1:3" x14ac:dyDescent="0.2">
      <c r="A369">
        <v>21</v>
      </c>
      <c r="B369">
        <v>-2.7490547705289322E-3</v>
      </c>
      <c r="C369">
        <v>2.7490547705289322E-3</v>
      </c>
    </row>
    <row r="370" spans="1:3" x14ac:dyDescent="0.2">
      <c r="A370">
        <v>22</v>
      </c>
      <c r="B370">
        <v>-2.4341261859897965E-3</v>
      </c>
      <c r="C370">
        <v>-6.9116682065335118E-3</v>
      </c>
    </row>
    <row r="371" spans="1:3" x14ac:dyDescent="0.2">
      <c r="A371">
        <v>23</v>
      </c>
      <c r="B371">
        <v>-1.8916867219481842E-3</v>
      </c>
      <c r="C371">
        <v>1.1325648986099069E-2</v>
      </c>
    </row>
    <row r="372" spans="1:3" x14ac:dyDescent="0.2">
      <c r="A372">
        <v>24</v>
      </c>
      <c r="B372">
        <v>-9.7469082468910353E-4</v>
      </c>
      <c r="C372">
        <v>-2.7062692352880984E-2</v>
      </c>
    </row>
    <row r="373" spans="1:3" x14ac:dyDescent="0.2">
      <c r="A373">
        <v>25</v>
      </c>
      <c r="B373">
        <v>-3.4252314049849847E-3</v>
      </c>
      <c r="C373">
        <v>1.7848308328061988E-2</v>
      </c>
    </row>
    <row r="374" spans="1:3" x14ac:dyDescent="0.2">
      <c r="A374">
        <v>26</v>
      </c>
      <c r="B374">
        <v>-4.9262351924305864E-3</v>
      </c>
      <c r="C374">
        <v>4.2840927135558482E-2</v>
      </c>
    </row>
    <row r="375" spans="1:3" x14ac:dyDescent="0.2">
      <c r="A375">
        <v>27</v>
      </c>
      <c r="B375">
        <v>-4.4030614423495361E-3</v>
      </c>
      <c r="C375">
        <v>-2.2994198831623062E-2</v>
      </c>
    </row>
    <row r="376" spans="1:3" x14ac:dyDescent="0.2">
      <c r="A376">
        <v>28</v>
      </c>
      <c r="B376">
        <v>-4.3450687573281261E-3</v>
      </c>
      <c r="C376">
        <v>9.0399044380792722E-3</v>
      </c>
    </row>
    <row r="377" spans="1:3" x14ac:dyDescent="0.2">
      <c r="A377">
        <v>29</v>
      </c>
      <c r="B377">
        <v>-4.8861474116171973E-3</v>
      </c>
      <c r="C377">
        <v>4.8861474116171973E-3</v>
      </c>
    </row>
    <row r="378" spans="1:3" x14ac:dyDescent="0.2">
      <c r="A378">
        <v>30</v>
      </c>
      <c r="B378">
        <v>-3.46178666393449E-3</v>
      </c>
      <c r="C378">
        <v>-1.2111105323271642E-3</v>
      </c>
    </row>
    <row r="379" spans="1:3" x14ac:dyDescent="0.2">
      <c r="A379">
        <v>31</v>
      </c>
      <c r="B379">
        <v>-8.4279960429962855E-4</v>
      </c>
      <c r="C379">
        <v>1.0232470965801918E-2</v>
      </c>
    </row>
    <row r="380" spans="1:3" x14ac:dyDescent="0.2">
      <c r="A380">
        <v>32</v>
      </c>
      <c r="B380">
        <v>-2.0839654307440456E-3</v>
      </c>
      <c r="C380">
        <v>-3.0474174104139641E-2</v>
      </c>
    </row>
    <row r="381" spans="1:3" x14ac:dyDescent="0.2">
      <c r="A381">
        <v>33</v>
      </c>
      <c r="B381">
        <v>-1.6156226877195002E-3</v>
      </c>
      <c r="C381">
        <v>-7.9997619276650569E-3</v>
      </c>
    </row>
    <row r="382" spans="1:3" x14ac:dyDescent="0.2">
      <c r="A382">
        <v>34</v>
      </c>
      <c r="B382">
        <v>-1.532168807606393E-3</v>
      </c>
      <c r="C382">
        <v>-1.7885306920548998E-2</v>
      </c>
    </row>
    <row r="383" spans="1:3" x14ac:dyDescent="0.2">
      <c r="A383">
        <v>35</v>
      </c>
      <c r="B383">
        <v>2.9361698595863116E-4</v>
      </c>
      <c r="C383">
        <v>-2.9361698595863116E-4</v>
      </c>
    </row>
    <row r="384" spans="1:3" x14ac:dyDescent="0.2">
      <c r="A384">
        <v>36</v>
      </c>
      <c r="B384">
        <v>-9.5272888519592276E-4</v>
      </c>
      <c r="C384">
        <v>-3.9977661643089985E-3</v>
      </c>
    </row>
    <row r="385" spans="1:3" x14ac:dyDescent="0.2">
      <c r="A385">
        <v>37</v>
      </c>
      <c r="B385">
        <v>-2.9427079810937255E-3</v>
      </c>
      <c r="C385">
        <v>-2.0324163970156968E-3</v>
      </c>
    </row>
    <row r="386" spans="1:3" x14ac:dyDescent="0.2">
      <c r="A386">
        <v>38</v>
      </c>
      <c r="B386">
        <v>-1.7146142592420381E-3</v>
      </c>
      <c r="C386">
        <v>1.7146142592420381E-3</v>
      </c>
    </row>
    <row r="387" spans="1:3" x14ac:dyDescent="0.2">
      <c r="A387">
        <v>39</v>
      </c>
      <c r="B387">
        <v>-2.0286125301719276E-3</v>
      </c>
      <c r="C387">
        <v>-2.9713874698280422E-3</v>
      </c>
    </row>
    <row r="388" spans="1:3" x14ac:dyDescent="0.2">
      <c r="A388">
        <v>40</v>
      </c>
      <c r="B388">
        <v>-1.7828811448142177E-3</v>
      </c>
      <c r="C388">
        <v>1.1833132401095564E-2</v>
      </c>
    </row>
    <row r="389" spans="1:3" x14ac:dyDescent="0.2">
      <c r="A389">
        <v>41</v>
      </c>
      <c r="B389">
        <v>-1.7892832814840145E-3</v>
      </c>
      <c r="C389">
        <v>-1.3136089852844254E-2</v>
      </c>
    </row>
    <row r="390" spans="1:3" x14ac:dyDescent="0.2">
      <c r="A390">
        <v>42</v>
      </c>
      <c r="B390">
        <v>-2.1222783845189289E-3</v>
      </c>
      <c r="C390">
        <v>2.1222783845189289E-3</v>
      </c>
    </row>
    <row r="391" spans="1:3" x14ac:dyDescent="0.2">
      <c r="A391">
        <v>43</v>
      </c>
      <c r="B391">
        <v>-8.6023816635022129E-4</v>
      </c>
      <c r="C391">
        <v>-9.2407719346599936E-3</v>
      </c>
    </row>
    <row r="392" spans="1:3" x14ac:dyDescent="0.2">
      <c r="A392">
        <v>44</v>
      </c>
      <c r="B392">
        <v>-1.4411672710720768E-3</v>
      </c>
      <c r="C392">
        <v>-3.660873545254423E-3</v>
      </c>
    </row>
    <row r="393" spans="1:3" x14ac:dyDescent="0.2">
      <c r="A393">
        <v>45</v>
      </c>
      <c r="B393">
        <v>-1.8386645485316518E-3</v>
      </c>
      <c r="C393">
        <v>-3.2895405796734452E-3</v>
      </c>
    </row>
    <row r="394" spans="1:3" x14ac:dyDescent="0.2">
      <c r="A394">
        <v>46</v>
      </c>
      <c r="B394">
        <v>-5.5310828804547925E-4</v>
      </c>
      <c r="C394">
        <v>2.6326304164334163E-2</v>
      </c>
    </row>
    <row r="395" spans="1:3" x14ac:dyDescent="0.2">
      <c r="A395">
        <v>47</v>
      </c>
      <c r="B395">
        <v>-3.0594656655249294E-4</v>
      </c>
      <c r="C395">
        <v>5.3310721946931662E-3</v>
      </c>
    </row>
    <row r="396" spans="1:3" x14ac:dyDescent="0.2">
      <c r="A396">
        <v>48</v>
      </c>
      <c r="B396">
        <v>-1.2265370769909481E-3</v>
      </c>
      <c r="C396">
        <v>-2.3773462923009074E-2</v>
      </c>
    </row>
    <row r="397" spans="1:3" x14ac:dyDescent="0.2">
      <c r="A397">
        <v>49</v>
      </c>
      <c r="B397">
        <v>-1.0762829056602989E-3</v>
      </c>
      <c r="C397">
        <v>-1.4308332478955171E-2</v>
      </c>
    </row>
    <row r="398" spans="1:3" x14ac:dyDescent="0.2">
      <c r="A398">
        <v>50</v>
      </c>
      <c r="B398">
        <v>-2.549952917030912E-4</v>
      </c>
      <c r="C398">
        <v>2.549952917030912E-4</v>
      </c>
    </row>
    <row r="399" spans="1:3" x14ac:dyDescent="0.2">
      <c r="A399">
        <v>51</v>
      </c>
      <c r="B399">
        <v>-3.2490087689479065E-4</v>
      </c>
      <c r="C399">
        <v>1.0741567543561576E-2</v>
      </c>
    </row>
    <row r="400" spans="1:3" x14ac:dyDescent="0.2">
      <c r="A400">
        <v>52</v>
      </c>
      <c r="B400">
        <v>-1.0662417288661327E-3</v>
      </c>
      <c r="C400">
        <v>-1.955231497216485E-2</v>
      </c>
    </row>
    <row r="401" spans="1:3" x14ac:dyDescent="0.2">
      <c r="A401">
        <v>53</v>
      </c>
      <c r="B401">
        <v>-2.2440706993487529E-3</v>
      </c>
      <c r="C401">
        <v>-1.3545402984861676E-2</v>
      </c>
    </row>
    <row r="402" spans="1:3" x14ac:dyDescent="0.2">
      <c r="A402">
        <v>54</v>
      </c>
      <c r="B402">
        <v>-1.0824152132734915E-3</v>
      </c>
      <c r="C402">
        <v>1.1777602379048829E-2</v>
      </c>
    </row>
    <row r="403" spans="1:3" x14ac:dyDescent="0.2">
      <c r="A403">
        <v>55</v>
      </c>
      <c r="B403">
        <v>4.0004073562975584E-4</v>
      </c>
      <c r="C403">
        <v>-1.0982051317640273E-2</v>
      </c>
    </row>
    <row r="404" spans="1:3" x14ac:dyDescent="0.2">
      <c r="A404">
        <v>56</v>
      </c>
      <c r="B404">
        <v>1.0686318267698861E-3</v>
      </c>
      <c r="C404">
        <v>-6.4162254096577394E-3</v>
      </c>
    </row>
    <row r="405" spans="1:3" x14ac:dyDescent="0.2">
      <c r="A405">
        <v>57</v>
      </c>
      <c r="B405">
        <v>1.1993834777334644E-3</v>
      </c>
      <c r="C405">
        <v>4.1769606082881962E-3</v>
      </c>
    </row>
    <row r="406" spans="1:3" x14ac:dyDescent="0.2">
      <c r="A406">
        <v>58</v>
      </c>
      <c r="B406">
        <v>-2.7010279627981398E-3</v>
      </c>
      <c r="C406">
        <v>2.4091402294348814E-2</v>
      </c>
    </row>
    <row r="407" spans="1:3" x14ac:dyDescent="0.2">
      <c r="A407">
        <v>59</v>
      </c>
      <c r="B407">
        <v>-1.6207580973948285E-3</v>
      </c>
      <c r="C407">
        <v>-3.6148439968459777E-3</v>
      </c>
    </row>
    <row r="408" spans="1:3" x14ac:dyDescent="0.2">
      <c r="A408">
        <v>60</v>
      </c>
      <c r="B408">
        <v>-2.978605605040192E-3</v>
      </c>
      <c r="C408">
        <v>1.3504921394513814E-2</v>
      </c>
    </row>
    <row r="409" spans="1:3" x14ac:dyDescent="0.2">
      <c r="A409">
        <v>61</v>
      </c>
      <c r="B409">
        <v>-2.1441544309733053E-3</v>
      </c>
      <c r="C409">
        <v>7.3524877643067884E-3</v>
      </c>
    </row>
    <row r="410" spans="1:3" x14ac:dyDescent="0.2">
      <c r="A410">
        <v>62</v>
      </c>
      <c r="B410">
        <v>-2.4032732856294364E-3</v>
      </c>
      <c r="C410">
        <v>-1.3140768165147851E-2</v>
      </c>
    </row>
    <row r="411" spans="1:3" x14ac:dyDescent="0.2">
      <c r="A411">
        <v>63</v>
      </c>
      <c r="B411">
        <v>-2.3703439855305617E-3</v>
      </c>
      <c r="C411">
        <v>1.2896659775004184E-2</v>
      </c>
    </row>
    <row r="412" spans="1:3" x14ac:dyDescent="0.2">
      <c r="A412">
        <v>64</v>
      </c>
      <c r="B412">
        <v>-1.8847555431128686E-3</v>
      </c>
      <c r="C412">
        <v>1.8847555431128686E-3</v>
      </c>
    </row>
    <row r="413" spans="1:3" x14ac:dyDescent="0.2">
      <c r="A413">
        <v>65</v>
      </c>
      <c r="B413">
        <v>-9.0816309211217403E-4</v>
      </c>
      <c r="C413">
        <v>2.1741496425445567E-2</v>
      </c>
    </row>
    <row r="414" spans="1:3" x14ac:dyDescent="0.2">
      <c r="A414">
        <v>66</v>
      </c>
      <c r="B414">
        <v>-7.4671019330434501E-4</v>
      </c>
      <c r="C414">
        <v>5.8487510096308449E-3</v>
      </c>
    </row>
    <row r="415" spans="1:3" x14ac:dyDescent="0.2">
      <c r="A415">
        <v>67</v>
      </c>
      <c r="B415">
        <v>2.3513660992867868E-4</v>
      </c>
      <c r="C415">
        <v>-2.5615847269827179E-2</v>
      </c>
    </row>
    <row r="416" spans="1:3" x14ac:dyDescent="0.2">
      <c r="A416">
        <v>68</v>
      </c>
      <c r="B416">
        <v>-4.0341505223174569E-4</v>
      </c>
      <c r="C416">
        <v>5.6117483855652288E-3</v>
      </c>
    </row>
    <row r="417" spans="1:3" x14ac:dyDescent="0.2">
      <c r="A417">
        <v>69</v>
      </c>
      <c r="B417">
        <v>-5.7677174237787295E-4</v>
      </c>
      <c r="C417">
        <v>2.1302160343414013E-2</v>
      </c>
    </row>
    <row r="418" spans="1:3" x14ac:dyDescent="0.2">
      <c r="A418">
        <v>70</v>
      </c>
      <c r="B418">
        <v>-5.2909023682373387E-4</v>
      </c>
      <c r="C418">
        <v>5.2909023682373387E-4</v>
      </c>
    </row>
    <row r="419" spans="1:3" x14ac:dyDescent="0.2">
      <c r="A419">
        <v>71</v>
      </c>
      <c r="B419">
        <v>-1.5814595133896805E-4</v>
      </c>
      <c r="C419">
        <v>1.5814595133896805E-4</v>
      </c>
    </row>
    <row r="420" spans="1:3" x14ac:dyDescent="0.2">
      <c r="A420">
        <v>72</v>
      </c>
      <c r="B420">
        <v>1.1000591495647174E-4</v>
      </c>
      <c r="C420">
        <v>-1.1000591495647174E-4</v>
      </c>
    </row>
    <row r="421" spans="1:3" x14ac:dyDescent="0.2">
      <c r="A421">
        <v>73</v>
      </c>
      <c r="B421">
        <v>-3.6688380334554561E-4</v>
      </c>
      <c r="C421">
        <v>-4.7092583286341191E-3</v>
      </c>
    </row>
    <row r="422" spans="1:3" x14ac:dyDescent="0.2">
      <c r="A422">
        <v>74</v>
      </c>
      <c r="B422">
        <v>-4.2548258204276584E-3</v>
      </c>
      <c r="C422">
        <v>-8.4721499589884147E-4</v>
      </c>
    </row>
    <row r="423" spans="1:3" x14ac:dyDescent="0.2">
      <c r="A423">
        <v>75</v>
      </c>
      <c r="B423">
        <v>4.7118694696479703E-3</v>
      </c>
      <c r="C423">
        <v>1.0672745914967498E-2</v>
      </c>
    </row>
    <row r="424" spans="1:3" x14ac:dyDescent="0.2">
      <c r="A424">
        <v>76</v>
      </c>
      <c r="B424">
        <v>1.3246751214758103E-3</v>
      </c>
      <c r="C424">
        <v>-6.3751801719810052E-3</v>
      </c>
    </row>
    <row r="425" spans="1:3" x14ac:dyDescent="0.2">
      <c r="A425">
        <v>77</v>
      </c>
      <c r="B425">
        <v>-1.2275882869995768E-3</v>
      </c>
      <c r="C425">
        <v>2.1532156814918414E-2</v>
      </c>
    </row>
    <row r="426" spans="1:3" x14ac:dyDescent="0.2">
      <c r="A426">
        <v>78</v>
      </c>
      <c r="B426">
        <v>-5.3980495410191429E-4</v>
      </c>
      <c r="C426">
        <v>1.5465178088430356E-2</v>
      </c>
    </row>
    <row r="427" spans="1:3" x14ac:dyDescent="0.2">
      <c r="A427">
        <v>79</v>
      </c>
      <c r="B427">
        <v>-1.8271458150247862E-3</v>
      </c>
      <c r="C427">
        <v>1.6533028167965872E-2</v>
      </c>
    </row>
    <row r="428" spans="1:3" x14ac:dyDescent="0.2">
      <c r="A428">
        <v>80</v>
      </c>
      <c r="B428">
        <v>-1.3618609973602427E-3</v>
      </c>
      <c r="C428">
        <v>1.3618609973602427E-3</v>
      </c>
    </row>
    <row r="429" spans="1:3" x14ac:dyDescent="0.2">
      <c r="A429">
        <v>81</v>
      </c>
      <c r="B429">
        <v>-2.8683416682351321E-3</v>
      </c>
      <c r="C429">
        <v>2.8683416682351321E-3</v>
      </c>
    </row>
    <row r="430" spans="1:3" x14ac:dyDescent="0.2">
      <c r="A430">
        <v>82</v>
      </c>
      <c r="B430">
        <v>-1.3748193861309861E-3</v>
      </c>
      <c r="C430">
        <v>6.2057372605270923E-3</v>
      </c>
    </row>
    <row r="431" spans="1:3" x14ac:dyDescent="0.2">
      <c r="A431">
        <v>83</v>
      </c>
      <c r="B431">
        <v>1.9834266898239774E-3</v>
      </c>
      <c r="C431">
        <v>-1.9834266898239774E-3</v>
      </c>
    </row>
    <row r="432" spans="1:3" x14ac:dyDescent="0.2">
      <c r="A432">
        <v>84</v>
      </c>
      <c r="B432">
        <v>1.2488145781214528E-3</v>
      </c>
      <c r="C432">
        <v>-1.2488145781214528E-3</v>
      </c>
    </row>
    <row r="433" spans="1:3" x14ac:dyDescent="0.2">
      <c r="A433">
        <v>85</v>
      </c>
      <c r="B433">
        <v>9.5083239514886977E-4</v>
      </c>
      <c r="C433">
        <v>-2.0181601625917985E-2</v>
      </c>
    </row>
    <row r="434" spans="1:3" x14ac:dyDescent="0.2">
      <c r="A434">
        <v>86</v>
      </c>
      <c r="B434">
        <v>-2.4674579101367474E-3</v>
      </c>
      <c r="C434">
        <v>1.2271379478764138E-2</v>
      </c>
    </row>
    <row r="435" spans="1:3" x14ac:dyDescent="0.2">
      <c r="A435">
        <v>87</v>
      </c>
      <c r="B435">
        <v>-5.1172860222929873E-3</v>
      </c>
      <c r="C435">
        <v>5.1172860222929873E-3</v>
      </c>
    </row>
    <row r="436" spans="1:3" x14ac:dyDescent="0.2">
      <c r="A436">
        <v>88</v>
      </c>
      <c r="B436">
        <v>-5.6701407590295672E-3</v>
      </c>
      <c r="C436">
        <v>2.0233247555145984E-2</v>
      </c>
    </row>
    <row r="437" spans="1:3" x14ac:dyDescent="0.2">
      <c r="A437">
        <v>89</v>
      </c>
      <c r="B437">
        <v>-4.8145461254367342E-3</v>
      </c>
      <c r="C437">
        <v>-1.4324209855424395E-2</v>
      </c>
    </row>
    <row r="438" spans="1:3" x14ac:dyDescent="0.2">
      <c r="A438">
        <v>90</v>
      </c>
      <c r="B438">
        <v>-4.1678629906522595E-3</v>
      </c>
      <c r="C438">
        <v>-2.5100429692274561E-2</v>
      </c>
    </row>
    <row r="439" spans="1:3" x14ac:dyDescent="0.2">
      <c r="A439">
        <v>91</v>
      </c>
      <c r="B439">
        <v>-8.5718098757663508E-4</v>
      </c>
      <c r="C439">
        <v>5.8823066157173082E-3</v>
      </c>
    </row>
    <row r="440" spans="1:3" x14ac:dyDescent="0.2">
      <c r="A440">
        <v>92</v>
      </c>
      <c r="B440">
        <v>-1.1515628238908883E-4</v>
      </c>
      <c r="C440">
        <v>-1.9884843717610963E-2</v>
      </c>
    </row>
    <row r="441" spans="1:3" x14ac:dyDescent="0.2">
      <c r="A441">
        <v>93</v>
      </c>
      <c r="B441">
        <v>-4.1083480018089457E-3</v>
      </c>
      <c r="C441">
        <v>9.2103888181354447E-3</v>
      </c>
    </row>
    <row r="442" spans="1:3" x14ac:dyDescent="0.2">
      <c r="A442">
        <v>94</v>
      </c>
      <c r="B442">
        <v>-4.3498682938662644E-3</v>
      </c>
      <c r="C442">
        <v>1.4502152557825771E-2</v>
      </c>
    </row>
    <row r="443" spans="1:3" x14ac:dyDescent="0.2">
      <c r="A443">
        <v>95</v>
      </c>
      <c r="B443">
        <v>-2.8864726842799723E-3</v>
      </c>
      <c r="C443">
        <v>-1.7214029828282892E-2</v>
      </c>
    </row>
    <row r="444" spans="1:3" x14ac:dyDescent="0.2">
      <c r="A444">
        <v>96</v>
      </c>
      <c r="B444">
        <v>-4.2567910344716298E-3</v>
      </c>
      <c r="C444">
        <v>9.3849961626767259E-3</v>
      </c>
    </row>
    <row r="445" spans="1:3" x14ac:dyDescent="0.2">
      <c r="A445">
        <v>97</v>
      </c>
      <c r="B445">
        <v>-2.7060365365281242E-3</v>
      </c>
      <c r="C445">
        <v>-2.3960042797983756E-3</v>
      </c>
    </row>
    <row r="446" spans="1:3" x14ac:dyDescent="0.2">
      <c r="A446">
        <v>98</v>
      </c>
      <c r="B446">
        <v>-5.3099953878478125E-3</v>
      </c>
      <c r="C446">
        <v>-1.0074619996767656E-2</v>
      </c>
    </row>
    <row r="447" spans="1:3" x14ac:dyDescent="0.2">
      <c r="A447">
        <v>99</v>
      </c>
      <c r="B447">
        <v>-4.6889141295870318E-3</v>
      </c>
      <c r="C447">
        <v>-5.7277525370795735E-3</v>
      </c>
    </row>
    <row r="448" spans="1:3" x14ac:dyDescent="0.2">
      <c r="A448">
        <v>100</v>
      </c>
      <c r="B448">
        <v>-2.4533440530480075E-3</v>
      </c>
      <c r="C448">
        <v>7.7165019477848183E-3</v>
      </c>
    </row>
    <row r="449" spans="1:3" x14ac:dyDescent="0.2">
      <c r="A449">
        <v>101</v>
      </c>
      <c r="B449">
        <v>-4.9658534437409859E-3</v>
      </c>
      <c r="C449">
        <v>-4.2154565404426449E-2</v>
      </c>
    </row>
    <row r="450" spans="1:3" x14ac:dyDescent="0.2">
      <c r="A450">
        <v>102</v>
      </c>
      <c r="B450">
        <v>-5.0833296312671073E-3</v>
      </c>
      <c r="C450">
        <v>-1.1400186852249467E-2</v>
      </c>
    </row>
    <row r="451" spans="1:3" x14ac:dyDescent="0.2">
      <c r="A451">
        <v>103</v>
      </c>
      <c r="B451">
        <v>-1.1984664786056426E-3</v>
      </c>
      <c r="C451">
        <v>-4.3881257001652735E-3</v>
      </c>
    </row>
    <row r="452" spans="1:3" x14ac:dyDescent="0.2">
      <c r="A452">
        <v>104</v>
      </c>
      <c r="B452">
        <v>-6.8159712705345883E-4</v>
      </c>
      <c r="C452">
        <v>-3.8644245569575714E-2</v>
      </c>
    </row>
    <row r="453" spans="1:3" x14ac:dyDescent="0.2">
      <c r="A453">
        <v>105</v>
      </c>
      <c r="B453">
        <v>5.3292535441249204E-4</v>
      </c>
      <c r="C453">
        <v>1.1162981078335974E-2</v>
      </c>
    </row>
    <row r="454" spans="1:3" x14ac:dyDescent="0.2">
      <c r="A454">
        <v>106</v>
      </c>
      <c r="B454">
        <v>3.0029117238363663E-3</v>
      </c>
      <c r="C454">
        <v>2.0118475559400689E-2</v>
      </c>
    </row>
    <row r="455" spans="1:3" x14ac:dyDescent="0.2">
      <c r="A455">
        <v>107</v>
      </c>
      <c r="B455">
        <v>7.5341112319564597E-3</v>
      </c>
      <c r="C455">
        <v>9.4150413104163166E-3</v>
      </c>
    </row>
    <row r="456" spans="1:3" x14ac:dyDescent="0.2">
      <c r="A456">
        <v>108</v>
      </c>
      <c r="B456">
        <v>5.652330344226391E-3</v>
      </c>
      <c r="C456">
        <v>1.1014336322440369E-2</v>
      </c>
    </row>
    <row r="457" spans="1:3" x14ac:dyDescent="0.2">
      <c r="A457">
        <v>109</v>
      </c>
      <c r="B457">
        <v>5.3068475368338221E-3</v>
      </c>
      <c r="C457">
        <v>-1.6235809285467636E-2</v>
      </c>
    </row>
    <row r="458" spans="1:3" x14ac:dyDescent="0.2">
      <c r="A458">
        <v>110</v>
      </c>
      <c r="B458">
        <v>1.0482566807562717E-5</v>
      </c>
      <c r="C458">
        <v>1.6564103068551453E-2</v>
      </c>
    </row>
    <row r="459" spans="1:3" x14ac:dyDescent="0.2">
      <c r="A459">
        <v>111</v>
      </c>
      <c r="B459">
        <v>-6.9499188250391917E-4</v>
      </c>
      <c r="C459">
        <v>-1.5609355943582939E-2</v>
      </c>
    </row>
    <row r="460" spans="1:3" x14ac:dyDescent="0.2">
      <c r="A460">
        <v>112</v>
      </c>
      <c r="B460">
        <v>-2.7717220855278278E-3</v>
      </c>
      <c r="C460">
        <v>-1.9327725428284381E-2</v>
      </c>
    </row>
    <row r="461" spans="1:3" x14ac:dyDescent="0.2">
      <c r="A461">
        <v>113</v>
      </c>
      <c r="B461">
        <v>-2.8995733762182067E-4</v>
      </c>
      <c r="C461">
        <v>1.7239109879994597E-2</v>
      </c>
    </row>
    <row r="462" spans="1:3" x14ac:dyDescent="0.2">
      <c r="A462">
        <v>114</v>
      </c>
      <c r="B462">
        <v>-1.429243491290963E-3</v>
      </c>
      <c r="C462">
        <v>1.2540354602402201E-2</v>
      </c>
    </row>
    <row r="463" spans="1:3" x14ac:dyDescent="0.2">
      <c r="A463">
        <v>115</v>
      </c>
      <c r="B463">
        <v>-2.057039091438053E-3</v>
      </c>
      <c r="C463">
        <v>-3.0909993875594902E-2</v>
      </c>
    </row>
    <row r="464" spans="1:3" x14ac:dyDescent="0.2">
      <c r="A464">
        <v>116</v>
      </c>
      <c r="B464">
        <v>4.8665740679220467E-5</v>
      </c>
      <c r="C464">
        <v>5.6331524411389264E-3</v>
      </c>
    </row>
    <row r="465" spans="1:3" x14ac:dyDescent="0.2">
      <c r="A465">
        <v>117</v>
      </c>
      <c r="B465">
        <v>4.3401490452588034E-5</v>
      </c>
      <c r="C465">
        <v>-5.6931190045768475E-3</v>
      </c>
    </row>
    <row r="466" spans="1:3" x14ac:dyDescent="0.2">
      <c r="A466">
        <v>118</v>
      </c>
      <c r="B466">
        <v>-3.4326773936473763E-3</v>
      </c>
      <c r="C466">
        <v>3.1841768302738306E-2</v>
      </c>
    </row>
    <row r="467" spans="1:3" x14ac:dyDescent="0.2">
      <c r="A467">
        <v>119</v>
      </c>
      <c r="B467">
        <v>-2.0039148560524215E-3</v>
      </c>
      <c r="C467">
        <v>2.0039148560524215E-3</v>
      </c>
    </row>
    <row r="468" spans="1:3" x14ac:dyDescent="0.2">
      <c r="A468">
        <v>120</v>
      </c>
      <c r="B468">
        <v>-1.0405908095559155E-3</v>
      </c>
      <c r="C468">
        <v>-1.5533994825803289E-2</v>
      </c>
    </row>
    <row r="469" spans="1:3" x14ac:dyDescent="0.2">
      <c r="A469">
        <v>121</v>
      </c>
      <c r="B469">
        <v>-2.3776108426824295E-3</v>
      </c>
      <c r="C469">
        <v>2.3776108426824295E-3</v>
      </c>
    </row>
    <row r="470" spans="1:3" x14ac:dyDescent="0.2">
      <c r="A470">
        <v>122</v>
      </c>
      <c r="B470">
        <v>-3.5270579261202544E-3</v>
      </c>
      <c r="C470">
        <v>3.5270579261202544E-3</v>
      </c>
    </row>
    <row r="471" spans="1:3" x14ac:dyDescent="0.2">
      <c r="A471">
        <v>123</v>
      </c>
      <c r="B471">
        <v>-4.4768351532471018E-3</v>
      </c>
      <c r="C471">
        <v>-2.3613052487202361E-2</v>
      </c>
    </row>
    <row r="472" spans="1:3" x14ac:dyDescent="0.2">
      <c r="A472">
        <v>124</v>
      </c>
      <c r="B472">
        <v>-4.9592200195612791E-3</v>
      </c>
      <c r="C472">
        <v>-6.601473622057148E-3</v>
      </c>
    </row>
    <row r="473" spans="1:3" x14ac:dyDescent="0.2">
      <c r="A473">
        <v>125</v>
      </c>
      <c r="B473">
        <v>-4.6756583237304453E-3</v>
      </c>
      <c r="C473">
        <v>4.6756583237304453E-3</v>
      </c>
    </row>
    <row r="474" spans="1:3" x14ac:dyDescent="0.2">
      <c r="A474">
        <v>126</v>
      </c>
      <c r="B474">
        <v>-1.1784764166230415E-3</v>
      </c>
      <c r="C474">
        <v>1.1784764166230415E-3</v>
      </c>
    </row>
    <row r="475" spans="1:3" ht="17" thickBot="1" x14ac:dyDescent="0.25">
      <c r="A475" s="39">
        <v>127</v>
      </c>
      <c r="B475" s="39">
        <v>-1.0658284468445679E-3</v>
      </c>
      <c r="C475" s="39">
        <v>4.2001500961464405E-2</v>
      </c>
    </row>
  </sheetData>
  <mergeCells count="1">
    <mergeCell ref="O1:P1"/>
  </mergeCells>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7B35-76F8-A64B-8937-2CAFAC5942D3}">
  <dimension ref="A1:Q131"/>
  <sheetViews>
    <sheetView topLeftCell="L1" zoomScale="86" workbookViewId="0">
      <selection activeCell="B7" sqref="B7"/>
    </sheetView>
  </sheetViews>
  <sheetFormatPr baseColWidth="10" defaultRowHeight="16" x14ac:dyDescent="0.2"/>
  <cols>
    <col min="1" max="1" width="10.83203125" style="6"/>
    <col min="2" max="2" width="12" style="24" customWidth="1"/>
    <col min="3" max="3" width="21" style="24" customWidth="1"/>
    <col min="4" max="4" width="26" style="6" customWidth="1"/>
    <col min="5" max="5" width="21.83203125" customWidth="1"/>
    <col min="6" max="6" width="28" style="6" customWidth="1"/>
    <col min="7" max="7" width="23.5" style="6" customWidth="1"/>
    <col min="8" max="8" width="21.33203125" style="6" customWidth="1"/>
    <col min="9" max="9" width="25.1640625" style="6" customWidth="1"/>
    <col min="10" max="10" width="22.6640625" style="6" customWidth="1"/>
    <col min="11" max="11" width="20.5" style="6" customWidth="1"/>
    <col min="12" max="12" width="26" style="6" customWidth="1"/>
    <col min="13" max="13" width="47.1640625" style="6" customWidth="1"/>
    <col min="14" max="14" width="45" style="6" customWidth="1"/>
    <col min="15" max="15" width="30.6640625" style="6" customWidth="1"/>
    <col min="16" max="16384" width="10.83203125" style="6"/>
  </cols>
  <sheetData>
    <row r="1" spans="1:15" ht="57" customHeight="1" x14ac:dyDescent="0.2">
      <c r="A1" s="6" t="s">
        <v>219</v>
      </c>
      <c r="B1" s="6" t="s">
        <v>210</v>
      </c>
      <c r="C1" s="6" t="s">
        <v>218</v>
      </c>
      <c r="D1" s="6" t="s">
        <v>209</v>
      </c>
      <c r="E1" s="7" t="s">
        <v>206</v>
      </c>
      <c r="F1" s="7" t="s">
        <v>61</v>
      </c>
      <c r="G1" s="7" t="s">
        <v>208</v>
      </c>
      <c r="H1" s="7" t="s">
        <v>205</v>
      </c>
      <c r="I1" s="7" t="s">
        <v>216</v>
      </c>
      <c r="J1" s="7" t="s">
        <v>207</v>
      </c>
      <c r="K1" s="7" t="s">
        <v>204</v>
      </c>
      <c r="L1" s="7" t="s">
        <v>217</v>
      </c>
      <c r="M1" s="7" t="s">
        <v>211</v>
      </c>
      <c r="N1" s="7" t="s">
        <v>212</v>
      </c>
      <c r="O1" s="7" t="s">
        <v>62</v>
      </c>
    </row>
    <row r="2" spans="1:15" x14ac:dyDescent="0.2">
      <c r="A2" s="6" t="s">
        <v>199</v>
      </c>
      <c r="B2" s="38">
        <v>2.2100000000000002E-2</v>
      </c>
      <c r="C2" s="38"/>
      <c r="D2" s="6">
        <v>-1723</v>
      </c>
      <c r="E2" s="1">
        <v>-66026</v>
      </c>
      <c r="G2" s="6">
        <v>1E-3</v>
      </c>
      <c r="H2" s="6">
        <v>6.1999999999999998E-3</v>
      </c>
      <c r="J2" s="6">
        <v>2.0099999999999998</v>
      </c>
      <c r="K2" s="1">
        <v>7.0000000000000007E-2</v>
      </c>
      <c r="M2" s="6">
        <v>71620.759999999995</v>
      </c>
      <c r="N2" s="6">
        <v>133230</v>
      </c>
    </row>
    <row r="3" spans="1:15" x14ac:dyDescent="0.2">
      <c r="A3" s="6" t="s">
        <v>70</v>
      </c>
      <c r="B3" s="38">
        <v>2.24E-2</v>
      </c>
      <c r="C3" s="38">
        <f>(B3-B2)/B2</f>
        <v>1.357466063348408E-2</v>
      </c>
      <c r="D3" s="6">
        <v>-1924</v>
      </c>
      <c r="E3" s="1">
        <v>-64453</v>
      </c>
      <c r="F3" s="6">
        <f>((1+D2)/(1+E2))-1</f>
        <v>-0.97391897008708828</v>
      </c>
      <c r="G3" s="6">
        <v>1.0588877976180108E-3</v>
      </c>
      <c r="H3" s="6">
        <v>2.5570742868224498E-3</v>
      </c>
      <c r="I3" s="6">
        <f>((1+G3)/(1+H3))-1</f>
        <v>-1.4943652861559853E-3</v>
      </c>
      <c r="J3" s="35">
        <v>2.0078999999999998</v>
      </c>
      <c r="K3" s="35">
        <v>3.5</v>
      </c>
      <c r="L3" s="6">
        <f>((1+J2)/(1+K2))-1</f>
        <v>1.8130841121495322</v>
      </c>
      <c r="M3" s="6">
        <v>71625.728507348103</v>
      </c>
      <c r="N3" s="6">
        <v>133374.79090116199</v>
      </c>
      <c r="O3" s="6">
        <f>((1+M2)/(1+N2))-1</f>
        <v>-0.46242421058162142</v>
      </c>
    </row>
    <row r="4" spans="1:15" x14ac:dyDescent="0.2">
      <c r="A4" s="6" t="s">
        <v>71</v>
      </c>
      <c r="B4" s="38">
        <v>2.23E-2</v>
      </c>
      <c r="C4" s="38">
        <f t="shared" ref="C4:C67" si="0">(B4-B3)/B3</f>
        <v>-4.4642857142856871E-3</v>
      </c>
      <c r="D4" s="6">
        <v>-441</v>
      </c>
      <c r="E4" s="1">
        <v>-51484</v>
      </c>
      <c r="F4" s="6">
        <f t="shared" ref="F4:F67" si="1">((1+D3)/(1+E3))-1</f>
        <v>-0.97016384285980262</v>
      </c>
      <c r="G4" s="6">
        <v>9.5057034220948945E-4</v>
      </c>
      <c r="H4" s="6">
        <v>3.6979086509670574E-3</v>
      </c>
      <c r="I4" s="6">
        <f t="shared" ref="I4:I67" si="2">((1+G4)/(1+H4))-1</f>
        <v>-2.7372163328008847E-3</v>
      </c>
      <c r="J4" s="35">
        <v>2.0072999999999999</v>
      </c>
      <c r="K4" s="35">
        <v>3.5</v>
      </c>
      <c r="L4" s="6">
        <f t="shared" ref="L4:L67" si="3">((1+J3)/(1+K3))-1</f>
        <v>-0.33157777777777786</v>
      </c>
      <c r="M4" s="6">
        <v>72206.2342459965</v>
      </c>
      <c r="N4" s="6">
        <v>134163.60976535099</v>
      </c>
      <c r="O4" s="6">
        <f t="shared" ref="O4:O67" si="4">((1+M3)/(1+N3))-1</f>
        <v>-0.46297054342922683</v>
      </c>
    </row>
    <row r="5" spans="1:15" x14ac:dyDescent="0.2">
      <c r="A5" s="6" t="s">
        <v>72</v>
      </c>
      <c r="B5" s="38">
        <v>2.2499999999999999E-2</v>
      </c>
      <c r="C5" s="38">
        <f t="shared" si="0"/>
        <v>8.9686098654707981E-3</v>
      </c>
      <c r="D5" s="6">
        <v>-468</v>
      </c>
      <c r="E5" s="1">
        <v>-57287</v>
      </c>
      <c r="F5" s="6">
        <f t="shared" si="1"/>
        <v>-0.99145348950138878</v>
      </c>
      <c r="G5" s="6">
        <v>-9.4966761633844129E-4</v>
      </c>
      <c r="H5" s="6">
        <v>6.4400441262269141E-3</v>
      </c>
      <c r="I5" s="6">
        <f t="shared" si="2"/>
        <v>-7.3424261938831448E-3</v>
      </c>
      <c r="J5" s="35">
        <v>2.0224000000000002</v>
      </c>
      <c r="K5" s="35">
        <v>3.5</v>
      </c>
      <c r="L5" s="6">
        <f t="shared" si="3"/>
        <v>-0.33171111111111118</v>
      </c>
      <c r="M5" s="6">
        <v>71639.039372695202</v>
      </c>
      <c r="N5" s="6">
        <v>133243.234650097</v>
      </c>
      <c r="O5" s="6">
        <f t="shared" si="4"/>
        <v>-0.4618011830967621</v>
      </c>
    </row>
    <row r="6" spans="1:15" x14ac:dyDescent="0.2">
      <c r="A6" s="6" t="s">
        <v>73</v>
      </c>
      <c r="B6" s="38">
        <v>2.2800000000000001E-2</v>
      </c>
      <c r="C6" s="38">
        <f t="shared" si="0"/>
        <v>1.3333333333333407E-2</v>
      </c>
      <c r="D6" s="6">
        <v>-1042</v>
      </c>
      <c r="E6" s="1">
        <v>-72165</v>
      </c>
      <c r="F6" s="6">
        <f t="shared" si="1"/>
        <v>-0.99184792095800023</v>
      </c>
      <c r="G6" s="6">
        <v>2.8517110266197015E-3</v>
      </c>
      <c r="H6" s="6">
        <v>3.296754453157406E-3</v>
      </c>
      <c r="I6" s="6">
        <f t="shared" si="2"/>
        <v>-4.4358104873998272E-4</v>
      </c>
      <c r="J6" s="35">
        <v>2.0162</v>
      </c>
      <c r="K6" s="35">
        <v>3.5</v>
      </c>
      <c r="L6" s="6">
        <f t="shared" si="3"/>
        <v>-0.32835555555555551</v>
      </c>
      <c r="M6" s="6">
        <v>71827.879617039303</v>
      </c>
      <c r="N6" s="6">
        <v>133236.465110313</v>
      </c>
      <c r="O6" s="6">
        <f t="shared" si="4"/>
        <v>-0.46234041899956191</v>
      </c>
    </row>
    <row r="7" spans="1:15" x14ac:dyDescent="0.2">
      <c r="A7" s="6" t="s">
        <v>74</v>
      </c>
      <c r="B7" s="38">
        <v>2.29E-2</v>
      </c>
      <c r="C7" s="38">
        <f t="shared" si="0"/>
        <v>4.3859649122806755E-3</v>
      </c>
      <c r="D7" s="6">
        <v>638</v>
      </c>
      <c r="E7" s="1">
        <v>-67492</v>
      </c>
      <c r="F7" s="6">
        <f t="shared" si="1"/>
        <v>-0.98557452469375306</v>
      </c>
      <c r="G7" s="6">
        <v>3.791469194311916E-3</v>
      </c>
      <c r="H7" s="6">
        <v>3.4926098400501E-3</v>
      </c>
      <c r="I7" s="6">
        <f t="shared" si="2"/>
        <v>2.9781918803517549E-4</v>
      </c>
      <c r="J7" s="35">
        <v>2.0148000000000001</v>
      </c>
      <c r="K7" s="35">
        <v>3.5</v>
      </c>
      <c r="L7" s="6">
        <f t="shared" si="3"/>
        <v>-0.32973333333333332</v>
      </c>
      <c r="M7" s="6">
        <v>72451.657376948293</v>
      </c>
      <c r="N7" s="6">
        <v>133537.01784557899</v>
      </c>
      <c r="O7" s="6">
        <f t="shared" si="4"/>
        <v>-0.46089578064571324</v>
      </c>
    </row>
    <row r="8" spans="1:15" x14ac:dyDescent="0.2">
      <c r="A8" s="6" t="s">
        <v>75</v>
      </c>
      <c r="B8" s="38">
        <v>2.3099999999999999E-2</v>
      </c>
      <c r="C8" s="38">
        <f t="shared" si="0"/>
        <v>8.7336244541484191E-3</v>
      </c>
      <c r="D8" s="6">
        <v>405</v>
      </c>
      <c r="E8" s="1">
        <v>-64680</v>
      </c>
      <c r="F8" s="6">
        <f t="shared" si="1"/>
        <v>-1.0094679290572077</v>
      </c>
      <c r="G8" s="6">
        <v>3.7771482530680593E-3</v>
      </c>
      <c r="H8" s="6">
        <v>1.8621269440930997E-3</v>
      </c>
      <c r="I8" s="6">
        <f t="shared" si="2"/>
        <v>1.9114619242233122E-3</v>
      </c>
      <c r="J8" s="35">
        <v>2.1244000000000001</v>
      </c>
      <c r="K8" s="35">
        <v>3.5</v>
      </c>
      <c r="L8" s="6">
        <f t="shared" si="3"/>
        <v>-0.33004444444444436</v>
      </c>
      <c r="M8" s="6">
        <v>72448.346529090501</v>
      </c>
      <c r="N8" s="6">
        <v>134135.12601513899</v>
      </c>
      <c r="O8" s="6">
        <f t="shared" si="4"/>
        <v>-0.45743797499876571</v>
      </c>
    </row>
    <row r="9" spans="1:15" x14ac:dyDescent="0.2">
      <c r="A9" s="6" t="s">
        <v>76</v>
      </c>
      <c r="B9" s="38">
        <v>2.3E-2</v>
      </c>
      <c r="C9" s="38">
        <f t="shared" si="0"/>
        <v>-4.329004329004303E-3</v>
      </c>
      <c r="D9" s="6">
        <v>-430</v>
      </c>
      <c r="E9" s="1">
        <v>-76699</v>
      </c>
      <c r="F9" s="6">
        <f t="shared" si="1"/>
        <v>-1.0062771533264274</v>
      </c>
      <c r="G9" s="6">
        <v>5.6444026340532619E-3</v>
      </c>
      <c r="H9" s="6">
        <v>-3.90193964162509E-4</v>
      </c>
      <c r="I9" s="6">
        <f t="shared" si="2"/>
        <v>6.0369521805185844E-3</v>
      </c>
      <c r="J9" s="35">
        <v>2.2766999999999999</v>
      </c>
      <c r="K9" s="35">
        <v>3.75</v>
      </c>
      <c r="L9" s="6">
        <f t="shared" si="3"/>
        <v>-0.3056888888888889</v>
      </c>
      <c r="M9" s="6">
        <v>72625.196770155293</v>
      </c>
      <c r="N9" s="6">
        <v>131874.78477086601</v>
      </c>
      <c r="O9" s="6">
        <f t="shared" si="4"/>
        <v>-0.45988192233229053</v>
      </c>
    </row>
    <row r="10" spans="1:15" x14ac:dyDescent="0.2">
      <c r="A10" s="6" t="s">
        <v>77</v>
      </c>
      <c r="B10" s="38">
        <v>2.23E-2</v>
      </c>
      <c r="C10" s="38">
        <f t="shared" si="0"/>
        <v>-3.0434782608695619E-2</v>
      </c>
      <c r="D10" s="6">
        <v>-694</v>
      </c>
      <c r="E10" s="1">
        <v>-64579</v>
      </c>
      <c r="F10" s="6">
        <f t="shared" si="1"/>
        <v>-0.99440663381052963</v>
      </c>
      <c r="G10" s="6">
        <v>1.8709073900925128E-3</v>
      </c>
      <c r="H10" s="6">
        <v>-1.6705141657910104E-3</v>
      </c>
      <c r="I10" s="6">
        <f t="shared" si="2"/>
        <v>3.5473474500498092E-3</v>
      </c>
      <c r="J10" s="35">
        <v>2.2818999999999998</v>
      </c>
      <c r="K10" s="35">
        <v>3.75</v>
      </c>
      <c r="L10" s="6">
        <f t="shared" si="3"/>
        <v>-0.31016842105263154</v>
      </c>
      <c r="M10" s="6">
        <v>72822.103019310904</v>
      </c>
      <c r="N10" s="6">
        <v>130276.83443422</v>
      </c>
      <c r="O10" s="6">
        <f t="shared" si="4"/>
        <v>-0.44928330173471043</v>
      </c>
    </row>
    <row r="11" spans="1:15" x14ac:dyDescent="0.2">
      <c r="A11" s="6" t="s">
        <v>78</v>
      </c>
      <c r="B11" s="38">
        <v>2.23E-2</v>
      </c>
      <c r="C11" s="38">
        <f t="shared" si="0"/>
        <v>0</v>
      </c>
      <c r="D11" s="6">
        <v>-244</v>
      </c>
      <c r="E11" s="1">
        <v>-75021</v>
      </c>
      <c r="F11" s="6">
        <f t="shared" si="1"/>
        <v>-0.98926879122921119</v>
      </c>
      <c r="G11" s="6">
        <v>1.8674136321190711E-3</v>
      </c>
      <c r="H11" s="6">
        <v>7.525688243112305E-4</v>
      </c>
      <c r="I11" s="6">
        <f t="shared" si="2"/>
        <v>1.1140064412900053E-3</v>
      </c>
      <c r="J11" s="35">
        <v>2.4422000000000001</v>
      </c>
      <c r="K11" s="35">
        <v>4</v>
      </c>
      <c r="L11" s="6">
        <f t="shared" si="3"/>
        <v>-0.30907368421052639</v>
      </c>
      <c r="M11" s="6">
        <v>71987.383418401601</v>
      </c>
      <c r="N11" s="6">
        <v>126012.62101089599</v>
      </c>
      <c r="O11" s="6">
        <f t="shared" si="4"/>
        <v>-0.441016936337848</v>
      </c>
    </row>
    <row r="12" spans="1:15" x14ac:dyDescent="0.2">
      <c r="A12" s="6" t="s">
        <v>79</v>
      </c>
      <c r="B12" s="38">
        <v>2.2200000000000001E-2</v>
      </c>
      <c r="C12" s="38">
        <f t="shared" si="0"/>
        <v>-4.4843049327353991E-3</v>
      </c>
      <c r="D12" s="6">
        <v>-778</v>
      </c>
      <c r="E12" s="1">
        <v>-71004</v>
      </c>
      <c r="F12" s="6">
        <f t="shared" si="1"/>
        <v>-0.99676086376966144</v>
      </c>
      <c r="G12" s="6">
        <v>-9.319664492119052E-4</v>
      </c>
      <c r="H12" s="6">
        <v>-2.5122778125522991E-3</v>
      </c>
      <c r="I12" s="6">
        <f t="shared" si="2"/>
        <v>1.5842915438346594E-3</v>
      </c>
      <c r="J12" s="35">
        <v>2.5169999999999999</v>
      </c>
      <c r="K12" s="35">
        <v>4</v>
      </c>
      <c r="L12" s="6">
        <f t="shared" si="3"/>
        <v>-0.31155999999999995</v>
      </c>
      <c r="M12" s="6">
        <v>72097.494301242201</v>
      </c>
      <c r="N12" s="6">
        <v>125243.50961953599</v>
      </c>
      <c r="O12" s="6">
        <f t="shared" si="4"/>
        <v>-0.42872538031283935</v>
      </c>
    </row>
    <row r="13" spans="1:15" x14ac:dyDescent="0.2">
      <c r="A13" s="6" t="s">
        <v>80</v>
      </c>
      <c r="B13" s="38">
        <v>2.24E-2</v>
      </c>
      <c r="C13" s="38">
        <f t="shared" si="0"/>
        <v>9.0090090090089534E-3</v>
      </c>
      <c r="D13" s="6">
        <v>-675</v>
      </c>
      <c r="E13" s="1">
        <v>-60252</v>
      </c>
      <c r="F13" s="6">
        <f t="shared" si="1"/>
        <v>-0.98905680041688382</v>
      </c>
      <c r="G13" s="6">
        <v>-1.8656716417906102E-3</v>
      </c>
      <c r="H13" s="6">
        <v>-5.3994179410662866E-3</v>
      </c>
      <c r="I13" s="6">
        <f t="shared" si="2"/>
        <v>3.552930053550174E-3</v>
      </c>
      <c r="J13" s="35">
        <v>2.5409999999999999</v>
      </c>
      <c r="K13" s="35">
        <v>4</v>
      </c>
      <c r="L13" s="6">
        <f t="shared" si="3"/>
        <v>-0.29659999999999997</v>
      </c>
      <c r="M13" s="6">
        <v>71448.926421288401</v>
      </c>
      <c r="N13" s="6">
        <v>122599.606390958</v>
      </c>
      <c r="O13" s="6">
        <f t="shared" si="4"/>
        <v>-0.42433808459739397</v>
      </c>
    </row>
    <row r="14" spans="1:15" x14ac:dyDescent="0.2">
      <c r="A14" s="6" t="s">
        <v>81</v>
      </c>
      <c r="B14" s="38">
        <v>2.2700000000000001E-2</v>
      </c>
      <c r="C14" s="38">
        <f t="shared" si="0"/>
        <v>1.3392857142857217E-2</v>
      </c>
      <c r="D14" s="6">
        <v>-952</v>
      </c>
      <c r="E14" s="1">
        <v>-66898</v>
      </c>
      <c r="F14" s="6">
        <f t="shared" si="1"/>
        <v>-0.98881346367695144</v>
      </c>
      <c r="G14" s="6">
        <v>-2.8037383177607878E-3</v>
      </c>
      <c r="H14" s="6">
        <v>-5.6701009100117586E-3</v>
      </c>
      <c r="I14" s="6">
        <f t="shared" si="2"/>
        <v>2.882707836578513E-3</v>
      </c>
      <c r="J14" s="35">
        <v>2.56</v>
      </c>
      <c r="K14" s="35">
        <v>4</v>
      </c>
      <c r="L14" s="6">
        <f t="shared" si="3"/>
        <v>-0.29180000000000006</v>
      </c>
      <c r="M14" s="6">
        <v>72056.986769773997</v>
      </c>
      <c r="N14" s="6">
        <v>119048.483711245</v>
      </c>
      <c r="O14" s="6">
        <f t="shared" si="4"/>
        <v>-0.41721392312332028</v>
      </c>
    </row>
    <row r="15" spans="1:15" x14ac:dyDescent="0.2">
      <c r="A15" s="6" t="s">
        <v>82</v>
      </c>
      <c r="B15" s="38">
        <v>2.2700000000000001E-2</v>
      </c>
      <c r="C15" s="38">
        <f t="shared" si="0"/>
        <v>0</v>
      </c>
      <c r="D15" s="6">
        <v>-1640</v>
      </c>
      <c r="E15" s="1">
        <v>-65836</v>
      </c>
      <c r="F15" s="6">
        <f t="shared" si="1"/>
        <v>-0.98578411587963588</v>
      </c>
      <c r="G15" s="6">
        <v>9.3720712277836312E-4</v>
      </c>
      <c r="H15" s="6">
        <v>-4.7058923734695649E-3</v>
      </c>
      <c r="I15" s="6">
        <f t="shared" si="2"/>
        <v>5.6697808748260581E-3</v>
      </c>
      <c r="J15" s="35">
        <v>2.5430000000000001</v>
      </c>
      <c r="K15" s="35">
        <v>4</v>
      </c>
      <c r="L15" s="6">
        <f t="shared" si="3"/>
        <v>-0.28800000000000003</v>
      </c>
      <c r="M15" s="6">
        <v>72670.741952255703</v>
      </c>
      <c r="N15" s="6">
        <v>115561.969637645</v>
      </c>
      <c r="O15" s="6">
        <f t="shared" si="4"/>
        <v>-0.39472239170267276</v>
      </c>
    </row>
    <row r="16" spans="1:15" x14ac:dyDescent="0.2">
      <c r="A16" s="6" t="s">
        <v>83</v>
      </c>
      <c r="B16" s="38">
        <v>2.24E-2</v>
      </c>
      <c r="C16" s="38">
        <f t="shared" si="0"/>
        <v>-1.3215859030837076E-2</v>
      </c>
      <c r="D16" s="6">
        <v>-1516</v>
      </c>
      <c r="E16" s="1">
        <v>-49793</v>
      </c>
      <c r="F16" s="6">
        <f t="shared" si="1"/>
        <v>-0.9751044277360067</v>
      </c>
      <c r="G16" s="6">
        <v>9.3632958801032138E-4</v>
      </c>
      <c r="H16" s="6">
        <v>4.3430449237772846E-3</v>
      </c>
      <c r="I16" s="6">
        <f t="shared" si="2"/>
        <v>-3.3919837977527401E-3</v>
      </c>
      <c r="J16" s="35">
        <v>2.5230999999999999</v>
      </c>
      <c r="K16" s="35">
        <v>4</v>
      </c>
      <c r="L16" s="6">
        <f t="shared" si="3"/>
        <v>-0.29139999999999999</v>
      </c>
      <c r="M16" s="6">
        <v>73204.608516950801</v>
      </c>
      <c r="N16" s="6">
        <v>113676.383582362</v>
      </c>
      <c r="O16" s="6">
        <f t="shared" si="4"/>
        <v>-0.37115027261654365</v>
      </c>
    </row>
    <row r="17" spans="1:15" x14ac:dyDescent="0.2">
      <c r="A17" s="6" t="s">
        <v>84</v>
      </c>
      <c r="B17" s="38">
        <v>2.2700000000000001E-2</v>
      </c>
      <c r="C17" s="38">
        <f t="shared" si="0"/>
        <v>1.3392857142857217E-2</v>
      </c>
      <c r="D17" s="6">
        <v>-578</v>
      </c>
      <c r="E17" s="1">
        <v>-70814</v>
      </c>
      <c r="F17" s="6">
        <f t="shared" si="1"/>
        <v>-0.96957342544987146</v>
      </c>
      <c r="G17" s="6">
        <v>-9.354536950374442E-4</v>
      </c>
      <c r="H17" s="6">
        <v>5.9517216110944711E-3</v>
      </c>
      <c r="I17" s="6">
        <f t="shared" si="2"/>
        <v>-6.846427276948952E-3</v>
      </c>
      <c r="J17" s="35">
        <v>2.5236999999999998</v>
      </c>
      <c r="K17" s="35">
        <v>4</v>
      </c>
      <c r="L17" s="6">
        <f t="shared" si="3"/>
        <v>-0.29537999999999998</v>
      </c>
      <c r="M17" s="6">
        <v>73021.379363236105</v>
      </c>
      <c r="N17" s="6">
        <v>108228.544728414</v>
      </c>
      <c r="O17" s="6">
        <f t="shared" si="4"/>
        <v>-0.356023104948474</v>
      </c>
    </row>
    <row r="18" spans="1:15" x14ac:dyDescent="0.2">
      <c r="A18" s="6" t="s">
        <v>85</v>
      </c>
      <c r="B18" s="38">
        <v>2.2499999999999999E-2</v>
      </c>
      <c r="C18" s="38">
        <f t="shared" si="0"/>
        <v>-8.8105726872247693E-3</v>
      </c>
      <c r="D18" s="6">
        <v>-904</v>
      </c>
      <c r="E18" s="1">
        <v>-67289</v>
      </c>
      <c r="F18" s="6">
        <f t="shared" si="1"/>
        <v>-0.99185177862821794</v>
      </c>
      <c r="G18" s="6">
        <v>1.8726591760295248E-3</v>
      </c>
      <c r="H18" s="6">
        <v>2.0328732545835107E-3</v>
      </c>
      <c r="I18" s="6">
        <f t="shared" si="2"/>
        <v>-1.5988904439190321E-4</v>
      </c>
      <c r="J18" s="35">
        <v>2.5301</v>
      </c>
      <c r="K18" s="35">
        <v>4</v>
      </c>
      <c r="L18" s="6">
        <f t="shared" si="3"/>
        <v>-0.29526000000000008</v>
      </c>
      <c r="M18" s="6">
        <v>73444.953709613401</v>
      </c>
      <c r="N18" s="6">
        <v>110249.031731012</v>
      </c>
      <c r="O18" s="6">
        <f t="shared" si="4"/>
        <v>-0.32530087282104947</v>
      </c>
    </row>
    <row r="19" spans="1:15" x14ac:dyDescent="0.2">
      <c r="A19" s="6" t="s">
        <v>86</v>
      </c>
      <c r="B19" s="38">
        <v>2.2200000000000001E-2</v>
      </c>
      <c r="C19" s="38">
        <f t="shared" si="0"/>
        <v>-1.3333333333333253E-2</v>
      </c>
      <c r="D19" s="6">
        <v>-156</v>
      </c>
      <c r="E19" s="1">
        <v>-64031</v>
      </c>
      <c r="F19" s="6">
        <f t="shared" si="1"/>
        <v>-0.98658007371299483</v>
      </c>
      <c r="G19" s="6">
        <v>-9.3457943925655111E-4</v>
      </c>
      <c r="H19" s="6">
        <v>5.0972320254958981E-3</v>
      </c>
      <c r="I19" s="6">
        <f t="shared" si="2"/>
        <v>-6.0012218445740784E-3</v>
      </c>
      <c r="J19" s="35">
        <v>2.5204</v>
      </c>
      <c r="K19" s="35">
        <v>4</v>
      </c>
      <c r="L19" s="6">
        <f t="shared" si="3"/>
        <v>-0.29398000000000002</v>
      </c>
      <c r="M19" s="6">
        <v>72924.210266552793</v>
      </c>
      <c r="N19" s="6">
        <v>108494.126842597</v>
      </c>
      <c r="O19" s="6">
        <f t="shared" si="4"/>
        <v>-0.33382374085109723</v>
      </c>
    </row>
    <row r="20" spans="1:15" x14ac:dyDescent="0.2">
      <c r="A20" s="6" t="s">
        <v>87</v>
      </c>
      <c r="B20" s="38">
        <v>2.1899999999999999E-2</v>
      </c>
      <c r="C20" s="38">
        <f t="shared" si="0"/>
        <v>-1.3513513513513587E-2</v>
      </c>
      <c r="D20" s="6">
        <v>-825</v>
      </c>
      <c r="E20" s="1">
        <v>-72063</v>
      </c>
      <c r="F20" s="6">
        <f t="shared" si="1"/>
        <v>-0.99757925972200534</v>
      </c>
      <c r="G20" s="6">
        <v>8.6727511323621692E-7</v>
      </c>
      <c r="H20" s="6">
        <v>3.502869998531743E-3</v>
      </c>
      <c r="I20" s="6">
        <f t="shared" si="2"/>
        <v>-3.4897784830686396E-3</v>
      </c>
      <c r="J20" s="35">
        <v>2.516</v>
      </c>
      <c r="K20" s="35">
        <v>4</v>
      </c>
      <c r="L20" s="6">
        <f t="shared" si="3"/>
        <v>-0.29591999999999996</v>
      </c>
      <c r="M20" s="6">
        <v>73266.485784955206</v>
      </c>
      <c r="N20" s="6">
        <v>109291.59555829701</v>
      </c>
      <c r="O20" s="6">
        <f t="shared" si="4"/>
        <v>-0.32784805743071277</v>
      </c>
    </row>
    <row r="21" spans="1:15" x14ac:dyDescent="0.2">
      <c r="A21" s="6" t="s">
        <v>88</v>
      </c>
      <c r="B21" s="38">
        <v>2.1399999999999999E-2</v>
      </c>
      <c r="C21" s="38">
        <f t="shared" si="0"/>
        <v>-2.2831050228310522E-2</v>
      </c>
      <c r="D21" s="6">
        <v>-1670</v>
      </c>
      <c r="E21" s="1">
        <v>-75191</v>
      </c>
      <c r="F21" s="6">
        <f t="shared" si="1"/>
        <v>-0.98856540201493159</v>
      </c>
      <c r="G21" s="6">
        <v>1.8700384931414306E-3</v>
      </c>
      <c r="H21" s="6">
        <v>6.704715929303293E-5</v>
      </c>
      <c r="I21" s="6">
        <f t="shared" si="2"/>
        <v>1.8028704565058451E-3</v>
      </c>
      <c r="J21" s="35">
        <v>2.5192999999999999</v>
      </c>
      <c r="K21" s="35">
        <v>4</v>
      </c>
      <c r="L21" s="6">
        <f t="shared" si="3"/>
        <v>-0.29679999999999995</v>
      </c>
      <c r="M21" s="6">
        <v>73467.992769456105</v>
      </c>
      <c r="N21" s="6">
        <v>108276.90692499799</v>
      </c>
      <c r="O21" s="6">
        <f t="shared" si="4"/>
        <v>-0.32962077247150645</v>
      </c>
    </row>
    <row r="22" spans="1:15" x14ac:dyDescent="0.2">
      <c r="A22" s="6" t="s">
        <v>89</v>
      </c>
      <c r="B22" s="38">
        <v>2.1399999999999999E-2</v>
      </c>
      <c r="C22" s="38">
        <f t="shared" si="0"/>
        <v>0</v>
      </c>
      <c r="D22" s="6">
        <v>-1262</v>
      </c>
      <c r="E22" s="1">
        <v>-72907</v>
      </c>
      <c r="F22" s="6">
        <f t="shared" si="1"/>
        <v>-0.97780289932171827</v>
      </c>
      <c r="G22" s="6">
        <v>8.6565555183743036E-5</v>
      </c>
      <c r="H22" s="6">
        <v>-1.4162762828209669E-3</v>
      </c>
      <c r="I22" s="6">
        <f t="shared" si="2"/>
        <v>1.5049732959901974E-3</v>
      </c>
      <c r="J22" s="35">
        <v>2.5217999999999998</v>
      </c>
      <c r="K22" s="35">
        <v>4</v>
      </c>
      <c r="L22" s="6">
        <f t="shared" si="3"/>
        <v>-0.29614000000000007</v>
      </c>
      <c r="M22" s="6">
        <v>73104.534312615404</v>
      </c>
      <c r="N22" s="6">
        <v>109858.074545393</v>
      </c>
      <c r="O22" s="6">
        <f t="shared" si="4"/>
        <v>-0.32147753077322916</v>
      </c>
    </row>
    <row r="23" spans="1:15" x14ac:dyDescent="0.2">
      <c r="A23" s="6" t="s">
        <v>90</v>
      </c>
      <c r="B23" s="38">
        <v>2.1399999999999999E-2</v>
      </c>
      <c r="C23" s="38">
        <f t="shared" si="0"/>
        <v>0</v>
      </c>
      <c r="D23" s="6">
        <v>-1639</v>
      </c>
      <c r="E23" s="1">
        <v>-72385</v>
      </c>
      <c r="F23" s="6">
        <f t="shared" si="1"/>
        <v>-0.98270375552080758</v>
      </c>
      <c r="G23" s="6">
        <v>-1.953810054659443E-3</v>
      </c>
      <c r="H23" s="6">
        <v>-1.5567565753002303E-3</v>
      </c>
      <c r="I23" s="6">
        <f t="shared" si="2"/>
        <v>-3.9767255872991125E-4</v>
      </c>
      <c r="J23" s="35">
        <v>2.5287999999999999</v>
      </c>
      <c r="K23" s="35">
        <v>4</v>
      </c>
      <c r="L23" s="6">
        <f t="shared" si="3"/>
        <v>-0.29564000000000001</v>
      </c>
      <c r="M23" s="6">
        <v>73535.744950857494</v>
      </c>
      <c r="N23" s="6">
        <v>109176.888023436</v>
      </c>
      <c r="O23" s="6">
        <f t="shared" si="4"/>
        <v>-0.33455170075723961</v>
      </c>
    </row>
    <row r="24" spans="1:15" x14ac:dyDescent="0.2">
      <c r="A24" s="6" t="s">
        <v>91</v>
      </c>
      <c r="B24" s="38">
        <v>2.12E-2</v>
      </c>
      <c r="C24" s="38">
        <f t="shared" si="0"/>
        <v>-9.3457943925233083E-3</v>
      </c>
      <c r="D24" s="6">
        <v>-2361</v>
      </c>
      <c r="E24" s="1">
        <v>-70367</v>
      </c>
      <c r="F24" s="6">
        <f t="shared" si="1"/>
        <v>-0.97737068965517238</v>
      </c>
      <c r="G24" s="6">
        <v>9.3545369504631796E-4</v>
      </c>
      <c r="H24" s="6">
        <v>-4.4968375044474436E-4</v>
      </c>
      <c r="I24" s="6">
        <f t="shared" si="2"/>
        <v>1.3857605995146738E-3</v>
      </c>
      <c r="J24" s="35">
        <v>2.5291000000000001</v>
      </c>
      <c r="K24" s="35">
        <v>4</v>
      </c>
      <c r="L24" s="6">
        <f t="shared" si="3"/>
        <v>-0.29424000000000006</v>
      </c>
      <c r="M24" s="6">
        <v>73919.167324241804</v>
      </c>
      <c r="N24" s="6">
        <v>108225.67644315099</v>
      </c>
      <c r="O24" s="6">
        <f t="shared" si="4"/>
        <v>-0.32645019717662804</v>
      </c>
    </row>
    <row r="25" spans="1:15" x14ac:dyDescent="0.2">
      <c r="A25" s="6" t="s">
        <v>92</v>
      </c>
      <c r="B25" s="38">
        <v>2.1399999999999999E-2</v>
      </c>
      <c r="C25" s="38">
        <f t="shared" si="0"/>
        <v>9.4339622641508858E-3</v>
      </c>
      <c r="D25" s="6">
        <v>-1317</v>
      </c>
      <c r="E25" s="1">
        <v>-66944</v>
      </c>
      <c r="F25" s="6">
        <f t="shared" si="1"/>
        <v>-0.96646107495097067</v>
      </c>
      <c r="G25" s="6">
        <v>2.8037383177606646E-3</v>
      </c>
      <c r="H25" s="6">
        <v>-2.1106803790863853E-3</v>
      </c>
      <c r="I25" s="6">
        <f t="shared" si="2"/>
        <v>4.9248134038690772E-3</v>
      </c>
      <c r="J25" s="35">
        <v>2.5217999999999998</v>
      </c>
      <c r="K25" s="35">
        <v>4</v>
      </c>
      <c r="L25" s="6">
        <f t="shared" si="3"/>
        <v>-0.29418</v>
      </c>
      <c r="M25" s="6">
        <v>73472.533511704707</v>
      </c>
      <c r="N25" s="6">
        <v>105599.427903891</v>
      </c>
      <c r="O25" s="6">
        <f t="shared" si="4"/>
        <v>-0.31698755100300635</v>
      </c>
    </row>
    <row r="26" spans="1:15" x14ac:dyDescent="0.2">
      <c r="A26" s="6" t="s">
        <v>93</v>
      </c>
      <c r="B26" s="38">
        <v>2.0799999999999999E-2</v>
      </c>
      <c r="C26" s="38">
        <f t="shared" si="0"/>
        <v>-2.8037383177570086E-2</v>
      </c>
      <c r="D26" s="6">
        <v>-2055</v>
      </c>
      <c r="E26" s="1">
        <v>-65110</v>
      </c>
      <c r="F26" s="6">
        <f t="shared" si="1"/>
        <v>-0.98034148454655456</v>
      </c>
      <c r="G26" s="6">
        <v>1.8639328984152153E-3</v>
      </c>
      <c r="H26" s="6">
        <v>-3.4170964371131938E-3</v>
      </c>
      <c r="I26" s="6">
        <f t="shared" si="2"/>
        <v>5.2991369976829183E-3</v>
      </c>
      <c r="J26" s="35">
        <v>2.5337999999999998</v>
      </c>
      <c r="K26" s="35">
        <v>4</v>
      </c>
      <c r="L26" s="6">
        <f t="shared" si="3"/>
        <v>-0.29564000000000001</v>
      </c>
      <c r="M26" s="6">
        <v>73963.945253147001</v>
      </c>
      <c r="N26" s="6">
        <v>106539.635766333</v>
      </c>
      <c r="O26" s="6">
        <f t="shared" si="4"/>
        <v>-0.30423072169201437</v>
      </c>
    </row>
    <row r="27" spans="1:15" x14ac:dyDescent="0.2">
      <c r="A27" s="6" t="s">
        <v>94</v>
      </c>
      <c r="B27" s="38">
        <v>2.1100000000000001E-2</v>
      </c>
      <c r="C27" s="38">
        <f t="shared" si="0"/>
        <v>1.4423076923077004E-2</v>
      </c>
      <c r="D27" s="6">
        <v>-3041.0156784414594</v>
      </c>
      <c r="E27" s="1">
        <v>-63039</v>
      </c>
      <c r="F27" s="6">
        <f t="shared" si="1"/>
        <v>-0.96845290205655132</v>
      </c>
      <c r="G27" s="6">
        <v>9.3023255813502531E-4</v>
      </c>
      <c r="H27" s="6">
        <v>1.6531022090646278E-3</v>
      </c>
      <c r="I27" s="6">
        <f t="shared" si="2"/>
        <v>-7.2167664567246437E-4</v>
      </c>
      <c r="J27" s="35">
        <v>2.5295000000000001</v>
      </c>
      <c r="K27" s="35">
        <v>4</v>
      </c>
      <c r="L27" s="6">
        <f t="shared" si="3"/>
        <v>-0.29324000000000006</v>
      </c>
      <c r="M27" s="6">
        <v>73651.584501678793</v>
      </c>
      <c r="N27" s="6">
        <v>106147.292068394</v>
      </c>
      <c r="O27" s="6">
        <f t="shared" si="4"/>
        <v>-0.30575836420416747</v>
      </c>
    </row>
    <row r="28" spans="1:15" x14ac:dyDescent="0.2">
      <c r="A28" s="6" t="s">
        <v>95</v>
      </c>
      <c r="B28" s="38">
        <v>2.1899999999999999E-2</v>
      </c>
      <c r="C28" s="38">
        <f t="shared" si="0"/>
        <v>3.7914691943127896E-2</v>
      </c>
      <c r="D28" s="6">
        <v>-1780.1833195961499</v>
      </c>
      <c r="E28" s="1">
        <v>-59847</v>
      </c>
      <c r="F28" s="6">
        <f t="shared" si="1"/>
        <v>-0.95177487105489611</v>
      </c>
      <c r="G28" s="6">
        <v>-1.8587360594791225E-3</v>
      </c>
      <c r="H28" s="6">
        <v>8.2307653345268638E-4</v>
      </c>
      <c r="I28" s="6">
        <f t="shared" si="2"/>
        <v>-2.6796070712327147E-3</v>
      </c>
      <c r="J28" s="35">
        <v>2.5278999999999998</v>
      </c>
      <c r="K28" s="35">
        <v>4</v>
      </c>
      <c r="L28" s="6">
        <f t="shared" si="3"/>
        <v>-0.29410000000000003</v>
      </c>
      <c r="M28" s="6">
        <v>74062.035478223799</v>
      </c>
      <c r="N28" s="6">
        <v>106177.180000116</v>
      </c>
      <c r="O28" s="6">
        <f t="shared" si="4"/>
        <v>-0.30613500164258334</v>
      </c>
    </row>
    <row r="29" spans="1:15" x14ac:dyDescent="0.2">
      <c r="A29" s="6" t="s">
        <v>96</v>
      </c>
      <c r="B29" s="38">
        <v>2.1299999999999999E-2</v>
      </c>
      <c r="C29" s="38">
        <f t="shared" si="0"/>
        <v>-2.7397260273972598E-2</v>
      </c>
      <c r="D29" s="6">
        <v>-2406.36748970396</v>
      </c>
      <c r="E29" s="1">
        <v>-58120</v>
      </c>
      <c r="F29" s="6">
        <f t="shared" si="1"/>
        <v>-0.97027063931430424</v>
      </c>
      <c r="G29" s="6">
        <v>0</v>
      </c>
      <c r="H29" s="6">
        <v>4.306000143391042E-3</v>
      </c>
      <c r="I29" s="6">
        <f t="shared" si="2"/>
        <v>-4.2875380041303979E-3</v>
      </c>
      <c r="J29" s="35">
        <v>2.5291999999999999</v>
      </c>
      <c r="K29" s="35">
        <v>4</v>
      </c>
      <c r="L29" s="6">
        <f t="shared" si="3"/>
        <v>-0.29442000000000002</v>
      </c>
      <c r="M29" s="6">
        <v>75212.185678891896</v>
      </c>
      <c r="N29" s="6">
        <v>108685.64091833599</v>
      </c>
      <c r="O29" s="6">
        <f t="shared" si="4"/>
        <v>-0.30246463559515824</v>
      </c>
    </row>
    <row r="30" spans="1:15" x14ac:dyDescent="0.2">
      <c r="A30" s="6" t="s">
        <v>97</v>
      </c>
      <c r="B30" s="38">
        <v>2.1399999999999999E-2</v>
      </c>
      <c r="C30" s="38">
        <f t="shared" si="0"/>
        <v>4.6948356807511452E-3</v>
      </c>
      <c r="D30" s="6">
        <v>-3000.9166902440902</v>
      </c>
      <c r="E30" s="1">
        <v>-60491</v>
      </c>
      <c r="F30" s="6">
        <f t="shared" si="1"/>
        <v>-0.95861306131034674</v>
      </c>
      <c r="G30" s="6">
        <v>2.7932960893891192E-3</v>
      </c>
      <c r="H30" s="6">
        <v>4.7410679791102918E-3</v>
      </c>
      <c r="I30" s="6">
        <f t="shared" si="2"/>
        <v>-1.9385809456746728E-3</v>
      </c>
      <c r="J30" s="35">
        <v>2.5295000000000001</v>
      </c>
      <c r="K30" s="35">
        <v>4</v>
      </c>
      <c r="L30" s="6">
        <f t="shared" si="3"/>
        <v>-0.29415999999999998</v>
      </c>
      <c r="M30" s="6">
        <v>75583.428633273303</v>
      </c>
      <c r="N30" s="6">
        <v>109993.521451525</v>
      </c>
      <c r="O30" s="6">
        <f t="shared" si="4"/>
        <v>-0.30798132094812913</v>
      </c>
    </row>
    <row r="31" spans="1:15" x14ac:dyDescent="0.2">
      <c r="A31" s="6" t="s">
        <v>98</v>
      </c>
      <c r="B31" s="38">
        <v>2.1399999999999999E-2</v>
      </c>
      <c r="C31" s="38">
        <f t="shared" si="0"/>
        <v>0</v>
      </c>
      <c r="D31" s="6">
        <v>-2673.9719671810899</v>
      </c>
      <c r="E31" s="1">
        <v>-69073</v>
      </c>
      <c r="F31" s="6">
        <f t="shared" si="1"/>
        <v>-0.95040640287247324</v>
      </c>
      <c r="G31" s="6">
        <v>1.8570102135557361E-3</v>
      </c>
      <c r="H31" s="6">
        <v>4.0457909981098548E-3</v>
      </c>
      <c r="I31" s="6">
        <f t="shared" si="2"/>
        <v>-2.179961117488638E-3</v>
      </c>
      <c r="J31" s="35">
        <v>2.5295999999999998</v>
      </c>
      <c r="K31" s="35">
        <v>4</v>
      </c>
      <c r="L31" s="6">
        <f t="shared" si="3"/>
        <v>-0.29410000000000003</v>
      </c>
      <c r="M31" s="6">
        <v>75254.952195435006</v>
      </c>
      <c r="N31" s="6">
        <v>108148.611886044</v>
      </c>
      <c r="O31" s="6">
        <f t="shared" si="4"/>
        <v>-0.31283460634370186</v>
      </c>
    </row>
    <row r="32" spans="1:15" x14ac:dyDescent="0.2">
      <c r="A32" s="6" t="s">
        <v>99</v>
      </c>
      <c r="B32" s="38">
        <v>2.1299999999999999E-2</v>
      </c>
      <c r="C32" s="38">
        <f t="shared" si="0"/>
        <v>-4.6728971962616541E-3</v>
      </c>
      <c r="D32" s="6">
        <v>-2834.4893163689103</v>
      </c>
      <c r="E32" s="1">
        <v>-68792</v>
      </c>
      <c r="F32" s="6">
        <f t="shared" si="1"/>
        <v>-0.9613016567179018</v>
      </c>
      <c r="G32" s="6">
        <v>3.7071362372558454E-3</v>
      </c>
      <c r="H32" s="6">
        <v>3.284366167285893E-3</v>
      </c>
      <c r="I32" s="6">
        <f t="shared" si="2"/>
        <v>4.2138608377295661E-4</v>
      </c>
      <c r="J32" s="35">
        <v>2.5285000000000002</v>
      </c>
      <c r="K32" s="35">
        <v>3</v>
      </c>
      <c r="L32" s="6">
        <f t="shared" si="3"/>
        <v>-0.29408000000000001</v>
      </c>
      <c r="M32" s="6">
        <v>76948.264214304596</v>
      </c>
      <c r="N32" s="6">
        <v>109161.192899125</v>
      </c>
      <c r="O32" s="6">
        <f t="shared" si="4"/>
        <v>-0.30414958608699094</v>
      </c>
    </row>
    <row r="33" spans="1:15" x14ac:dyDescent="0.2">
      <c r="A33" s="6" t="s">
        <v>100</v>
      </c>
      <c r="B33" s="38">
        <v>2.1499999999999998E-2</v>
      </c>
      <c r="C33" s="38">
        <f t="shared" si="0"/>
        <v>9.3896713615022904E-3</v>
      </c>
      <c r="D33" s="6">
        <v>-2799.9217987976599</v>
      </c>
      <c r="E33" s="1">
        <v>-71199</v>
      </c>
      <c r="F33" s="6">
        <f t="shared" si="1"/>
        <v>-0.95881017405810487</v>
      </c>
      <c r="G33" s="6">
        <v>1.846722068328283E-3</v>
      </c>
      <c r="H33" s="6">
        <v>-1.618136404754508E-3</v>
      </c>
      <c r="I33" s="6">
        <f t="shared" si="2"/>
        <v>3.4704741736848455E-3</v>
      </c>
      <c r="J33" s="35">
        <v>2.5264000000000002</v>
      </c>
      <c r="K33" s="35">
        <v>3</v>
      </c>
      <c r="L33" s="6">
        <f t="shared" si="3"/>
        <v>-0.11787499999999995</v>
      </c>
      <c r="M33" s="6">
        <v>77000.817033938598</v>
      </c>
      <c r="N33" s="6">
        <v>109370.171511055</v>
      </c>
      <c r="O33" s="6">
        <f t="shared" si="4"/>
        <v>-0.29509235596419214</v>
      </c>
    </row>
    <row r="34" spans="1:15" x14ac:dyDescent="0.2">
      <c r="A34" s="6" t="s">
        <v>101</v>
      </c>
      <c r="B34" s="38">
        <v>2.0799999999999999E-2</v>
      </c>
      <c r="C34" s="38">
        <f t="shared" si="0"/>
        <v>-3.2558139534883686E-2</v>
      </c>
      <c r="D34" s="6">
        <v>-2556.2294847314397</v>
      </c>
      <c r="E34" s="1">
        <v>-76983</v>
      </c>
      <c r="F34" s="6">
        <f t="shared" si="1"/>
        <v>-0.96068819631453606</v>
      </c>
      <c r="G34" s="6">
        <v>0</v>
      </c>
      <c r="H34" s="6">
        <v>9.1843010789274208E-4</v>
      </c>
      <c r="I34" s="6">
        <f t="shared" si="2"/>
        <v>-9.1758736802738383E-4</v>
      </c>
      <c r="J34" s="35">
        <v>2.5263</v>
      </c>
      <c r="K34" s="35">
        <v>3</v>
      </c>
      <c r="L34" s="6">
        <f t="shared" si="3"/>
        <v>-0.11839999999999995</v>
      </c>
      <c r="M34" s="6">
        <v>77530.664641904601</v>
      </c>
      <c r="N34" s="6">
        <v>109271.82861875001</v>
      </c>
      <c r="O34" s="6">
        <f t="shared" si="4"/>
        <v>-0.295958743331597</v>
      </c>
    </row>
    <row r="35" spans="1:15" x14ac:dyDescent="0.2">
      <c r="A35" s="6" t="s">
        <v>102</v>
      </c>
      <c r="B35" s="38">
        <v>2.06E-2</v>
      </c>
      <c r="C35" s="38">
        <f t="shared" si="0"/>
        <v>-9.6153846153845569E-3</v>
      </c>
      <c r="D35" s="6">
        <v>-2447.6178619441298</v>
      </c>
      <c r="E35" s="1">
        <v>-66706</v>
      </c>
      <c r="F35" s="6">
        <f t="shared" si="1"/>
        <v>-0.96680744219776782</v>
      </c>
      <c r="G35" s="6">
        <v>1.8433179723497985E-3</v>
      </c>
      <c r="H35" s="6">
        <v>2.403995864619706E-3</v>
      </c>
      <c r="I35" s="6">
        <f t="shared" si="2"/>
        <v>-5.5933325743218187E-4</v>
      </c>
      <c r="J35" s="35">
        <v>2.5192999999999999</v>
      </c>
      <c r="K35" s="35">
        <v>3</v>
      </c>
      <c r="L35" s="6">
        <f t="shared" si="3"/>
        <v>-0.118425</v>
      </c>
      <c r="M35" s="6">
        <v>77832.143902898402</v>
      </c>
      <c r="N35" s="6">
        <v>111389.671500062</v>
      </c>
      <c r="O35" s="6">
        <f t="shared" si="4"/>
        <v>-0.29047627281242516</v>
      </c>
    </row>
    <row r="36" spans="1:15" x14ac:dyDescent="0.2">
      <c r="A36" s="6" t="s">
        <v>103</v>
      </c>
      <c r="B36" s="38">
        <v>2.0199999999999999E-2</v>
      </c>
      <c r="C36" s="38">
        <f t="shared" si="0"/>
        <v>-1.941747572815539E-2</v>
      </c>
      <c r="D36" s="6">
        <v>-2662.4982936283004</v>
      </c>
      <c r="E36" s="1">
        <v>-68943</v>
      </c>
      <c r="F36" s="6">
        <f t="shared" si="1"/>
        <v>-0.96332182202317473</v>
      </c>
      <c r="G36" s="6">
        <v>1.8399264029434518E-3</v>
      </c>
      <c r="H36" s="6">
        <v>1.2467485130187906E-3</v>
      </c>
      <c r="I36" s="6">
        <f t="shared" si="2"/>
        <v>5.9243926714924733E-4</v>
      </c>
      <c r="J36" s="35">
        <v>2.5013999999999998</v>
      </c>
      <c r="K36" s="35">
        <v>3</v>
      </c>
      <c r="L36" s="6">
        <f t="shared" si="3"/>
        <v>-0.12017500000000003</v>
      </c>
      <c r="M36" s="6">
        <v>76972.294336677296</v>
      </c>
      <c r="N36" s="6">
        <v>109978.8831349</v>
      </c>
      <c r="O36" s="6">
        <f t="shared" si="4"/>
        <v>-0.30125976569900581</v>
      </c>
    </row>
    <row r="37" spans="1:15" x14ac:dyDescent="0.2">
      <c r="A37" s="6" t="s">
        <v>104</v>
      </c>
      <c r="B37" s="38">
        <v>2.0199999999999999E-2</v>
      </c>
      <c r="C37" s="38">
        <f t="shared" si="0"/>
        <v>0</v>
      </c>
      <c r="D37" s="6">
        <v>-2914.90184111484</v>
      </c>
      <c r="E37" s="1">
        <v>-73543</v>
      </c>
      <c r="F37" s="6">
        <f t="shared" si="1"/>
        <v>-0.96139511047506165</v>
      </c>
      <c r="G37" s="6">
        <v>5.5096418732769508E-3</v>
      </c>
      <c r="H37" s="6">
        <v>-1.5554608673338005E-3</v>
      </c>
      <c r="I37" s="6">
        <f t="shared" si="2"/>
        <v>7.0761093518005858E-3</v>
      </c>
      <c r="J37" s="35">
        <v>2.5005999999999999</v>
      </c>
      <c r="K37" s="35">
        <v>3</v>
      </c>
      <c r="L37" s="6">
        <f t="shared" si="3"/>
        <v>-0.12465000000000004</v>
      </c>
      <c r="M37" s="6">
        <v>74049.007325041806</v>
      </c>
      <c r="N37" s="6">
        <v>107177.967932292</v>
      </c>
      <c r="O37" s="6">
        <f t="shared" si="4"/>
        <v>-0.30011478333485053</v>
      </c>
    </row>
    <row r="38" spans="1:15" x14ac:dyDescent="0.2">
      <c r="A38" s="6" t="s">
        <v>105</v>
      </c>
      <c r="B38" s="38">
        <v>2.01E-2</v>
      </c>
      <c r="C38" s="38">
        <f t="shared" si="0"/>
        <v>-4.9504950495049211E-3</v>
      </c>
      <c r="D38" s="6">
        <v>-2910.9154562024796</v>
      </c>
      <c r="E38" s="1">
        <v>-62406</v>
      </c>
      <c r="F38" s="6">
        <f t="shared" si="1"/>
        <v>-0.96037771829546603</v>
      </c>
      <c r="G38" s="6">
        <v>3.652968036528832E-3</v>
      </c>
      <c r="H38" s="6">
        <v>3.2732139231344024E-4</v>
      </c>
      <c r="I38" s="6">
        <f t="shared" si="2"/>
        <v>3.3245584451164767E-3</v>
      </c>
      <c r="J38" s="35">
        <v>2.5228000000000002</v>
      </c>
      <c r="K38" s="35">
        <v>3</v>
      </c>
      <c r="L38" s="6">
        <f t="shared" si="3"/>
        <v>-0.12485000000000002</v>
      </c>
      <c r="M38" s="6">
        <v>73432.698663632007</v>
      </c>
      <c r="N38" s="6">
        <v>106290.809152792</v>
      </c>
      <c r="O38" s="6">
        <f t="shared" si="4"/>
        <v>-0.30909945529778471</v>
      </c>
    </row>
    <row r="39" spans="1:15" x14ac:dyDescent="0.2">
      <c r="A39" s="6" t="s">
        <v>106</v>
      </c>
      <c r="B39" s="38">
        <v>0.02</v>
      </c>
      <c r="C39" s="38">
        <f t="shared" si="0"/>
        <v>-4.9751243781094223E-3</v>
      </c>
      <c r="D39" s="6">
        <v>-2822.5871309822605</v>
      </c>
      <c r="E39" s="1">
        <v>-73794</v>
      </c>
      <c r="F39" s="6">
        <f t="shared" si="1"/>
        <v>-0.9533704758240128</v>
      </c>
      <c r="G39" s="6">
        <v>3.6396724294805046E-3</v>
      </c>
      <c r="H39" s="6">
        <v>5.8277278902561583E-3</v>
      </c>
      <c r="I39" s="6">
        <f t="shared" si="2"/>
        <v>-2.1753779500244264E-3</v>
      </c>
      <c r="J39" s="35">
        <v>2.5318999999999998</v>
      </c>
      <c r="K39" s="35">
        <v>3</v>
      </c>
      <c r="L39" s="6">
        <f t="shared" si="3"/>
        <v>-0.11929999999999996</v>
      </c>
      <c r="M39" s="6">
        <v>73734.500913484706</v>
      </c>
      <c r="N39" s="6">
        <v>108141.622238222</v>
      </c>
      <c r="O39" s="6">
        <f t="shared" si="4"/>
        <v>-0.30913116213806491</v>
      </c>
    </row>
    <row r="40" spans="1:15" x14ac:dyDescent="0.2">
      <c r="A40" s="6" t="s">
        <v>107</v>
      </c>
      <c r="B40" s="38">
        <v>0.02</v>
      </c>
      <c r="C40" s="38">
        <f t="shared" si="0"/>
        <v>0</v>
      </c>
      <c r="D40" s="6">
        <v>-2059.6500498384703</v>
      </c>
      <c r="E40" s="1">
        <v>-55083</v>
      </c>
      <c r="F40" s="6">
        <f t="shared" si="1"/>
        <v>-0.96176348527662159</v>
      </c>
      <c r="G40" s="6">
        <v>3.62647325475891E-3</v>
      </c>
      <c r="H40" s="6">
        <v>3.1461173864190391E-3</v>
      </c>
      <c r="I40" s="6">
        <f t="shared" si="2"/>
        <v>4.7884935206776724E-4</v>
      </c>
      <c r="J40" s="35">
        <v>2.5348000000000002</v>
      </c>
      <c r="K40" s="35">
        <v>3</v>
      </c>
      <c r="L40" s="6">
        <f t="shared" si="3"/>
        <v>-0.11702500000000005</v>
      </c>
      <c r="M40" s="6">
        <v>73576.995154059405</v>
      </c>
      <c r="N40" s="6">
        <v>107240.16375252399</v>
      </c>
      <c r="O40" s="6">
        <f t="shared" si="4"/>
        <v>-0.31816429648749922</v>
      </c>
    </row>
    <row r="41" spans="1:15" x14ac:dyDescent="0.2">
      <c r="A41" s="6" t="s">
        <v>108</v>
      </c>
      <c r="B41" s="38">
        <v>1.9900000000000001E-2</v>
      </c>
      <c r="C41" s="38">
        <f t="shared" si="0"/>
        <v>-4.9999999999999697E-3</v>
      </c>
      <c r="D41" s="6">
        <v>-2573.1387866256</v>
      </c>
      <c r="E41" s="1">
        <v>-63838</v>
      </c>
      <c r="F41" s="6">
        <f t="shared" si="1"/>
        <v>-0.96262572074655117</v>
      </c>
      <c r="G41" s="6">
        <v>0</v>
      </c>
      <c r="H41" s="6">
        <v>8.1279787194648147E-4</v>
      </c>
      <c r="I41" s="6">
        <f t="shared" si="2"/>
        <v>-8.1213776809696547E-4</v>
      </c>
      <c r="J41" s="35">
        <v>2.5381999999999998</v>
      </c>
      <c r="K41" s="35">
        <v>3</v>
      </c>
      <c r="L41" s="6">
        <f t="shared" si="3"/>
        <v>-0.11629999999999996</v>
      </c>
      <c r="M41" s="6">
        <v>73005.901148555102</v>
      </c>
      <c r="N41" s="6">
        <v>107752.41102707799</v>
      </c>
      <c r="O41" s="6">
        <f t="shared" si="4"/>
        <v>-0.31390156000309444</v>
      </c>
    </row>
    <row r="42" spans="1:15" x14ac:dyDescent="0.2">
      <c r="A42" s="6" t="s">
        <v>109</v>
      </c>
      <c r="B42" s="38">
        <v>2.01E-2</v>
      </c>
      <c r="C42" s="38">
        <f t="shared" si="0"/>
        <v>1.0050251256281346E-2</v>
      </c>
      <c r="D42" s="6">
        <v>-2003.6040180967702</v>
      </c>
      <c r="E42" s="1">
        <v>-67611</v>
      </c>
      <c r="F42" s="6">
        <f t="shared" si="1"/>
        <v>-0.95970771203807193</v>
      </c>
      <c r="G42" s="6">
        <v>3.6133694670355048E-3</v>
      </c>
      <c r="H42" s="6">
        <v>2.9655333653305902E-3</v>
      </c>
      <c r="I42" s="6">
        <f t="shared" si="2"/>
        <v>6.4592060260637574E-4</v>
      </c>
      <c r="J42" s="35">
        <v>2.5920999999999998</v>
      </c>
      <c r="K42" s="35">
        <v>3</v>
      </c>
      <c r="L42" s="6">
        <f t="shared" si="3"/>
        <v>-0.11545000000000005</v>
      </c>
      <c r="M42" s="6">
        <v>74084.181324647594</v>
      </c>
      <c r="N42" s="6">
        <v>108984.923682605</v>
      </c>
      <c r="O42" s="6">
        <f t="shared" si="4"/>
        <v>-0.32246320137179907</v>
      </c>
    </row>
    <row r="43" spans="1:15" x14ac:dyDescent="0.2">
      <c r="A43" s="6" t="s">
        <v>110</v>
      </c>
      <c r="B43" s="38">
        <v>1.9800000000000002E-2</v>
      </c>
      <c r="C43" s="38">
        <f t="shared" si="0"/>
        <v>-1.4925373134328268E-2</v>
      </c>
      <c r="D43" s="6">
        <v>-3079.5030115951104</v>
      </c>
      <c r="E43" s="1">
        <v>-78568</v>
      </c>
      <c r="F43" s="6">
        <f t="shared" si="1"/>
        <v>-0.97038006185332393</v>
      </c>
      <c r="G43" s="6">
        <v>-9.0009000900483722E-4</v>
      </c>
      <c r="H43" s="6">
        <v>8.5472182689075413E-4</v>
      </c>
      <c r="I43" s="6">
        <f t="shared" si="2"/>
        <v>-1.7533132407994145E-3</v>
      </c>
      <c r="J43" s="35">
        <v>2.5832000000000002</v>
      </c>
      <c r="K43" s="35">
        <v>3</v>
      </c>
      <c r="L43" s="6">
        <f t="shared" si="3"/>
        <v>-0.10197500000000004</v>
      </c>
      <c r="M43" s="6">
        <v>74175.235751770597</v>
      </c>
      <c r="N43" s="6">
        <v>110664.584325405</v>
      </c>
      <c r="O43" s="6">
        <f t="shared" si="4"/>
        <v>-0.32023165174612211</v>
      </c>
    </row>
    <row r="44" spans="1:15" x14ac:dyDescent="0.2">
      <c r="A44" s="6" t="s">
        <v>111</v>
      </c>
      <c r="B44" s="38">
        <v>1.9800000000000002E-2</v>
      </c>
      <c r="C44" s="38">
        <f t="shared" si="0"/>
        <v>0</v>
      </c>
      <c r="D44" s="6">
        <v>-2038.8324195939504</v>
      </c>
      <c r="E44" s="1">
        <v>-71292</v>
      </c>
      <c r="F44" s="6">
        <f t="shared" si="1"/>
        <v>-0.96081684407454648</v>
      </c>
      <c r="G44" s="6">
        <v>0</v>
      </c>
      <c r="H44" s="6">
        <v>9.0711101486083028E-4</v>
      </c>
      <c r="I44" s="6">
        <f t="shared" si="2"/>
        <v>-9.0628891020771984E-4</v>
      </c>
      <c r="J44" s="35">
        <v>2.5754000000000001</v>
      </c>
      <c r="K44" s="35">
        <v>3</v>
      </c>
      <c r="L44" s="6">
        <f t="shared" si="3"/>
        <v>-0.10419999999999996</v>
      </c>
      <c r="M44" s="6">
        <v>73485.940777119293</v>
      </c>
      <c r="N44" s="6">
        <v>110974.138791562</v>
      </c>
      <c r="O44" s="6">
        <f t="shared" si="4"/>
        <v>-0.3297262540659418</v>
      </c>
    </row>
    <row r="45" spans="1:15" x14ac:dyDescent="0.2">
      <c r="A45" s="6" t="s">
        <v>112</v>
      </c>
      <c r="B45" s="38">
        <v>1.9599999999999999E-2</v>
      </c>
      <c r="C45" s="38">
        <f t="shared" si="0"/>
        <v>-1.0101010101010215E-2</v>
      </c>
      <c r="D45" s="6">
        <v>-1719.82843741125</v>
      </c>
      <c r="E45" s="1">
        <v>-75539</v>
      </c>
      <c r="F45" s="6">
        <f t="shared" si="1"/>
        <v>-0.97141529197803433</v>
      </c>
      <c r="G45" s="6">
        <v>9.0090090090484513E-4</v>
      </c>
      <c r="H45" s="6">
        <v>-6.8992263884839566E-4</v>
      </c>
      <c r="I45" s="6">
        <f t="shared" si="2"/>
        <v>1.5919218426718729E-3</v>
      </c>
      <c r="J45" s="35">
        <v>2.5863999999999998</v>
      </c>
      <c r="K45" s="35">
        <v>3</v>
      </c>
      <c r="L45" s="6">
        <f t="shared" si="3"/>
        <v>-0.10614999999999997</v>
      </c>
      <c r="M45" s="6">
        <v>73061.907223418995</v>
      </c>
      <c r="N45" s="6">
        <v>112648.483004906</v>
      </c>
      <c r="O45" s="6">
        <f t="shared" si="4"/>
        <v>-0.33780717395501125</v>
      </c>
    </row>
    <row r="46" spans="1:15" x14ac:dyDescent="0.2">
      <c r="A46" s="6" t="s">
        <v>113</v>
      </c>
      <c r="B46" s="38">
        <v>1.95E-2</v>
      </c>
      <c r="C46" s="38">
        <f t="shared" si="0"/>
        <v>-5.1020408163264998E-3</v>
      </c>
      <c r="D46" s="6">
        <v>-3260.6178202474994</v>
      </c>
      <c r="E46" s="1">
        <v>-78355</v>
      </c>
      <c r="F46" s="6">
        <f t="shared" si="1"/>
        <v>-0.97724551302111184</v>
      </c>
      <c r="G46" s="6">
        <v>1.8001800180013731E-3</v>
      </c>
      <c r="H46" s="6">
        <v>2.9944522971076374E-3</v>
      </c>
      <c r="I46" s="6">
        <f t="shared" si="2"/>
        <v>-1.1907067645001712E-3</v>
      </c>
      <c r="J46" s="35">
        <v>2.5739999999999998</v>
      </c>
      <c r="K46" s="35">
        <v>3</v>
      </c>
      <c r="L46" s="6">
        <f t="shared" si="3"/>
        <v>-0.10340000000000005</v>
      </c>
      <c r="M46" s="6">
        <v>73289.692712443299</v>
      </c>
      <c r="N46" s="6">
        <v>113475.34791855099</v>
      </c>
      <c r="O46" s="6">
        <f t="shared" si="4"/>
        <v>-0.35141373689005717</v>
      </c>
    </row>
    <row r="47" spans="1:15" x14ac:dyDescent="0.2">
      <c r="A47" s="6" t="s">
        <v>114</v>
      </c>
      <c r="B47" s="38">
        <v>1.9400000000000001E-2</v>
      </c>
      <c r="C47" s="38">
        <f t="shared" si="0"/>
        <v>-5.128205128205097E-3</v>
      </c>
      <c r="D47" s="6">
        <v>-2199.2408007189606</v>
      </c>
      <c r="E47" s="1">
        <v>-70086</v>
      </c>
      <c r="F47" s="6">
        <f t="shared" si="1"/>
        <v>-0.95839883324083641</v>
      </c>
      <c r="G47" s="6">
        <v>6.2893081760949966E-3</v>
      </c>
      <c r="H47" s="6">
        <v>5.2949058932332919E-3</v>
      </c>
      <c r="I47" s="6">
        <f t="shared" si="2"/>
        <v>9.8916474860510917E-4</v>
      </c>
      <c r="J47" s="35">
        <v>2.5855000000000001</v>
      </c>
      <c r="K47" s="35">
        <v>3</v>
      </c>
      <c r="L47" s="6">
        <f t="shared" si="3"/>
        <v>-0.10650000000000004</v>
      </c>
      <c r="M47" s="6">
        <v>72897.328132601295</v>
      </c>
      <c r="N47" s="6">
        <v>112822.10740489799</v>
      </c>
      <c r="O47" s="6">
        <f t="shared" si="4"/>
        <v>-0.35413243326222865</v>
      </c>
    </row>
    <row r="48" spans="1:15" x14ac:dyDescent="0.2">
      <c r="A48" s="6" t="s">
        <v>115</v>
      </c>
      <c r="B48" s="38">
        <v>1.9900000000000001E-2</v>
      </c>
      <c r="C48" s="38">
        <f t="shared" si="0"/>
        <v>2.5773195876288683E-2</v>
      </c>
      <c r="D48" s="6">
        <v>-3106.7734251596594</v>
      </c>
      <c r="E48" s="1">
        <v>-80413</v>
      </c>
      <c r="F48" s="6">
        <f t="shared" si="1"/>
        <v>-0.9686346464904193</v>
      </c>
      <c r="G48" s="6">
        <v>2.6785714285749267E-3</v>
      </c>
      <c r="H48" s="6">
        <v>-6.3204210372786666E-4</v>
      </c>
      <c r="I48" s="6">
        <f t="shared" si="2"/>
        <v>3.3127073027954257E-3</v>
      </c>
      <c r="J48" s="35">
        <v>2.6989000000000001</v>
      </c>
      <c r="K48" s="35">
        <v>3</v>
      </c>
      <c r="L48" s="6">
        <f t="shared" si="3"/>
        <v>-0.10362499999999997</v>
      </c>
      <c r="M48" s="6">
        <v>72353.853101644505</v>
      </c>
      <c r="N48" s="6">
        <v>111590.76675613401</v>
      </c>
      <c r="O48" s="6">
        <f t="shared" si="4"/>
        <v>-0.35387058724606124</v>
      </c>
    </row>
    <row r="49" spans="1:15" x14ac:dyDescent="0.2">
      <c r="A49" s="6" t="s">
        <v>116</v>
      </c>
      <c r="B49" s="38">
        <v>0.02</v>
      </c>
      <c r="C49" s="38">
        <f t="shared" si="0"/>
        <v>5.0251256281406732E-3</v>
      </c>
      <c r="D49" s="6">
        <v>-3812.13342515971</v>
      </c>
      <c r="E49" s="1">
        <v>-77936</v>
      </c>
      <c r="F49" s="6">
        <f t="shared" si="1"/>
        <v>-0.96137674196438772</v>
      </c>
      <c r="G49" s="6">
        <v>4.4523597506627034E-3</v>
      </c>
      <c r="H49" s="6">
        <v>2.4324685901024721E-5</v>
      </c>
      <c r="I49" s="6">
        <f t="shared" si="2"/>
        <v>4.4279273568195165E-3</v>
      </c>
      <c r="J49" s="35">
        <v>2.7067999999999999</v>
      </c>
      <c r="K49" s="35">
        <v>3</v>
      </c>
      <c r="L49" s="6">
        <f t="shared" si="3"/>
        <v>-7.5274999999999981E-2</v>
      </c>
      <c r="M49" s="6">
        <v>72264.327001274607</v>
      </c>
      <c r="N49" s="6">
        <v>112387.596779952</v>
      </c>
      <c r="O49" s="6">
        <f t="shared" si="4"/>
        <v>-0.35161118777011136</v>
      </c>
    </row>
    <row r="50" spans="1:15" x14ac:dyDescent="0.2">
      <c r="A50" s="6" t="s">
        <v>117</v>
      </c>
      <c r="B50" s="38">
        <v>1.95E-2</v>
      </c>
      <c r="C50" s="38">
        <f t="shared" si="0"/>
        <v>-2.5000000000000022E-2</v>
      </c>
      <c r="D50" s="6">
        <v>-4512.1378590078311</v>
      </c>
      <c r="E50" s="1">
        <v>-69686</v>
      </c>
      <c r="F50" s="6">
        <f t="shared" si="1"/>
        <v>-0.95109856386527603</v>
      </c>
      <c r="G50" s="6">
        <v>2.659574468088584E-3</v>
      </c>
      <c r="H50" s="6">
        <v>-5.8783227725786992E-4</v>
      </c>
      <c r="I50" s="6">
        <f t="shared" si="2"/>
        <v>3.249316798639823E-3</v>
      </c>
      <c r="J50" s="35">
        <v>3.0676999999999999</v>
      </c>
      <c r="K50" s="35">
        <v>3</v>
      </c>
      <c r="L50" s="6">
        <f t="shared" si="3"/>
        <v>-7.3300000000000032E-2</v>
      </c>
      <c r="M50" s="6">
        <v>73228.467060839801</v>
      </c>
      <c r="N50" s="6">
        <v>112251.905534783</v>
      </c>
      <c r="O50" s="6">
        <f t="shared" si="4"/>
        <v>-0.35700481123752781</v>
      </c>
    </row>
    <row r="51" spans="1:15" x14ac:dyDescent="0.2">
      <c r="A51" s="6" t="s">
        <v>118</v>
      </c>
      <c r="B51" s="38">
        <v>1.9199999999999998E-2</v>
      </c>
      <c r="C51" s="38">
        <f t="shared" si="0"/>
        <v>-1.5384615384615469E-2</v>
      </c>
      <c r="D51" s="6">
        <v>-3721.9553079999505</v>
      </c>
      <c r="E51" s="1">
        <v>-84147</v>
      </c>
      <c r="F51" s="6">
        <f t="shared" si="1"/>
        <v>-0.93526386081641921</v>
      </c>
      <c r="G51" s="6">
        <v>8.8417329796619537E-3</v>
      </c>
      <c r="H51" s="6">
        <v>5.4477454527778382E-3</v>
      </c>
      <c r="I51" s="6">
        <f t="shared" si="2"/>
        <v>3.3755981275342961E-3</v>
      </c>
      <c r="J51" s="35">
        <v>3.090245055</v>
      </c>
      <c r="K51" s="35">
        <v>3</v>
      </c>
      <c r="L51" s="6">
        <f t="shared" si="3"/>
        <v>1.6925000000000079E-2</v>
      </c>
      <c r="M51" s="6">
        <v>72723.3041171355</v>
      </c>
      <c r="N51" s="6">
        <v>115173.42338350799</v>
      </c>
      <c r="O51" s="6">
        <f t="shared" si="4"/>
        <v>-0.34763856033865681</v>
      </c>
    </row>
    <row r="52" spans="1:15" x14ac:dyDescent="0.2">
      <c r="A52" s="6" t="s">
        <v>119</v>
      </c>
      <c r="B52" s="38">
        <v>1.9199999999999998E-2</v>
      </c>
      <c r="C52" s="38">
        <f t="shared" si="0"/>
        <v>0</v>
      </c>
      <c r="D52" s="6">
        <v>-2952.9233367922598</v>
      </c>
      <c r="E52" s="1">
        <v>-64711</v>
      </c>
      <c r="F52" s="6">
        <f t="shared" si="1"/>
        <v>-0.95577977196777086</v>
      </c>
      <c r="G52" s="6">
        <v>7.2016460905403659E-3</v>
      </c>
      <c r="H52" s="6">
        <v>4.5346899748607093E-3</v>
      </c>
      <c r="I52" s="6">
        <f t="shared" si="2"/>
        <v>2.6549168906715437E-3</v>
      </c>
      <c r="J52" s="35">
        <v>3.075747008</v>
      </c>
      <c r="K52" s="35">
        <v>3</v>
      </c>
      <c r="L52" s="6">
        <f t="shared" si="3"/>
        <v>2.2561263750000116E-2</v>
      </c>
      <c r="M52" s="6">
        <v>72123.755488032897</v>
      </c>
      <c r="N52" s="6">
        <v>114684.036338071</v>
      </c>
      <c r="O52" s="6">
        <f t="shared" si="4"/>
        <v>-0.3685724488068155</v>
      </c>
    </row>
    <row r="53" spans="1:15" x14ac:dyDescent="0.2">
      <c r="A53" s="6" t="s">
        <v>120</v>
      </c>
      <c r="B53" s="38">
        <v>1.9400000000000001E-2</v>
      </c>
      <c r="C53" s="38">
        <f t="shared" si="0"/>
        <v>1.0416666666666786E-2</v>
      </c>
      <c r="D53" s="6">
        <v>-2805.8715976922294</v>
      </c>
      <c r="E53" s="1">
        <v>-64672</v>
      </c>
      <c r="F53" s="6">
        <f t="shared" si="1"/>
        <v>-0.95438226955969307</v>
      </c>
      <c r="G53" s="6">
        <v>5.1072522982592364E-3</v>
      </c>
      <c r="H53" s="6">
        <v>2.2611259041514027E-3</v>
      </c>
      <c r="I53" s="6">
        <f t="shared" si="2"/>
        <v>2.8397054625262097E-3</v>
      </c>
      <c r="J53" s="35">
        <v>3.072619687</v>
      </c>
      <c r="K53" s="35">
        <v>3</v>
      </c>
      <c r="L53" s="6">
        <f t="shared" si="3"/>
        <v>1.8936752000000112E-2</v>
      </c>
      <c r="M53" s="6">
        <v>72136.141824828403</v>
      </c>
      <c r="N53" s="6">
        <v>115331.27223717399</v>
      </c>
      <c r="O53" s="6">
        <f t="shared" si="4"/>
        <v>-0.37110578859283783</v>
      </c>
    </row>
    <row r="54" spans="1:15" x14ac:dyDescent="0.2">
      <c r="A54" s="6" t="s">
        <v>121</v>
      </c>
      <c r="B54" s="38">
        <v>1.9E-2</v>
      </c>
      <c r="C54" s="38">
        <f t="shared" si="0"/>
        <v>-2.0618556701030983E-2</v>
      </c>
      <c r="D54" s="6">
        <v>-4216.677607459701</v>
      </c>
      <c r="E54" s="1">
        <v>-73363</v>
      </c>
      <c r="F54" s="6">
        <f t="shared" si="1"/>
        <v>-0.9566286032736121</v>
      </c>
      <c r="G54" s="6">
        <v>4.0650406504095567E-3</v>
      </c>
      <c r="H54" s="6">
        <v>3.9750915633449306E-3</v>
      </c>
      <c r="I54" s="6">
        <f t="shared" si="2"/>
        <v>8.9592946897143477E-5</v>
      </c>
      <c r="J54" s="35">
        <v>3.1651066179999998</v>
      </c>
      <c r="K54" s="35">
        <v>3</v>
      </c>
      <c r="L54" s="6">
        <f t="shared" si="3"/>
        <v>1.8154921749999886E-2</v>
      </c>
      <c r="M54" s="6">
        <v>71361.459026491197</v>
      </c>
      <c r="N54" s="6">
        <v>113499.030118572</v>
      </c>
      <c r="O54" s="6">
        <f t="shared" si="4"/>
        <v>-0.37452769788075757</v>
      </c>
    </row>
    <row r="55" spans="1:15" x14ac:dyDescent="0.2">
      <c r="A55" s="6" t="s">
        <v>122</v>
      </c>
      <c r="B55" s="38">
        <v>1.8700000000000001E-2</v>
      </c>
      <c r="C55" s="38">
        <f t="shared" si="0"/>
        <v>-1.578947368421043E-2</v>
      </c>
      <c r="D55" s="6">
        <v>-4437.3569347800503</v>
      </c>
      <c r="E55" s="1">
        <v>-78146</v>
      </c>
      <c r="F55" s="6">
        <f t="shared" si="1"/>
        <v>-0.94253595039039695</v>
      </c>
      <c r="G55" s="6">
        <v>2.0242914979692137E-3</v>
      </c>
      <c r="H55" s="6">
        <v>4.158916925432769E-3</v>
      </c>
      <c r="I55" s="6">
        <f t="shared" si="2"/>
        <v>-2.1257844664662739E-3</v>
      </c>
      <c r="J55" s="35">
        <v>3.2996589049999998</v>
      </c>
      <c r="K55" s="35">
        <v>3.25</v>
      </c>
      <c r="L55" s="6">
        <f t="shared" si="3"/>
        <v>4.1276654499999843E-2</v>
      </c>
      <c r="M55" s="6">
        <v>71005.733286937306</v>
      </c>
      <c r="N55" s="6">
        <v>111803.22911422</v>
      </c>
      <c r="O55" s="6">
        <f t="shared" si="4"/>
        <v>-0.37125603445268018</v>
      </c>
    </row>
    <row r="56" spans="1:15" x14ac:dyDescent="0.2">
      <c r="A56" s="6" t="s">
        <v>123</v>
      </c>
      <c r="B56" s="38">
        <v>1.89E-2</v>
      </c>
      <c r="C56" s="38">
        <f t="shared" si="0"/>
        <v>1.0695187165775336E-2</v>
      </c>
      <c r="D56" s="6">
        <v>-4092.3598950297992</v>
      </c>
      <c r="E56" s="1">
        <v>-73449</v>
      </c>
      <c r="F56" s="6">
        <f t="shared" si="1"/>
        <v>-0.94322916456868577</v>
      </c>
      <c r="G56" s="6">
        <v>4.0404040404070883E-3</v>
      </c>
      <c r="H56" s="6">
        <v>1.5938757015524626E-3</v>
      </c>
      <c r="I56" s="6">
        <f t="shared" si="2"/>
        <v>2.4426350821493692E-3</v>
      </c>
      <c r="J56" s="35">
        <v>3.5012748440000001</v>
      </c>
      <c r="K56" s="35">
        <v>3.5</v>
      </c>
      <c r="L56" s="6">
        <f t="shared" si="3"/>
        <v>1.168444823529402E-2</v>
      </c>
      <c r="M56" s="6">
        <v>69611.931461673201</v>
      </c>
      <c r="N56" s="6">
        <v>114057.674980992</v>
      </c>
      <c r="O56" s="6">
        <f t="shared" si="4"/>
        <v>-0.36490118621187106</v>
      </c>
    </row>
    <row r="57" spans="1:15" x14ac:dyDescent="0.2">
      <c r="A57" s="6" t="s">
        <v>124</v>
      </c>
      <c r="B57" s="38">
        <v>1.8700000000000001E-2</v>
      </c>
      <c r="C57" s="38">
        <f t="shared" si="0"/>
        <v>-1.0582010582010517E-2</v>
      </c>
      <c r="D57" s="6">
        <v>-4590.2984541362102</v>
      </c>
      <c r="E57" s="1">
        <v>-89560</v>
      </c>
      <c r="F57" s="6">
        <f t="shared" si="1"/>
        <v>-0.94429582977031645</v>
      </c>
      <c r="G57" s="6">
        <v>8.0482897384286135E-3</v>
      </c>
      <c r="H57" s="6">
        <v>6.7463262283243275E-5</v>
      </c>
      <c r="I57" s="6">
        <f t="shared" si="2"/>
        <v>7.980288099876276E-3</v>
      </c>
      <c r="J57" s="35">
        <v>3.6425779010000001</v>
      </c>
      <c r="K57" s="35">
        <v>3.5</v>
      </c>
      <c r="L57" s="6">
        <f t="shared" si="3"/>
        <v>2.8329866666676473E-4</v>
      </c>
      <c r="M57" s="6">
        <v>68934.110006215007</v>
      </c>
      <c r="N57" s="6">
        <v>113653.31805214399</v>
      </c>
      <c r="O57" s="6">
        <f t="shared" si="4"/>
        <v>-0.38967438054778147</v>
      </c>
    </row>
    <row r="58" spans="1:15" x14ac:dyDescent="0.2">
      <c r="A58" s="6" t="s">
        <v>125</v>
      </c>
      <c r="B58" s="38">
        <v>1.8599999999999998E-2</v>
      </c>
      <c r="C58" s="38">
        <f t="shared" si="0"/>
        <v>-5.3475935828878537E-3</v>
      </c>
      <c r="D58" s="6">
        <v>-4044.4105175088898</v>
      </c>
      <c r="E58" s="1">
        <v>-88815</v>
      </c>
      <c r="F58" s="6">
        <f t="shared" si="1"/>
        <v>-0.94875670279775104</v>
      </c>
      <c r="G58" s="6">
        <v>8.9820359281505054E-3</v>
      </c>
      <c r="H58" s="6">
        <v>5.5554232835966922E-4</v>
      </c>
      <c r="I58" s="6">
        <f t="shared" si="2"/>
        <v>8.4218149251182872E-3</v>
      </c>
      <c r="J58" s="35">
        <v>3.9895</v>
      </c>
      <c r="K58" s="35">
        <v>4</v>
      </c>
      <c r="L58" s="6">
        <f t="shared" si="3"/>
        <v>3.1683978000000002E-2</v>
      </c>
      <c r="M58" s="6">
        <v>70311.814209780001</v>
      </c>
      <c r="N58" s="6">
        <v>113488.280448559</v>
      </c>
      <c r="O58" s="6">
        <f t="shared" si="4"/>
        <v>-0.39346686348874182</v>
      </c>
    </row>
    <row r="59" spans="1:15" x14ac:dyDescent="0.2">
      <c r="A59" s="6" t="s">
        <v>126</v>
      </c>
      <c r="B59" s="38">
        <v>1.8700000000000001E-2</v>
      </c>
      <c r="C59" s="38">
        <f t="shared" si="0"/>
        <v>5.3763440860216602E-3</v>
      </c>
      <c r="D59" s="6">
        <v>-4608.6993598667696</v>
      </c>
      <c r="E59" s="1">
        <v>-78731</v>
      </c>
      <c r="F59" s="6">
        <f t="shared" si="1"/>
        <v>-0.95447327541256011</v>
      </c>
      <c r="G59" s="6">
        <v>9.8911968348164587E-3</v>
      </c>
      <c r="H59" s="6">
        <v>1.162025175882795E-3</v>
      </c>
      <c r="I59" s="6">
        <f t="shared" si="2"/>
        <v>8.7190399150429698E-3</v>
      </c>
      <c r="J59" s="35">
        <v>4.2209000000000003</v>
      </c>
      <c r="K59" s="35">
        <v>4.5</v>
      </c>
      <c r="L59" s="6">
        <f t="shared" si="3"/>
        <v>-2.1000000000001018E-3</v>
      </c>
      <c r="M59" s="6">
        <v>67361.505983502197</v>
      </c>
      <c r="N59" s="6">
        <v>112687.595620951</v>
      </c>
      <c r="O59" s="6">
        <f t="shared" si="4"/>
        <v>-0.38044532548031695</v>
      </c>
    </row>
    <row r="60" spans="1:15" x14ac:dyDescent="0.2">
      <c r="A60" s="6" t="s">
        <v>127</v>
      </c>
      <c r="B60" s="38">
        <v>1.9099999999999999E-2</v>
      </c>
      <c r="C60" s="38">
        <f t="shared" si="0"/>
        <v>2.1390374331550673E-2</v>
      </c>
      <c r="D60" s="6">
        <v>-5161.1628429307102</v>
      </c>
      <c r="E60" s="1">
        <v>-95998</v>
      </c>
      <c r="F60" s="6">
        <f t="shared" si="1"/>
        <v>-0.94147466836191074</v>
      </c>
      <c r="G60" s="6">
        <v>1.9588638589556253E-3</v>
      </c>
      <c r="H60" s="6">
        <v>1.7667634557260233E-3</v>
      </c>
      <c r="I60" s="6">
        <f t="shared" si="2"/>
        <v>1.9176160583200819E-4</v>
      </c>
      <c r="J60" s="35">
        <v>4.6445999999999996</v>
      </c>
      <c r="K60" s="35">
        <v>4.5</v>
      </c>
      <c r="L60" s="6">
        <f t="shared" si="3"/>
        <v>-5.0745454545454538E-2</v>
      </c>
      <c r="M60" s="6">
        <v>66846.830684418397</v>
      </c>
      <c r="N60" s="6">
        <v>112530.79119593601</v>
      </c>
      <c r="O60" s="6">
        <f t="shared" si="4"/>
        <v>-0.40222428354606099</v>
      </c>
    </row>
    <row r="61" spans="1:15" x14ac:dyDescent="0.2">
      <c r="A61" s="6" t="s">
        <v>128</v>
      </c>
      <c r="B61" s="38">
        <v>1.9E-2</v>
      </c>
      <c r="C61" s="38">
        <f t="shared" si="0"/>
        <v>-5.2356020942408059E-3</v>
      </c>
      <c r="D61" s="6">
        <v>-4649.3102654389604</v>
      </c>
      <c r="E61" s="1">
        <v>-79797</v>
      </c>
      <c r="F61" s="6">
        <f t="shared" si="1"/>
        <v>-0.94624662392646952</v>
      </c>
      <c r="G61" s="6">
        <v>-2.9325513196425952E-3</v>
      </c>
      <c r="H61" s="6">
        <v>-3.3493485181012423E-3</v>
      </c>
      <c r="I61" s="6">
        <f t="shared" si="2"/>
        <v>4.1819788893815435E-4</v>
      </c>
      <c r="J61" s="35">
        <v>4.7721</v>
      </c>
      <c r="K61" s="35">
        <v>4.75</v>
      </c>
      <c r="L61" s="6">
        <f t="shared" si="3"/>
        <v>2.629090909090892E-2</v>
      </c>
      <c r="M61" s="6">
        <v>67905.997202501996</v>
      </c>
      <c r="N61" s="6">
        <v>112460.579700256</v>
      </c>
      <c r="O61" s="6">
        <f t="shared" si="4"/>
        <v>-0.40596492800842798</v>
      </c>
    </row>
    <row r="62" spans="1:15" x14ac:dyDescent="0.2">
      <c r="A62" s="6" t="s">
        <v>129</v>
      </c>
      <c r="B62" s="38">
        <v>1.9199999999999998E-2</v>
      </c>
      <c r="C62" s="38">
        <f t="shared" si="0"/>
        <v>1.0526315789473622E-2</v>
      </c>
      <c r="D62" s="6">
        <v>-4740.6757970914305</v>
      </c>
      <c r="E62" s="1">
        <v>-78852</v>
      </c>
      <c r="F62" s="6">
        <f t="shared" si="1"/>
        <v>-0.94174757800592812</v>
      </c>
      <c r="G62" s="6">
        <v>-5.8823529411808134E-3</v>
      </c>
      <c r="H62" s="6">
        <v>-3.1939628151234872E-3</v>
      </c>
      <c r="I62" s="6">
        <f t="shared" si="2"/>
        <v>-2.697004257367519E-3</v>
      </c>
      <c r="J62" s="35">
        <v>4.9478</v>
      </c>
      <c r="K62" s="35">
        <v>4.75</v>
      </c>
      <c r="L62" s="6">
        <f t="shared" si="3"/>
        <v>3.843478260869615E-3</v>
      </c>
      <c r="M62" s="6">
        <v>71039.872169454495</v>
      </c>
      <c r="N62" s="6">
        <v>114756.990011769</v>
      </c>
      <c r="O62" s="6">
        <f t="shared" si="4"/>
        <v>-0.39617603288612335</v>
      </c>
    </row>
    <row r="63" spans="1:15" x14ac:dyDescent="0.2">
      <c r="A63" s="6" t="s">
        <v>130</v>
      </c>
      <c r="B63" s="38">
        <v>1.9300000000000001E-2</v>
      </c>
      <c r="C63" s="38">
        <f t="shared" si="0"/>
        <v>5.2083333333334831E-3</v>
      </c>
      <c r="D63" s="6">
        <v>-4814.1236114889607</v>
      </c>
      <c r="E63" s="1">
        <v>-81211</v>
      </c>
      <c r="F63" s="6">
        <f t="shared" si="1"/>
        <v>-0.9398907331918247</v>
      </c>
      <c r="G63" s="6">
        <v>9.8619329388626017E-4</v>
      </c>
      <c r="H63" s="6">
        <v>1.9065966652426717E-3</v>
      </c>
      <c r="I63" s="6">
        <f t="shared" si="2"/>
        <v>-9.1865187275941285E-4</v>
      </c>
      <c r="J63" s="35">
        <v>5.0983999999999998</v>
      </c>
      <c r="K63" s="35">
        <v>4.75</v>
      </c>
      <c r="L63" s="6">
        <f t="shared" si="3"/>
        <v>3.4399999999999986E-2</v>
      </c>
      <c r="M63" s="6">
        <v>74079.957876907996</v>
      </c>
      <c r="N63" s="6">
        <v>115316.347258895</v>
      </c>
      <c r="O63" s="6">
        <f t="shared" si="4"/>
        <v>-0.38095053632283993</v>
      </c>
    </row>
    <row r="64" spans="1:15" x14ac:dyDescent="0.2">
      <c r="A64" s="6" t="s">
        <v>131</v>
      </c>
      <c r="B64" s="38">
        <v>1.9E-2</v>
      </c>
      <c r="C64" s="38">
        <f t="shared" si="0"/>
        <v>-1.5544041450777287E-2</v>
      </c>
      <c r="D64" s="6">
        <v>-3170.6998246792391</v>
      </c>
      <c r="E64" s="1">
        <v>-61122</v>
      </c>
      <c r="F64" s="6">
        <f t="shared" si="1"/>
        <v>-0.94073237764451467</v>
      </c>
      <c r="G64" s="6">
        <v>9.8522167487750468E-4</v>
      </c>
      <c r="H64" s="6">
        <v>4.2270531400944375E-3</v>
      </c>
      <c r="I64" s="6">
        <f t="shared" si="2"/>
        <v>-3.2281857524950608E-3</v>
      </c>
      <c r="J64" s="35">
        <v>5.1138000000000003</v>
      </c>
      <c r="K64" s="35">
        <v>4.75</v>
      </c>
      <c r="L64" s="6">
        <f t="shared" si="3"/>
        <v>6.0591304347826114E-2</v>
      </c>
      <c r="M64" s="6">
        <v>74421.440346085001</v>
      </c>
      <c r="N64" s="6">
        <v>114786.394373595</v>
      </c>
      <c r="O64" s="6">
        <f t="shared" si="4"/>
        <v>-0.35759051315504686</v>
      </c>
    </row>
    <row r="65" spans="1:15" x14ac:dyDescent="0.2">
      <c r="A65" s="6" t="s">
        <v>132</v>
      </c>
      <c r="B65" s="38">
        <v>1.9199999999999998E-2</v>
      </c>
      <c r="C65" s="38">
        <f t="shared" si="0"/>
        <v>1.0526315789473622E-2</v>
      </c>
      <c r="D65" s="6">
        <v>-3852.6767928324389</v>
      </c>
      <c r="E65" s="1">
        <v>-65192</v>
      </c>
      <c r="F65" s="6">
        <f t="shared" si="1"/>
        <v>-0.94814057648469041</v>
      </c>
      <c r="G65" s="6">
        <v>9.8425196850481411E-4</v>
      </c>
      <c r="H65" s="6">
        <v>5.6413583568060109E-3</v>
      </c>
      <c r="I65" s="6">
        <f t="shared" si="2"/>
        <v>-4.6309813628894192E-3</v>
      </c>
      <c r="J65" s="35">
        <v>5.1745000000000001</v>
      </c>
      <c r="K65" s="35">
        <v>4.75</v>
      </c>
      <c r="L65" s="6">
        <f t="shared" si="3"/>
        <v>6.3269565217391355E-2</v>
      </c>
      <c r="M65" s="6">
        <v>75399.249839088894</v>
      </c>
      <c r="N65" s="6">
        <v>114133.955979611</v>
      </c>
      <c r="O65" s="6">
        <f t="shared" si="4"/>
        <v>-0.35164971073509543</v>
      </c>
    </row>
    <row r="66" spans="1:15" x14ac:dyDescent="0.2">
      <c r="A66" s="6" t="s">
        <v>133</v>
      </c>
      <c r="B66" s="38">
        <v>1.9199999999999998E-2</v>
      </c>
      <c r="C66" s="38">
        <f t="shared" si="0"/>
        <v>0</v>
      </c>
      <c r="D66" s="6">
        <v>-4311.0424084774295</v>
      </c>
      <c r="E66" s="1">
        <v>-80149</v>
      </c>
      <c r="F66" s="6">
        <f t="shared" si="1"/>
        <v>-0.94091704694156497</v>
      </c>
      <c r="G66" s="6">
        <v>2.9498525073768157E-3</v>
      </c>
      <c r="H66" s="6">
        <v>5.2950016128941188E-3</v>
      </c>
      <c r="I66" s="6">
        <f t="shared" si="2"/>
        <v>-2.3327969419471017E-3</v>
      </c>
      <c r="J66" s="35">
        <v>5.2226999999999997</v>
      </c>
      <c r="K66" s="35">
        <v>4.75</v>
      </c>
      <c r="L66" s="6">
        <f t="shared" si="3"/>
        <v>7.3826086956521708E-2</v>
      </c>
      <c r="M66" s="6">
        <v>75752.984570998597</v>
      </c>
      <c r="N66" s="6">
        <v>116222.740424492</v>
      </c>
      <c r="O66" s="6">
        <f t="shared" si="4"/>
        <v>-0.33937636202743748</v>
      </c>
    </row>
    <row r="67" spans="1:15" x14ac:dyDescent="0.2">
      <c r="A67" s="6" t="s">
        <v>134</v>
      </c>
      <c r="B67" s="38">
        <v>1.9599999999999999E-2</v>
      </c>
      <c r="C67" s="38">
        <f t="shared" si="0"/>
        <v>2.0833333333333391E-2</v>
      </c>
      <c r="D67" s="6">
        <v>-4181.2598063602809</v>
      </c>
      <c r="E67" s="1">
        <v>-84426</v>
      </c>
      <c r="F67" s="6">
        <f t="shared" si="1"/>
        <v>-0.94622395557621608</v>
      </c>
      <c r="G67" s="6">
        <v>1.9607843137267912E-3</v>
      </c>
      <c r="H67" s="6">
        <v>2.1287585893793662E-3</v>
      </c>
      <c r="I67" s="6">
        <f t="shared" si="2"/>
        <v>-1.6761745854798615E-4</v>
      </c>
      <c r="J67" s="35">
        <v>5.0434000000000001</v>
      </c>
      <c r="K67" s="35">
        <v>4.5</v>
      </c>
      <c r="L67" s="6">
        <f t="shared" si="3"/>
        <v>8.2208695652173924E-2</v>
      </c>
      <c r="M67" s="6">
        <v>77025.064586106906</v>
      </c>
      <c r="N67" s="6">
        <v>115926.38958204001</v>
      </c>
      <c r="O67" s="6">
        <f t="shared" si="4"/>
        <v>-0.34820558782296041</v>
      </c>
    </row>
    <row r="68" spans="1:15" x14ac:dyDescent="0.2">
      <c r="A68" s="6" t="s">
        <v>135</v>
      </c>
      <c r="B68" s="38">
        <v>1.9699999999999999E-2</v>
      </c>
      <c r="C68" s="38">
        <f t="shared" ref="C68:C129" si="5">(B68-B67)/B67</f>
        <v>5.1020408163264998E-3</v>
      </c>
      <c r="D68" s="6">
        <v>-3035.0398357879712</v>
      </c>
      <c r="E68" s="1">
        <v>-74962</v>
      </c>
      <c r="F68" s="6">
        <f t="shared" ref="F68:F129" si="6">((1+D67)/(1+E67))-1</f>
        <v>-0.95048552198566438</v>
      </c>
      <c r="G68" s="6">
        <v>-9.7847358121395511E-4</v>
      </c>
      <c r="H68" s="6">
        <v>1.9914718148417783E-4</v>
      </c>
      <c r="I68" s="6">
        <f t="shared" ref="I68:I129" si="7">((1+G68)/(1+H68))-1</f>
        <v>-1.177386289537008E-3</v>
      </c>
      <c r="J68" s="35">
        <v>4.9368999999999996</v>
      </c>
      <c r="K68" s="35">
        <v>4.5</v>
      </c>
      <c r="L68" s="6">
        <f t="shared" ref="L68:L129" si="8">((1+J67)/(1+K67))-1</f>
        <v>9.8799999999999999E-2</v>
      </c>
      <c r="M68" s="6">
        <v>76915.677656432003</v>
      </c>
      <c r="N68" s="6">
        <v>117315.120113857</v>
      </c>
      <c r="O68" s="6">
        <f t="shared" ref="O68:O129" si="9">((1+M67)/(1+N67))-1</f>
        <v>-0.33556629831989138</v>
      </c>
    </row>
    <row r="69" spans="1:15" x14ac:dyDescent="0.2">
      <c r="A69" s="6" t="s">
        <v>136</v>
      </c>
      <c r="B69" s="38">
        <v>1.9199999999999998E-2</v>
      </c>
      <c r="C69" s="38">
        <f t="shared" si="5"/>
        <v>-2.5380710659898501E-2</v>
      </c>
      <c r="D69" s="6">
        <v>-4165.8788763956809</v>
      </c>
      <c r="E69" s="1">
        <v>-91824</v>
      </c>
      <c r="F69" s="6">
        <f t="shared" si="6"/>
        <v>-0.95952508856888286</v>
      </c>
      <c r="G69" s="6">
        <v>2.9382957884371758E-3</v>
      </c>
      <c r="H69" s="6">
        <v>1.6709416224547926E-3</v>
      </c>
      <c r="I69" s="6">
        <f t="shared" si="7"/>
        <v>1.2652400237642691E-3</v>
      </c>
      <c r="J69" s="35">
        <v>4.7729999999999997</v>
      </c>
      <c r="K69" s="35">
        <v>4.5</v>
      </c>
      <c r="L69" s="6">
        <f t="shared" si="8"/>
        <v>7.9436363636363527E-2</v>
      </c>
      <c r="M69" s="6">
        <v>77159.8786870904</v>
      </c>
      <c r="N69" s="6">
        <v>117803.924307551</v>
      </c>
      <c r="O69" s="6">
        <f t="shared" si="9"/>
        <v>-0.34436394945738702</v>
      </c>
    </row>
    <row r="70" spans="1:15" x14ac:dyDescent="0.2">
      <c r="A70" s="6" t="s">
        <v>137</v>
      </c>
      <c r="B70" s="38">
        <v>1.9300000000000001E-2</v>
      </c>
      <c r="C70" s="38">
        <f t="shared" si="5"/>
        <v>5.2083333333334831E-3</v>
      </c>
      <c r="D70" s="6">
        <v>-3434.0006470921298</v>
      </c>
      <c r="E70" s="1">
        <v>-83392</v>
      </c>
      <c r="F70" s="6">
        <f t="shared" si="6"/>
        <v>-0.95464231318519677</v>
      </c>
      <c r="G70" s="6">
        <v>9.7656250000065269E-4</v>
      </c>
      <c r="H70" s="6">
        <v>-5.0668236087744281E-5</v>
      </c>
      <c r="I70" s="6">
        <f t="shared" si="7"/>
        <v>1.0272827866952827E-3</v>
      </c>
      <c r="J70" s="35">
        <v>4.4082999999999997</v>
      </c>
      <c r="K70" s="35">
        <v>4.25</v>
      </c>
      <c r="L70" s="6">
        <f t="shared" si="8"/>
        <v>4.9636363636363479E-2</v>
      </c>
      <c r="M70" s="6">
        <v>78015.128345590507</v>
      </c>
      <c r="N70" s="6">
        <v>117484.904543756</v>
      </c>
      <c r="O70" s="6">
        <f t="shared" si="9"/>
        <v>-0.34501143190204842</v>
      </c>
    </row>
    <row r="71" spans="1:15" x14ac:dyDescent="0.2">
      <c r="A71" s="6" t="s">
        <v>138</v>
      </c>
      <c r="B71" s="38">
        <v>1.9699999999999999E-2</v>
      </c>
      <c r="C71" s="38">
        <f t="shared" si="5"/>
        <v>2.0725388601036142E-2</v>
      </c>
      <c r="D71" s="6">
        <v>-3867.0235759347597</v>
      </c>
      <c r="E71" s="1">
        <v>-78277</v>
      </c>
      <c r="F71" s="6">
        <f t="shared" si="6"/>
        <v>-0.95883248015862466</v>
      </c>
      <c r="G71" s="6">
        <v>9.7560975609843137E-4</v>
      </c>
      <c r="H71" s="6">
        <v>7.8344857693017178E-4</v>
      </c>
      <c r="I71" s="6">
        <f t="shared" si="7"/>
        <v>1.9201074862040812E-4</v>
      </c>
      <c r="J71" s="35">
        <v>4.3225531269999999</v>
      </c>
      <c r="K71" s="35">
        <v>4</v>
      </c>
      <c r="L71" s="6">
        <f t="shared" si="8"/>
        <v>3.0152380952380931E-2</v>
      </c>
      <c r="M71" s="6">
        <v>77565.877791873194</v>
      </c>
      <c r="N71" s="6">
        <v>116554.316206263</v>
      </c>
      <c r="O71" s="6">
        <f t="shared" si="9"/>
        <v>-0.3359532903239939</v>
      </c>
    </row>
    <row r="72" spans="1:15" x14ac:dyDescent="0.2">
      <c r="A72" s="6" t="s">
        <v>139</v>
      </c>
      <c r="B72" s="38">
        <v>1.9699999999999999E-2</v>
      </c>
      <c r="C72" s="38">
        <f t="shared" si="5"/>
        <v>0</v>
      </c>
      <c r="D72" s="6">
        <v>-4086.0960192335606</v>
      </c>
      <c r="E72" s="1">
        <v>-82959</v>
      </c>
      <c r="F72" s="6">
        <f t="shared" si="6"/>
        <v>-0.95061035852707398</v>
      </c>
      <c r="G72" s="6">
        <v>2.9239766081893032E-3</v>
      </c>
      <c r="H72" s="6">
        <v>2.2861905522328372E-3</v>
      </c>
      <c r="I72" s="6">
        <f t="shared" si="7"/>
        <v>6.3633128139262141E-4</v>
      </c>
      <c r="J72" s="35">
        <v>4.0918280659999997</v>
      </c>
      <c r="K72" s="35">
        <v>4</v>
      </c>
      <c r="L72" s="6">
        <f t="shared" si="8"/>
        <v>6.4510625400000077E-2</v>
      </c>
      <c r="M72" s="6">
        <v>77817.387925650197</v>
      </c>
      <c r="N72" s="6">
        <v>117770.862773341</v>
      </c>
      <c r="O72" s="6">
        <f t="shared" si="9"/>
        <v>-0.3345058782680802</v>
      </c>
    </row>
    <row r="73" spans="1:15" x14ac:dyDescent="0.2">
      <c r="A73" s="6" t="s">
        <v>140</v>
      </c>
      <c r="B73" s="38">
        <v>1.9699999999999999E-2</v>
      </c>
      <c r="C73" s="38">
        <f t="shared" si="5"/>
        <v>0</v>
      </c>
      <c r="D73" s="6">
        <v>-4142.8831927927595</v>
      </c>
      <c r="E73" s="1">
        <v>-68065</v>
      </c>
      <c r="F73" s="6">
        <f t="shared" si="6"/>
        <v>-0.95075705755643147</v>
      </c>
      <c r="G73" s="6">
        <v>2.915451895045888E-3</v>
      </c>
      <c r="H73" s="6">
        <v>-5.3624303467093458E-4</v>
      </c>
      <c r="I73" s="6">
        <f t="shared" si="7"/>
        <v>3.4535468701708538E-3</v>
      </c>
      <c r="J73" s="35">
        <v>4.0175262760399999</v>
      </c>
      <c r="K73" s="35">
        <v>4</v>
      </c>
      <c r="L73" s="6">
        <f t="shared" si="8"/>
        <v>1.8365613199999853E-2</v>
      </c>
      <c r="M73" s="6">
        <v>78211.704100360206</v>
      </c>
      <c r="N73" s="6">
        <v>116897.332212607</v>
      </c>
      <c r="O73" s="6">
        <f t="shared" si="9"/>
        <v>-0.33924465408672067</v>
      </c>
    </row>
    <row r="74" spans="1:15" x14ac:dyDescent="0.2">
      <c r="A74" s="6" t="s">
        <v>141</v>
      </c>
      <c r="B74" s="38">
        <v>1.9699999999999999E-2</v>
      </c>
      <c r="C74" s="38">
        <f t="shared" si="5"/>
        <v>0</v>
      </c>
      <c r="D74" s="6">
        <v>-3386.5429061684799</v>
      </c>
      <c r="E74" s="1">
        <v>-72705</v>
      </c>
      <c r="F74" s="6">
        <f t="shared" si="6"/>
        <v>-0.93914722624599256</v>
      </c>
      <c r="G74" s="6">
        <v>5.8139534883687675E-3</v>
      </c>
      <c r="H74" s="6">
        <v>-9.0976952504943042E-4</v>
      </c>
      <c r="I74" s="6">
        <f t="shared" si="7"/>
        <v>6.7298456218731761E-3</v>
      </c>
      <c r="J74" s="35">
        <v>3.9701358507400002</v>
      </c>
      <c r="K74" s="35">
        <v>4</v>
      </c>
      <c r="L74" s="6">
        <f t="shared" si="8"/>
        <v>3.5052552079999355E-3</v>
      </c>
      <c r="M74" s="6">
        <v>79823.656328117198</v>
      </c>
      <c r="N74" s="6">
        <v>118437.718706204</v>
      </c>
      <c r="O74" s="6">
        <f t="shared" si="9"/>
        <v>-0.33093396099003292</v>
      </c>
    </row>
    <row r="75" spans="1:15" x14ac:dyDescent="0.2">
      <c r="A75" s="6" t="s">
        <v>142</v>
      </c>
      <c r="B75" s="38">
        <v>1.9599999999999999E-2</v>
      </c>
      <c r="C75" s="38">
        <f t="shared" si="5"/>
        <v>-5.0761421319796647E-3</v>
      </c>
      <c r="D75" s="6">
        <v>-4367.4319273892597</v>
      </c>
      <c r="E75" s="1">
        <v>-73095</v>
      </c>
      <c r="F75" s="6">
        <f t="shared" si="6"/>
        <v>-0.95343388388302597</v>
      </c>
      <c r="G75" s="6">
        <v>6.7437379576081435E-3</v>
      </c>
      <c r="H75" s="6">
        <v>3.8797699378126343E-3</v>
      </c>
      <c r="I75" s="6">
        <f t="shared" si="7"/>
        <v>2.8528994263654628E-3</v>
      </c>
      <c r="J75" s="35">
        <v>3.8215957660646098</v>
      </c>
      <c r="K75" s="35">
        <v>4</v>
      </c>
      <c r="L75" s="6">
        <f t="shared" si="8"/>
        <v>-5.9728298519999834E-3</v>
      </c>
      <c r="M75" s="6">
        <v>78852.680088144698</v>
      </c>
      <c r="N75" s="6">
        <v>117826.023393531</v>
      </c>
      <c r="O75" s="6">
        <f t="shared" si="9"/>
        <v>-0.32602566795637022</v>
      </c>
    </row>
    <row r="76" spans="1:15" x14ac:dyDescent="0.2">
      <c r="A76" s="6" t="s">
        <v>143</v>
      </c>
      <c r="B76" s="38">
        <v>1.95E-2</v>
      </c>
      <c r="C76" s="38">
        <f t="shared" si="5"/>
        <v>-5.1020408163264998E-3</v>
      </c>
      <c r="D76" s="6">
        <v>-2449.9855313120097</v>
      </c>
      <c r="E76" s="1">
        <v>-52959</v>
      </c>
      <c r="F76" s="6">
        <f t="shared" si="6"/>
        <v>-0.94026278590049439</v>
      </c>
      <c r="G76" s="6">
        <v>-3.827751196167504E-3</v>
      </c>
      <c r="H76" s="6">
        <v>2.7406181314930458E-3</v>
      </c>
      <c r="I76" s="6">
        <f t="shared" si="7"/>
        <v>-6.5504171356897123E-3</v>
      </c>
      <c r="J76" s="35">
        <v>3.70803265519391</v>
      </c>
      <c r="K76" s="35">
        <v>2</v>
      </c>
      <c r="L76" s="6">
        <f t="shared" si="8"/>
        <v>-3.5680846787078169E-2</v>
      </c>
      <c r="M76" s="6">
        <v>80171.100749990204</v>
      </c>
      <c r="N76" s="6">
        <v>117384.220984502</v>
      </c>
      <c r="O76" s="6">
        <f t="shared" si="9"/>
        <v>-0.33076744351946374</v>
      </c>
    </row>
    <row r="77" spans="1:15" x14ac:dyDescent="0.2">
      <c r="A77" s="6" t="s">
        <v>144</v>
      </c>
      <c r="B77" s="38">
        <v>1.9800000000000002E-2</v>
      </c>
      <c r="C77" s="38">
        <f t="shared" si="5"/>
        <v>1.5384615384615469E-2</v>
      </c>
      <c r="D77" s="6">
        <v>-3166.3397179541207</v>
      </c>
      <c r="E77" s="1">
        <v>-66932</v>
      </c>
      <c r="F77" s="6">
        <f t="shared" si="6"/>
        <v>-0.95375607969877996</v>
      </c>
      <c r="G77" s="6">
        <v>-1.9212295869371295E-3</v>
      </c>
      <c r="H77" s="6">
        <v>-2.1764510317784811E-3</v>
      </c>
      <c r="I77" s="6">
        <f t="shared" si="7"/>
        <v>2.5577813342381184E-4</v>
      </c>
      <c r="J77" s="35">
        <v>3.5393034348993</v>
      </c>
      <c r="K77" s="35">
        <v>3.25</v>
      </c>
      <c r="L77" s="6">
        <f t="shared" si="8"/>
        <v>0.56934421839797</v>
      </c>
      <c r="M77" s="6">
        <v>80845.620863159202</v>
      </c>
      <c r="N77" s="6">
        <v>116868.993438146</v>
      </c>
      <c r="O77" s="6">
        <f t="shared" si="9"/>
        <v>-0.3170170820688315</v>
      </c>
    </row>
    <row r="78" spans="1:15" x14ac:dyDescent="0.2">
      <c r="A78" s="6" t="s">
        <v>145</v>
      </c>
      <c r="B78" s="38">
        <v>1.9699999999999999E-2</v>
      </c>
      <c r="C78" s="38">
        <f t="shared" si="5"/>
        <v>-5.0505050505051949E-3</v>
      </c>
      <c r="D78" s="6">
        <v>-409.67854474928026</v>
      </c>
      <c r="E78" s="1">
        <v>-234911</v>
      </c>
      <c r="F78" s="6">
        <f t="shared" si="6"/>
        <v>-0.95270741931311176</v>
      </c>
      <c r="G78" s="6">
        <v>-9.6246390760410514E-4</v>
      </c>
      <c r="H78" s="6">
        <v>-6.6869418670012486E-3</v>
      </c>
      <c r="I78" s="6">
        <f t="shared" si="7"/>
        <v>5.7630149050458268E-3</v>
      </c>
      <c r="J78" s="35">
        <v>2.69596914504117</v>
      </c>
      <c r="K78" s="35">
        <v>4</v>
      </c>
      <c r="L78" s="6">
        <f t="shared" si="8"/>
        <v>6.8071396446894195E-2</v>
      </c>
      <c r="M78" s="6">
        <v>82923.150889744793</v>
      </c>
      <c r="N78" s="6">
        <v>117760.50017</v>
      </c>
      <c r="O78" s="6">
        <f t="shared" si="9"/>
        <v>-0.30823457343695615</v>
      </c>
    </row>
    <row r="79" spans="1:15" x14ac:dyDescent="0.2">
      <c r="A79" s="6" t="s">
        <v>146</v>
      </c>
      <c r="B79" s="38">
        <v>2.01E-2</v>
      </c>
      <c r="C79" s="38">
        <f t="shared" si="5"/>
        <v>2.0304568527918836E-2</v>
      </c>
      <c r="D79" s="6">
        <v>-1699.1200929461702</v>
      </c>
      <c r="E79" s="1">
        <v>-76469</v>
      </c>
      <c r="F79" s="6">
        <f t="shared" si="6"/>
        <v>-0.99826027608552514</v>
      </c>
      <c r="G79" s="6">
        <v>0</v>
      </c>
      <c r="H79" s="6">
        <v>1.9501616686028515E-5</v>
      </c>
      <c r="I79" s="6">
        <f t="shared" si="7"/>
        <v>-1.9501236380281561E-5</v>
      </c>
      <c r="J79" s="35">
        <v>3.30840518726527</v>
      </c>
      <c r="K79" s="35">
        <v>3.75</v>
      </c>
      <c r="L79" s="6">
        <f t="shared" si="8"/>
        <v>-0.26080617099176595</v>
      </c>
      <c r="M79" s="6">
        <v>85272.227230903794</v>
      </c>
      <c r="N79" s="6">
        <v>121197.56266089001</v>
      </c>
      <c r="O79" s="6">
        <f t="shared" si="9"/>
        <v>-0.29582970011390952</v>
      </c>
    </row>
    <row r="80" spans="1:15" x14ac:dyDescent="0.2">
      <c r="A80" s="6" t="s">
        <v>147</v>
      </c>
      <c r="B80" s="38">
        <v>2.0400000000000001E-2</v>
      </c>
      <c r="C80" s="38">
        <f t="shared" si="5"/>
        <v>1.4925373134328441E-2</v>
      </c>
      <c r="D80" s="6">
        <v>-1827.1665960104301</v>
      </c>
      <c r="E80" s="1">
        <v>-78288</v>
      </c>
      <c r="F80" s="6">
        <f t="shared" si="6"/>
        <v>-0.97779306254974407</v>
      </c>
      <c r="G80" s="6">
        <v>5.780346820805961E-3</v>
      </c>
      <c r="H80" s="6">
        <v>5.472046927774931E-3</v>
      </c>
      <c r="I80" s="6">
        <f t="shared" si="7"/>
        <v>3.0662204282361216E-4</v>
      </c>
      <c r="J80" s="35">
        <v>2.4300124519398798</v>
      </c>
      <c r="K80" s="35">
        <v>3.25</v>
      </c>
      <c r="L80" s="6">
        <f t="shared" si="8"/>
        <v>-9.296732899678517E-2</v>
      </c>
      <c r="M80" s="6">
        <v>85453.990707693301</v>
      </c>
      <c r="N80" s="6">
        <v>122848.97137696399</v>
      </c>
      <c r="O80" s="6">
        <f t="shared" si="9"/>
        <v>-0.29641717394375577</v>
      </c>
    </row>
    <row r="81" spans="1:15" x14ac:dyDescent="0.2">
      <c r="A81" s="6" t="s">
        <v>148</v>
      </c>
      <c r="B81" s="38">
        <v>2.07E-2</v>
      </c>
      <c r="C81" s="38">
        <f t="shared" si="5"/>
        <v>1.4705882352941086E-2</v>
      </c>
      <c r="D81" s="6">
        <v>-2563.8223775735396</v>
      </c>
      <c r="E81" s="1">
        <v>-80154</v>
      </c>
      <c r="F81" s="6">
        <f t="shared" si="6"/>
        <v>-0.97667343753100222</v>
      </c>
      <c r="G81" s="6">
        <v>4.7892720306547606E-3</v>
      </c>
      <c r="H81" s="6">
        <v>5.0582435016659141E-3</v>
      </c>
      <c r="I81" s="6">
        <f t="shared" si="7"/>
        <v>-2.6761779503847727E-4</v>
      </c>
      <c r="J81" s="35">
        <v>2.34948979591837</v>
      </c>
      <c r="K81" s="35">
        <v>2.25</v>
      </c>
      <c r="L81" s="6">
        <f t="shared" si="8"/>
        <v>-0.19293824660238124</v>
      </c>
      <c r="M81" s="6">
        <v>86004.886801942397</v>
      </c>
      <c r="N81" s="6">
        <v>128930.385113282</v>
      </c>
      <c r="O81" s="6">
        <f t="shared" si="9"/>
        <v>-0.30439551796495368</v>
      </c>
    </row>
    <row r="82" spans="1:15" x14ac:dyDescent="0.2">
      <c r="A82" s="6" t="s">
        <v>149</v>
      </c>
      <c r="B82" s="38">
        <v>2.07E-2</v>
      </c>
      <c r="C82" s="38">
        <f t="shared" si="5"/>
        <v>0</v>
      </c>
      <c r="D82" s="6">
        <v>-2674.0404063261303</v>
      </c>
      <c r="E82" s="1">
        <v>-93657</v>
      </c>
      <c r="F82" s="6">
        <f t="shared" si="6"/>
        <v>-0.96802587080242108</v>
      </c>
      <c r="G82" s="6">
        <v>-9.5328884652113037E-4</v>
      </c>
      <c r="H82" s="6">
        <v>3.1532105240869037E-3</v>
      </c>
      <c r="I82" s="6">
        <f t="shared" si="7"/>
        <v>-4.0935914150768138E-3</v>
      </c>
      <c r="J82" s="35">
        <v>1.8125</v>
      </c>
      <c r="K82" s="35">
        <v>2.75</v>
      </c>
      <c r="L82" s="6">
        <f t="shared" si="8"/>
        <v>3.0612244897959995E-2</v>
      </c>
      <c r="M82" s="6">
        <v>86915.849579098707</v>
      </c>
      <c r="N82" s="6">
        <v>129346.597406638</v>
      </c>
      <c r="O82" s="6">
        <f t="shared" si="9"/>
        <v>-0.3329328873154066</v>
      </c>
    </row>
    <row r="83" spans="1:15" x14ac:dyDescent="0.2">
      <c r="A83" s="6" t="s">
        <v>150</v>
      </c>
      <c r="B83" s="38">
        <v>2.07E-2</v>
      </c>
      <c r="C83" s="38">
        <f t="shared" si="5"/>
        <v>0</v>
      </c>
      <c r="D83" s="6">
        <v>-2738.5245402366199</v>
      </c>
      <c r="E83" s="1">
        <v>-91709</v>
      </c>
      <c r="F83" s="6">
        <f t="shared" si="6"/>
        <v>-0.97145895184156772</v>
      </c>
      <c r="G83" s="6">
        <v>9.541984732830786E-4</v>
      </c>
      <c r="H83" s="6">
        <v>1.3927469432604598E-3</v>
      </c>
      <c r="I83" s="6">
        <f t="shared" si="7"/>
        <v>-4.3793853242501957E-4</v>
      </c>
      <c r="J83" s="35">
        <v>1.91355090832277</v>
      </c>
      <c r="K83" s="35">
        <v>2.75</v>
      </c>
      <c r="L83" s="6">
        <f t="shared" si="8"/>
        <v>-0.25</v>
      </c>
      <c r="M83" s="6">
        <v>88848.808539486505</v>
      </c>
      <c r="N83" s="6">
        <v>127920.288921716</v>
      </c>
      <c r="O83" s="6">
        <f t="shared" si="9"/>
        <v>-0.32803661357657177</v>
      </c>
    </row>
    <row r="84" spans="1:15" x14ac:dyDescent="0.2">
      <c r="A84" s="6" t="s">
        <v>151</v>
      </c>
      <c r="B84" s="38">
        <v>2.0799999999999999E-2</v>
      </c>
      <c r="C84" s="38">
        <f t="shared" si="5"/>
        <v>4.8309178743961064E-3</v>
      </c>
      <c r="D84" s="6">
        <v>-2539.9640730240189</v>
      </c>
      <c r="E84" s="1">
        <v>-91684</v>
      </c>
      <c r="F84" s="6">
        <f t="shared" si="6"/>
        <v>-0.9701495557613663</v>
      </c>
      <c r="G84" s="6">
        <v>3.8131553860849491E-3</v>
      </c>
      <c r="H84" s="6">
        <v>4.1493775934314895E-4</v>
      </c>
      <c r="I84" s="6">
        <f t="shared" si="7"/>
        <v>3.3968081627737678E-3</v>
      </c>
      <c r="J84" s="35">
        <v>1.87121212121212</v>
      </c>
      <c r="K84" s="35">
        <v>2.25</v>
      </c>
      <c r="L84" s="6">
        <f t="shared" si="8"/>
        <v>-0.22305309111392801</v>
      </c>
      <c r="M84" s="6">
        <v>92154.415469227199</v>
      </c>
      <c r="N84" s="6">
        <v>128436.769347265</v>
      </c>
      <c r="O84" s="6">
        <f t="shared" si="9"/>
        <v>-0.30543376096014851</v>
      </c>
    </row>
    <row r="85" spans="1:15" x14ac:dyDescent="0.2">
      <c r="A85" s="6" t="s">
        <v>152</v>
      </c>
      <c r="B85" s="38">
        <v>2.0799999999999999E-2</v>
      </c>
      <c r="C85" s="38">
        <f t="shared" si="5"/>
        <v>0</v>
      </c>
      <c r="D85" s="6">
        <v>-2585.4028095521508</v>
      </c>
      <c r="E85" s="1">
        <v>-94055</v>
      </c>
      <c r="F85" s="6">
        <f t="shared" si="6"/>
        <v>-0.97230714447581323</v>
      </c>
      <c r="G85" s="6">
        <v>9.4966761633423023E-3</v>
      </c>
      <c r="H85" s="6">
        <v>-6.1062721784521429E-4</v>
      </c>
      <c r="I85" s="6">
        <f t="shared" si="7"/>
        <v>1.011347894669945E-2</v>
      </c>
      <c r="J85" s="35">
        <v>1.875</v>
      </c>
      <c r="K85" s="35">
        <v>2.25</v>
      </c>
      <c r="L85" s="6">
        <f t="shared" si="8"/>
        <v>-0.11655011655011682</v>
      </c>
      <c r="M85" s="6">
        <v>94067.842845736799</v>
      </c>
      <c r="N85" s="6">
        <v>130150.355453254</v>
      </c>
      <c r="O85" s="6">
        <f t="shared" si="9"/>
        <v>-0.28248975408424448</v>
      </c>
    </row>
    <row r="86" spans="1:15" x14ac:dyDescent="0.2">
      <c r="A86" s="6" t="s">
        <v>153</v>
      </c>
      <c r="B86" s="38">
        <v>2.0799999999999999E-2</v>
      </c>
      <c r="C86" s="38">
        <f t="shared" si="5"/>
        <v>0</v>
      </c>
      <c r="D86" s="6">
        <v>-2925.2416063397395</v>
      </c>
      <c r="E86" s="1">
        <v>-92895</v>
      </c>
      <c r="F86" s="6">
        <f t="shared" si="6"/>
        <v>-0.97252213824449629</v>
      </c>
      <c r="G86" s="6">
        <v>8.4666039510807017E-3</v>
      </c>
      <c r="H86" s="6">
        <v>9.4147846704237227E-4</v>
      </c>
      <c r="I86" s="6">
        <f t="shared" si="7"/>
        <v>7.5180474042930712E-3</v>
      </c>
      <c r="J86" s="35">
        <v>1.88342555331992</v>
      </c>
      <c r="K86" s="35">
        <v>2.25</v>
      </c>
      <c r="L86" s="6">
        <f t="shared" si="8"/>
        <v>-0.11538461538461542</v>
      </c>
      <c r="M86" s="6">
        <v>98512.083712235501</v>
      </c>
      <c r="N86" s="6">
        <v>133849.09592396699</v>
      </c>
      <c r="O86" s="6">
        <f t="shared" si="9"/>
        <v>-0.27723501212768265</v>
      </c>
    </row>
    <row r="87" spans="1:15" x14ac:dyDescent="0.2">
      <c r="A87" s="6" t="s">
        <v>154</v>
      </c>
      <c r="B87" s="38">
        <v>2.0400000000000001E-2</v>
      </c>
      <c r="C87" s="38">
        <f t="shared" si="5"/>
        <v>-1.9230769230769114E-2</v>
      </c>
      <c r="D87" s="6">
        <v>-3345.6578460053197</v>
      </c>
      <c r="E87" s="1">
        <v>-90103</v>
      </c>
      <c r="F87" s="6">
        <f t="shared" si="6"/>
        <v>-0.96852066219196353</v>
      </c>
      <c r="G87" s="6">
        <v>1.1194029850747215E-2</v>
      </c>
      <c r="H87" s="6">
        <v>4.2537834870251907E-3</v>
      </c>
      <c r="I87" s="6">
        <f t="shared" si="7"/>
        <v>6.9108491079055145E-3</v>
      </c>
      <c r="J87" s="35">
        <v>1.99671052631579</v>
      </c>
      <c r="K87" s="35">
        <v>2.25</v>
      </c>
      <c r="L87" s="6">
        <f t="shared" si="8"/>
        <v>-0.11279213744002459</v>
      </c>
      <c r="M87" s="6">
        <v>97981.328551074897</v>
      </c>
      <c r="N87" s="6">
        <v>132967.97384161301</v>
      </c>
      <c r="O87" s="6">
        <f t="shared" si="9"/>
        <v>-0.26400438466480092</v>
      </c>
    </row>
    <row r="88" spans="1:15" x14ac:dyDescent="0.2">
      <c r="A88" s="6" t="s">
        <v>155</v>
      </c>
      <c r="B88" s="38">
        <v>2.06E-2</v>
      </c>
      <c r="C88" s="38">
        <f t="shared" si="5"/>
        <v>9.8039215686273901E-3</v>
      </c>
      <c r="D88" s="6">
        <v>-3158.4821505748105</v>
      </c>
      <c r="E88" s="1">
        <v>-83779</v>
      </c>
      <c r="F88" s="6">
        <f t="shared" si="6"/>
        <v>-0.96287920527840321</v>
      </c>
      <c r="G88" s="6">
        <v>9.2250922509307012E-4</v>
      </c>
      <c r="H88" s="6">
        <v>5.4743827939254157E-3</v>
      </c>
      <c r="I88" s="6">
        <f t="shared" si="7"/>
        <v>-4.5270905422613028E-3</v>
      </c>
      <c r="J88" s="35">
        <v>1.6875</v>
      </c>
      <c r="K88" s="35">
        <v>2.25</v>
      </c>
      <c r="L88" s="6">
        <f t="shared" si="8"/>
        <v>-7.7935222672064541E-2</v>
      </c>
      <c r="M88" s="6">
        <v>95990.808168656207</v>
      </c>
      <c r="N88" s="6">
        <v>132366.10395563301</v>
      </c>
      <c r="O88" s="6">
        <f t="shared" si="9"/>
        <v>-0.26311886359454595</v>
      </c>
    </row>
    <row r="89" spans="1:15" x14ac:dyDescent="0.2">
      <c r="A89" s="6" t="s">
        <v>156</v>
      </c>
      <c r="B89" s="38">
        <v>2.06E-2</v>
      </c>
      <c r="C89" s="38">
        <f t="shared" si="5"/>
        <v>0</v>
      </c>
      <c r="D89" s="6">
        <v>-3311.9568496136499</v>
      </c>
      <c r="E89" s="1">
        <v>-76093</v>
      </c>
      <c r="F89" s="6">
        <f t="shared" si="6"/>
        <v>-0.96231132098432992</v>
      </c>
      <c r="G89" s="6">
        <v>-2.7649769585273848E-3</v>
      </c>
      <c r="H89" s="6">
        <v>7.0832731337463579E-3</v>
      </c>
      <c r="I89" s="6">
        <f t="shared" si="7"/>
        <v>-9.7789828855254779E-3</v>
      </c>
      <c r="J89" s="35">
        <v>1.31162464985994</v>
      </c>
      <c r="K89" s="35">
        <v>2</v>
      </c>
      <c r="L89" s="6">
        <f t="shared" si="8"/>
        <v>-0.17307692307692313</v>
      </c>
      <c r="M89" s="6">
        <v>95368.703579636698</v>
      </c>
      <c r="N89" s="6">
        <v>128007.03204025301</v>
      </c>
      <c r="O89" s="6">
        <f t="shared" si="9"/>
        <v>-0.27480616180262674</v>
      </c>
    </row>
    <row r="90" spans="1:15" x14ac:dyDescent="0.2">
      <c r="A90" s="6" t="s">
        <v>157</v>
      </c>
      <c r="B90" s="38">
        <v>2.0899999999999998E-2</v>
      </c>
      <c r="C90" s="38">
        <f t="shared" si="5"/>
        <v>1.4563106796116417E-2</v>
      </c>
      <c r="D90" s="6">
        <v>-3601.5847468119391</v>
      </c>
      <c r="E90" s="1">
        <v>-92406</v>
      </c>
      <c r="F90" s="6">
        <f t="shared" si="6"/>
        <v>-0.95648745137972913</v>
      </c>
      <c r="G90" s="6">
        <v>-9.2421441774573863E-4</v>
      </c>
      <c r="H90" s="6">
        <v>8.2189091540576884E-3</v>
      </c>
      <c r="I90" s="6">
        <f t="shared" si="7"/>
        <v>-9.0685896572549884E-3</v>
      </c>
      <c r="J90" s="35">
        <v>1.5713685551780201</v>
      </c>
      <c r="K90" s="35">
        <v>2.25</v>
      </c>
      <c r="L90" s="6">
        <f t="shared" si="8"/>
        <v>-0.22945845004668664</v>
      </c>
      <c r="M90" s="6">
        <v>98394.672180557594</v>
      </c>
      <c r="N90" s="6">
        <v>130079.30268171499</v>
      </c>
      <c r="O90" s="6">
        <f t="shared" si="9"/>
        <v>-0.25497094159179767</v>
      </c>
    </row>
    <row r="91" spans="1:15" x14ac:dyDescent="0.2">
      <c r="A91" s="6" t="s">
        <v>158</v>
      </c>
      <c r="B91" s="38">
        <v>2.0500000000000001E-2</v>
      </c>
      <c r="C91" s="38">
        <f t="shared" si="5"/>
        <v>-1.9138755980861129E-2</v>
      </c>
      <c r="D91" s="6">
        <v>-3690.0937646947195</v>
      </c>
      <c r="E91" s="1">
        <v>-90893</v>
      </c>
      <c r="F91" s="6">
        <f t="shared" si="6"/>
        <v>-0.96103474111994003</v>
      </c>
      <c r="G91" s="6">
        <v>0</v>
      </c>
      <c r="H91" s="6">
        <v>8.0171051547634903E-3</v>
      </c>
      <c r="I91" s="6">
        <f t="shared" si="7"/>
        <v>-7.9533423726303454E-3</v>
      </c>
      <c r="J91" s="35">
        <v>1.55979062641852</v>
      </c>
      <c r="K91" s="35">
        <v>2</v>
      </c>
      <c r="L91" s="6">
        <f t="shared" si="8"/>
        <v>-0.20880967532983996</v>
      </c>
      <c r="M91" s="6">
        <v>97345.405365494706</v>
      </c>
      <c r="N91" s="6">
        <v>130769.007800704</v>
      </c>
      <c r="O91" s="6">
        <f t="shared" si="9"/>
        <v>-0.24357746598026031</v>
      </c>
    </row>
    <row r="92" spans="1:15" x14ac:dyDescent="0.2">
      <c r="A92" s="6" t="s">
        <v>159</v>
      </c>
      <c r="B92" s="38">
        <v>1.9900000000000001E-2</v>
      </c>
      <c r="C92" s="38">
        <f t="shared" si="5"/>
        <v>-2.9268292682926821E-2</v>
      </c>
      <c r="D92" s="6">
        <v>-3890.7025683262191</v>
      </c>
      <c r="E92" s="1">
        <v>-93046</v>
      </c>
      <c r="F92" s="6">
        <f t="shared" si="6"/>
        <v>-0.95941233810792237</v>
      </c>
      <c r="G92" s="6">
        <v>1.8501387604084696E-3</v>
      </c>
      <c r="H92" s="6">
        <v>9.2906629023590294E-3</v>
      </c>
      <c r="I92" s="6">
        <f t="shared" si="7"/>
        <v>-7.3720330678125334E-3</v>
      </c>
      <c r="J92" s="35">
        <v>1.90625</v>
      </c>
      <c r="K92" s="35">
        <v>2</v>
      </c>
      <c r="L92" s="6">
        <f t="shared" si="8"/>
        <v>-0.14673645786049327</v>
      </c>
      <c r="M92" s="6">
        <v>96887.714102197293</v>
      </c>
      <c r="N92" s="6">
        <v>129143.844098008</v>
      </c>
      <c r="O92" s="6">
        <f t="shared" si="9"/>
        <v>-0.25559073519478182</v>
      </c>
    </row>
    <row r="93" spans="1:15" x14ac:dyDescent="0.2">
      <c r="A93" s="6" t="s">
        <v>160</v>
      </c>
      <c r="B93" s="38">
        <v>0.02</v>
      </c>
      <c r="C93" s="38">
        <f t="shared" si="5"/>
        <v>5.0251256281406732E-3</v>
      </c>
      <c r="D93" s="6">
        <v>-4069.0626066693712</v>
      </c>
      <c r="E93" s="1">
        <v>-103152</v>
      </c>
      <c r="F93" s="6">
        <f t="shared" si="6"/>
        <v>-0.95819546919956777</v>
      </c>
      <c r="G93" s="6">
        <v>4.6168051708180176E-3</v>
      </c>
      <c r="H93" s="6">
        <v>4.8105235262914147E-3</v>
      </c>
      <c r="I93" s="6">
        <f t="shared" si="7"/>
        <v>-1.9279093016821847E-4</v>
      </c>
      <c r="J93" s="35">
        <v>1.75</v>
      </c>
      <c r="K93" s="35">
        <v>2</v>
      </c>
      <c r="L93" s="6">
        <f t="shared" si="8"/>
        <v>-3.125E-2</v>
      </c>
      <c r="M93" s="6">
        <v>98002.687855317505</v>
      </c>
      <c r="N93" s="6">
        <v>129513.902616191</v>
      </c>
      <c r="O93" s="6">
        <f t="shared" si="9"/>
        <v>-0.24976707526420128</v>
      </c>
    </row>
    <row r="94" spans="1:15" x14ac:dyDescent="0.2">
      <c r="A94" s="6" t="s">
        <v>161</v>
      </c>
      <c r="B94" s="38">
        <v>1.9599999999999999E-2</v>
      </c>
      <c r="C94" s="38">
        <f t="shared" si="5"/>
        <v>-2.0000000000000052E-2</v>
      </c>
      <c r="D94" s="6">
        <v>-3859.0937141264803</v>
      </c>
      <c r="E94" s="1">
        <v>-102368</v>
      </c>
      <c r="F94" s="6">
        <f t="shared" si="6"/>
        <v>-0.9605620633181513</v>
      </c>
      <c r="G94" s="6">
        <v>5.5147058823570372E-3</v>
      </c>
      <c r="H94" s="6">
        <v>2.0659113636138969E-3</v>
      </c>
      <c r="I94" s="6">
        <f t="shared" si="7"/>
        <v>3.4416843040294687E-3</v>
      </c>
      <c r="J94" s="35">
        <v>1.76086956521739</v>
      </c>
      <c r="K94" s="35">
        <v>2</v>
      </c>
      <c r="L94" s="6">
        <f t="shared" si="8"/>
        <v>-8.333333333333337E-2</v>
      </c>
      <c r="M94" s="6">
        <v>98809.566324524203</v>
      </c>
      <c r="N94" s="6">
        <v>242176.260513541</v>
      </c>
      <c r="O94" s="6">
        <f t="shared" si="9"/>
        <v>-0.24330184499505003</v>
      </c>
    </row>
    <row r="95" spans="1:15" x14ac:dyDescent="0.2">
      <c r="A95" s="6" t="s">
        <v>162</v>
      </c>
      <c r="B95" s="38">
        <v>1.9699999999999999E-2</v>
      </c>
      <c r="C95" s="38">
        <f t="shared" si="5"/>
        <v>5.1020408163264998E-3</v>
      </c>
      <c r="D95" s="6">
        <v>-4416.9238899963493</v>
      </c>
      <c r="E95" s="1">
        <v>-106899</v>
      </c>
      <c r="F95" s="6">
        <f t="shared" si="6"/>
        <v>-0.9623111577546819</v>
      </c>
      <c r="G95" s="6">
        <v>-9.1407678245053773E-4</v>
      </c>
      <c r="H95" s="6">
        <v>2.7159708590610643E-3</v>
      </c>
      <c r="I95" s="6">
        <f t="shared" si="7"/>
        <v>-3.6202152424098522E-3</v>
      </c>
      <c r="J95" s="35">
        <v>2</v>
      </c>
      <c r="K95" s="35">
        <v>2</v>
      </c>
      <c r="L95" s="6">
        <f t="shared" si="8"/>
        <v>-7.9710144927536697E-2</v>
      </c>
      <c r="M95" s="6">
        <v>97747.700182067507</v>
      </c>
      <c r="N95" s="6">
        <v>239483.92394395199</v>
      </c>
      <c r="O95" s="6">
        <f t="shared" si="9"/>
        <v>-0.59199073391533652</v>
      </c>
    </row>
    <row r="96" spans="1:15" x14ac:dyDescent="0.2">
      <c r="A96" s="6" t="s">
        <v>163</v>
      </c>
      <c r="B96" s="38">
        <v>1.9900000000000001E-2</v>
      </c>
      <c r="C96" s="38">
        <f t="shared" si="5"/>
        <v>1.0152284263959506E-2</v>
      </c>
      <c r="D96" s="6">
        <v>-4404.5078875364088</v>
      </c>
      <c r="E96" s="1">
        <v>-112189</v>
      </c>
      <c r="F96" s="6">
        <f t="shared" si="6"/>
        <v>-0.95869030393462595</v>
      </c>
      <c r="G96" s="6">
        <v>1.8298261665156026E-3</v>
      </c>
      <c r="H96" s="6">
        <v>8.3081185519974614E-3</v>
      </c>
      <c r="I96" s="6">
        <f t="shared" si="7"/>
        <v>-6.4249134429119614E-3</v>
      </c>
      <c r="J96" s="35">
        <v>1.6875</v>
      </c>
      <c r="K96" s="35">
        <v>2</v>
      </c>
      <c r="L96" s="6">
        <f t="shared" si="8"/>
        <v>0</v>
      </c>
      <c r="M96" s="6">
        <v>98774.047551945798</v>
      </c>
      <c r="N96" s="6">
        <v>241388.71800409601</v>
      </c>
      <c r="O96" s="6">
        <f t="shared" si="9"/>
        <v>-0.59183777177997143</v>
      </c>
    </row>
    <row r="97" spans="1:15" x14ac:dyDescent="0.2">
      <c r="A97" s="6" t="s">
        <v>164</v>
      </c>
      <c r="B97" s="38">
        <v>1.95E-2</v>
      </c>
      <c r="C97" s="38">
        <f t="shared" si="5"/>
        <v>-2.0100502512562866E-2</v>
      </c>
      <c r="D97" s="6">
        <v>-5332.4608967363893</v>
      </c>
      <c r="E97" s="1">
        <v>-97791</v>
      </c>
      <c r="F97" s="6">
        <f t="shared" si="6"/>
        <v>-0.96074885114685693</v>
      </c>
      <c r="G97" s="6">
        <v>6.3926940639244152E-3</v>
      </c>
      <c r="H97" s="6">
        <v>4.91342750434754E-3</v>
      </c>
      <c r="I97" s="6">
        <f t="shared" si="7"/>
        <v>1.4720338280787004E-3</v>
      </c>
      <c r="J97" s="35">
        <v>1.6822916666666701</v>
      </c>
      <c r="K97" s="35">
        <v>2</v>
      </c>
      <c r="L97" s="6">
        <f t="shared" si="8"/>
        <v>-0.10416666666666663</v>
      </c>
      <c r="M97" s="6">
        <v>98720.234242474602</v>
      </c>
      <c r="N97" s="6">
        <v>239184.77895245</v>
      </c>
      <c r="O97" s="6">
        <f t="shared" si="9"/>
        <v>-0.59080673208181245</v>
      </c>
    </row>
    <row r="98" spans="1:15" x14ac:dyDescent="0.2">
      <c r="A98" s="6" t="s">
        <v>165</v>
      </c>
      <c r="B98" s="38">
        <v>1.9599999999999999E-2</v>
      </c>
      <c r="C98" s="38">
        <f t="shared" si="5"/>
        <v>5.128205128205097E-3</v>
      </c>
      <c r="D98" s="6">
        <v>-5752.5094673636495</v>
      </c>
      <c r="E98" s="1">
        <v>-113497</v>
      </c>
      <c r="F98" s="6">
        <f t="shared" si="6"/>
        <v>-0.94548051031049807</v>
      </c>
      <c r="G98" s="6">
        <v>2.722323049003831E-3</v>
      </c>
      <c r="H98" s="6">
        <v>3.072517161486064E-3</v>
      </c>
      <c r="I98" s="6">
        <f t="shared" si="7"/>
        <v>-3.491214308942725E-4</v>
      </c>
      <c r="J98" s="35">
        <v>1.8295454545454499</v>
      </c>
      <c r="K98" s="35">
        <v>2</v>
      </c>
      <c r="L98" s="6">
        <f t="shared" si="8"/>
        <v>-0.10590277777777668</v>
      </c>
      <c r="M98" s="6">
        <v>99461.671283845397</v>
      </c>
      <c r="N98" s="6">
        <v>240197.337193282</v>
      </c>
      <c r="O98" s="6">
        <f t="shared" si="9"/>
        <v>-0.58726127165737418</v>
      </c>
    </row>
    <row r="99" spans="1:15" x14ac:dyDescent="0.2">
      <c r="A99" s="6" t="s">
        <v>166</v>
      </c>
      <c r="B99" s="38">
        <v>1.95E-2</v>
      </c>
      <c r="C99" s="38">
        <f t="shared" si="5"/>
        <v>-5.1020408163264998E-3</v>
      </c>
      <c r="D99" s="6">
        <v>-5106.42219229492</v>
      </c>
      <c r="E99" s="1">
        <v>-108903</v>
      </c>
      <c r="F99" s="6">
        <f t="shared" si="6"/>
        <v>-0.9493241218424997</v>
      </c>
      <c r="G99" s="6">
        <v>1.0859728506788444E-2</v>
      </c>
      <c r="H99" s="6">
        <v>8.4145737835476346E-3</v>
      </c>
      <c r="I99" s="6">
        <f t="shared" si="7"/>
        <v>2.4247514730637576E-3</v>
      </c>
      <c r="J99" s="35">
        <v>1.95476973684211</v>
      </c>
      <c r="K99" s="35">
        <v>2</v>
      </c>
      <c r="L99" s="6">
        <f t="shared" si="8"/>
        <v>-5.6818181818183433E-2</v>
      </c>
      <c r="M99" s="6">
        <v>98485.717393155996</v>
      </c>
      <c r="N99" s="6">
        <v>239330.78775489601</v>
      </c>
      <c r="O99" s="6">
        <f t="shared" si="9"/>
        <v>-0.58591440537820993</v>
      </c>
    </row>
    <row r="100" spans="1:15" x14ac:dyDescent="0.2">
      <c r="A100" s="6" t="s">
        <v>168</v>
      </c>
      <c r="B100" s="38">
        <v>1.9199999999999998E-2</v>
      </c>
      <c r="C100" s="38">
        <f t="shared" si="5"/>
        <v>-1.5384615384615469E-2</v>
      </c>
      <c r="D100" s="6">
        <v>-4546.48925520989</v>
      </c>
      <c r="E100" s="1">
        <v>-109740</v>
      </c>
      <c r="F100" s="6">
        <f t="shared" si="6"/>
        <v>-0.95311911450391251</v>
      </c>
      <c r="G100" s="6">
        <v>8.9525514771065888E-4</v>
      </c>
      <c r="H100" s="6">
        <v>9.133979256478849E-3</v>
      </c>
      <c r="I100" s="6">
        <f t="shared" si="7"/>
        <v>-8.164152905482891E-3</v>
      </c>
      <c r="J100" s="35">
        <v>1.95</v>
      </c>
      <c r="K100" s="35">
        <v>2</v>
      </c>
      <c r="L100" s="6">
        <f t="shared" si="8"/>
        <v>-1.5076754385963453E-2</v>
      </c>
      <c r="M100" s="6">
        <v>98216.235992845497</v>
      </c>
      <c r="N100" s="6">
        <v>239754.72685066899</v>
      </c>
      <c r="O100" s="6">
        <f t="shared" si="9"/>
        <v>-0.58849295232767818</v>
      </c>
    </row>
    <row r="101" spans="1:15" x14ac:dyDescent="0.2">
      <c r="A101" s="6" t="s">
        <v>169</v>
      </c>
      <c r="B101" s="38">
        <v>1.9E-2</v>
      </c>
      <c r="C101" s="38">
        <f t="shared" si="5"/>
        <v>-1.0416666666666605E-2</v>
      </c>
      <c r="D101" s="6">
        <v>-5255.3141393386604</v>
      </c>
      <c r="E101" s="1">
        <v>-93507</v>
      </c>
      <c r="F101" s="6">
        <f t="shared" si="6"/>
        <v>-0.95857908988408957</v>
      </c>
      <c r="G101" s="6">
        <v>6.2611806797899213E-3</v>
      </c>
      <c r="H101" s="6">
        <v>1.3351379548562751E-2</v>
      </c>
      <c r="I101" s="6">
        <f t="shared" si="7"/>
        <v>-6.996782174344518E-3</v>
      </c>
      <c r="J101" s="35">
        <v>1.99702380952381</v>
      </c>
      <c r="K101" s="35">
        <v>2</v>
      </c>
      <c r="L101" s="6">
        <f t="shared" si="8"/>
        <v>-1.6666666666666607E-2</v>
      </c>
      <c r="M101" s="6">
        <v>97906.287138990796</v>
      </c>
      <c r="N101" s="6">
        <v>237182.459292871</v>
      </c>
      <c r="O101" s="6">
        <f t="shared" si="9"/>
        <v>-0.59034456743542241</v>
      </c>
    </row>
    <row r="102" spans="1:15" x14ac:dyDescent="0.2">
      <c r="A102" s="6" t="s">
        <v>170</v>
      </c>
      <c r="B102" s="38">
        <v>1.9099999999999999E-2</v>
      </c>
      <c r="C102" s="38">
        <f t="shared" si="5"/>
        <v>5.2631578947368108E-3</v>
      </c>
      <c r="D102" s="6">
        <v>-5931.4106510697602</v>
      </c>
      <c r="E102" s="1">
        <v>-128187</v>
      </c>
      <c r="F102" s="6">
        <f t="shared" si="6"/>
        <v>-0.94380773277288454</v>
      </c>
      <c r="G102" s="6">
        <v>7.9999999999989298E-3</v>
      </c>
      <c r="H102" s="6">
        <v>5.5825310256556234E-3</v>
      </c>
      <c r="I102" s="6">
        <f t="shared" si="7"/>
        <v>2.4040483001206425E-3</v>
      </c>
      <c r="J102" s="35">
        <v>1.8897037928160001</v>
      </c>
      <c r="K102" s="35">
        <v>2</v>
      </c>
      <c r="L102" s="6">
        <f t="shared" si="8"/>
        <v>-9.9206349206326649E-4</v>
      </c>
      <c r="M102" s="6">
        <v>96122.996087043794</v>
      </c>
      <c r="N102" s="6">
        <v>229916.629436113</v>
      </c>
      <c r="O102" s="6">
        <f t="shared" si="9"/>
        <v>-0.58720862141530628</v>
      </c>
    </row>
    <row r="103" spans="1:15" x14ac:dyDescent="0.2">
      <c r="A103" s="6" t="s">
        <v>171</v>
      </c>
      <c r="B103" s="38">
        <v>1.8200000000000001E-2</v>
      </c>
      <c r="C103" s="38">
        <f t="shared" si="5"/>
        <v>-4.7120418848167436E-2</v>
      </c>
      <c r="D103" s="6">
        <v>-6205.5221607375888</v>
      </c>
      <c r="E103" s="1">
        <v>-110945</v>
      </c>
      <c r="F103" s="6">
        <f t="shared" si="6"/>
        <v>-0.95373589431708794</v>
      </c>
      <c r="G103" s="6">
        <v>4.4091710758341444E-3</v>
      </c>
      <c r="H103" s="6">
        <v>1.1023523999591257E-2</v>
      </c>
      <c r="I103" s="6">
        <f t="shared" si="7"/>
        <v>-6.5422344453380799E-3</v>
      </c>
      <c r="J103" s="35">
        <v>1.875</v>
      </c>
      <c r="K103" s="35">
        <v>2</v>
      </c>
      <c r="L103" s="6">
        <f t="shared" si="8"/>
        <v>-3.6765402394666524E-2</v>
      </c>
      <c r="M103" s="6">
        <v>94620.066149284205</v>
      </c>
      <c r="N103" s="6">
        <v>231270.10470447299</v>
      </c>
      <c r="O103" s="6">
        <f t="shared" si="9"/>
        <v>-0.58191985398077672</v>
      </c>
    </row>
    <row r="104" spans="1:15" x14ac:dyDescent="0.2">
      <c r="A104" s="6" t="s">
        <v>172</v>
      </c>
      <c r="B104" s="38">
        <v>1.7899999999999999E-2</v>
      </c>
      <c r="C104" s="38">
        <f t="shared" si="5"/>
        <v>-1.6483516483516574E-2</v>
      </c>
      <c r="D104" s="6">
        <v>-6576.2285873324199</v>
      </c>
      <c r="E104" s="1">
        <v>-118178</v>
      </c>
      <c r="F104" s="6">
        <f t="shared" si="6"/>
        <v>-0.94407518963857817</v>
      </c>
      <c r="G104" s="6">
        <v>8.7796312554937351E-3</v>
      </c>
      <c r="H104" s="6">
        <v>1.3736075758821452E-2</v>
      </c>
      <c r="I104" s="6">
        <f t="shared" si="7"/>
        <v>-4.8892849153242546E-3</v>
      </c>
      <c r="J104" s="35">
        <v>1.87538991827313</v>
      </c>
      <c r="K104" s="35">
        <v>2</v>
      </c>
      <c r="L104" s="6">
        <f t="shared" si="8"/>
        <v>-4.166666666666663E-2</v>
      </c>
      <c r="M104" s="6">
        <v>91917.119389257001</v>
      </c>
      <c r="N104" s="6">
        <v>227534.17706142299</v>
      </c>
      <c r="O104" s="6">
        <f t="shared" si="9"/>
        <v>-0.59086516117007093</v>
      </c>
    </row>
    <row r="105" spans="1:15" x14ac:dyDescent="0.2">
      <c r="A105" s="6" t="s">
        <v>173</v>
      </c>
      <c r="B105" s="38">
        <v>1.78E-2</v>
      </c>
      <c r="C105" s="38">
        <f t="shared" si="5"/>
        <v>-5.5865921787709161E-3</v>
      </c>
      <c r="D105" s="6">
        <v>-6718.215145905011</v>
      </c>
      <c r="E105" s="1">
        <v>-115401</v>
      </c>
      <c r="F105" s="6">
        <f t="shared" si="6"/>
        <v>-0.94436118206307129</v>
      </c>
      <c r="G105" s="6">
        <v>7.8328981723226991E-3</v>
      </c>
      <c r="H105" s="6">
        <v>-1.1811913833453382E-4</v>
      </c>
      <c r="I105" s="6">
        <f t="shared" si="7"/>
        <v>7.9519565889176747E-3</v>
      </c>
      <c r="J105" s="35">
        <v>2.3710959817177701</v>
      </c>
      <c r="K105" s="35">
        <v>2</v>
      </c>
      <c r="L105" s="6">
        <f t="shared" si="8"/>
        <v>-4.1536693908956757E-2</v>
      </c>
      <c r="M105" s="6">
        <v>91077.381110650997</v>
      </c>
      <c r="N105" s="6">
        <v>226993.14064182501</v>
      </c>
      <c r="O105" s="6">
        <f t="shared" si="9"/>
        <v>-0.59602677451300745</v>
      </c>
    </row>
    <row r="106" spans="1:15" x14ac:dyDescent="0.2">
      <c r="A106" s="6" t="s">
        <v>174</v>
      </c>
      <c r="B106" s="38">
        <v>1.7100000000000001E-2</v>
      </c>
      <c r="C106" s="38">
        <f t="shared" si="5"/>
        <v>-3.9325842696629171E-2</v>
      </c>
      <c r="D106" s="6">
        <v>-6772.2216148253292</v>
      </c>
      <c r="E106" s="1">
        <v>-106462</v>
      </c>
      <c r="F106" s="6">
        <f t="shared" si="6"/>
        <v>-0.94179189648262551</v>
      </c>
      <c r="G106" s="6">
        <v>4.3177892918790251E-3</v>
      </c>
      <c r="H106" s="6">
        <v>-3.5439927634848888E-4</v>
      </c>
      <c r="I106" s="6">
        <f t="shared" si="7"/>
        <v>4.6738449755046041E-3</v>
      </c>
      <c r="J106" s="35">
        <v>3.05193338986287</v>
      </c>
      <c r="K106" s="35">
        <v>2</v>
      </c>
      <c r="L106" s="6">
        <f t="shared" si="8"/>
        <v>0.12369866057259005</v>
      </c>
      <c r="M106" s="6">
        <v>88909.139629430996</v>
      </c>
      <c r="N106" s="6">
        <v>223071.020668691</v>
      </c>
      <c r="O106" s="6">
        <f t="shared" si="9"/>
        <v>-0.59876329471268619</v>
      </c>
    </row>
    <row r="107" spans="1:15" x14ac:dyDescent="0.2">
      <c r="A107" s="6" t="s">
        <v>175</v>
      </c>
      <c r="B107" s="38">
        <v>1.7299999999999999E-2</v>
      </c>
      <c r="C107" s="38">
        <f t="shared" si="5"/>
        <v>1.1695906432748466E-2</v>
      </c>
      <c r="D107" s="6">
        <v>-5515.9193737879705</v>
      </c>
      <c r="E107" s="1">
        <v>-114323</v>
      </c>
      <c r="F107" s="6">
        <f t="shared" si="6"/>
        <v>-0.93639716314119414</v>
      </c>
      <c r="G107" s="6">
        <v>4.2992261392981812E-3</v>
      </c>
      <c r="H107" s="6">
        <v>2.1507845129980093E-3</v>
      </c>
      <c r="I107" s="6">
        <f t="shared" si="7"/>
        <v>2.1438307084140629E-3</v>
      </c>
      <c r="J107" s="35">
        <v>3.2731758373205699</v>
      </c>
      <c r="K107" s="35">
        <v>2</v>
      </c>
      <c r="L107" s="6">
        <f t="shared" si="8"/>
        <v>0.35064446328762333</v>
      </c>
      <c r="M107" s="6">
        <v>84686.050672487094</v>
      </c>
      <c r="N107" s="6">
        <v>219111.68861745601</v>
      </c>
      <c r="O107" s="6">
        <f t="shared" si="9"/>
        <v>-0.60142854597851469</v>
      </c>
    </row>
    <row r="108" spans="1:15" x14ac:dyDescent="0.2">
      <c r="A108" s="6" t="s">
        <v>176</v>
      </c>
      <c r="B108" s="38">
        <v>1.77E-2</v>
      </c>
      <c r="C108" s="38">
        <f t="shared" si="5"/>
        <v>2.3121387283237056E-2</v>
      </c>
      <c r="D108" s="6">
        <v>-3956.4672663014189</v>
      </c>
      <c r="E108" s="1">
        <v>-110317</v>
      </c>
      <c r="F108" s="6">
        <f t="shared" si="6"/>
        <v>-0.95175977175182402</v>
      </c>
      <c r="G108" s="6">
        <v>9.4178082191781858E-3</v>
      </c>
      <c r="H108" s="6">
        <v>4.0564944341124854E-3</v>
      </c>
      <c r="I108" s="6">
        <f t="shared" si="7"/>
        <v>5.339653510321174E-3</v>
      </c>
      <c r="J108" s="35">
        <v>3.9708802102545202</v>
      </c>
      <c r="K108" s="35">
        <v>2</v>
      </c>
      <c r="L108" s="6">
        <f t="shared" si="8"/>
        <v>0.42439194577352346</v>
      </c>
      <c r="M108" s="6">
        <v>85748.401849791306</v>
      </c>
      <c r="N108" s="6">
        <v>221754.52668824501</v>
      </c>
      <c r="O108" s="6">
        <f t="shared" si="9"/>
        <v>-0.61350001587383951</v>
      </c>
    </row>
    <row r="109" spans="1:15" x14ac:dyDescent="0.2">
      <c r="A109" s="6" t="s">
        <v>177</v>
      </c>
      <c r="B109" s="38">
        <v>1.7999999999999999E-2</v>
      </c>
      <c r="C109" s="38">
        <f t="shared" si="5"/>
        <v>1.6949152542372777E-2</v>
      </c>
      <c r="D109" s="6">
        <v>-4382.9338837599107</v>
      </c>
      <c r="E109" s="1">
        <v>-112153</v>
      </c>
      <c r="F109" s="6">
        <f t="shared" si="6"/>
        <v>-0.96414421057415589</v>
      </c>
      <c r="G109" s="6">
        <v>9.3299406276508429E-3</v>
      </c>
      <c r="H109" s="6">
        <v>-1.0100264418846556E-3</v>
      </c>
      <c r="I109" s="6">
        <f t="shared" si="7"/>
        <v>1.035042126870156E-2</v>
      </c>
      <c r="J109" s="35">
        <v>4.2336059855593096</v>
      </c>
      <c r="K109" s="35">
        <v>2.25</v>
      </c>
      <c r="L109" s="6">
        <f t="shared" si="8"/>
        <v>0.65696007008484014</v>
      </c>
      <c r="M109" s="6">
        <v>86162.724957242099</v>
      </c>
      <c r="N109" s="6">
        <v>228625.630790953</v>
      </c>
      <c r="O109" s="6">
        <f t="shared" si="9"/>
        <v>-0.61331560421336384</v>
      </c>
    </row>
    <row r="110" spans="1:15" x14ac:dyDescent="0.2">
      <c r="A110" s="6" t="s">
        <v>178</v>
      </c>
      <c r="B110" s="38">
        <v>1.83E-2</v>
      </c>
      <c r="C110" s="38">
        <f t="shared" si="5"/>
        <v>1.666666666666676E-2</v>
      </c>
      <c r="D110" s="6">
        <v>-5256.0439851266001</v>
      </c>
      <c r="E110" s="1">
        <v>-93819</v>
      </c>
      <c r="F110" s="6">
        <f t="shared" si="6"/>
        <v>-0.96092861577359379</v>
      </c>
      <c r="G110" s="6">
        <v>3.361344537810943E-3</v>
      </c>
      <c r="H110" s="6">
        <v>-3.0700914645412618E-3</v>
      </c>
      <c r="I110" s="6">
        <f t="shared" si="7"/>
        <v>6.451241905060634E-3</v>
      </c>
      <c r="J110" s="35">
        <v>4.6040028848835597</v>
      </c>
      <c r="K110" s="35">
        <v>2.5</v>
      </c>
      <c r="L110" s="6">
        <f t="shared" si="8"/>
        <v>0.61034030324901822</v>
      </c>
      <c r="M110" s="6">
        <v>86850.194729252602</v>
      </c>
      <c r="N110" s="6">
        <v>232716.63702783</v>
      </c>
      <c r="O110" s="6">
        <f t="shared" si="9"/>
        <v>-0.62312472235123506</v>
      </c>
    </row>
    <row r="111" spans="1:15" x14ac:dyDescent="0.2">
      <c r="A111" s="6" t="s">
        <v>179</v>
      </c>
      <c r="B111" s="38">
        <v>1.8100000000000002E-2</v>
      </c>
      <c r="C111" s="38">
        <f t="shared" si="5"/>
        <v>-1.0928961748633814E-2</v>
      </c>
      <c r="D111" s="6">
        <v>-5095</v>
      </c>
      <c r="E111" s="1">
        <v>-93564</v>
      </c>
      <c r="F111" s="6">
        <f t="shared" si="6"/>
        <v>-0.94398682571439807</v>
      </c>
      <c r="G111" s="6">
        <v>1.6750418760468355E-2</v>
      </c>
      <c r="H111" s="6">
        <v>7.9953638345363846E-3</v>
      </c>
      <c r="I111" s="6">
        <f t="shared" si="7"/>
        <v>8.6856103113674976E-3</v>
      </c>
      <c r="J111" s="35">
        <v>5.33</v>
      </c>
      <c r="K111" s="35">
        <v>3.25</v>
      </c>
      <c r="L111" s="6">
        <f t="shared" si="8"/>
        <v>0.60114368139530283</v>
      </c>
      <c r="M111" s="6">
        <v>90865.633179418903</v>
      </c>
      <c r="N111" s="6">
        <v>236062.81196846499</v>
      </c>
      <c r="O111" s="6">
        <f t="shared" si="9"/>
        <v>-0.62679582072730344</v>
      </c>
    </row>
    <row r="112" spans="1:15" x14ac:dyDescent="0.2">
      <c r="A112" s="6" t="s">
        <v>180</v>
      </c>
      <c r="B112" s="38">
        <v>1.84E-2</v>
      </c>
      <c r="C112" s="38">
        <f t="shared" si="5"/>
        <v>1.6574585635359015E-2</v>
      </c>
      <c r="D112" s="6">
        <v>-4358</v>
      </c>
      <c r="E112" s="1">
        <v>-98930</v>
      </c>
      <c r="F112" s="6">
        <f t="shared" si="6"/>
        <v>-0.94555540117354087</v>
      </c>
      <c r="G112" s="6">
        <v>0</v>
      </c>
      <c r="H112" s="6">
        <v>5.5821105057323114E-3</v>
      </c>
      <c r="I112" s="6">
        <f t="shared" si="7"/>
        <v>-5.551123520808221E-3</v>
      </c>
      <c r="J112" s="35">
        <v>5.51586118799234</v>
      </c>
      <c r="K112" s="35">
        <v>3.75</v>
      </c>
      <c r="L112" s="6">
        <f t="shared" si="8"/>
        <v>0.48941176470588243</v>
      </c>
      <c r="M112" s="6">
        <v>88885.413027854695</v>
      </c>
      <c r="N112" s="6">
        <v>232435.280009137</v>
      </c>
      <c r="O112" s="6">
        <f t="shared" si="9"/>
        <v>-0.61507597279858595</v>
      </c>
    </row>
    <row r="113" spans="1:15" x14ac:dyDescent="0.2">
      <c r="A113" s="6" t="s">
        <v>181</v>
      </c>
      <c r="B113" s="38">
        <v>1.8100000000000002E-2</v>
      </c>
      <c r="C113" s="38">
        <f t="shared" si="5"/>
        <v>-1.6304347826086859E-2</v>
      </c>
      <c r="D113" s="6">
        <v>-5046</v>
      </c>
      <c r="E113" s="1">
        <v>-78698</v>
      </c>
      <c r="F113" s="6">
        <f t="shared" si="6"/>
        <v>-0.95595831353799188</v>
      </c>
      <c r="G113" s="6">
        <v>-2.4711696869805381E-3</v>
      </c>
      <c r="H113" s="6">
        <v>3.3107299561206771E-3</v>
      </c>
      <c r="I113" s="6">
        <f t="shared" si="7"/>
        <v>-5.7628205006379218E-3</v>
      </c>
      <c r="J113" s="35">
        <v>5.8103284557907804</v>
      </c>
      <c r="K113" s="35">
        <v>4.25</v>
      </c>
      <c r="L113" s="6">
        <f t="shared" si="8"/>
        <v>0.37176025010365055</v>
      </c>
      <c r="M113" s="6">
        <v>91474.652277678193</v>
      </c>
      <c r="N113" s="6">
        <v>235948.84245846901</v>
      </c>
      <c r="O113" s="6">
        <f t="shared" si="9"/>
        <v>-0.61758804165872649</v>
      </c>
    </row>
    <row r="114" spans="1:15" x14ac:dyDescent="0.2">
      <c r="A114" s="6" t="s">
        <v>182</v>
      </c>
      <c r="B114" s="38">
        <v>1.77E-2</v>
      </c>
      <c r="C114" s="38">
        <f t="shared" si="5"/>
        <v>-2.2099447513812209E-2</v>
      </c>
      <c r="D114" s="6">
        <v>-5114</v>
      </c>
      <c r="E114" s="1">
        <v>-85685</v>
      </c>
      <c r="F114" s="6">
        <f t="shared" si="6"/>
        <v>-0.93589336315234384</v>
      </c>
      <c r="G114" s="6">
        <v>-1.651527663089453E-3</v>
      </c>
      <c r="H114" s="6">
        <v>5.0590386832623279E-3</v>
      </c>
      <c r="I114" s="6">
        <f t="shared" si="7"/>
        <v>-6.6767882164845416E-3</v>
      </c>
      <c r="J114" s="35">
        <v>6.3185152708661798</v>
      </c>
      <c r="K114" s="35">
        <v>4.25</v>
      </c>
      <c r="L114" s="6">
        <f t="shared" si="8"/>
        <v>0.2972054201506249</v>
      </c>
      <c r="M114" s="6">
        <v>91519.942853590401</v>
      </c>
      <c r="N114" s="6">
        <v>235645.28963070799</v>
      </c>
      <c r="O114" s="6">
        <f t="shared" si="9"/>
        <v>-0.61230890716199826</v>
      </c>
    </row>
    <row r="115" spans="1:15" x14ac:dyDescent="0.2">
      <c r="A115" s="6" t="s">
        <v>183</v>
      </c>
      <c r="B115" s="38">
        <v>1.7999999999999999E-2</v>
      </c>
      <c r="C115" s="38">
        <f t="shared" si="5"/>
        <v>1.6949152542372777E-2</v>
      </c>
      <c r="D115" s="6">
        <v>-5219</v>
      </c>
      <c r="E115" s="1">
        <v>-94881</v>
      </c>
      <c r="F115" s="6">
        <f t="shared" si="6"/>
        <v>-0.94032724896129971</v>
      </c>
      <c r="G115" s="6">
        <v>0</v>
      </c>
      <c r="H115" s="6">
        <v>2.5184350102043121E-3</v>
      </c>
      <c r="I115" s="6">
        <f t="shared" si="7"/>
        <v>-2.5121084283888928E-3</v>
      </c>
      <c r="J115" s="35">
        <v>6.3617471332779196</v>
      </c>
      <c r="K115" s="35">
        <v>5</v>
      </c>
      <c r="L115" s="6">
        <f t="shared" si="8"/>
        <v>0.39400290873641519</v>
      </c>
      <c r="M115" s="6">
        <v>90380.539068636805</v>
      </c>
      <c r="N115" s="6">
        <v>231972.65920995301</v>
      </c>
      <c r="O115" s="6">
        <f t="shared" si="9"/>
        <v>-0.61161729727628211</v>
      </c>
    </row>
    <row r="116" spans="1:15" x14ac:dyDescent="0.2">
      <c r="A116" s="6" t="s">
        <v>184</v>
      </c>
      <c r="B116" s="38">
        <v>1.8200000000000001E-2</v>
      </c>
      <c r="C116" s="38">
        <f t="shared" si="5"/>
        <v>1.1111111111111238E-2</v>
      </c>
      <c r="D116" s="6">
        <v>-5446</v>
      </c>
      <c r="E116" s="1">
        <v>-104262</v>
      </c>
      <c r="F116" s="6">
        <f t="shared" si="6"/>
        <v>-0.94500421585160199</v>
      </c>
      <c r="G116" s="6">
        <v>1.6542597187769476E-3</v>
      </c>
      <c r="H116" s="6">
        <v>3.2289142364801968E-3</v>
      </c>
      <c r="I116" s="6">
        <f t="shared" si="7"/>
        <v>-1.5695864576448226E-3</v>
      </c>
      <c r="J116" s="35">
        <v>6.4003478298652698</v>
      </c>
      <c r="K116" s="35">
        <v>5.5</v>
      </c>
      <c r="L116" s="6">
        <f t="shared" si="8"/>
        <v>0.22695785554631986</v>
      </c>
      <c r="M116" s="6">
        <v>89375.677232458096</v>
      </c>
      <c r="N116" s="6">
        <v>232967.286807664</v>
      </c>
      <c r="O116" s="6">
        <f t="shared" si="9"/>
        <v>-0.61038016395286099</v>
      </c>
    </row>
    <row r="117" spans="1:15" x14ac:dyDescent="0.2">
      <c r="A117" s="6" t="s">
        <v>185</v>
      </c>
      <c r="B117" s="38">
        <v>1.7600000000000001E-2</v>
      </c>
      <c r="C117" s="38">
        <f t="shared" si="5"/>
        <v>-3.2967032967032954E-2</v>
      </c>
      <c r="D117" s="6">
        <v>-5140</v>
      </c>
      <c r="E117" s="1">
        <v>-97634</v>
      </c>
      <c r="F117" s="6">
        <f t="shared" si="6"/>
        <v>-0.94777529469312594</v>
      </c>
      <c r="G117" s="6">
        <v>8.257638315449119E-4</v>
      </c>
      <c r="H117" s="6">
        <v>1.907515019223312E-3</v>
      </c>
      <c r="I117" s="6">
        <f t="shared" si="7"/>
        <v>-1.0796916596215178E-3</v>
      </c>
      <c r="J117" s="35">
        <v>6.32369029707408</v>
      </c>
      <c r="K117" s="35">
        <v>5.5</v>
      </c>
      <c r="L117" s="6">
        <f t="shared" si="8"/>
        <v>0.13851505074850312</v>
      </c>
      <c r="M117" s="6">
        <v>89648.916528592104</v>
      </c>
      <c r="N117" s="6">
        <v>233966.83467054801</v>
      </c>
      <c r="O117" s="6">
        <f t="shared" si="9"/>
        <v>-0.61635689364773294</v>
      </c>
    </row>
    <row r="118" spans="1:15" x14ac:dyDescent="0.2">
      <c r="A118" s="6" t="s">
        <v>186</v>
      </c>
      <c r="B118" s="38">
        <v>1.77E-2</v>
      </c>
      <c r="C118" s="38">
        <f t="shared" si="5"/>
        <v>5.6818181818181473E-3</v>
      </c>
      <c r="D118" s="6">
        <v>-5341</v>
      </c>
      <c r="E118" s="1">
        <v>-102580</v>
      </c>
      <c r="F118" s="6">
        <f t="shared" si="6"/>
        <v>-0.94736410844693908</v>
      </c>
      <c r="G118" s="6">
        <v>1.0726072607255614E-2</v>
      </c>
      <c r="H118" s="6">
        <v>4.3671550683528626E-3</v>
      </c>
      <c r="I118" s="6">
        <f t="shared" si="7"/>
        <v>6.3312679101596991E-3</v>
      </c>
      <c r="J118" s="35">
        <v>6.3133224360556</v>
      </c>
      <c r="K118" s="35">
        <v>6</v>
      </c>
      <c r="L118" s="6">
        <f t="shared" si="8"/>
        <v>0.12672158416524315</v>
      </c>
      <c r="M118" s="6">
        <v>89336.082388242503</v>
      </c>
      <c r="N118" s="6">
        <v>232761.56607149</v>
      </c>
      <c r="O118" s="6">
        <f t="shared" si="9"/>
        <v>-0.61682802828504668</v>
      </c>
    </row>
    <row r="119" spans="1:15" x14ac:dyDescent="0.2">
      <c r="A119" s="6" t="s">
        <v>187</v>
      </c>
      <c r="B119" s="38">
        <v>1.7600000000000001E-2</v>
      </c>
      <c r="C119" s="38">
        <f t="shared" si="5"/>
        <v>-5.6497175141242591E-3</v>
      </c>
      <c r="D119" s="6">
        <v>-5307</v>
      </c>
      <c r="E119" s="1">
        <v>-100511</v>
      </c>
      <c r="F119" s="6">
        <f t="shared" si="6"/>
        <v>-0.94794256134296495</v>
      </c>
      <c r="G119" s="6">
        <v>1.1428571428573567E-2</v>
      </c>
      <c r="H119" s="6">
        <v>2.4851315523784778E-3</v>
      </c>
      <c r="I119" s="6">
        <f t="shared" si="7"/>
        <v>8.921269348250549E-3</v>
      </c>
      <c r="J119" s="35">
        <v>6.3177473933294896</v>
      </c>
      <c r="K119" s="35">
        <v>6.25</v>
      </c>
      <c r="L119" s="6">
        <f t="shared" si="8"/>
        <v>4.4760348007942818E-2</v>
      </c>
      <c r="M119" s="6">
        <v>88326.274040120494</v>
      </c>
      <c r="N119" s="6">
        <v>229949.20561611</v>
      </c>
      <c r="O119" s="6">
        <f t="shared" si="9"/>
        <v>-0.6161879296312458</v>
      </c>
    </row>
    <row r="120" spans="1:15" x14ac:dyDescent="0.2">
      <c r="A120" s="6" t="s">
        <v>188</v>
      </c>
      <c r="B120" s="38">
        <v>1.8100000000000002E-2</v>
      </c>
      <c r="C120" s="38">
        <f t="shared" si="5"/>
        <v>2.8409090909090932E-2</v>
      </c>
      <c r="D120" s="6">
        <v>-5259</v>
      </c>
      <c r="E120" s="1">
        <v>-97201</v>
      </c>
      <c r="F120" s="6">
        <f t="shared" si="6"/>
        <v>-0.94720923291214809</v>
      </c>
      <c r="G120" s="6">
        <v>-1.6142050040367688E-3</v>
      </c>
      <c r="H120" s="6">
        <v>-3.8337952297990725E-4</v>
      </c>
      <c r="I120" s="6">
        <f t="shared" si="7"/>
        <v>-1.2312975353185873E-3</v>
      </c>
      <c r="J120" s="35">
        <v>6.2925575281228197</v>
      </c>
      <c r="K120" s="35">
        <v>6.25</v>
      </c>
      <c r="L120" s="6">
        <f t="shared" si="8"/>
        <v>9.3444680454468632E-3</v>
      </c>
      <c r="M120" s="6">
        <v>90465.760861567396</v>
      </c>
      <c r="N120" s="6">
        <v>229672.54455380101</v>
      </c>
      <c r="O120" s="6">
        <f t="shared" si="9"/>
        <v>-0.61588521391636275</v>
      </c>
    </row>
    <row r="121" spans="1:15" x14ac:dyDescent="0.2">
      <c r="A121" s="6" t="s">
        <v>189</v>
      </c>
      <c r="B121" s="38">
        <v>1.8100000000000002E-2</v>
      </c>
      <c r="C121" s="38">
        <f t="shared" si="5"/>
        <v>0</v>
      </c>
      <c r="D121" s="6">
        <v>-3045</v>
      </c>
      <c r="E121" s="1">
        <v>-106219</v>
      </c>
      <c r="F121" s="6">
        <f t="shared" si="6"/>
        <v>-0.94590534979423868</v>
      </c>
      <c r="G121" s="6">
        <v>1.6168148746981074E-3</v>
      </c>
      <c r="H121" s="6">
        <v>-2.0151395484197102E-3</v>
      </c>
      <c r="I121" s="6">
        <f t="shared" si="7"/>
        <v>3.6392880964890573E-3</v>
      </c>
      <c r="J121" s="35">
        <v>6.2205200546291</v>
      </c>
      <c r="K121" s="35">
        <v>6.25</v>
      </c>
      <c r="L121" s="6">
        <f t="shared" si="8"/>
        <v>5.8700038790095999E-3</v>
      </c>
      <c r="M121" s="6">
        <v>91903.536675986703</v>
      </c>
      <c r="N121" s="6">
        <v>232346.958218549</v>
      </c>
      <c r="O121" s="6">
        <f t="shared" si="9"/>
        <v>-0.60610717687436755</v>
      </c>
    </row>
    <row r="122" spans="1:15" x14ac:dyDescent="0.2">
      <c r="A122" s="6" t="s">
        <v>190</v>
      </c>
      <c r="B122" s="38">
        <v>1.78E-2</v>
      </c>
      <c r="C122" s="38">
        <f t="shared" si="5"/>
        <v>-1.6574585635359206E-2</v>
      </c>
      <c r="D122" s="6">
        <v>-4373</v>
      </c>
      <c r="E122" s="1">
        <v>-97243</v>
      </c>
      <c r="F122" s="6">
        <f t="shared" si="6"/>
        <v>-0.97134195710708171</v>
      </c>
      <c r="G122" s="6">
        <v>1.6142050040365875E-3</v>
      </c>
      <c r="H122" s="6">
        <v>-9.933203278911075E-4</v>
      </c>
      <c r="I122" s="6">
        <f t="shared" si="7"/>
        <v>2.6101180152104941E-3</v>
      </c>
      <c r="J122" s="35">
        <v>6.40625</v>
      </c>
      <c r="K122" s="35">
        <v>6.25</v>
      </c>
      <c r="L122" s="6">
        <f t="shared" si="8"/>
        <v>-4.0661993615034309E-3</v>
      </c>
      <c r="M122" s="6">
        <v>93196.024815594006</v>
      </c>
      <c r="N122" s="6">
        <v>234110.801811752</v>
      </c>
      <c r="O122" s="6">
        <f t="shared" si="9"/>
        <v>-0.60445300496447529</v>
      </c>
    </row>
    <row r="123" spans="1:15" x14ac:dyDescent="0.2">
      <c r="A123" s="6" t="s">
        <v>191</v>
      </c>
      <c r="B123" s="38">
        <v>1.78E-2</v>
      </c>
      <c r="C123" s="38">
        <f t="shared" si="5"/>
        <v>0</v>
      </c>
      <c r="D123" s="6">
        <v>-5371</v>
      </c>
      <c r="E123" s="1">
        <v>-86335</v>
      </c>
      <c r="F123" s="6">
        <f t="shared" si="6"/>
        <v>-0.95504000329075911</v>
      </c>
      <c r="G123" s="6">
        <v>5.6406124093452631E-3</v>
      </c>
      <c r="H123" s="6">
        <v>5.4475037979305179E-3</v>
      </c>
      <c r="I123" s="6">
        <f t="shared" si="7"/>
        <v>1.9206235102808833E-4</v>
      </c>
      <c r="J123" s="35">
        <v>6.4095029835444999</v>
      </c>
      <c r="K123" s="35">
        <v>6.25</v>
      </c>
      <c r="L123" s="6">
        <f t="shared" si="8"/>
        <v>2.155172413793105E-2</v>
      </c>
      <c r="M123" s="6">
        <v>92970.788574663093</v>
      </c>
      <c r="N123" s="6">
        <v>232964.719172791</v>
      </c>
      <c r="O123" s="6">
        <f t="shared" si="9"/>
        <v>-0.60191231670356704</v>
      </c>
    </row>
    <row r="124" spans="1:15" x14ac:dyDescent="0.2">
      <c r="A124" s="6" t="s">
        <v>192</v>
      </c>
      <c r="B124" s="38">
        <v>1.78E-2</v>
      </c>
      <c r="C124" s="38">
        <f t="shared" si="5"/>
        <v>0</v>
      </c>
      <c r="D124" s="6">
        <v>-5286</v>
      </c>
      <c r="E124" s="1">
        <v>-100450</v>
      </c>
      <c r="F124" s="6">
        <f t="shared" si="6"/>
        <v>-0.93779970811036206</v>
      </c>
      <c r="G124" s="6">
        <v>5.6089743589784599E-3</v>
      </c>
      <c r="H124" s="6">
        <v>6.1896717755482661E-3</v>
      </c>
      <c r="I124" s="6">
        <f t="shared" si="7"/>
        <v>-5.7712520100228204E-4</v>
      </c>
      <c r="J124" s="35">
        <v>6.4800728937637402</v>
      </c>
      <c r="K124" s="35">
        <v>6.25</v>
      </c>
      <c r="L124" s="6">
        <f t="shared" si="8"/>
        <v>2.2000411523379393E-2</v>
      </c>
      <c r="M124" s="6">
        <v>91657.262726839297</v>
      </c>
      <c r="N124" s="6">
        <v>232645.50193284001</v>
      </c>
      <c r="O124" s="6">
        <f t="shared" si="9"/>
        <v>-0.60092073243743727</v>
      </c>
    </row>
    <row r="125" spans="1:15" x14ac:dyDescent="0.2">
      <c r="A125" s="6" t="s">
        <v>193</v>
      </c>
      <c r="B125" s="38">
        <v>1.7299999999999999E-2</v>
      </c>
      <c r="C125" s="38">
        <f t="shared" si="5"/>
        <v>-2.8089887640449462E-2</v>
      </c>
      <c r="D125" s="6">
        <v>-5634</v>
      </c>
      <c r="E125" s="1">
        <v>-82400</v>
      </c>
      <c r="F125" s="6">
        <f t="shared" si="6"/>
        <v>-0.94738623580125236</v>
      </c>
      <c r="G125" s="6">
        <v>7.9681274899825202E-4</v>
      </c>
      <c r="H125" s="6">
        <v>6.4641699374209148E-3</v>
      </c>
      <c r="I125" s="6">
        <f t="shared" si="7"/>
        <v>-5.6309577208047967E-3</v>
      </c>
      <c r="J125" s="35">
        <v>6.4999457548858599</v>
      </c>
      <c r="K125" s="35">
        <v>6.25</v>
      </c>
      <c r="L125" s="6">
        <f t="shared" si="8"/>
        <v>3.1734192243274562E-2</v>
      </c>
      <c r="M125" s="6">
        <v>93536.018025212194</v>
      </c>
      <c r="N125" s="6">
        <v>232761.248705209</v>
      </c>
      <c r="O125" s="6">
        <f t="shared" si="9"/>
        <v>-0.60601916656671229</v>
      </c>
    </row>
    <row r="126" spans="1:15" x14ac:dyDescent="0.2">
      <c r="A126" s="6" t="s">
        <v>194</v>
      </c>
      <c r="B126" s="38">
        <v>1.7100000000000001E-2</v>
      </c>
      <c r="C126" s="38">
        <f t="shared" si="5"/>
        <v>-1.1560693641618427E-2</v>
      </c>
      <c r="D126" s="6">
        <v>-6786</v>
      </c>
      <c r="E126" s="1">
        <v>-86970</v>
      </c>
      <c r="F126" s="6">
        <f t="shared" si="6"/>
        <v>-0.93163751987281396</v>
      </c>
      <c r="G126" s="6">
        <v>-7.9617834394332166E-4</v>
      </c>
      <c r="H126" s="6">
        <v>3.8932930343393251E-3</v>
      </c>
      <c r="I126" s="6">
        <f t="shared" si="7"/>
        <v>-4.6712846981061817E-3</v>
      </c>
      <c r="J126" s="35">
        <v>6.5</v>
      </c>
      <c r="K126" s="35">
        <v>6.5</v>
      </c>
      <c r="L126" s="6">
        <f t="shared" si="8"/>
        <v>3.4475276535980592E-2</v>
      </c>
      <c r="M126" s="6">
        <v>92403.414042190605</v>
      </c>
      <c r="N126" s="6">
        <v>230561.25035137599</v>
      </c>
      <c r="O126" s="6">
        <f t="shared" si="9"/>
        <v>-0.59814351964061041</v>
      </c>
    </row>
    <row r="127" spans="1:15" x14ac:dyDescent="0.2">
      <c r="A127" s="6" t="s">
        <v>195</v>
      </c>
      <c r="B127" s="38">
        <v>1.7100000000000001E-2</v>
      </c>
      <c r="C127" s="38">
        <f t="shared" si="5"/>
        <v>0</v>
      </c>
      <c r="D127" s="6">
        <v>-5542</v>
      </c>
      <c r="E127" s="1">
        <v>-107207</v>
      </c>
      <c r="F127" s="6">
        <f t="shared" si="6"/>
        <v>-0.92198369533971869</v>
      </c>
      <c r="G127" s="6">
        <v>7.9681274899825202E-4</v>
      </c>
      <c r="H127" s="6">
        <v>1.6616275657909518E-3</v>
      </c>
      <c r="I127" s="6">
        <f t="shared" si="7"/>
        <v>-8.6338020045184649E-4</v>
      </c>
      <c r="J127" s="35">
        <v>6.5148816815144803</v>
      </c>
      <c r="K127" s="35">
        <v>6.5</v>
      </c>
      <c r="L127" s="6">
        <f t="shared" si="8"/>
        <v>0</v>
      </c>
      <c r="M127" s="6">
        <v>94993.846828106005</v>
      </c>
      <c r="N127" s="6">
        <v>232014.55290855499</v>
      </c>
      <c r="O127" s="6">
        <f t="shared" si="9"/>
        <v>-0.59922140809535551</v>
      </c>
    </row>
    <row r="128" spans="1:15" x14ac:dyDescent="0.2">
      <c r="A128" s="6" t="s">
        <v>196</v>
      </c>
      <c r="B128" s="38">
        <v>1.7100000000000001E-2</v>
      </c>
      <c r="C128" s="38">
        <f t="shared" si="5"/>
        <v>0</v>
      </c>
      <c r="D128" s="6">
        <v>-5250</v>
      </c>
      <c r="E128" s="1">
        <v>-113905</v>
      </c>
      <c r="F128" s="6">
        <f t="shared" si="6"/>
        <v>-0.9483144600115665</v>
      </c>
      <c r="G128" s="6">
        <v>6.1102031743450122E-3</v>
      </c>
      <c r="H128" s="6">
        <v>3.3750545262873385E-4</v>
      </c>
      <c r="I128" s="6">
        <f t="shared" si="7"/>
        <v>5.7707500621044794E-3</v>
      </c>
      <c r="J128" s="35">
        <v>6.5179597631799497</v>
      </c>
      <c r="K128" s="35">
        <v>6.5</v>
      </c>
      <c r="L128" s="6">
        <f t="shared" si="8"/>
        <v>1.9842242019307843E-3</v>
      </c>
      <c r="M128" s="6">
        <v>95281.1995192717</v>
      </c>
      <c r="N128" s="6">
        <v>231079.09843231901</v>
      </c>
      <c r="O128" s="6">
        <f t="shared" si="9"/>
        <v>-0.5905669010665564</v>
      </c>
    </row>
    <row r="129" spans="1:17" x14ac:dyDescent="0.2">
      <c r="A129" s="6" t="s">
        <v>197</v>
      </c>
      <c r="B129" s="38">
        <v>1.78E-2</v>
      </c>
      <c r="C129" s="38">
        <f t="shared" si="5"/>
        <v>4.0935672514619839E-2</v>
      </c>
      <c r="D129" s="6">
        <v>-4940</v>
      </c>
      <c r="E129" s="1">
        <v>-111252</v>
      </c>
      <c r="F129" s="6">
        <f t="shared" si="6"/>
        <v>-0.95391733389521005</v>
      </c>
      <c r="G129" s="6">
        <v>6.2500000000000003E-3</v>
      </c>
      <c r="H129" s="6">
        <v>1.1617728972663115E-3</v>
      </c>
      <c r="I129" s="6">
        <f t="shared" si="7"/>
        <v>5.0823225980840547E-3</v>
      </c>
      <c r="J129" s="35">
        <v>6.5258998956244696</v>
      </c>
      <c r="K129" s="35">
        <v>6.5</v>
      </c>
      <c r="L129" s="6">
        <f t="shared" si="8"/>
        <v>2.3946350906600689E-3</v>
      </c>
      <c r="M129" s="1">
        <v>96281.1995192717</v>
      </c>
      <c r="N129" s="6">
        <v>232233.04165702101</v>
      </c>
      <c r="O129" s="6">
        <f t="shared" si="9"/>
        <v>-0.58766592118629002</v>
      </c>
    </row>
    <row r="130" spans="1:17" x14ac:dyDescent="0.2">
      <c r="Q130" s="24"/>
    </row>
    <row r="131" spans="1:17" x14ac:dyDescent="0.2">
      <c r="Q131" s="24"/>
    </row>
  </sheetData>
  <phoneticPr fontId="1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E139A-B37D-B647-9B72-23C9F4E85A1F}">
  <dimension ref="A1:O132"/>
  <sheetViews>
    <sheetView topLeftCell="H1" zoomScale="150" workbookViewId="0">
      <selection activeCell="D12" sqref="D12"/>
    </sheetView>
  </sheetViews>
  <sheetFormatPr baseColWidth="10" defaultRowHeight="16" x14ac:dyDescent="0.2"/>
  <cols>
    <col min="1" max="1" width="12.33203125" style="6" customWidth="1"/>
    <col min="2" max="2" width="17" customWidth="1"/>
    <col min="3" max="3" width="19.33203125" customWidth="1"/>
    <col min="4" max="4" width="24.6640625" customWidth="1"/>
    <col min="5" max="5" width="24.33203125" customWidth="1"/>
    <col min="6" max="6" width="14.33203125" bestFit="1" customWidth="1"/>
    <col min="7" max="7" width="24" style="1" customWidth="1"/>
    <col min="8" max="8" width="23.6640625" customWidth="1"/>
    <col min="9" max="9" width="29" customWidth="1"/>
    <col min="10" max="10" width="23" customWidth="1"/>
    <col min="11" max="11" width="22.6640625" customWidth="1"/>
    <col min="12" max="12" width="28" customWidth="1"/>
    <col min="13" max="13" width="48.6640625" customWidth="1"/>
    <col min="14" max="14" width="48.33203125" customWidth="1"/>
    <col min="15" max="15" width="26.5" customWidth="1"/>
  </cols>
  <sheetData>
    <row r="1" spans="1:15" ht="67" customHeight="1" x14ac:dyDescent="0.2">
      <c r="A1" s="7" t="s">
        <v>220</v>
      </c>
      <c r="B1" s="7" t="s">
        <v>63</v>
      </c>
      <c r="C1" s="6" t="s">
        <v>218</v>
      </c>
      <c r="D1" s="7" t="s">
        <v>200</v>
      </c>
      <c r="E1" s="7" t="s">
        <v>206</v>
      </c>
      <c r="F1" s="7" t="s">
        <v>61</v>
      </c>
      <c r="G1" s="28" t="s">
        <v>201</v>
      </c>
      <c r="H1" s="7" t="s">
        <v>205</v>
      </c>
      <c r="I1" s="7" t="s">
        <v>217</v>
      </c>
      <c r="J1" s="28" t="s">
        <v>203</v>
      </c>
      <c r="K1" s="7" t="s">
        <v>204</v>
      </c>
      <c r="L1" s="7" t="s">
        <v>216</v>
      </c>
      <c r="M1" s="28" t="s">
        <v>202</v>
      </c>
      <c r="N1" s="7" t="s">
        <v>212</v>
      </c>
      <c r="O1" s="7" t="s">
        <v>62</v>
      </c>
    </row>
    <row r="2" spans="1:15" x14ac:dyDescent="0.2">
      <c r="A2" s="6" t="s">
        <v>199</v>
      </c>
      <c r="B2" s="1">
        <v>4.7551117451260102E-5</v>
      </c>
      <c r="C2" s="1"/>
      <c r="D2" s="1">
        <v>1800</v>
      </c>
      <c r="E2" s="1">
        <v>-66026</v>
      </c>
      <c r="F2" s="1"/>
      <c r="G2" s="1">
        <v>1.34E-2</v>
      </c>
      <c r="H2" s="36">
        <v>6.1999999999999998E-3</v>
      </c>
      <c r="I2" s="1"/>
      <c r="J2" s="1">
        <v>7</v>
      </c>
      <c r="K2" s="1">
        <v>7.0000000000000007E-2</v>
      </c>
      <c r="L2" s="1"/>
      <c r="M2" s="1">
        <v>28035</v>
      </c>
      <c r="N2" s="1">
        <v>133230</v>
      </c>
      <c r="O2" s="1"/>
    </row>
    <row r="3" spans="1:15" x14ac:dyDescent="0.2">
      <c r="A3" s="6" t="s">
        <v>70</v>
      </c>
      <c r="B3" s="1">
        <v>4.752625825768737E-5</v>
      </c>
      <c r="C3" s="1">
        <f>(B3-B2)/B2</f>
        <v>-5.227888408345624E-4</v>
      </c>
      <c r="D3" s="1">
        <v>1864</v>
      </c>
      <c r="E3" s="1">
        <v>-64453</v>
      </c>
      <c r="F3" s="34">
        <f>((1+D2)/(1+E2))-1</f>
        <v>-1.0272775463839454</v>
      </c>
      <c r="G3" s="1">
        <v>1.6331700307703423E-2</v>
      </c>
      <c r="H3" s="36">
        <v>2.5570742868224498E-3</v>
      </c>
      <c r="I3" s="1">
        <f>((1+G2)/(1+H2))-1</f>
        <v>7.1556350626118537E-3</v>
      </c>
      <c r="J3" s="1">
        <v>7</v>
      </c>
      <c r="K3" s="1">
        <v>7.0000000000000007E-2</v>
      </c>
      <c r="L3" s="1">
        <f>((J2+1)/(K2+1))-1</f>
        <v>6.4766355140186915</v>
      </c>
      <c r="M3" s="1">
        <v>29094.8655489755</v>
      </c>
      <c r="N3" s="1">
        <v>133374.79090116199</v>
      </c>
      <c r="O3" s="1">
        <f>((M2+1)/(N2+1))-1</f>
        <v>-0.78956849381900607</v>
      </c>
    </row>
    <row r="4" spans="1:15" x14ac:dyDescent="0.2">
      <c r="A4" s="6" t="s">
        <v>71</v>
      </c>
      <c r="B4" s="1">
        <v>4.7505938242280282E-5</v>
      </c>
      <c r="C4" s="1">
        <f t="shared" ref="C4:C67" si="0">(B4-B3)/B3</f>
        <v>-4.2755344418052456E-4</v>
      </c>
      <c r="D4" s="1">
        <v>-512</v>
      </c>
      <c r="E4" s="1">
        <v>-51484</v>
      </c>
      <c r="F4" s="34">
        <f t="shared" ref="F4:F67" si="1">((1+D3)/(1+E3))-1</f>
        <v>-1.0289362626450691</v>
      </c>
      <c r="G4" s="1">
        <v>5.4999999999981236E-3</v>
      </c>
      <c r="H4" s="36">
        <v>3.6979086509670574E-3</v>
      </c>
      <c r="I4" s="1">
        <f t="shared" ref="I4:I67" si="2">((1+G3)/(1+H3))-1</f>
        <v>1.3739493116319279E-2</v>
      </c>
      <c r="J4" s="1">
        <v>7</v>
      </c>
      <c r="K4" s="1">
        <v>7.0000000000000007E-2</v>
      </c>
      <c r="L4" s="1">
        <f t="shared" ref="L4:L67" si="3">((J3+1)/(K3+1))-1</f>
        <v>6.4766355140186915</v>
      </c>
      <c r="M4" s="1">
        <v>30002.804142398199</v>
      </c>
      <c r="N4" s="1">
        <v>134163.60976535099</v>
      </c>
      <c r="O4" s="1">
        <f t="shared" ref="O4:O67" si="4">((M3+1)/(N3+1))-1</f>
        <v>-0.78185047411987263</v>
      </c>
    </row>
    <row r="5" spans="1:15" x14ac:dyDescent="0.2">
      <c r="A5" s="6" t="s">
        <v>72</v>
      </c>
      <c r="B5" s="1">
        <v>4.7510452299505891E-5</v>
      </c>
      <c r="C5" s="1">
        <f t="shared" si="0"/>
        <v>9.5020904599053929E-5</v>
      </c>
      <c r="D5" s="1">
        <v>-228</v>
      </c>
      <c r="E5" s="1">
        <v>-57287</v>
      </c>
      <c r="F5" s="34">
        <f t="shared" si="1"/>
        <v>-0.99007439348911286</v>
      </c>
      <c r="G5" s="1">
        <v>-4.3999999999939079E-3</v>
      </c>
      <c r="H5" s="36">
        <v>6.4400441262269141E-3</v>
      </c>
      <c r="I5" s="1">
        <f t="shared" si="2"/>
        <v>1.795451931800196E-3</v>
      </c>
      <c r="J5" s="1">
        <v>6.5</v>
      </c>
      <c r="K5" s="1">
        <v>0.08</v>
      </c>
      <c r="L5" s="1">
        <f t="shared" si="3"/>
        <v>6.4766355140186915</v>
      </c>
      <c r="M5" s="1">
        <v>33754.038478977898</v>
      </c>
      <c r="N5" s="1">
        <v>133243.234650097</v>
      </c>
      <c r="O5" s="1">
        <f t="shared" si="4"/>
        <v>-0.7763657331477074</v>
      </c>
    </row>
    <row r="6" spans="1:15" x14ac:dyDescent="0.2">
      <c r="A6" s="6" t="s">
        <v>73</v>
      </c>
      <c r="B6" s="1">
        <v>3.1152647975077883E-4</v>
      </c>
      <c r="C6" s="1">
        <f t="shared" si="0"/>
        <v>5.5570093457943921</v>
      </c>
      <c r="D6" s="1">
        <v>995</v>
      </c>
      <c r="E6" s="1">
        <v>-72165</v>
      </c>
      <c r="F6" s="34">
        <f t="shared" si="1"/>
        <v>-0.99603742624725067</v>
      </c>
      <c r="G6" s="1">
        <v>7.999999999951941E-4</v>
      </c>
      <c r="H6" s="36">
        <v>3.296754453157406E-3</v>
      </c>
      <c r="I6" s="1">
        <f t="shared" si="2"/>
        <v>-1.0770680468732641E-2</v>
      </c>
      <c r="J6" s="1">
        <v>6.5</v>
      </c>
      <c r="K6" s="1">
        <v>0.09</v>
      </c>
      <c r="L6" s="1">
        <f t="shared" si="3"/>
        <v>5.9444444444444438</v>
      </c>
      <c r="M6" s="1">
        <v>35896.804033225402</v>
      </c>
      <c r="N6" s="1">
        <v>133236.465110313</v>
      </c>
      <c r="O6" s="1">
        <f t="shared" si="4"/>
        <v>-0.74666792475021859</v>
      </c>
    </row>
    <row r="7" spans="1:15" x14ac:dyDescent="0.2">
      <c r="A7" s="6" t="s">
        <v>74</v>
      </c>
      <c r="B7" s="1">
        <v>4.7415836889521102E-5</v>
      </c>
      <c r="C7" s="1">
        <f t="shared" si="0"/>
        <v>-0.84779516358463725</v>
      </c>
      <c r="D7" s="1">
        <v>-361</v>
      </c>
      <c r="E7" s="1">
        <v>-67492</v>
      </c>
      <c r="F7" s="34">
        <f t="shared" si="1"/>
        <v>-1.0138018956820576</v>
      </c>
      <c r="G7" s="1">
        <v>2.0000000000005959E-3</v>
      </c>
      <c r="H7" s="36">
        <v>3.4926098400501E-3</v>
      </c>
      <c r="I7" s="1">
        <f t="shared" si="2"/>
        <v>-2.4885503138332155E-3</v>
      </c>
      <c r="J7" s="1">
        <v>6.5</v>
      </c>
      <c r="K7" s="1">
        <v>0.09</v>
      </c>
      <c r="L7" s="1">
        <f t="shared" si="3"/>
        <v>5.8807339449541276</v>
      </c>
      <c r="M7" s="1">
        <v>35681.7711719289</v>
      </c>
      <c r="N7" s="1">
        <v>133537.01784557899</v>
      </c>
      <c r="O7" s="1">
        <f t="shared" si="4"/>
        <v>-0.73057274841198705</v>
      </c>
    </row>
    <row r="8" spans="1:15" x14ac:dyDescent="0.2">
      <c r="A8" s="6" t="s">
        <v>75</v>
      </c>
      <c r="B8" s="1">
        <v>4.7167586434602143E-5</v>
      </c>
      <c r="C8" s="1">
        <f t="shared" si="0"/>
        <v>-5.2356020942408371E-3</v>
      </c>
      <c r="D8" s="1">
        <v>159</v>
      </c>
      <c r="E8" s="1">
        <v>-64680</v>
      </c>
      <c r="F8" s="34">
        <f t="shared" si="1"/>
        <v>-0.99466595546072811</v>
      </c>
      <c r="G8" s="1">
        <v>2.9999999999991743E-3</v>
      </c>
      <c r="H8" s="36">
        <v>1.8621269440930997E-3</v>
      </c>
      <c r="I8" s="1">
        <f t="shared" si="2"/>
        <v>-1.4874148802025422E-3</v>
      </c>
      <c r="J8" s="1">
        <v>6.5</v>
      </c>
      <c r="K8" s="1">
        <v>0.1</v>
      </c>
      <c r="L8" s="1">
        <f t="shared" si="3"/>
        <v>5.8807339449541276</v>
      </c>
      <c r="M8" s="1">
        <v>35799.283837953502</v>
      </c>
      <c r="N8" s="1">
        <v>134135.12601513899</v>
      </c>
      <c r="O8" s="1">
        <f t="shared" si="4"/>
        <v>-0.73278942021446036</v>
      </c>
    </row>
    <row r="9" spans="1:15" x14ac:dyDescent="0.2">
      <c r="A9" s="6" t="s">
        <v>76</v>
      </c>
      <c r="B9" s="1">
        <v>3.114294612270321E-4</v>
      </c>
      <c r="C9" s="1">
        <f t="shared" si="0"/>
        <v>5.6026160074743077</v>
      </c>
      <c r="D9" s="1">
        <v>200</v>
      </c>
      <c r="E9" s="1">
        <v>-76699</v>
      </c>
      <c r="F9" s="34">
        <f t="shared" si="1"/>
        <v>-1.0024737550054887</v>
      </c>
      <c r="G9" s="1">
        <v>2.3000000000018722E-3</v>
      </c>
      <c r="H9" s="36">
        <v>-3.90193964162509E-4</v>
      </c>
      <c r="I9" s="1">
        <f t="shared" si="2"/>
        <v>1.1357581300901476E-3</v>
      </c>
      <c r="J9" s="1">
        <v>6.5</v>
      </c>
      <c r="K9" s="1">
        <v>0.09</v>
      </c>
      <c r="L9" s="1">
        <f t="shared" si="3"/>
        <v>5.8181818181818175</v>
      </c>
      <c r="M9" s="1">
        <v>36078.634948923303</v>
      </c>
      <c r="N9" s="1">
        <v>131874.78477086601</v>
      </c>
      <c r="O9" s="1">
        <f t="shared" si="4"/>
        <v>-0.73310483237071433</v>
      </c>
    </row>
    <row r="10" spans="1:15" x14ac:dyDescent="0.2">
      <c r="A10" s="6" t="s">
        <v>77</v>
      </c>
      <c r="B10" s="1">
        <v>4.7666714333381001E-5</v>
      </c>
      <c r="C10" s="1">
        <f t="shared" si="0"/>
        <v>-0.8469421802755136</v>
      </c>
      <c r="D10" s="1">
        <v>936</v>
      </c>
      <c r="E10" s="1">
        <v>-64579</v>
      </c>
      <c r="F10" s="34">
        <f t="shared" si="1"/>
        <v>-1.0026206680747869</v>
      </c>
      <c r="G10" s="1">
        <v>2.1999999999990582E-3</v>
      </c>
      <c r="H10" s="36">
        <v>-1.6705141657910104E-3</v>
      </c>
      <c r="I10" s="1">
        <f t="shared" si="2"/>
        <v>2.691244071357124E-3</v>
      </c>
      <c r="J10" s="1">
        <v>6.5</v>
      </c>
      <c r="K10" s="1">
        <v>0.09</v>
      </c>
      <c r="L10" s="1">
        <f t="shared" si="3"/>
        <v>5.8807339449541276</v>
      </c>
      <c r="M10" s="1">
        <v>36973.345172602298</v>
      </c>
      <c r="N10" s="1">
        <v>130276.83443422</v>
      </c>
      <c r="O10" s="1">
        <f t="shared" si="4"/>
        <v>-0.72641197918471834</v>
      </c>
    </row>
    <row r="11" spans="1:15" x14ac:dyDescent="0.2">
      <c r="A11" s="6" t="s">
        <v>78</v>
      </c>
      <c r="B11" s="1">
        <v>4.7961630695443642E-5</v>
      </c>
      <c r="C11" s="1">
        <f t="shared" si="0"/>
        <v>6.1870503597121415E-3</v>
      </c>
      <c r="D11" s="1">
        <v>-425</v>
      </c>
      <c r="E11" s="1">
        <v>-75021</v>
      </c>
      <c r="F11" s="34">
        <f t="shared" si="1"/>
        <v>-1.01450958530769</v>
      </c>
      <c r="G11" s="1">
        <v>3.9999999999998856E-3</v>
      </c>
      <c r="H11" s="36">
        <v>7.525688243112305E-4</v>
      </c>
      <c r="I11" s="1">
        <f t="shared" si="2"/>
        <v>3.8769907337314891E-3</v>
      </c>
      <c r="J11" s="1">
        <v>6.5</v>
      </c>
      <c r="K11" s="1">
        <v>0.09</v>
      </c>
      <c r="L11" s="1">
        <f t="shared" si="3"/>
        <v>5.8807339449541276</v>
      </c>
      <c r="M11" s="1">
        <v>36821.810644449703</v>
      </c>
      <c r="N11" s="1">
        <v>126012.62101089599</v>
      </c>
      <c r="O11" s="1">
        <f t="shared" si="4"/>
        <v>-0.71618851869025035</v>
      </c>
    </row>
    <row r="12" spans="1:15" x14ac:dyDescent="0.2">
      <c r="A12" s="6" t="s">
        <v>79</v>
      </c>
      <c r="B12" s="1">
        <v>4.7487890587900086E-5</v>
      </c>
      <c r="C12" s="1">
        <f t="shared" si="0"/>
        <v>-9.8774812422831523E-3</v>
      </c>
      <c r="D12" s="1">
        <v>86</v>
      </c>
      <c r="E12" s="1">
        <v>-71004</v>
      </c>
      <c r="F12" s="34">
        <f t="shared" si="1"/>
        <v>-0.9943481738203146</v>
      </c>
      <c r="G12" s="1">
        <v>1.0999999999995135E-3</v>
      </c>
      <c r="H12" s="36">
        <v>-2.5122778125522991E-3</v>
      </c>
      <c r="I12" s="1">
        <f t="shared" si="2"/>
        <v>3.2449890980581486E-3</v>
      </c>
      <c r="J12" s="1">
        <v>6.5</v>
      </c>
      <c r="K12" s="1">
        <v>0.09</v>
      </c>
      <c r="L12" s="1">
        <f t="shared" si="3"/>
        <v>5.8807339449541276</v>
      </c>
      <c r="M12" s="1">
        <v>36728.979914256997</v>
      </c>
      <c r="N12" s="1">
        <v>125243.50961953599</v>
      </c>
      <c r="O12" s="1">
        <f t="shared" si="4"/>
        <v>-0.70778706024751281</v>
      </c>
    </row>
    <row r="13" spans="1:15" x14ac:dyDescent="0.2">
      <c r="A13" s="6" t="s">
        <v>80</v>
      </c>
      <c r="B13" s="1">
        <v>4.7460844803037492E-5</v>
      </c>
      <c r="C13" s="1">
        <f t="shared" si="0"/>
        <v>-5.6953013763649948E-4</v>
      </c>
      <c r="D13" s="1">
        <v>581</v>
      </c>
      <c r="E13" s="1">
        <v>-60252</v>
      </c>
      <c r="F13" s="34">
        <f t="shared" si="1"/>
        <v>-1.0012253003394223</v>
      </c>
      <c r="G13" s="1">
        <v>-2.6999999999958698E-3</v>
      </c>
      <c r="H13" s="36">
        <v>-5.3994179410662866E-3</v>
      </c>
      <c r="I13" s="1">
        <f t="shared" si="2"/>
        <v>3.6213757144099024E-3</v>
      </c>
      <c r="J13" s="1">
        <v>6.5</v>
      </c>
      <c r="K13" s="1">
        <v>0.09</v>
      </c>
      <c r="L13" s="1">
        <f t="shared" si="3"/>
        <v>5.8807339449541276</v>
      </c>
      <c r="M13" s="1">
        <v>36443.195482584299</v>
      </c>
      <c r="N13" s="1">
        <v>122599.606390958</v>
      </c>
      <c r="O13" s="1">
        <f t="shared" si="4"/>
        <v>-0.7067338119185087</v>
      </c>
    </row>
    <row r="14" spans="1:15" x14ac:dyDescent="0.2">
      <c r="A14" s="6" t="s">
        <v>81</v>
      </c>
      <c r="B14" s="1">
        <v>4.7478871902003608E-5</v>
      </c>
      <c r="C14" s="1">
        <f t="shared" si="0"/>
        <v>3.7983097521606312E-4</v>
      </c>
      <c r="D14" s="1">
        <v>-927</v>
      </c>
      <c r="E14" s="1">
        <v>-66898</v>
      </c>
      <c r="F14" s="34">
        <f t="shared" si="1"/>
        <v>-1.0096595907121872</v>
      </c>
      <c r="G14" s="1">
        <v>-2.4000000000020828E-3</v>
      </c>
      <c r="H14" s="36">
        <v>-5.6701009100117586E-3</v>
      </c>
      <c r="I14" s="1">
        <f t="shared" si="2"/>
        <v>2.7140723520213683E-3</v>
      </c>
      <c r="J14" s="1">
        <v>6.5</v>
      </c>
      <c r="K14" s="1">
        <v>0.12</v>
      </c>
      <c r="L14" s="1">
        <f t="shared" si="3"/>
        <v>5.8807339449541276</v>
      </c>
      <c r="M14" s="1">
        <v>34189.368832668799</v>
      </c>
      <c r="N14" s="1">
        <v>119048.483711245</v>
      </c>
      <c r="O14" s="1">
        <f t="shared" si="4"/>
        <v>-0.70274049570058139</v>
      </c>
    </row>
    <row r="15" spans="1:15" x14ac:dyDescent="0.2">
      <c r="A15" s="6" t="s">
        <v>82</v>
      </c>
      <c r="B15" s="1">
        <v>4.7451836386068141E-5</v>
      </c>
      <c r="C15" s="1">
        <f t="shared" si="0"/>
        <v>-5.694220366327991E-4</v>
      </c>
      <c r="D15" s="1">
        <v>-614</v>
      </c>
      <c r="E15" s="1">
        <v>-65836</v>
      </c>
      <c r="F15" s="34">
        <f t="shared" si="1"/>
        <v>-0.98615782471560753</v>
      </c>
      <c r="G15" s="1">
        <v>-1.9999999999992177E-3</v>
      </c>
      <c r="H15" s="36">
        <v>-4.7058923734695649E-3</v>
      </c>
      <c r="I15" s="1">
        <f t="shared" si="2"/>
        <v>3.288748445563705E-3</v>
      </c>
      <c r="J15" s="1">
        <v>6.5</v>
      </c>
      <c r="K15" s="1">
        <v>0.11</v>
      </c>
      <c r="L15" s="1">
        <f t="shared" si="3"/>
        <v>5.6964285714285712</v>
      </c>
      <c r="M15" s="1">
        <v>34696.416293952403</v>
      </c>
      <c r="N15" s="1">
        <v>115561.969637645</v>
      </c>
      <c r="O15" s="1">
        <f t="shared" si="4"/>
        <v>-0.7128054001847024</v>
      </c>
    </row>
    <row r="16" spans="1:15" x14ac:dyDescent="0.2">
      <c r="A16" s="6" t="s">
        <v>83</v>
      </c>
      <c r="B16" s="1">
        <v>4.7655356462066336E-5</v>
      </c>
      <c r="C16" s="1">
        <f t="shared" si="0"/>
        <v>4.2889820815859656E-3</v>
      </c>
      <c r="D16" s="1">
        <v>-783</v>
      </c>
      <c r="E16" s="1">
        <v>-49793</v>
      </c>
      <c r="F16" s="34">
        <f t="shared" si="1"/>
        <v>-0.99068884332042229</v>
      </c>
      <c r="G16" s="1">
        <v>-5.000000000026125E-4</v>
      </c>
      <c r="H16" s="36">
        <v>4.3430449237772846E-3</v>
      </c>
      <c r="I16" s="1">
        <f t="shared" si="2"/>
        <v>2.7186862182104754E-3</v>
      </c>
      <c r="J16" s="1">
        <v>6.5</v>
      </c>
      <c r="K16" s="1">
        <v>0.11</v>
      </c>
      <c r="L16" s="1">
        <f t="shared" si="3"/>
        <v>5.7567567567567561</v>
      </c>
      <c r="M16" s="1">
        <v>37306.512369193297</v>
      </c>
      <c r="N16" s="1">
        <v>113676.383582362</v>
      </c>
      <c r="O16" s="1">
        <f t="shared" si="4"/>
        <v>-0.69975316139115895</v>
      </c>
    </row>
    <row r="17" spans="1:15" x14ac:dyDescent="0.2">
      <c r="A17" s="6" t="s">
        <v>84</v>
      </c>
      <c r="B17" s="1">
        <v>4.7200981780421035E-5</v>
      </c>
      <c r="C17" s="1">
        <f t="shared" si="0"/>
        <v>-9.5345983196450015E-3</v>
      </c>
      <c r="D17" s="1">
        <v>-1211</v>
      </c>
      <c r="E17" s="1">
        <v>-70814</v>
      </c>
      <c r="F17" s="34">
        <f t="shared" si="1"/>
        <v>-0.98429466580976865</v>
      </c>
      <c r="G17" s="1">
        <v>1.5000000000009986E-3</v>
      </c>
      <c r="H17" s="36">
        <v>5.9517216110944711E-3</v>
      </c>
      <c r="I17" s="1">
        <f t="shared" si="2"/>
        <v>-4.8221023167910326E-3</v>
      </c>
      <c r="J17" s="1">
        <v>6.5</v>
      </c>
      <c r="K17" s="1">
        <v>0.11</v>
      </c>
      <c r="L17" s="1">
        <f t="shared" si="3"/>
        <v>5.7567567567567561</v>
      </c>
      <c r="M17" s="1">
        <v>36910.554532387003</v>
      </c>
      <c r="N17" s="1">
        <v>108228.544728414</v>
      </c>
      <c r="O17" s="1">
        <f t="shared" si="4"/>
        <v>-0.67181235885708879</v>
      </c>
    </row>
    <row r="18" spans="1:15" x14ac:dyDescent="0.2">
      <c r="A18" s="6" t="s">
        <v>85</v>
      </c>
      <c r="B18" s="1">
        <v>4.6349942062572421E-5</v>
      </c>
      <c r="C18" s="1">
        <f t="shared" si="0"/>
        <v>-1.8030127462340742E-2</v>
      </c>
      <c r="D18" s="1">
        <v>434</v>
      </c>
      <c r="E18" s="1">
        <v>-67289</v>
      </c>
      <c r="F18" s="34">
        <f t="shared" si="1"/>
        <v>-0.98291274201064771</v>
      </c>
      <c r="G18" s="1">
        <v>1.4000000000034662E-3</v>
      </c>
      <c r="H18" s="36">
        <v>2.0328732545835107E-3</v>
      </c>
      <c r="I18" s="1">
        <f t="shared" si="2"/>
        <v>-4.4253829636712316E-3</v>
      </c>
      <c r="J18" s="1">
        <v>6.5</v>
      </c>
      <c r="K18" s="1">
        <v>0.12</v>
      </c>
      <c r="L18" s="1">
        <f t="shared" si="3"/>
        <v>5.7567567567567561</v>
      </c>
      <c r="M18" s="1">
        <v>36463.872765999004</v>
      </c>
      <c r="N18" s="1">
        <v>110249.031731012</v>
      </c>
      <c r="O18" s="1">
        <f t="shared" si="4"/>
        <v>-0.6589512168326026</v>
      </c>
    </row>
    <row r="19" spans="1:15" x14ac:dyDescent="0.2">
      <c r="A19" s="6" t="s">
        <v>86</v>
      </c>
      <c r="B19" s="1">
        <v>4.5903144365389032E-5</v>
      </c>
      <c r="C19" s="1">
        <f t="shared" si="0"/>
        <v>-9.639660316731611E-3</v>
      </c>
      <c r="D19" s="1">
        <v>-1224</v>
      </c>
      <c r="E19" s="1">
        <v>-64031</v>
      </c>
      <c r="F19" s="34">
        <f t="shared" si="1"/>
        <v>-1.0064647485435738</v>
      </c>
      <c r="G19" s="1">
        <v>1.5999999999976428E-3</v>
      </c>
      <c r="H19" s="36">
        <v>5.0972320254958981E-3</v>
      </c>
      <c r="I19" s="1">
        <f t="shared" si="2"/>
        <v>-6.3158931355677961E-4</v>
      </c>
      <c r="J19" s="1">
        <v>6.5</v>
      </c>
      <c r="K19" s="1">
        <v>0.12</v>
      </c>
      <c r="L19" s="1">
        <f t="shared" si="3"/>
        <v>5.6964285714285712</v>
      </c>
      <c r="M19" s="1">
        <v>37222.409833209298</v>
      </c>
      <c r="N19" s="1">
        <v>108494.126842597</v>
      </c>
      <c r="O19" s="1">
        <f t="shared" si="4"/>
        <v>-0.66925294992235473</v>
      </c>
    </row>
    <row r="20" spans="1:15" x14ac:dyDescent="0.2">
      <c r="A20" s="6" t="s">
        <v>87</v>
      </c>
      <c r="B20" s="1">
        <v>4.5903144365389032E-5</v>
      </c>
      <c r="C20" s="1">
        <f t="shared" si="0"/>
        <v>0</v>
      </c>
      <c r="D20" s="1">
        <v>-27</v>
      </c>
      <c r="E20" s="1">
        <v>-72063</v>
      </c>
      <c r="F20" s="34">
        <f t="shared" si="1"/>
        <v>-0.98089957832266128</v>
      </c>
      <c r="G20" s="1">
        <v>3.4999999999993387E-3</v>
      </c>
      <c r="H20" s="36">
        <v>3.502869998531743E-3</v>
      </c>
      <c r="I20" s="1">
        <f t="shared" si="2"/>
        <v>-3.4794962259029338E-3</v>
      </c>
      <c r="J20" s="1">
        <v>6.5</v>
      </c>
      <c r="K20" s="1">
        <v>0.13</v>
      </c>
      <c r="L20" s="1">
        <f t="shared" si="3"/>
        <v>5.6964285714285712</v>
      </c>
      <c r="M20" s="1">
        <v>37333.568376024399</v>
      </c>
      <c r="N20" s="1">
        <v>109291.59555829701</v>
      </c>
      <c r="O20" s="1">
        <f t="shared" si="4"/>
        <v>-0.65691168887970031</v>
      </c>
    </row>
    <row r="21" spans="1:15" x14ac:dyDescent="0.2">
      <c r="A21" s="6" t="s">
        <v>88</v>
      </c>
      <c r="B21" s="1">
        <v>4.658746797111577E-5</v>
      </c>
      <c r="C21" s="1">
        <f t="shared" si="0"/>
        <v>1.4907989750756979E-2</v>
      </c>
      <c r="D21" s="1">
        <v>-489</v>
      </c>
      <c r="E21" s="1">
        <v>-75191</v>
      </c>
      <c r="F21" s="34">
        <f t="shared" si="1"/>
        <v>-0.99963919957814107</v>
      </c>
      <c r="G21" s="1">
        <v>1.3000000000039907E-3</v>
      </c>
      <c r="H21" s="36">
        <v>6.704715929303293E-5</v>
      </c>
      <c r="I21" s="1">
        <f t="shared" si="2"/>
        <v>-2.8599803928441858E-6</v>
      </c>
      <c r="J21" s="1">
        <v>6.5</v>
      </c>
      <c r="K21" s="1">
        <v>0.13</v>
      </c>
      <c r="L21" s="1">
        <f t="shared" si="3"/>
        <v>5.6371681415929213</v>
      </c>
      <c r="M21" s="1">
        <v>36908.984998605301</v>
      </c>
      <c r="N21" s="1">
        <v>108276.90692499799</v>
      </c>
      <c r="O21" s="1">
        <f t="shared" si="4"/>
        <v>-0.65839800779449853</v>
      </c>
    </row>
    <row r="22" spans="1:15" x14ac:dyDescent="0.2">
      <c r="A22" s="6" t="s">
        <v>89</v>
      </c>
      <c r="B22" s="1">
        <v>4.5189570247186951E-5</v>
      </c>
      <c r="C22" s="1">
        <f t="shared" si="0"/>
        <v>-3.0005874644132086E-2</v>
      </c>
      <c r="D22" s="1">
        <v>268</v>
      </c>
      <c r="E22" s="1">
        <v>-72907</v>
      </c>
      <c r="F22" s="34">
        <f t="shared" si="1"/>
        <v>-0.99350977523606865</v>
      </c>
      <c r="G22" s="1">
        <v>-7.0000000000457923E-4</v>
      </c>
      <c r="H22" s="36">
        <v>-1.4162762828209669E-3</v>
      </c>
      <c r="I22" s="1">
        <f t="shared" si="2"/>
        <v>1.2328701802677422E-3</v>
      </c>
      <c r="J22" s="1">
        <v>6.5</v>
      </c>
      <c r="K22" s="1">
        <v>0.14000000000000001</v>
      </c>
      <c r="L22" s="1">
        <f t="shared" si="3"/>
        <v>5.6371681415929213</v>
      </c>
      <c r="M22" s="1">
        <v>32914.295413952699</v>
      </c>
      <c r="N22" s="1">
        <v>109858.074545393</v>
      </c>
      <c r="O22" s="1">
        <f t="shared" si="4"/>
        <v>-0.65911804128082996</v>
      </c>
    </row>
    <row r="23" spans="1:15" x14ac:dyDescent="0.2">
      <c r="A23" s="6" t="s">
        <v>90</v>
      </c>
      <c r="B23" s="1">
        <v>4.5238633793259441E-5</v>
      </c>
      <c r="C23" s="1">
        <f t="shared" si="0"/>
        <v>1.0857272110381246E-3</v>
      </c>
      <c r="D23" s="1">
        <v>18</v>
      </c>
      <c r="E23" s="1">
        <v>-72385</v>
      </c>
      <c r="F23" s="34">
        <f t="shared" si="1"/>
        <v>-1.0036896826049981</v>
      </c>
      <c r="G23" s="1">
        <v>-2.1000000000024645E-3</v>
      </c>
      <c r="H23" s="36">
        <v>-1.5567565753002303E-3</v>
      </c>
      <c r="I23" s="1">
        <f t="shared" si="2"/>
        <v>7.1729216669980111E-4</v>
      </c>
      <c r="J23" s="1">
        <v>6.5</v>
      </c>
      <c r="K23" s="1">
        <v>0.125</v>
      </c>
      <c r="L23" s="1">
        <f t="shared" si="3"/>
        <v>5.5789473684210522</v>
      </c>
      <c r="M23" s="1">
        <v>30651.627987815598</v>
      </c>
      <c r="N23" s="1">
        <v>109176.888023436</v>
      </c>
      <c r="O23" s="1">
        <f t="shared" si="4"/>
        <v>-0.700386194311583</v>
      </c>
    </row>
    <row r="24" spans="1:15" x14ac:dyDescent="0.2">
      <c r="A24" s="6" t="s">
        <v>91</v>
      </c>
      <c r="B24" s="1">
        <v>0.44000528006336076</v>
      </c>
      <c r="C24" s="1">
        <f t="shared" si="0"/>
        <v>9725.3167158005908</v>
      </c>
      <c r="D24" s="1">
        <v>460</v>
      </c>
      <c r="E24" s="1">
        <v>-70367</v>
      </c>
      <c r="F24" s="34">
        <f t="shared" si="1"/>
        <v>-1.0002624889478338</v>
      </c>
      <c r="G24" s="1">
        <v>1.1000000000053049E-3</v>
      </c>
      <c r="H24" s="36">
        <v>-4.4968375044474436E-4</v>
      </c>
      <c r="I24" s="1">
        <f t="shared" si="2"/>
        <v>-5.4409044107395221E-4</v>
      </c>
      <c r="J24" s="1">
        <v>6.5</v>
      </c>
      <c r="K24" s="1">
        <v>0.125</v>
      </c>
      <c r="L24" s="1">
        <f t="shared" si="3"/>
        <v>5.666666666666667</v>
      </c>
      <c r="M24" s="1">
        <v>31001.6694053227</v>
      </c>
      <c r="N24" s="1">
        <v>108225.67644315099</v>
      </c>
      <c r="O24" s="1">
        <f t="shared" si="4"/>
        <v>-0.71924142752023434</v>
      </c>
    </row>
    <row r="25" spans="1:15" x14ac:dyDescent="0.2">
      <c r="A25" s="6" t="s">
        <v>92</v>
      </c>
      <c r="B25" s="1">
        <v>4.5205912933411693E-5</v>
      </c>
      <c r="C25" s="1">
        <f t="shared" si="0"/>
        <v>-0.99989726052167627</v>
      </c>
      <c r="D25" s="1">
        <v>185</v>
      </c>
      <c r="E25" s="1">
        <v>-66944</v>
      </c>
      <c r="F25" s="34">
        <f t="shared" si="1"/>
        <v>-1.006551459511696</v>
      </c>
      <c r="G25" s="1">
        <v>7.0199999999700352E-4</v>
      </c>
      <c r="H25" s="36">
        <v>-2.1106803790863853E-3</v>
      </c>
      <c r="I25" s="1">
        <f t="shared" si="2"/>
        <v>1.55038093156179E-3</v>
      </c>
      <c r="J25" s="1">
        <v>6.5</v>
      </c>
      <c r="K25" s="1">
        <v>0.12</v>
      </c>
      <c r="L25" s="1">
        <f t="shared" si="3"/>
        <v>5.666666666666667</v>
      </c>
      <c r="M25" s="1">
        <v>30289.599951288099</v>
      </c>
      <c r="N25" s="1">
        <v>105599.427903891</v>
      </c>
      <c r="O25" s="1">
        <f t="shared" si="4"/>
        <v>-0.71353948560355451</v>
      </c>
    </row>
    <row r="26" spans="1:15" x14ac:dyDescent="0.2">
      <c r="A26" s="6" t="s">
        <v>93</v>
      </c>
      <c r="B26" s="1">
        <v>4.5075501464953795E-5</v>
      </c>
      <c r="C26" s="1">
        <f t="shared" si="0"/>
        <v>-2.8848320937571734E-3</v>
      </c>
      <c r="D26" s="1">
        <v>-558</v>
      </c>
      <c r="E26" s="1">
        <v>-65110</v>
      </c>
      <c r="F26" s="34">
        <f t="shared" si="1"/>
        <v>-1.0027784831871891</v>
      </c>
      <c r="G26" s="1">
        <v>1.6700000000003084E-4</v>
      </c>
      <c r="H26" s="36">
        <v>-3.4170964371131938E-3</v>
      </c>
      <c r="I26" s="1">
        <f t="shared" si="2"/>
        <v>2.8186296052872262E-3</v>
      </c>
      <c r="J26" s="1">
        <v>6.5</v>
      </c>
      <c r="K26" s="1">
        <v>0.24</v>
      </c>
      <c r="L26" s="1">
        <f t="shared" si="3"/>
        <v>5.6964285714285712</v>
      </c>
      <c r="M26" s="1">
        <v>28250.254960180999</v>
      </c>
      <c r="N26" s="1">
        <v>106539.635766333</v>
      </c>
      <c r="O26" s="1">
        <f t="shared" si="4"/>
        <v>-0.71315835974778286</v>
      </c>
    </row>
    <row r="27" spans="1:15" x14ac:dyDescent="0.2">
      <c r="A27" s="6" t="s">
        <v>94</v>
      </c>
      <c r="B27" s="1">
        <v>0.4390008341015848</v>
      </c>
      <c r="C27" s="1">
        <f t="shared" si="0"/>
        <v>9738.2335045436594</v>
      </c>
      <c r="D27" s="1">
        <v>829</v>
      </c>
      <c r="E27" s="1">
        <v>-63039</v>
      </c>
      <c r="F27" s="34">
        <f t="shared" si="1"/>
        <v>-0.99144511511465394</v>
      </c>
      <c r="G27" s="1">
        <v>-1.8000000002176587E-5</v>
      </c>
      <c r="H27" s="36">
        <v>1.6531022090646278E-3</v>
      </c>
      <c r="I27" s="1">
        <f t="shared" si="2"/>
        <v>3.5963856336485023E-3</v>
      </c>
      <c r="J27" s="1">
        <v>6.5</v>
      </c>
      <c r="K27" s="1">
        <v>0.34</v>
      </c>
      <c r="L27" s="1">
        <f t="shared" si="3"/>
        <v>5.0483870967741939</v>
      </c>
      <c r="M27" s="1">
        <v>27494.4124136465</v>
      </c>
      <c r="N27" s="1">
        <v>106147.292068394</v>
      </c>
      <c r="O27" s="1">
        <f t="shared" si="4"/>
        <v>-0.73483117725951819</v>
      </c>
    </row>
    <row r="28" spans="1:15" x14ac:dyDescent="0.2">
      <c r="A28" s="6" t="s">
        <v>95</v>
      </c>
      <c r="B28" s="1">
        <v>4.5576774075930902E-5</v>
      </c>
      <c r="C28" s="1">
        <f t="shared" si="0"/>
        <v>-0.99989618066633246</v>
      </c>
      <c r="D28" s="1">
        <v>-165</v>
      </c>
      <c r="E28" s="1">
        <v>-59847</v>
      </c>
      <c r="F28" s="34">
        <f t="shared" si="1"/>
        <v>-1.0131666613788508</v>
      </c>
      <c r="G28" s="1">
        <v>4.1920000000048125E-3</v>
      </c>
      <c r="H28" s="36">
        <v>8.2307653345268638E-4</v>
      </c>
      <c r="I28" s="1">
        <f t="shared" si="2"/>
        <v>-1.6683442654761294E-3</v>
      </c>
      <c r="J28" s="1">
        <v>6.5</v>
      </c>
      <c r="K28" s="1">
        <v>0.38</v>
      </c>
      <c r="L28" s="1">
        <f t="shared" si="3"/>
        <v>4.5970149253731343</v>
      </c>
      <c r="M28" s="1">
        <v>28836.073377701199</v>
      </c>
      <c r="N28" s="1">
        <v>106177.180000116</v>
      </c>
      <c r="O28" s="1">
        <f t="shared" si="4"/>
        <v>-0.74097169273406194</v>
      </c>
    </row>
    <row r="29" spans="1:15" x14ac:dyDescent="0.2">
      <c r="A29" s="6" t="s">
        <v>96</v>
      </c>
      <c r="B29" s="1">
        <v>4.5591319412783804E-5</v>
      </c>
      <c r="C29" s="1">
        <f t="shared" si="0"/>
        <v>3.191392358895179E-4</v>
      </c>
      <c r="D29" s="1">
        <v>656</v>
      </c>
      <c r="E29" s="1">
        <v>-58120</v>
      </c>
      <c r="F29" s="34">
        <f t="shared" si="1"/>
        <v>-0.99725963305818266</v>
      </c>
      <c r="G29" s="1">
        <v>5.6950000000054466E-3</v>
      </c>
      <c r="H29" s="36">
        <v>4.306000143391042E-3</v>
      </c>
      <c r="I29" s="1">
        <f t="shared" si="2"/>
        <v>3.3661528651207639E-3</v>
      </c>
      <c r="J29" s="1">
        <v>6.5</v>
      </c>
      <c r="K29" s="1">
        <v>0.36</v>
      </c>
      <c r="L29" s="1">
        <f t="shared" si="3"/>
        <v>4.4347826086956523</v>
      </c>
      <c r="M29" s="1">
        <v>31617.983768395701</v>
      </c>
      <c r="N29" s="1">
        <v>108685.64091833599</v>
      </c>
      <c r="O29" s="1">
        <f t="shared" si="4"/>
        <v>-0.72840866760317713</v>
      </c>
    </row>
    <row r="30" spans="1:15" x14ac:dyDescent="0.2">
      <c r="A30" s="6" t="s">
        <v>97</v>
      </c>
      <c r="B30" s="1">
        <v>4.5789642382892991E-5</v>
      </c>
      <c r="C30" s="1">
        <f t="shared" si="0"/>
        <v>4.3500160263749118E-3</v>
      </c>
      <c r="D30" s="1">
        <v>265</v>
      </c>
      <c r="E30" s="1">
        <v>-60491</v>
      </c>
      <c r="F30" s="34">
        <f t="shared" si="1"/>
        <v>-1.0113043927115057</v>
      </c>
      <c r="G30" s="1">
        <v>3.3479999999919611E-3</v>
      </c>
      <c r="H30" s="36">
        <v>4.7410679791102918E-3</v>
      </c>
      <c r="I30" s="1">
        <f t="shared" si="2"/>
        <v>1.3830444669415964E-3</v>
      </c>
      <c r="J30" s="1">
        <v>6.5</v>
      </c>
      <c r="K30" s="1">
        <v>0.37</v>
      </c>
      <c r="L30" s="1">
        <f t="shared" si="3"/>
        <v>4.514705882352942</v>
      </c>
      <c r="M30" s="1">
        <v>33832.5085776243</v>
      </c>
      <c r="N30" s="1">
        <v>109993.521451525</v>
      </c>
      <c r="O30" s="1">
        <f t="shared" si="4"/>
        <v>-0.70908123113167798</v>
      </c>
    </row>
    <row r="31" spans="1:15" x14ac:dyDescent="0.2">
      <c r="A31" s="6" t="s">
        <v>98</v>
      </c>
      <c r="B31" s="1">
        <v>4.5413260672116258E-5</v>
      </c>
      <c r="C31" s="1">
        <f t="shared" si="0"/>
        <v>-8.2198001816530877E-3</v>
      </c>
      <c r="D31" s="1">
        <v>-219</v>
      </c>
      <c r="E31" s="1">
        <v>-69073</v>
      </c>
      <c r="F31" s="34">
        <f t="shared" si="1"/>
        <v>-1.0043974210613325</v>
      </c>
      <c r="G31" s="1">
        <v>5.408000000004535E-3</v>
      </c>
      <c r="H31" s="36">
        <v>4.0457909981098548E-3</v>
      </c>
      <c r="I31" s="1">
        <f t="shared" si="2"/>
        <v>-1.3864945143730045E-3</v>
      </c>
      <c r="J31" s="1">
        <v>6.5</v>
      </c>
      <c r="K31" s="1">
        <v>0.37</v>
      </c>
      <c r="L31" s="1">
        <f t="shared" si="3"/>
        <v>4.4744525547445253</v>
      </c>
      <c r="M31" s="1">
        <v>34798.1578016891</v>
      </c>
      <c r="N31" s="1">
        <v>108148.611886044</v>
      </c>
      <c r="O31" s="1">
        <f t="shared" si="4"/>
        <v>-0.69240732964564189</v>
      </c>
    </row>
    <row r="32" spans="1:15" x14ac:dyDescent="0.2">
      <c r="A32" s="6" t="s">
        <v>99</v>
      </c>
      <c r="B32" s="1">
        <v>4.5396767750136188E-5</v>
      </c>
      <c r="C32" s="1">
        <f t="shared" si="0"/>
        <v>-3.6317414200112913E-4</v>
      </c>
      <c r="D32" s="1">
        <v>-78</v>
      </c>
      <c r="E32" s="1">
        <v>-68792</v>
      </c>
      <c r="F32" s="34">
        <f t="shared" si="1"/>
        <v>-0.99684387305999533</v>
      </c>
      <c r="G32" s="1">
        <v>4.6449999999999296E-3</v>
      </c>
      <c r="H32" s="36">
        <v>3.284366167285893E-3</v>
      </c>
      <c r="I32" s="1">
        <f t="shared" si="2"/>
        <v>1.3567199963466781E-3</v>
      </c>
      <c r="J32" s="1">
        <v>6.5</v>
      </c>
      <c r="K32" s="1">
        <v>0.38</v>
      </c>
      <c r="L32" s="1">
        <f t="shared" si="3"/>
        <v>4.4744525547445253</v>
      </c>
      <c r="M32" s="1">
        <v>34987.676710870102</v>
      </c>
      <c r="N32" s="1">
        <v>109161.192899125</v>
      </c>
      <c r="O32" s="1">
        <f t="shared" si="4"/>
        <v>-0.67823132053070545</v>
      </c>
    </row>
    <row r="33" spans="1:15" x14ac:dyDescent="0.2">
      <c r="A33" s="6" t="s">
        <v>100</v>
      </c>
      <c r="B33" s="1">
        <v>0.44399058739954711</v>
      </c>
      <c r="C33" s="1">
        <f t="shared" si="0"/>
        <v>9779.2246592372248</v>
      </c>
      <c r="D33" s="1">
        <v>435</v>
      </c>
      <c r="E33" s="1">
        <v>-71199</v>
      </c>
      <c r="F33" s="34">
        <f t="shared" si="1"/>
        <v>-0.99888066752918259</v>
      </c>
      <c r="G33" s="1">
        <v>1.2799999999962282E-3</v>
      </c>
      <c r="H33" s="36">
        <v>-1.618136404754508E-3</v>
      </c>
      <c r="I33" s="1">
        <f t="shared" si="2"/>
        <v>1.3561796421805994E-3</v>
      </c>
      <c r="J33" s="1">
        <v>6.5</v>
      </c>
      <c r="K33" s="1">
        <v>0.39</v>
      </c>
      <c r="L33" s="1">
        <f t="shared" si="3"/>
        <v>4.4347826086956523</v>
      </c>
      <c r="M33" s="1">
        <v>35184.132809543</v>
      </c>
      <c r="N33" s="1">
        <v>109370.171511055</v>
      </c>
      <c r="O33" s="1">
        <f t="shared" si="4"/>
        <v>-0.679479902504317</v>
      </c>
    </row>
    <row r="34" spans="1:15" x14ac:dyDescent="0.2">
      <c r="A34" s="6" t="s">
        <v>101</v>
      </c>
      <c r="B34" s="1">
        <v>4.5626682483916596E-5</v>
      </c>
      <c r="C34" s="1">
        <f t="shared" si="0"/>
        <v>-0.99989723502304151</v>
      </c>
      <c r="D34" s="1">
        <v>548</v>
      </c>
      <c r="E34" s="1">
        <v>-76983</v>
      </c>
      <c r="F34" s="34">
        <f t="shared" si="1"/>
        <v>-1.0061237675215595</v>
      </c>
      <c r="G34" s="1">
        <v>1.024000000002565E-3</v>
      </c>
      <c r="H34" s="36">
        <v>9.1843010789274208E-4</v>
      </c>
      <c r="I34" s="1">
        <f t="shared" si="2"/>
        <v>2.9028335854521803E-3</v>
      </c>
      <c r="J34" s="1">
        <v>6.5</v>
      </c>
      <c r="K34" s="1">
        <v>0.4</v>
      </c>
      <c r="L34" s="1">
        <f t="shared" si="3"/>
        <v>4.3956834532374094</v>
      </c>
      <c r="M34" s="1">
        <v>37080.552287557999</v>
      </c>
      <c r="N34" s="1">
        <v>109271.82861875001</v>
      </c>
      <c r="O34" s="1">
        <f t="shared" si="4"/>
        <v>-0.67829609646279998</v>
      </c>
    </row>
    <row r="35" spans="1:15" x14ac:dyDescent="0.2">
      <c r="A35" s="6" t="s">
        <v>102</v>
      </c>
      <c r="B35" s="1">
        <v>4.5877873101803002E-5</v>
      </c>
      <c r="C35" s="1">
        <f t="shared" si="0"/>
        <v>5.50534477221636E-3</v>
      </c>
      <c r="D35" s="1">
        <v>757</v>
      </c>
      <c r="E35" s="1">
        <v>-66706</v>
      </c>
      <c r="F35" s="34">
        <f t="shared" si="1"/>
        <v>-1.0071315372424723</v>
      </c>
      <c r="G35" s="1">
        <v>5.4309999999983243E-3</v>
      </c>
      <c r="H35" s="36">
        <v>2.403995864619706E-3</v>
      </c>
      <c r="I35" s="1">
        <f t="shared" si="2"/>
        <v>1.05473022510294E-4</v>
      </c>
      <c r="J35" s="1">
        <v>6.5</v>
      </c>
      <c r="K35" s="1">
        <v>0.4</v>
      </c>
      <c r="L35" s="1">
        <f t="shared" si="3"/>
        <v>4.3571428571428577</v>
      </c>
      <c r="M35" s="1">
        <v>37623.906525819802</v>
      </c>
      <c r="N35" s="1">
        <v>111389.671500062</v>
      </c>
      <c r="O35" s="1">
        <f t="shared" si="4"/>
        <v>-0.66065166650957163</v>
      </c>
    </row>
    <row r="36" spans="1:15" x14ac:dyDescent="0.2">
      <c r="A36" s="6" t="s">
        <v>103</v>
      </c>
      <c r="B36" s="1">
        <v>4.5628764373060775E-5</v>
      </c>
      <c r="C36" s="1">
        <f t="shared" si="0"/>
        <v>-5.4298229603943265E-3</v>
      </c>
      <c r="D36" s="1">
        <v>-494</v>
      </c>
      <c r="E36" s="1">
        <v>-68943</v>
      </c>
      <c r="F36" s="34">
        <f t="shared" si="1"/>
        <v>-1.0113634660070459</v>
      </c>
      <c r="G36" s="1">
        <v>8.3180000000016487E-3</v>
      </c>
      <c r="H36" s="36">
        <v>1.2467485130187906E-3</v>
      </c>
      <c r="I36" s="1">
        <f t="shared" si="2"/>
        <v>3.0197446816517814E-3</v>
      </c>
      <c r="J36" s="1">
        <v>6.5</v>
      </c>
      <c r="K36" s="1">
        <v>0.4</v>
      </c>
      <c r="L36" s="1">
        <f t="shared" si="3"/>
        <v>4.3571428571428577</v>
      </c>
      <c r="M36" s="1">
        <v>37611.621291390598</v>
      </c>
      <c r="N36" s="1">
        <v>109978.8831349</v>
      </c>
      <c r="O36" s="1">
        <f t="shared" si="4"/>
        <v>-0.66222569610958071</v>
      </c>
    </row>
    <row r="37" spans="1:15" x14ac:dyDescent="0.2">
      <c r="A37" s="6" t="s">
        <v>104</v>
      </c>
      <c r="B37" s="1">
        <v>4.4861154726122651E-5</v>
      </c>
      <c r="C37" s="1">
        <f t="shared" si="0"/>
        <v>-1.6822933022295931E-2</v>
      </c>
      <c r="D37" s="1">
        <v>-312</v>
      </c>
      <c r="E37" s="1">
        <v>-73543</v>
      </c>
      <c r="F37" s="34">
        <f t="shared" si="1"/>
        <v>-0.99284906152998176</v>
      </c>
      <c r="G37" s="1">
        <v>4.80700000000105E-3</v>
      </c>
      <c r="H37" s="36">
        <v>-1.5554608673338005E-3</v>
      </c>
      <c r="I37" s="1">
        <f t="shared" si="2"/>
        <v>7.0624463924446879E-3</v>
      </c>
      <c r="J37" s="1">
        <v>6.5</v>
      </c>
      <c r="K37" s="1">
        <v>0.41</v>
      </c>
      <c r="L37" s="1">
        <f t="shared" si="3"/>
        <v>4.3571428571428577</v>
      </c>
      <c r="M37" s="1">
        <v>37598.597855585998</v>
      </c>
      <c r="N37" s="1">
        <v>107177.967932292</v>
      </c>
      <c r="O37" s="1">
        <f t="shared" si="4"/>
        <v>-0.6580045348361081</v>
      </c>
    </row>
    <row r="38" spans="1:15" x14ac:dyDescent="0.2">
      <c r="A38" s="6" t="s">
        <v>105</v>
      </c>
      <c r="B38" s="1">
        <v>0.42999656002751974</v>
      </c>
      <c r="C38" s="1">
        <f t="shared" si="0"/>
        <v>9584.0533195734424</v>
      </c>
      <c r="D38" s="1">
        <v>-446</v>
      </c>
      <c r="E38" s="1">
        <v>-62406</v>
      </c>
      <c r="F38" s="34">
        <f t="shared" si="1"/>
        <v>-0.99577112398357404</v>
      </c>
      <c r="G38" s="1">
        <v>2.2749999999972684E-3</v>
      </c>
      <c r="H38" s="36">
        <v>3.2732139231344024E-4</v>
      </c>
      <c r="I38" s="1">
        <f t="shared" si="2"/>
        <v>6.3723728439257776E-3</v>
      </c>
      <c r="J38" s="1">
        <v>6.5</v>
      </c>
      <c r="K38" s="1">
        <v>0.54</v>
      </c>
      <c r="L38" s="1">
        <f t="shared" si="3"/>
        <v>4.3191489361702127</v>
      </c>
      <c r="M38" s="1">
        <v>36527.291044330697</v>
      </c>
      <c r="N38" s="1">
        <v>106290.809152792</v>
      </c>
      <c r="O38" s="1">
        <f t="shared" si="4"/>
        <v>-0.6491886553774362</v>
      </c>
    </row>
    <row r="39" spans="1:15" x14ac:dyDescent="0.2">
      <c r="A39" s="6" t="s">
        <v>106</v>
      </c>
      <c r="B39" s="1">
        <v>4.5183444785830472E-5</v>
      </c>
      <c r="C39" s="1">
        <f t="shared" si="0"/>
        <v>-0.99989492138080605</v>
      </c>
      <c r="D39" s="1">
        <v>1331</v>
      </c>
      <c r="E39" s="1">
        <v>-73794</v>
      </c>
      <c r="F39" s="34">
        <f t="shared" si="1"/>
        <v>-0.99286916112490986</v>
      </c>
      <c r="G39" s="1">
        <v>4.564000000002579E-3</v>
      </c>
      <c r="H39" s="36">
        <v>5.8277278902561583E-3</v>
      </c>
      <c r="I39" s="1">
        <f t="shared" si="2"/>
        <v>1.94704129941492E-3</v>
      </c>
      <c r="J39" s="1">
        <v>6.5</v>
      </c>
      <c r="K39" s="1">
        <v>0.65</v>
      </c>
      <c r="L39" s="1">
        <f t="shared" si="3"/>
        <v>3.8701298701298699</v>
      </c>
      <c r="M39" s="1">
        <v>37936.9552233914</v>
      </c>
      <c r="N39" s="1">
        <v>108141.622238222</v>
      </c>
      <c r="O39" s="1">
        <f t="shared" si="4"/>
        <v>-0.65633954925141857</v>
      </c>
    </row>
    <row r="40" spans="1:15" x14ac:dyDescent="0.2">
      <c r="A40" s="6" t="s">
        <v>107</v>
      </c>
      <c r="B40" s="1">
        <v>4.3936731107205627E-5</v>
      </c>
      <c r="C40" s="1">
        <f t="shared" si="0"/>
        <v>-2.7592267135325078E-2</v>
      </c>
      <c r="D40" s="1">
        <v>-2080</v>
      </c>
      <c r="E40" s="1">
        <v>-55083</v>
      </c>
      <c r="F40" s="34">
        <f t="shared" si="1"/>
        <v>-1.0180504925941485</v>
      </c>
      <c r="G40" s="1">
        <v>2.337999999996261E-3</v>
      </c>
      <c r="H40" s="36">
        <v>3.1461173864190391E-3</v>
      </c>
      <c r="I40" s="1">
        <f t="shared" si="2"/>
        <v>-1.2564058985569115E-3</v>
      </c>
      <c r="J40" s="1">
        <v>6.5</v>
      </c>
      <c r="K40" s="1">
        <v>0.66</v>
      </c>
      <c r="L40" s="1">
        <f t="shared" si="3"/>
        <v>3.5454545454545459</v>
      </c>
      <c r="M40" s="1">
        <v>37682.3333917583</v>
      </c>
      <c r="N40" s="1">
        <v>107240.16375252399</v>
      </c>
      <c r="O40" s="1">
        <f t="shared" si="4"/>
        <v>-0.6491859135816056</v>
      </c>
    </row>
    <row r="41" spans="1:15" x14ac:dyDescent="0.2">
      <c r="A41" s="6" t="s">
        <v>108</v>
      </c>
      <c r="B41" s="1">
        <v>4.4573211499888568E-5</v>
      </c>
      <c r="C41" s="1">
        <f t="shared" si="0"/>
        <v>1.4486293737463742E-2</v>
      </c>
      <c r="D41" s="1">
        <v>-1274</v>
      </c>
      <c r="E41" s="1">
        <v>-63838</v>
      </c>
      <c r="F41" s="34">
        <f t="shared" si="1"/>
        <v>-0.96225627246650447</v>
      </c>
      <c r="G41" s="1">
        <v>2.0800000000023946E-3</v>
      </c>
      <c r="H41" s="36">
        <v>8.1279787194648147E-4</v>
      </c>
      <c r="I41" s="1">
        <f t="shared" si="2"/>
        <v>-8.0558292796706343E-4</v>
      </c>
      <c r="J41" s="1">
        <v>6.5</v>
      </c>
      <c r="K41" s="1">
        <v>0.79</v>
      </c>
      <c r="L41" s="1">
        <f t="shared" si="3"/>
        <v>3.5180722891566258</v>
      </c>
      <c r="M41" s="1">
        <v>37828.535256430798</v>
      </c>
      <c r="N41" s="1">
        <v>107752.41102707799</v>
      </c>
      <c r="O41" s="1">
        <f t="shared" si="4"/>
        <v>-0.6486112974424767</v>
      </c>
    </row>
    <row r="42" spans="1:15" x14ac:dyDescent="0.2">
      <c r="A42" s="6" t="s">
        <v>109</v>
      </c>
      <c r="B42" s="1">
        <v>0.43099732781656758</v>
      </c>
      <c r="C42" s="1">
        <f t="shared" si="0"/>
        <v>9668.4250495646938</v>
      </c>
      <c r="D42" s="1">
        <v>173</v>
      </c>
      <c r="E42" s="1">
        <v>-67611</v>
      </c>
      <c r="F42" s="34">
        <f t="shared" si="1"/>
        <v>-0.98005858671303481</v>
      </c>
      <c r="G42" s="1">
        <v>3.1999999999060625E-5</v>
      </c>
      <c r="H42" s="36">
        <v>2.9655333653305902E-3</v>
      </c>
      <c r="I42" s="1">
        <f t="shared" si="2"/>
        <v>1.2661729853478132E-3</v>
      </c>
      <c r="J42" s="1">
        <v>6.5</v>
      </c>
      <c r="K42" s="1">
        <v>0.9</v>
      </c>
      <c r="L42" s="1">
        <f t="shared" si="3"/>
        <v>3.1899441340782122</v>
      </c>
      <c r="M42" s="1">
        <v>38659.580079820997</v>
      </c>
      <c r="N42" s="1">
        <v>108984.923682605</v>
      </c>
      <c r="O42" s="1">
        <f t="shared" si="4"/>
        <v>-0.64892493986177024</v>
      </c>
    </row>
    <row r="43" spans="1:15" x14ac:dyDescent="0.2">
      <c r="A43" s="6" t="s">
        <v>110</v>
      </c>
      <c r="B43" s="1">
        <v>4.483500717360115E-5</v>
      </c>
      <c r="C43" s="1">
        <f t="shared" si="0"/>
        <v>-0.99989597381635575</v>
      </c>
      <c r="D43" s="1">
        <v>-602</v>
      </c>
      <c r="E43" s="1">
        <v>-78568</v>
      </c>
      <c r="F43" s="34">
        <f t="shared" si="1"/>
        <v>-1.0025735837893803</v>
      </c>
      <c r="G43" s="1">
        <v>-5.2744298727272782E-3</v>
      </c>
      <c r="H43" s="36">
        <v>8.5472182689075413E-4</v>
      </c>
      <c r="I43" s="1">
        <f t="shared" si="2"/>
        <v>-2.9248595966089308E-3</v>
      </c>
      <c r="J43" s="1">
        <v>6.5</v>
      </c>
      <c r="K43" s="1">
        <v>0.91</v>
      </c>
      <c r="L43" s="1">
        <f t="shared" si="3"/>
        <v>2.9473684210526319</v>
      </c>
      <c r="M43" s="1">
        <v>38484.342173327997</v>
      </c>
      <c r="N43" s="1">
        <v>110664.584325405</v>
      </c>
      <c r="O43" s="1">
        <f t="shared" si="4"/>
        <v>-0.64526996906122913</v>
      </c>
    </row>
    <row r="44" spans="1:15" x14ac:dyDescent="0.2">
      <c r="A44" s="6" t="s">
        <v>111</v>
      </c>
      <c r="B44" s="1">
        <v>4.4766765153550001E-5</v>
      </c>
      <c r="C44" s="1">
        <f t="shared" si="0"/>
        <v>-1.5220700152208258E-3</v>
      </c>
      <c r="D44" s="1">
        <v>-407</v>
      </c>
      <c r="E44" s="1">
        <v>-71292</v>
      </c>
      <c r="F44" s="34">
        <f t="shared" si="1"/>
        <v>-0.99235047793602915</v>
      </c>
      <c r="G44" s="1">
        <v>-1.7110000000041456E-3</v>
      </c>
      <c r="H44" s="36">
        <v>9.0711101486083028E-4</v>
      </c>
      <c r="I44" s="1">
        <f t="shared" si="2"/>
        <v>-6.1239174537043306E-3</v>
      </c>
      <c r="J44" s="1">
        <v>6.5</v>
      </c>
      <c r="K44" s="1">
        <v>1.04</v>
      </c>
      <c r="L44" s="1">
        <f t="shared" si="3"/>
        <v>2.9267015706806281</v>
      </c>
      <c r="M44" s="1">
        <v>39195.265067767497</v>
      </c>
      <c r="N44" s="1">
        <v>110974.138791562</v>
      </c>
      <c r="O44" s="1">
        <f t="shared" si="4"/>
        <v>-0.65223748279172011</v>
      </c>
    </row>
    <row r="45" spans="1:15" x14ac:dyDescent="0.2">
      <c r="A45" s="6" t="s">
        <v>112</v>
      </c>
      <c r="B45" s="1">
        <v>4.5083630133898384E-5</v>
      </c>
      <c r="C45" s="1">
        <f t="shared" si="0"/>
        <v>7.0781299310221767E-3</v>
      </c>
      <c r="D45" s="1">
        <v>234</v>
      </c>
      <c r="E45" s="1">
        <v>-75539</v>
      </c>
      <c r="F45" s="34">
        <f t="shared" si="1"/>
        <v>-0.99430503149065097</v>
      </c>
      <c r="G45" s="1">
        <v>1.0970000000005815E-3</v>
      </c>
      <c r="H45" s="36">
        <v>-6.8992263884839566E-4</v>
      </c>
      <c r="I45" s="1">
        <f t="shared" si="2"/>
        <v>-2.615738249886479E-3</v>
      </c>
      <c r="J45" s="1">
        <v>6.25</v>
      </c>
      <c r="K45" s="1">
        <v>1.1499999999999999</v>
      </c>
      <c r="L45" s="1">
        <f t="shared" si="3"/>
        <v>2.6764705882352939</v>
      </c>
      <c r="M45" s="1">
        <v>39529.6454873486</v>
      </c>
      <c r="N45" s="1">
        <v>112648.483004906</v>
      </c>
      <c r="O45" s="1">
        <f t="shared" si="4"/>
        <v>-0.64680138727839298</v>
      </c>
    </row>
    <row r="46" spans="1:15" x14ac:dyDescent="0.2">
      <c r="A46" s="6" t="s">
        <v>113</v>
      </c>
      <c r="B46" s="1">
        <v>4.4863167339614178E-5</v>
      </c>
      <c r="C46" s="1">
        <f t="shared" si="0"/>
        <v>-4.8900852400179731E-3</v>
      </c>
      <c r="D46" s="1">
        <v>1526</v>
      </c>
      <c r="E46" s="1">
        <v>-78355</v>
      </c>
      <c r="F46" s="34">
        <f t="shared" si="1"/>
        <v>-1.0031110169715904</v>
      </c>
      <c r="G46" s="1">
        <v>9.1719999999979266E-3</v>
      </c>
      <c r="H46" s="36">
        <v>2.9944522971076374E-3</v>
      </c>
      <c r="I46" s="1">
        <f t="shared" si="2"/>
        <v>1.7881563283816959E-3</v>
      </c>
      <c r="J46" s="1">
        <v>6.25</v>
      </c>
      <c r="K46" s="1">
        <v>1.1599999999999999</v>
      </c>
      <c r="L46" s="1">
        <f t="shared" si="3"/>
        <v>2.3720930232558142</v>
      </c>
      <c r="M46" s="1">
        <v>39991.853313804997</v>
      </c>
      <c r="N46" s="1">
        <v>113475.34791855099</v>
      </c>
      <c r="O46" s="1">
        <f t="shared" si="4"/>
        <v>-0.64908276156378808</v>
      </c>
    </row>
    <row r="47" spans="1:15" x14ac:dyDescent="0.2">
      <c r="A47" s="6" t="s">
        <v>114</v>
      </c>
      <c r="B47" s="1">
        <v>0.43099732781656758</v>
      </c>
      <c r="C47" s="1">
        <f t="shared" si="0"/>
        <v>9605.9304370312911</v>
      </c>
      <c r="D47" s="1">
        <v>1009</v>
      </c>
      <c r="E47" s="1">
        <v>-70086</v>
      </c>
      <c r="F47" s="34">
        <f t="shared" si="1"/>
        <v>-1.0194884753809634</v>
      </c>
      <c r="G47" s="1">
        <v>5.9209999999990624E-3</v>
      </c>
      <c r="H47" s="36">
        <v>5.2949058932332919E-3</v>
      </c>
      <c r="I47" s="1">
        <f t="shared" si="2"/>
        <v>6.1591045580982051E-3</v>
      </c>
      <c r="J47" s="1">
        <v>6.25</v>
      </c>
      <c r="K47" s="1">
        <v>1.1499999999999999</v>
      </c>
      <c r="L47" s="1">
        <f t="shared" si="3"/>
        <v>2.3564814814814814</v>
      </c>
      <c r="M47" s="1">
        <v>41356.428126591702</v>
      </c>
      <c r="N47" s="1">
        <v>112822.10740489799</v>
      </c>
      <c r="O47" s="1">
        <f t="shared" si="4"/>
        <v>-0.6475666158862432</v>
      </c>
    </row>
    <row r="48" spans="1:15" x14ac:dyDescent="0.2">
      <c r="A48" s="6" t="s">
        <v>115</v>
      </c>
      <c r="B48" s="1">
        <v>4.4740727484228892E-5</v>
      </c>
      <c r="C48" s="1">
        <f t="shared" si="0"/>
        <v>-0.99989619256409112</v>
      </c>
      <c r="D48" s="1">
        <v>2112</v>
      </c>
      <c r="E48" s="1">
        <v>-80413</v>
      </c>
      <c r="F48" s="34">
        <f t="shared" si="1"/>
        <v>-1.0144110722693871</v>
      </c>
      <c r="G48" s="1">
        <v>4.1360000000046377E-3</v>
      </c>
      <c r="H48" s="36">
        <v>-6.3204210372786666E-4</v>
      </c>
      <c r="I48" s="1">
        <f t="shared" si="2"/>
        <v>6.2279645812934881E-4</v>
      </c>
      <c r="J48" s="1">
        <v>6.25</v>
      </c>
      <c r="K48" s="1">
        <v>1.1499999999999999</v>
      </c>
      <c r="L48" s="1">
        <f t="shared" si="3"/>
        <v>2.3720930232558142</v>
      </c>
      <c r="M48" s="1">
        <v>42670.679847268497</v>
      </c>
      <c r="N48" s="1">
        <v>111590.76675613401</v>
      </c>
      <c r="O48" s="1">
        <f t="shared" si="4"/>
        <v>-0.63343122629862747</v>
      </c>
    </row>
    <row r="49" spans="1:15" x14ac:dyDescent="0.2">
      <c r="A49" s="6" t="s">
        <v>116</v>
      </c>
      <c r="B49" s="1">
        <v>4.4893378226711559E-5</v>
      </c>
      <c r="C49" s="1">
        <f t="shared" si="0"/>
        <v>3.4118967452300896E-3</v>
      </c>
      <c r="D49" s="1">
        <v>474</v>
      </c>
      <c r="E49" s="1">
        <v>-77936</v>
      </c>
      <c r="F49" s="34">
        <f t="shared" si="1"/>
        <v>-1.0262771725613093</v>
      </c>
      <c r="G49" s="1">
        <v>1.3150000000020656E-3</v>
      </c>
      <c r="H49" s="36">
        <v>2.4324685901024721E-5</v>
      </c>
      <c r="I49" s="1">
        <f t="shared" si="2"/>
        <v>4.7710576130233218E-3</v>
      </c>
      <c r="J49" s="1">
        <v>6.25</v>
      </c>
      <c r="K49" s="1">
        <v>1.1599999999999999</v>
      </c>
      <c r="L49" s="1">
        <f t="shared" si="3"/>
        <v>2.3720930232558142</v>
      </c>
      <c r="M49" s="1">
        <v>43870.873457158799</v>
      </c>
      <c r="N49" s="1">
        <v>112387.596779952</v>
      </c>
      <c r="O49" s="1">
        <f t="shared" si="4"/>
        <v>-0.61760906662119042</v>
      </c>
    </row>
    <row r="50" spans="1:15" x14ac:dyDescent="0.2">
      <c r="A50" s="6" t="s">
        <v>117</v>
      </c>
      <c r="B50" s="1">
        <v>4.4756747079622256E-5</v>
      </c>
      <c r="C50" s="1">
        <f t="shared" si="0"/>
        <v>-3.0434588014142385E-3</v>
      </c>
      <c r="D50" s="1">
        <v>-403</v>
      </c>
      <c r="E50" s="1">
        <v>-69686</v>
      </c>
      <c r="F50" s="34">
        <f t="shared" si="1"/>
        <v>-1.0060948226085842</v>
      </c>
      <c r="G50" s="1">
        <v>2.0639999999954289E-3</v>
      </c>
      <c r="H50" s="36">
        <v>-5.8783227725786992E-4</v>
      </c>
      <c r="I50" s="1">
        <f t="shared" si="2"/>
        <v>1.2906439195932151E-3</v>
      </c>
      <c r="J50" s="1">
        <v>6.25</v>
      </c>
      <c r="K50" s="1">
        <v>1.3</v>
      </c>
      <c r="L50" s="1">
        <f t="shared" si="3"/>
        <v>2.3564814814814814</v>
      </c>
      <c r="M50" s="1">
        <v>49075.567812458597</v>
      </c>
      <c r="N50" s="1">
        <v>112251.905534783</v>
      </c>
      <c r="O50" s="1">
        <f t="shared" si="4"/>
        <v>-0.60964123839844309</v>
      </c>
    </row>
    <row r="51" spans="1:15" x14ac:dyDescent="0.2">
      <c r="A51" s="6" t="s">
        <v>118</v>
      </c>
      <c r="B51" s="1">
        <v>4.4127119853599626E-5</v>
      </c>
      <c r="C51" s="1">
        <f t="shared" si="0"/>
        <v>-1.406776111102361E-2</v>
      </c>
      <c r="D51" s="1">
        <v>99</v>
      </c>
      <c r="E51" s="1">
        <v>-84147</v>
      </c>
      <c r="F51" s="34">
        <f t="shared" si="1"/>
        <v>-0.99423118318145942</v>
      </c>
      <c r="G51" s="1">
        <v>5.081000000005117E-3</v>
      </c>
      <c r="H51" s="36">
        <v>5.4477454527778382E-3</v>
      </c>
      <c r="I51" s="1">
        <f t="shared" si="2"/>
        <v>2.6533920267308719E-3</v>
      </c>
      <c r="J51" s="1">
        <v>6.25</v>
      </c>
      <c r="K51" s="1">
        <v>1.41</v>
      </c>
      <c r="L51" s="1">
        <f t="shared" si="3"/>
        <v>2.1521739130434785</v>
      </c>
      <c r="M51" s="1">
        <v>53101.232595893198</v>
      </c>
      <c r="N51" s="1">
        <v>115173.42338350799</v>
      </c>
      <c r="O51" s="1">
        <f t="shared" si="4"/>
        <v>-0.56280358554058463</v>
      </c>
    </row>
    <row r="52" spans="1:15" x14ac:dyDescent="0.2">
      <c r="A52" s="6" t="s">
        <v>119</v>
      </c>
      <c r="B52" s="1">
        <v>4.4016407767438149E-5</v>
      </c>
      <c r="C52" s="1">
        <f t="shared" si="0"/>
        <v>-2.5089352427438323E-3</v>
      </c>
      <c r="D52" s="1">
        <v>342</v>
      </c>
      <c r="E52" s="1">
        <v>-64711</v>
      </c>
      <c r="F52" s="34">
        <f t="shared" si="1"/>
        <v>-1.0011884106196374</v>
      </c>
      <c r="G52" s="1">
        <v>7.2719999999910313E-3</v>
      </c>
      <c r="H52" s="36">
        <v>4.5346899748607093E-3</v>
      </c>
      <c r="I52" s="1">
        <f t="shared" si="2"/>
        <v>-3.6475834217275516E-4</v>
      </c>
      <c r="J52" s="1">
        <v>6.25</v>
      </c>
      <c r="K52" s="1">
        <v>1.42</v>
      </c>
      <c r="L52" s="1">
        <f t="shared" si="3"/>
        <v>2.008298755186722</v>
      </c>
      <c r="M52" s="1">
        <v>55934.7871021678</v>
      </c>
      <c r="N52" s="1">
        <v>114684.036338071</v>
      </c>
      <c r="O52" s="1">
        <f t="shared" si="4"/>
        <v>-0.53894075580414857</v>
      </c>
    </row>
    <row r="53" spans="1:15" x14ac:dyDescent="0.2">
      <c r="A53" s="6" t="s">
        <v>120</v>
      </c>
      <c r="B53" s="1">
        <v>4.3902202680629862E-5</v>
      </c>
      <c r="C53" s="1">
        <f t="shared" si="0"/>
        <v>-2.5946026175441761E-3</v>
      </c>
      <c r="D53" s="1">
        <v>2242</v>
      </c>
      <c r="E53" s="1">
        <v>-64672</v>
      </c>
      <c r="F53" s="34">
        <f t="shared" si="1"/>
        <v>-1.0053005717817958</v>
      </c>
      <c r="G53" s="1">
        <v>-2.6909999999900815E-3</v>
      </c>
      <c r="H53" s="36">
        <v>2.2611259041514027E-3</v>
      </c>
      <c r="I53" s="1">
        <f t="shared" si="2"/>
        <v>2.7249532071400573E-3</v>
      </c>
      <c r="J53" s="1">
        <v>6.25</v>
      </c>
      <c r="K53" s="1">
        <v>1.51</v>
      </c>
      <c r="L53" s="1">
        <f t="shared" si="3"/>
        <v>1.9958677685950414</v>
      </c>
      <c r="M53" s="1">
        <v>56264.559264577198</v>
      </c>
      <c r="N53" s="1">
        <v>115331.27223717399</v>
      </c>
      <c r="O53" s="1">
        <f t="shared" si="4"/>
        <v>-0.51226603846312524</v>
      </c>
    </row>
    <row r="54" spans="1:15" x14ac:dyDescent="0.2">
      <c r="A54" s="6" t="s">
        <v>121</v>
      </c>
      <c r="B54" s="1">
        <v>4.3997624128297071E-5</v>
      </c>
      <c r="C54" s="1">
        <f t="shared" si="0"/>
        <v>2.1735002309875005E-3</v>
      </c>
      <c r="D54" s="1">
        <v>997</v>
      </c>
      <c r="E54" s="1">
        <v>-73363</v>
      </c>
      <c r="F54" s="34">
        <f t="shared" si="1"/>
        <v>-1.0346832428754773</v>
      </c>
      <c r="G54" s="1">
        <v>8.3399999999804551E-4</v>
      </c>
      <c r="H54" s="36">
        <v>3.9750915633449306E-3</v>
      </c>
      <c r="I54" s="1">
        <f t="shared" si="2"/>
        <v>-4.9409537855458208E-3</v>
      </c>
      <c r="J54" s="1">
        <v>6.25</v>
      </c>
      <c r="K54" s="1">
        <v>1.69</v>
      </c>
      <c r="L54" s="1">
        <f t="shared" si="3"/>
        <v>1.8884462151394423</v>
      </c>
      <c r="M54" s="1">
        <v>56270.916844603002</v>
      </c>
      <c r="N54" s="1">
        <v>113499.030118572</v>
      </c>
      <c r="O54" s="1">
        <f t="shared" si="4"/>
        <v>-0.51214384167451066</v>
      </c>
    </row>
    <row r="55" spans="1:15" x14ac:dyDescent="0.2">
      <c r="A55" s="6" t="s">
        <v>122</v>
      </c>
      <c r="B55" s="1">
        <v>4.3821209465381244E-5</v>
      </c>
      <c r="C55" s="1">
        <f t="shared" si="0"/>
        <v>-4.0096406660823742E-3</v>
      </c>
      <c r="D55" s="1">
        <v>-1039</v>
      </c>
      <c r="E55" s="1">
        <v>-78146</v>
      </c>
      <c r="F55" s="34">
        <f t="shared" si="1"/>
        <v>-1.013603773070527</v>
      </c>
      <c r="G55" s="1">
        <v>5.4850000000042495E-3</v>
      </c>
      <c r="H55" s="36">
        <v>4.158916925432769E-3</v>
      </c>
      <c r="I55" s="1">
        <f t="shared" si="2"/>
        <v>-3.128654873753689E-3</v>
      </c>
      <c r="J55" s="1">
        <v>6.25</v>
      </c>
      <c r="K55" s="1">
        <v>1.7</v>
      </c>
      <c r="L55" s="1">
        <f t="shared" si="3"/>
        <v>1.6951672862453533</v>
      </c>
      <c r="M55" s="1">
        <v>56706.949201150303</v>
      </c>
      <c r="N55" s="1">
        <v>111803.22911422</v>
      </c>
      <c r="O55" s="1">
        <f t="shared" si="4"/>
        <v>-0.50421231795430832</v>
      </c>
    </row>
    <row r="56" spans="1:15" x14ac:dyDescent="0.2">
      <c r="A56" s="6" t="s">
        <v>123</v>
      </c>
      <c r="B56" s="1">
        <v>4.3656683838295645E-5</v>
      </c>
      <c r="C56" s="1">
        <f t="shared" si="0"/>
        <v>-3.7544748100933742E-3</v>
      </c>
      <c r="D56" s="1">
        <v>626</v>
      </c>
      <c r="E56" s="1">
        <v>-73449</v>
      </c>
      <c r="F56" s="34">
        <f t="shared" si="1"/>
        <v>-0.98671700044788535</v>
      </c>
      <c r="G56" s="1">
        <v>6.0849999999994017E-3</v>
      </c>
      <c r="H56" s="36">
        <v>1.5938757015524626E-3</v>
      </c>
      <c r="I56" s="1">
        <f t="shared" si="2"/>
        <v>1.3205908469464678E-3</v>
      </c>
      <c r="J56" s="1">
        <v>6.25</v>
      </c>
      <c r="K56" s="1">
        <v>1.82</v>
      </c>
      <c r="L56" s="1">
        <f t="shared" si="3"/>
        <v>1.6851851851851851</v>
      </c>
      <c r="M56" s="1">
        <v>57761.450746271199</v>
      </c>
      <c r="N56" s="1">
        <v>114057.674980992</v>
      </c>
      <c r="O56" s="1">
        <f t="shared" si="4"/>
        <v>-0.49279244935165145</v>
      </c>
    </row>
    <row r="57" spans="1:15" x14ac:dyDescent="0.2">
      <c r="A57" s="6" t="s">
        <v>124</v>
      </c>
      <c r="B57" s="1">
        <v>4.3061685865001613E-5</v>
      </c>
      <c r="C57" s="1">
        <f t="shared" si="0"/>
        <v>-1.3629023576273092E-2</v>
      </c>
      <c r="D57" s="1">
        <v>-647</v>
      </c>
      <c r="E57" s="1">
        <v>-89560</v>
      </c>
      <c r="F57" s="34">
        <f t="shared" si="1"/>
        <v>-1.0085366517808518</v>
      </c>
      <c r="G57" s="1">
        <v>-9.0599999999998277E-4</v>
      </c>
      <c r="H57" s="36">
        <v>6.7463262283243275E-5</v>
      </c>
      <c r="I57" s="1">
        <f t="shared" si="2"/>
        <v>4.4839773958293971E-3</v>
      </c>
      <c r="J57" s="1">
        <v>6.25</v>
      </c>
      <c r="K57" s="1">
        <v>1.91</v>
      </c>
      <c r="L57" s="1">
        <f t="shared" si="3"/>
        <v>1.5709219858156027</v>
      </c>
      <c r="M57" s="1">
        <v>57821.929087510602</v>
      </c>
      <c r="N57" s="1">
        <v>113653.31805214399</v>
      </c>
      <c r="O57" s="1">
        <f t="shared" si="4"/>
        <v>-0.4935724901600218</v>
      </c>
    </row>
    <row r="58" spans="1:15" x14ac:dyDescent="0.2">
      <c r="A58" s="6" t="s">
        <v>125</v>
      </c>
      <c r="B58" s="1">
        <v>4.2977479800584495E-5</v>
      </c>
      <c r="C58" s="1">
        <f t="shared" si="0"/>
        <v>-1.9554753309265214E-3</v>
      </c>
      <c r="D58" s="1">
        <v>2240</v>
      </c>
      <c r="E58" s="1">
        <v>-88815</v>
      </c>
      <c r="F58" s="34">
        <f t="shared" si="1"/>
        <v>-0.99278687792405007</v>
      </c>
      <c r="G58" s="1">
        <v>4.5210000000010563E-3</v>
      </c>
      <c r="H58" s="36">
        <v>5.5554232835966922E-4</v>
      </c>
      <c r="I58" s="1">
        <f t="shared" si="2"/>
        <v>-9.7339759370607126E-4</v>
      </c>
      <c r="J58" s="1">
        <v>6.25</v>
      </c>
      <c r="K58" s="1">
        <v>1.91</v>
      </c>
      <c r="L58" s="1">
        <f t="shared" si="3"/>
        <v>1.4914089347079038</v>
      </c>
      <c r="M58" s="1">
        <v>57285.690353234</v>
      </c>
      <c r="N58" s="1">
        <v>113488.280448559</v>
      </c>
      <c r="O58" s="1">
        <f t="shared" si="4"/>
        <v>-0.49123860774931793</v>
      </c>
    </row>
    <row r="59" spans="1:15" x14ac:dyDescent="0.2">
      <c r="A59" s="6" t="s">
        <v>126</v>
      </c>
      <c r="B59" s="1">
        <v>4.289544235924933E-5</v>
      </c>
      <c r="C59" s="1">
        <f t="shared" si="0"/>
        <v>-1.9088471849866191E-3</v>
      </c>
      <c r="D59" s="1">
        <v>1645</v>
      </c>
      <c r="E59" s="1">
        <v>-78731</v>
      </c>
      <c r="F59" s="34">
        <f t="shared" si="1"/>
        <v>-1.0252325083883171</v>
      </c>
      <c r="G59" s="1">
        <v>5.9349999999976297E-3</v>
      </c>
      <c r="H59" s="36">
        <v>1.162025175882795E-3</v>
      </c>
      <c r="I59" s="1">
        <f t="shared" si="2"/>
        <v>3.9632559152225078E-3</v>
      </c>
      <c r="J59" s="1">
        <v>6.25</v>
      </c>
      <c r="K59" s="1">
        <v>1.95</v>
      </c>
      <c r="L59" s="1">
        <f t="shared" si="3"/>
        <v>1.4914089347079038</v>
      </c>
      <c r="M59" s="1">
        <v>57006.109440936903</v>
      </c>
      <c r="N59" s="1">
        <v>112687.595620951</v>
      </c>
      <c r="O59" s="1">
        <f t="shared" si="4"/>
        <v>-0.495223776846482</v>
      </c>
    </row>
    <row r="60" spans="1:15" x14ac:dyDescent="0.2">
      <c r="A60" s="6" t="s">
        <v>127</v>
      </c>
      <c r="B60" s="1">
        <v>4.2900042900042899E-5</v>
      </c>
      <c r="C60" s="1">
        <f t="shared" si="0"/>
        <v>1.0725010725007353E-4</v>
      </c>
      <c r="D60" s="1">
        <v>834</v>
      </c>
      <c r="E60" s="1">
        <v>-95998</v>
      </c>
      <c r="F60" s="34">
        <f t="shared" si="1"/>
        <v>-1.0209068969897117</v>
      </c>
      <c r="G60" s="1">
        <v>3.3159999999943851E-3</v>
      </c>
      <c r="H60" s="36">
        <v>1.7667634557260233E-3</v>
      </c>
      <c r="I60" s="1">
        <f t="shared" si="2"/>
        <v>4.7674349446846787E-3</v>
      </c>
      <c r="J60" s="1">
        <v>6.25</v>
      </c>
      <c r="K60" s="1">
        <v>2.19</v>
      </c>
      <c r="L60" s="1">
        <f t="shared" si="3"/>
        <v>1.4576271186440675</v>
      </c>
      <c r="M60" s="1">
        <v>55138.416676512003</v>
      </c>
      <c r="N60" s="1">
        <v>112530.79119593601</v>
      </c>
      <c r="O60" s="1">
        <f t="shared" si="4"/>
        <v>-0.49411820134230011</v>
      </c>
    </row>
    <row r="61" spans="1:15" x14ac:dyDescent="0.2">
      <c r="A61" s="6" t="s">
        <v>128</v>
      </c>
      <c r="B61" s="1">
        <v>4.2932274337233013E-5</v>
      </c>
      <c r="C61" s="1">
        <f t="shared" si="0"/>
        <v>7.5131480090155471E-4</v>
      </c>
      <c r="D61" s="1">
        <v>251</v>
      </c>
      <c r="E61" s="1">
        <v>-79797</v>
      </c>
      <c r="F61" s="34">
        <f t="shared" si="1"/>
        <v>-1.0086981884850568</v>
      </c>
      <c r="G61" s="1">
        <v>-2.8839999999943819E-3</v>
      </c>
      <c r="H61" s="36">
        <v>-3.3493485181012423E-3</v>
      </c>
      <c r="I61" s="1">
        <f t="shared" si="2"/>
        <v>1.546504237097901E-3</v>
      </c>
      <c r="J61" s="1">
        <v>6.25</v>
      </c>
      <c r="K61" s="1">
        <v>2.2000000000000002</v>
      </c>
      <c r="L61" s="1">
        <f t="shared" si="3"/>
        <v>1.2727272727272729</v>
      </c>
      <c r="M61" s="1">
        <v>55060.055401716301</v>
      </c>
      <c r="N61" s="1">
        <v>112460.579700256</v>
      </c>
      <c r="O61" s="1">
        <f t="shared" si="4"/>
        <v>-0.51001031716890222</v>
      </c>
    </row>
    <row r="62" spans="1:15" x14ac:dyDescent="0.2">
      <c r="A62" s="6" t="s">
        <v>129</v>
      </c>
      <c r="B62" s="1">
        <v>4.3114598603087008E-5</v>
      </c>
      <c r="C62" s="1">
        <f t="shared" si="0"/>
        <v>4.2467879624041764E-3</v>
      </c>
      <c r="D62" s="1">
        <v>-753</v>
      </c>
      <c r="E62" s="1">
        <v>-78852</v>
      </c>
      <c r="F62" s="34">
        <f t="shared" si="1"/>
        <v>-1.00315805303524</v>
      </c>
      <c r="G62" s="1">
        <v>-2.5369999999950649E-3</v>
      </c>
      <c r="H62" s="36">
        <v>-3.1939628151234872E-3</v>
      </c>
      <c r="I62" s="1">
        <f t="shared" si="2"/>
        <v>4.6691237036267097E-4</v>
      </c>
      <c r="J62" s="1">
        <v>6.25</v>
      </c>
      <c r="K62" s="1">
        <v>2.27</v>
      </c>
      <c r="L62" s="1">
        <f t="shared" si="3"/>
        <v>1.265625</v>
      </c>
      <c r="M62" s="1">
        <v>55452.6225825609</v>
      </c>
      <c r="N62" s="1">
        <v>114756.990011769</v>
      </c>
      <c r="O62" s="1">
        <f t="shared" si="4"/>
        <v>-0.51040119169168174</v>
      </c>
    </row>
    <row r="63" spans="1:15" x14ac:dyDescent="0.2">
      <c r="A63" s="6" t="s">
        <v>130</v>
      </c>
      <c r="B63" s="1">
        <v>4.3114598603087008E-5</v>
      </c>
      <c r="C63" s="1">
        <f t="shared" si="0"/>
        <v>0</v>
      </c>
      <c r="D63" s="1">
        <v>620</v>
      </c>
      <c r="E63" s="1">
        <v>-81211</v>
      </c>
      <c r="F63" s="34">
        <f t="shared" si="1"/>
        <v>-0.99046302519942675</v>
      </c>
      <c r="G63" s="1">
        <v>9.8199999999819569E-4</v>
      </c>
      <c r="H63" s="36">
        <v>1.9065966652426717E-3</v>
      </c>
      <c r="I63" s="1">
        <f t="shared" si="2"/>
        <v>6.5906785334468587E-4</v>
      </c>
      <c r="J63" s="1">
        <v>6.25</v>
      </c>
      <c r="K63" s="1">
        <v>2.4</v>
      </c>
      <c r="L63" s="1">
        <f t="shared" si="3"/>
        <v>1.217125382262997</v>
      </c>
      <c r="M63" s="1">
        <v>59375.270230975002</v>
      </c>
      <c r="N63" s="1">
        <v>115316.347258895</v>
      </c>
      <c r="O63" s="1">
        <f t="shared" si="4"/>
        <v>-0.5167776764225841</v>
      </c>
    </row>
    <row r="64" spans="1:15" x14ac:dyDescent="0.2">
      <c r="A64" s="6" t="s">
        <v>131</v>
      </c>
      <c r="B64" s="1">
        <v>4.3107164410725064E-5</v>
      </c>
      <c r="C64" s="1">
        <f t="shared" si="0"/>
        <v>-1.7242865764291996E-4</v>
      </c>
      <c r="D64" s="1">
        <v>-815</v>
      </c>
      <c r="E64" s="1">
        <v>-61122</v>
      </c>
      <c r="F64" s="34">
        <f t="shared" si="1"/>
        <v>-1.0076468415219801</v>
      </c>
      <c r="G64" s="1">
        <v>8.0159999999921353E-3</v>
      </c>
      <c r="H64" s="36">
        <v>4.2270531400944375E-3</v>
      </c>
      <c r="I64" s="1">
        <f t="shared" si="2"/>
        <v>-9.2283718694130545E-4</v>
      </c>
      <c r="J64" s="1">
        <v>6.25</v>
      </c>
      <c r="K64" s="1">
        <v>2.4</v>
      </c>
      <c r="L64" s="1">
        <f t="shared" si="3"/>
        <v>1.1323529411764706</v>
      </c>
      <c r="M64" s="1">
        <v>60682.461958284402</v>
      </c>
      <c r="N64" s="1">
        <v>114786.394373595</v>
      </c>
      <c r="O64" s="1">
        <f t="shared" si="4"/>
        <v>-0.48510547942391191</v>
      </c>
    </row>
    <row r="65" spans="1:15" x14ac:dyDescent="0.2">
      <c r="A65" s="6" t="s">
        <v>132</v>
      </c>
      <c r="B65" s="1">
        <v>4.3107164410725064E-5</v>
      </c>
      <c r="C65" s="1">
        <f t="shared" si="0"/>
        <v>0</v>
      </c>
      <c r="D65" s="1">
        <v>1610</v>
      </c>
      <c r="E65" s="1">
        <v>-65192</v>
      </c>
      <c r="F65" s="34">
        <f t="shared" si="1"/>
        <v>-0.98668215506945245</v>
      </c>
      <c r="G65" s="1">
        <v>-2.0959999999922733E-3</v>
      </c>
      <c r="H65" s="36">
        <v>5.6413583568060109E-3</v>
      </c>
      <c r="I65" s="1">
        <f t="shared" si="2"/>
        <v>3.772998196025501E-3</v>
      </c>
      <c r="J65" s="1">
        <v>6.25</v>
      </c>
      <c r="K65" s="1">
        <v>2.41</v>
      </c>
      <c r="L65" s="1">
        <f t="shared" si="3"/>
        <v>1.1323529411764706</v>
      </c>
      <c r="M65" s="1">
        <v>62375.804135043501</v>
      </c>
      <c r="N65" s="1">
        <v>114133.955979611</v>
      </c>
      <c r="O65" s="1">
        <f t="shared" si="4"/>
        <v>-0.47134036546922731</v>
      </c>
    </row>
    <row r="66" spans="1:15" x14ac:dyDescent="0.2">
      <c r="A66" s="6" t="s">
        <v>133</v>
      </c>
      <c r="B66" s="1">
        <v>4.3001689226757559E-5</v>
      </c>
      <c r="C66" s="1">
        <f t="shared" si="0"/>
        <v>-2.446813317678184E-3</v>
      </c>
      <c r="D66" s="1">
        <v>-482</v>
      </c>
      <c r="E66" s="1">
        <v>-80149</v>
      </c>
      <c r="F66" s="34">
        <f t="shared" si="1"/>
        <v>-1.0247120001227163</v>
      </c>
      <c r="G66" s="1">
        <v>3.0969999999960725E-3</v>
      </c>
      <c r="H66" s="36">
        <v>5.2950016128941188E-3</v>
      </c>
      <c r="I66" s="1">
        <f t="shared" si="2"/>
        <v>-7.6939540050748878E-3</v>
      </c>
      <c r="J66" s="1">
        <v>6.25</v>
      </c>
      <c r="K66" s="1">
        <v>2.42</v>
      </c>
      <c r="L66" s="1">
        <f t="shared" si="3"/>
        <v>1.1260997067448679</v>
      </c>
      <c r="M66" s="1">
        <v>64260.716459772797</v>
      </c>
      <c r="N66" s="1">
        <v>116222.740424492</v>
      </c>
      <c r="O66" s="1">
        <f t="shared" si="4"/>
        <v>-0.45348203274212984</v>
      </c>
    </row>
    <row r="67" spans="1:15" x14ac:dyDescent="0.2">
      <c r="A67" s="6" t="s">
        <v>134</v>
      </c>
      <c r="B67" s="1">
        <v>4.2766662285079565E-5</v>
      </c>
      <c r="C67" s="1">
        <f t="shared" si="0"/>
        <v>-5.4655281200383697E-3</v>
      </c>
      <c r="D67" s="1">
        <v>-1188</v>
      </c>
      <c r="E67" s="1">
        <v>-84426</v>
      </c>
      <c r="F67" s="34">
        <f t="shared" si="1"/>
        <v>-0.99399860258521733</v>
      </c>
      <c r="G67" s="1">
        <v>4.9299999999966619E-3</v>
      </c>
      <c r="H67" s="36">
        <v>2.1287585893793662E-3</v>
      </c>
      <c r="I67" s="1">
        <f t="shared" si="2"/>
        <v>-2.1864244916880438E-3</v>
      </c>
      <c r="J67" s="1">
        <v>6.25</v>
      </c>
      <c r="K67" s="1">
        <v>2.39</v>
      </c>
      <c r="L67" s="1">
        <f t="shared" si="3"/>
        <v>1.1198830409356724</v>
      </c>
      <c r="M67" s="1">
        <v>63555.833459615103</v>
      </c>
      <c r="N67" s="1">
        <v>115926.38958204001</v>
      </c>
      <c r="O67" s="1">
        <f t="shared" si="4"/>
        <v>-0.44708614414692482</v>
      </c>
    </row>
    <row r="68" spans="1:15" x14ac:dyDescent="0.2">
      <c r="A68" s="6" t="s">
        <v>135</v>
      </c>
      <c r="B68" s="1">
        <v>4.2955326460481103E-5</v>
      </c>
      <c r="C68" s="1">
        <f t="shared" ref="C68:C128" si="5">(B68-B67)/B67</f>
        <v>4.4114776632302073E-3</v>
      </c>
      <c r="D68" s="1">
        <v>1975</v>
      </c>
      <c r="E68" s="1">
        <v>-74962</v>
      </c>
      <c r="F68" s="34">
        <f t="shared" ref="F68:F129" si="6">((1+D67)/(1+E67))-1</f>
        <v>-0.98594018359490676</v>
      </c>
      <c r="G68" s="1">
        <v>-9.2199999999633873E-4</v>
      </c>
      <c r="H68" s="36">
        <v>1.9914718148417783E-4</v>
      </c>
      <c r="I68" s="1">
        <f t="shared" ref="I68:I129" si="7">((1+G67)/(1+H67))-1</f>
        <v>2.7952909110806612E-3</v>
      </c>
      <c r="J68" s="1">
        <v>6.25</v>
      </c>
      <c r="K68" s="1">
        <v>2.38</v>
      </c>
      <c r="L68" s="1">
        <f t="shared" ref="L68:L129" si="8">((J67+1)/(K67+1))-1</f>
        <v>1.1386430678466075</v>
      </c>
      <c r="M68" s="1">
        <v>64279.6733885711</v>
      </c>
      <c r="N68" s="1">
        <v>117315.120113857</v>
      </c>
      <c r="O68" s="1">
        <f t="shared" ref="O68:O129" si="9">((M67+1)/(N67+1))-1</f>
        <v>-0.4517530870939096</v>
      </c>
    </row>
    <row r="69" spans="1:15" x14ac:dyDescent="0.2">
      <c r="A69" s="6" t="s">
        <v>136</v>
      </c>
      <c r="B69" s="1">
        <v>4.3090446847933813E-5</v>
      </c>
      <c r="C69" s="1">
        <f t="shared" si="5"/>
        <v>3.145602619899099E-3</v>
      </c>
      <c r="D69" s="1">
        <v>262</v>
      </c>
      <c r="E69" s="1">
        <v>-91824</v>
      </c>
      <c r="F69" s="34">
        <f t="shared" si="6"/>
        <v>-1.0263603740611784</v>
      </c>
      <c r="G69" s="1">
        <v>1.8160000000025634E-3</v>
      </c>
      <c r="H69" s="36">
        <v>1.6709416224547926E-3</v>
      </c>
      <c r="I69" s="1">
        <f t="shared" si="7"/>
        <v>-1.1209239526346337E-3</v>
      </c>
      <c r="J69" s="1">
        <v>6.25</v>
      </c>
      <c r="K69" s="1">
        <v>2.4</v>
      </c>
      <c r="L69" s="1">
        <f t="shared" si="8"/>
        <v>1.1449704142011834</v>
      </c>
      <c r="M69" s="1">
        <v>64744.531990283998</v>
      </c>
      <c r="N69" s="1">
        <v>117803.924307551</v>
      </c>
      <c r="O69" s="1">
        <f t="shared" si="9"/>
        <v>-0.45207296894761118</v>
      </c>
    </row>
    <row r="70" spans="1:15" x14ac:dyDescent="0.2">
      <c r="A70" s="6" t="s">
        <v>137</v>
      </c>
      <c r="B70" s="1">
        <v>4.3090446847933813E-5</v>
      </c>
      <c r="C70" s="1">
        <f t="shared" si="5"/>
        <v>0</v>
      </c>
      <c r="D70" s="1">
        <v>3493</v>
      </c>
      <c r="E70" s="1">
        <v>-83392</v>
      </c>
      <c r="F70" s="34">
        <f t="shared" si="6"/>
        <v>-1.0028642061357176</v>
      </c>
      <c r="G70" s="1">
        <v>2.8009999999956152E-3</v>
      </c>
      <c r="H70" s="36">
        <v>-5.0668236087744281E-5</v>
      </c>
      <c r="I70" s="1">
        <f t="shared" si="7"/>
        <v>1.4481639780106192E-4</v>
      </c>
      <c r="J70" s="1">
        <v>6.25</v>
      </c>
      <c r="K70" s="1">
        <v>2.13</v>
      </c>
      <c r="L70" s="1">
        <f t="shared" si="8"/>
        <v>1.1323529411764706</v>
      </c>
      <c r="M70" s="1">
        <v>66726.628185048699</v>
      </c>
      <c r="N70" s="1">
        <v>117484.904543756</v>
      </c>
      <c r="O70" s="1">
        <f t="shared" si="9"/>
        <v>-0.45040046185799409</v>
      </c>
    </row>
    <row r="71" spans="1:15" x14ac:dyDescent="0.2">
      <c r="A71" s="6" t="s">
        <v>138</v>
      </c>
      <c r="B71" s="1">
        <v>4.3792232900967944E-5</v>
      </c>
      <c r="C71" s="1">
        <f t="shared" si="5"/>
        <v>1.6286348932763081E-2</v>
      </c>
      <c r="D71" s="1">
        <v>1802</v>
      </c>
      <c r="E71" s="1">
        <v>-78277</v>
      </c>
      <c r="F71" s="34">
        <f t="shared" si="6"/>
        <v>-1.0418990058879256</v>
      </c>
      <c r="G71" s="1">
        <v>3.1530000000023874E-3</v>
      </c>
      <c r="H71" s="36">
        <v>7.8344857693017178E-4</v>
      </c>
      <c r="I71" s="1">
        <f t="shared" si="7"/>
        <v>2.851812732404202E-3</v>
      </c>
      <c r="J71" s="1">
        <v>6</v>
      </c>
      <c r="K71" s="1">
        <v>2.04</v>
      </c>
      <c r="L71" s="1">
        <f t="shared" si="8"/>
        <v>1.3162939297124603</v>
      </c>
      <c r="M71" s="1">
        <v>69186.745078260603</v>
      </c>
      <c r="N71" s="1">
        <v>116554.316206263</v>
      </c>
      <c r="O71" s="1">
        <f t="shared" si="9"/>
        <v>-0.43203715846442736</v>
      </c>
    </row>
    <row r="72" spans="1:15" x14ac:dyDescent="0.2">
      <c r="A72" s="6" t="s">
        <v>139</v>
      </c>
      <c r="B72" s="1">
        <v>4.3090446847933813E-5</v>
      </c>
      <c r="C72" s="1">
        <f t="shared" si="5"/>
        <v>-1.6025354418925268E-2</v>
      </c>
      <c r="D72" s="1">
        <v>2029</v>
      </c>
      <c r="E72" s="1">
        <v>-82959</v>
      </c>
      <c r="F72" s="34">
        <f t="shared" si="6"/>
        <v>-1.0230338801165109</v>
      </c>
      <c r="G72" s="1">
        <v>5.8510000000024393E-3</v>
      </c>
      <c r="H72" s="36">
        <v>2.2861905522328372E-3</v>
      </c>
      <c r="I72" s="1">
        <f t="shared" si="7"/>
        <v>2.3676964546541779E-3</v>
      </c>
      <c r="J72" s="1">
        <v>6</v>
      </c>
      <c r="K72" s="1">
        <v>1.83</v>
      </c>
      <c r="L72" s="1">
        <f t="shared" si="8"/>
        <v>1.3026315789473686</v>
      </c>
      <c r="M72" s="1">
        <v>70510.865112737607</v>
      </c>
      <c r="N72" s="1">
        <v>117770.862773341</v>
      </c>
      <c r="O72" s="1">
        <f t="shared" si="9"/>
        <v>-0.40639562972981869</v>
      </c>
    </row>
    <row r="73" spans="1:15" x14ac:dyDescent="0.2">
      <c r="A73" s="6" t="s">
        <v>140</v>
      </c>
      <c r="B73" s="1">
        <v>4.3090446847933813E-5</v>
      </c>
      <c r="C73" s="1">
        <f t="shared" si="5"/>
        <v>0</v>
      </c>
      <c r="D73" s="1">
        <v>1454</v>
      </c>
      <c r="E73" s="1">
        <v>-68065</v>
      </c>
      <c r="F73" s="34">
        <f t="shared" si="6"/>
        <v>-1.0244702138431496</v>
      </c>
      <c r="G73" s="1">
        <v>9.6259999999949841E-3</v>
      </c>
      <c r="H73" s="36">
        <v>-5.3624303467093458E-4</v>
      </c>
      <c r="I73" s="1">
        <f t="shared" si="7"/>
        <v>3.5566782036631217E-3</v>
      </c>
      <c r="J73" s="1">
        <v>6</v>
      </c>
      <c r="K73" s="1">
        <v>1.55</v>
      </c>
      <c r="L73" s="1">
        <f t="shared" si="8"/>
        <v>1.4734982332155475</v>
      </c>
      <c r="M73" s="1">
        <v>73827.958548020601</v>
      </c>
      <c r="N73" s="1">
        <v>116897.332212607</v>
      </c>
      <c r="O73" s="1">
        <f t="shared" si="9"/>
        <v>-0.40128428427389384</v>
      </c>
    </row>
    <row r="74" spans="1:15" x14ac:dyDescent="0.2">
      <c r="A74" s="6" t="s">
        <v>141</v>
      </c>
      <c r="B74" s="1">
        <v>4.3157395019636617E-5</v>
      </c>
      <c r="C74" s="1">
        <f t="shared" si="5"/>
        <v>1.5536662207069547E-3</v>
      </c>
      <c r="D74" s="1">
        <v>116</v>
      </c>
      <c r="E74" s="1">
        <v>-72705</v>
      </c>
      <c r="F74" s="34">
        <f t="shared" si="6"/>
        <v>-1.0213769393511989</v>
      </c>
      <c r="G74" s="1">
        <v>1.3990000000001163E-2</v>
      </c>
      <c r="H74" s="36">
        <v>-9.0976952504943042E-4</v>
      </c>
      <c r="I74" s="1">
        <f t="shared" si="7"/>
        <v>1.0167695390497666E-2</v>
      </c>
      <c r="J74" s="1">
        <v>6</v>
      </c>
      <c r="K74" s="1">
        <v>1.55</v>
      </c>
      <c r="L74" s="1">
        <f t="shared" si="8"/>
        <v>1.7450980392156863</v>
      </c>
      <c r="M74" s="1">
        <v>78334.835182608993</v>
      </c>
      <c r="N74" s="1">
        <v>118437.718706204</v>
      </c>
      <c r="O74" s="1">
        <f t="shared" si="9"/>
        <v>-0.36843445795492324</v>
      </c>
    </row>
    <row r="75" spans="1:15" x14ac:dyDescent="0.2">
      <c r="A75" s="6" t="s">
        <v>142</v>
      </c>
      <c r="B75" s="1">
        <v>4.3136916573203351E-5</v>
      </c>
      <c r="C75" s="1">
        <f t="shared" si="5"/>
        <v>-4.7450608230520256E-4</v>
      </c>
      <c r="D75" s="1">
        <v>-323</v>
      </c>
      <c r="E75" s="1">
        <v>-73095</v>
      </c>
      <c r="F75" s="34">
        <f t="shared" si="6"/>
        <v>-1.0016092649647887</v>
      </c>
      <c r="G75" s="1">
        <v>1.2328000000003531E-2</v>
      </c>
      <c r="H75" s="36">
        <v>3.8797699378126343E-3</v>
      </c>
      <c r="I75" s="1">
        <f t="shared" si="7"/>
        <v>1.4913337224774281E-2</v>
      </c>
      <c r="J75" s="1">
        <v>6</v>
      </c>
      <c r="K75" s="1">
        <v>1.55</v>
      </c>
      <c r="L75" s="1">
        <f t="shared" si="8"/>
        <v>1.7450980392156863</v>
      </c>
      <c r="M75" s="1">
        <v>81525.207610686193</v>
      </c>
      <c r="N75" s="1">
        <v>117826.023393531</v>
      </c>
      <c r="O75" s="1">
        <f t="shared" si="9"/>
        <v>-0.33859606015388577</v>
      </c>
    </row>
    <row r="76" spans="1:15" x14ac:dyDescent="0.2">
      <c r="A76" s="6" t="s">
        <v>143</v>
      </c>
      <c r="B76" s="1">
        <v>4.3029259896729779E-5</v>
      </c>
      <c r="C76" s="1">
        <f t="shared" si="5"/>
        <v>-2.4956970740103385E-3</v>
      </c>
      <c r="D76" s="1">
        <v>2191</v>
      </c>
      <c r="E76" s="1">
        <v>-52959</v>
      </c>
      <c r="F76" s="34">
        <f t="shared" si="6"/>
        <v>-0.99559471365638763</v>
      </c>
      <c r="G76" s="1">
        <v>-1.6700000000035768E-3</v>
      </c>
      <c r="H76" s="36">
        <v>2.7406181314930458E-3</v>
      </c>
      <c r="I76" s="1">
        <f t="shared" si="7"/>
        <v>8.4155795496447805E-3</v>
      </c>
      <c r="J76" s="1">
        <v>6</v>
      </c>
      <c r="K76" s="1">
        <v>1.58</v>
      </c>
      <c r="L76" s="1">
        <f t="shared" si="8"/>
        <v>1.7450980392156863</v>
      </c>
      <c r="M76" s="1">
        <v>81120.288078683501</v>
      </c>
      <c r="N76" s="1">
        <v>117384.220984502</v>
      </c>
      <c r="O76" s="1">
        <f t="shared" si="9"/>
        <v>-0.30808565588221259</v>
      </c>
    </row>
    <row r="77" spans="1:15" x14ac:dyDescent="0.2">
      <c r="A77" s="6" t="s">
        <v>144</v>
      </c>
      <c r="B77" s="1">
        <v>4.2317295078498584E-5</v>
      </c>
      <c r="C77" s="1">
        <f t="shared" si="5"/>
        <v>-1.6546062375692977E-2</v>
      </c>
      <c r="D77" s="1">
        <v>1943</v>
      </c>
      <c r="E77" s="1">
        <v>-66932</v>
      </c>
      <c r="F77" s="34">
        <f t="shared" si="6"/>
        <v>-1.0413912912119039</v>
      </c>
      <c r="G77" s="1">
        <v>-7.1720000000014116E-3</v>
      </c>
      <c r="H77" s="36">
        <v>-2.1764510317784811E-3</v>
      </c>
      <c r="I77" s="1">
        <f t="shared" si="7"/>
        <v>-4.3985633490297715E-3</v>
      </c>
      <c r="J77" s="1">
        <v>5</v>
      </c>
      <c r="K77" s="1">
        <v>0.65</v>
      </c>
      <c r="L77" s="1">
        <f t="shared" si="8"/>
        <v>1.7131782945736433</v>
      </c>
      <c r="M77" s="1">
        <v>81678.945186970595</v>
      </c>
      <c r="N77" s="1">
        <v>116868.993438146</v>
      </c>
      <c r="O77" s="1">
        <f t="shared" si="9"/>
        <v>-0.30893099320063733</v>
      </c>
    </row>
    <row r="78" spans="1:15" x14ac:dyDescent="0.2">
      <c r="A78" s="6" t="s">
        <v>145</v>
      </c>
      <c r="B78" s="1">
        <v>4.265483705852244E-5</v>
      </c>
      <c r="C78" s="1">
        <f t="shared" si="5"/>
        <v>7.9764545299437356E-3</v>
      </c>
      <c r="D78" s="1">
        <v>-1204</v>
      </c>
      <c r="E78" s="1">
        <v>-234911</v>
      </c>
      <c r="F78" s="34">
        <f t="shared" si="6"/>
        <v>-1.0290448372204211</v>
      </c>
      <c r="G78" s="1">
        <v>-1.542899999999967E-2</v>
      </c>
      <c r="H78" s="36">
        <v>-6.6869418670012486E-3</v>
      </c>
      <c r="I78" s="1">
        <f t="shared" si="7"/>
        <v>-5.0064452511553448E-3</v>
      </c>
      <c r="J78" s="1">
        <v>5</v>
      </c>
      <c r="K78" s="1">
        <v>0.05</v>
      </c>
      <c r="L78" s="1">
        <f t="shared" si="8"/>
        <v>2.6363636363636367</v>
      </c>
      <c r="M78" s="1">
        <v>81790.782420417294</v>
      </c>
      <c r="N78" s="1">
        <v>117760.50017</v>
      </c>
      <c r="O78" s="1">
        <f t="shared" si="9"/>
        <v>-0.30110422030441808</v>
      </c>
    </row>
    <row r="79" spans="1:15" x14ac:dyDescent="0.2">
      <c r="A79" s="6" t="s">
        <v>146</v>
      </c>
      <c r="B79" s="1">
        <v>4.2901883392680941E-5</v>
      </c>
      <c r="C79" s="1">
        <f t="shared" si="5"/>
        <v>5.7917542580118997E-3</v>
      </c>
      <c r="D79" s="1">
        <v>1263</v>
      </c>
      <c r="E79" s="1">
        <v>-76469</v>
      </c>
      <c r="F79" s="34">
        <f t="shared" si="6"/>
        <v>-0.99487888978757821</v>
      </c>
      <c r="G79" s="1">
        <v>-3.0199999999651008E-4</v>
      </c>
      <c r="H79" s="36">
        <v>1.9501616686028515E-5</v>
      </c>
      <c r="I79" s="1">
        <f t="shared" si="7"/>
        <v>-8.8009093018768247E-3</v>
      </c>
      <c r="J79" s="1">
        <v>4.5</v>
      </c>
      <c r="K79" s="1">
        <v>0.05</v>
      </c>
      <c r="L79" s="1">
        <f t="shared" si="8"/>
        <v>4.7142857142857144</v>
      </c>
      <c r="M79" s="1">
        <v>83221.690474485207</v>
      </c>
      <c r="N79" s="1">
        <v>121197.56266089001</v>
      </c>
      <c r="O79" s="1">
        <f t="shared" si="9"/>
        <v>-0.30544547834102809</v>
      </c>
    </row>
    <row r="80" spans="1:15" x14ac:dyDescent="0.2">
      <c r="A80" s="6" t="s">
        <v>147</v>
      </c>
      <c r="B80" s="1">
        <v>4.2984869325997249E-5</v>
      </c>
      <c r="C80" s="1">
        <f t="shared" si="5"/>
        <v>1.9343191196698412E-3</v>
      </c>
      <c r="D80" s="1">
        <v>1994</v>
      </c>
      <c r="E80" s="1">
        <v>-78288</v>
      </c>
      <c r="F80" s="34">
        <f t="shared" si="6"/>
        <v>-1.0165297902390542</v>
      </c>
      <c r="G80" s="1">
        <v>6.5840000000011254E-3</v>
      </c>
      <c r="H80" s="36">
        <v>5.472046927774931E-3</v>
      </c>
      <c r="I80" s="1">
        <f t="shared" si="7"/>
        <v>-3.2149534700343096E-4</v>
      </c>
      <c r="J80" s="1">
        <v>4.5</v>
      </c>
      <c r="K80" s="1">
        <v>0.08</v>
      </c>
      <c r="L80" s="1">
        <f t="shared" si="8"/>
        <v>4.2380952380952381</v>
      </c>
      <c r="M80" s="1">
        <v>83746.605846018399</v>
      </c>
      <c r="N80" s="1">
        <v>122848.97137696399</v>
      </c>
      <c r="O80" s="1">
        <f t="shared" si="9"/>
        <v>-0.31333599469046647</v>
      </c>
    </row>
    <row r="81" spans="1:15" x14ac:dyDescent="0.2">
      <c r="A81" s="6" t="s">
        <v>148</v>
      </c>
      <c r="B81" s="1">
        <v>4.3149946062567421E-5</v>
      </c>
      <c r="C81" s="1">
        <f t="shared" si="5"/>
        <v>3.8403451995684709E-3</v>
      </c>
      <c r="D81" s="1">
        <v>2812</v>
      </c>
      <c r="E81" s="1">
        <v>-80154</v>
      </c>
      <c r="F81" s="34">
        <f t="shared" si="6"/>
        <v>-1.0254831581233155</v>
      </c>
      <c r="G81" s="1">
        <v>3.9929999999933847E-3</v>
      </c>
      <c r="H81" s="36">
        <v>5.0582435016659141E-3</v>
      </c>
      <c r="I81" s="1">
        <f t="shared" si="7"/>
        <v>1.1059015271719375E-3</v>
      </c>
      <c r="J81" s="1">
        <v>4.5</v>
      </c>
      <c r="K81" s="1">
        <v>0.09</v>
      </c>
      <c r="L81" s="1">
        <f t="shared" si="8"/>
        <v>4.0925925925925926</v>
      </c>
      <c r="M81" s="1">
        <v>84508.826456873197</v>
      </c>
      <c r="N81" s="1">
        <v>128930.385113282</v>
      </c>
      <c r="O81" s="1">
        <f t="shared" si="9"/>
        <v>-0.3182936478752636</v>
      </c>
    </row>
    <row r="82" spans="1:15" x14ac:dyDescent="0.2">
      <c r="A82" s="6" t="s">
        <v>149</v>
      </c>
      <c r="B82" s="1">
        <v>4.3151808060757745E-5</v>
      </c>
      <c r="C82" s="1">
        <f t="shared" si="5"/>
        <v>4.3151808060768554E-5</v>
      </c>
      <c r="D82" s="1">
        <v>5003</v>
      </c>
      <c r="E82" s="1">
        <v>-93657</v>
      </c>
      <c r="F82" s="34">
        <f t="shared" si="6"/>
        <v>-1.0350953800855862</v>
      </c>
      <c r="G82" s="1">
        <v>7.4299999999523901E-4</v>
      </c>
      <c r="H82" s="36">
        <v>3.1532105240869037E-3</v>
      </c>
      <c r="I82" s="1">
        <f t="shared" si="7"/>
        <v>-1.0598823586194239E-3</v>
      </c>
      <c r="J82" s="1">
        <v>4.5</v>
      </c>
      <c r="K82" s="1">
        <v>0.1</v>
      </c>
      <c r="L82" s="1">
        <f t="shared" si="8"/>
        <v>4.045871559633027</v>
      </c>
      <c r="M82" s="1">
        <v>88182.120760608101</v>
      </c>
      <c r="N82" s="1">
        <v>129346.597406638</v>
      </c>
      <c r="O82" s="1">
        <f t="shared" si="9"/>
        <v>-0.34453642623461334</v>
      </c>
    </row>
    <row r="83" spans="1:15" x14ac:dyDescent="0.2">
      <c r="A83" s="6" t="s">
        <v>150</v>
      </c>
      <c r="B83" s="1">
        <v>4.3122035360068997E-5</v>
      </c>
      <c r="C83" s="1">
        <f t="shared" si="5"/>
        <v>-6.899525657610582E-4</v>
      </c>
      <c r="D83" s="1">
        <v>2971</v>
      </c>
      <c r="E83" s="1">
        <v>-91709</v>
      </c>
      <c r="F83" s="34">
        <f t="shared" si="6"/>
        <v>-1.0534295720509097</v>
      </c>
      <c r="G83" s="1">
        <v>1.2450000000031806E-3</v>
      </c>
      <c r="H83" s="36">
        <v>1.3927469432604598E-3</v>
      </c>
      <c r="I83" s="1">
        <f t="shared" si="7"/>
        <v>-2.4026345116640035E-3</v>
      </c>
      <c r="J83" s="1">
        <v>4</v>
      </c>
      <c r="K83" s="1">
        <v>0.09</v>
      </c>
      <c r="L83" s="1">
        <f t="shared" si="8"/>
        <v>4</v>
      </c>
      <c r="M83" s="1">
        <v>88739.909719329706</v>
      </c>
      <c r="N83" s="1">
        <v>127920.288921716</v>
      </c>
      <c r="O83" s="1">
        <f t="shared" si="9"/>
        <v>-0.31824693671439908</v>
      </c>
    </row>
    <row r="84" spans="1:15" x14ac:dyDescent="0.2">
      <c r="A84" s="6" t="s">
        <v>151</v>
      </c>
      <c r="B84" s="1">
        <v>4.3159257660768235E-5</v>
      </c>
      <c r="C84" s="1">
        <f t="shared" si="5"/>
        <v>8.631851532153248E-4</v>
      </c>
      <c r="D84" s="1">
        <v>2971</v>
      </c>
      <c r="E84" s="1">
        <v>-91684</v>
      </c>
      <c r="F84" s="34">
        <f t="shared" si="6"/>
        <v>-1.0324072054782572</v>
      </c>
      <c r="G84" s="1">
        <v>8.5899999999916826E-4</v>
      </c>
      <c r="H84" s="36">
        <v>4.1493775934314895E-4</v>
      </c>
      <c r="I84" s="1">
        <f t="shared" si="7"/>
        <v>-1.4754145534623397E-4</v>
      </c>
      <c r="J84" s="1">
        <v>4</v>
      </c>
      <c r="K84" s="1">
        <v>0.09</v>
      </c>
      <c r="L84" s="1">
        <f t="shared" si="8"/>
        <v>3.5871559633027523</v>
      </c>
      <c r="M84" s="1">
        <v>90440.722367715207</v>
      </c>
      <c r="N84" s="1">
        <v>128436.769347265</v>
      </c>
      <c r="O84" s="1">
        <f t="shared" si="9"/>
        <v>-0.30628505648003213</v>
      </c>
    </row>
    <row r="85" spans="1:15" x14ac:dyDescent="0.2">
      <c r="A85" s="6" t="s">
        <v>152</v>
      </c>
      <c r="B85" s="1">
        <v>4.3177892918825559E-5</v>
      </c>
      <c r="C85" s="1">
        <f t="shared" si="5"/>
        <v>4.3177892918821006E-4</v>
      </c>
      <c r="D85" s="1">
        <v>559</v>
      </c>
      <c r="E85" s="1">
        <v>-94055</v>
      </c>
      <c r="F85" s="34">
        <f t="shared" si="6"/>
        <v>-1.0324160422324749</v>
      </c>
      <c r="G85" s="1">
        <v>-8.4000000002118391E-5</v>
      </c>
      <c r="H85" s="36">
        <v>-6.1062721784521429E-4</v>
      </c>
      <c r="I85" s="1">
        <f t="shared" si="7"/>
        <v>4.4387805888890242E-4</v>
      </c>
      <c r="J85" s="1">
        <v>4</v>
      </c>
      <c r="K85" s="1">
        <v>0.09</v>
      </c>
      <c r="L85" s="1">
        <f t="shared" si="8"/>
        <v>3.5871559633027523</v>
      </c>
      <c r="M85" s="1">
        <v>92938.706420404604</v>
      </c>
      <c r="N85" s="1">
        <v>130150.355453254</v>
      </c>
      <c r="O85" s="1">
        <f t="shared" si="9"/>
        <v>-0.29583234879155818</v>
      </c>
    </row>
    <row r="86" spans="1:15" x14ac:dyDescent="0.2">
      <c r="A86" s="6" t="s">
        <v>153</v>
      </c>
      <c r="B86" s="1">
        <v>4.3312543312543313E-5</v>
      </c>
      <c r="C86" s="1">
        <f t="shared" si="5"/>
        <v>3.1185031185031685E-3</v>
      </c>
      <c r="D86" s="1">
        <v>-251</v>
      </c>
      <c r="E86" s="1">
        <v>-92895</v>
      </c>
      <c r="F86" s="34">
        <f t="shared" si="6"/>
        <v>-1.0059540264103599</v>
      </c>
      <c r="G86" s="1">
        <v>1.0280000000025445E-3</v>
      </c>
      <c r="H86" s="36">
        <v>9.4147846704237227E-4</v>
      </c>
      <c r="I86" s="1">
        <f t="shared" si="7"/>
        <v>5.2694898723726347E-4</v>
      </c>
      <c r="J86" s="1">
        <v>4</v>
      </c>
      <c r="K86" s="1">
        <v>0.09</v>
      </c>
      <c r="L86" s="1">
        <f t="shared" si="8"/>
        <v>3.5871559633027523</v>
      </c>
      <c r="M86" s="1">
        <v>94833.616150450398</v>
      </c>
      <c r="N86" s="1">
        <v>133849.09592396699</v>
      </c>
      <c r="O86" s="1">
        <f t="shared" si="9"/>
        <v>-0.28591057621535543</v>
      </c>
    </row>
    <row r="87" spans="1:15" x14ac:dyDescent="0.2">
      <c r="A87" s="6" t="s">
        <v>154</v>
      </c>
      <c r="B87" s="1">
        <v>4.3387712599791739E-5</v>
      </c>
      <c r="C87" s="1">
        <f t="shared" si="5"/>
        <v>1.7355085039916615E-3</v>
      </c>
      <c r="D87" s="1">
        <v>2074</v>
      </c>
      <c r="E87" s="1">
        <v>-90103</v>
      </c>
      <c r="F87" s="34">
        <f t="shared" si="6"/>
        <v>-0.99730876052274631</v>
      </c>
      <c r="G87" s="1">
        <v>6.2399999999743683E-4</v>
      </c>
      <c r="H87" s="36">
        <v>4.2537834870251907E-3</v>
      </c>
      <c r="I87" s="1">
        <f t="shared" si="7"/>
        <v>8.6440151418898381E-5</v>
      </c>
      <c r="J87" s="1">
        <v>4</v>
      </c>
      <c r="K87" s="1">
        <v>0.09</v>
      </c>
      <c r="L87" s="1">
        <f t="shared" si="8"/>
        <v>3.5871559633027523</v>
      </c>
      <c r="M87" s="1">
        <v>97421.7634191955</v>
      </c>
      <c r="N87" s="1">
        <v>132967.97384161301</v>
      </c>
      <c r="O87" s="1">
        <f t="shared" si="9"/>
        <v>-0.291486378879244</v>
      </c>
    </row>
    <row r="88" spans="1:15" x14ac:dyDescent="0.2">
      <c r="A88" s="6" t="s">
        <v>155</v>
      </c>
      <c r="B88" s="1">
        <v>4.3431053203040177E-5</v>
      </c>
      <c r="C88" s="1">
        <f t="shared" si="5"/>
        <v>9.9891422367000444E-4</v>
      </c>
      <c r="D88" s="1">
        <v>-477</v>
      </c>
      <c r="E88" s="1">
        <v>-83779</v>
      </c>
      <c r="F88" s="34">
        <f t="shared" si="6"/>
        <v>-1.023029455505982</v>
      </c>
      <c r="G88" s="1">
        <v>1.5181000000002207E-2</v>
      </c>
      <c r="H88" s="36">
        <v>5.4743827939254157E-3</v>
      </c>
      <c r="I88" s="1">
        <f t="shared" si="7"/>
        <v>-3.6144085755136501E-3</v>
      </c>
      <c r="J88" s="1">
        <v>4</v>
      </c>
      <c r="K88" s="1">
        <v>0.08</v>
      </c>
      <c r="L88" s="1">
        <f t="shared" si="8"/>
        <v>3.5871559633027523</v>
      </c>
      <c r="M88" s="1">
        <v>98106.098053702095</v>
      </c>
      <c r="N88" s="1">
        <v>132366.10395563301</v>
      </c>
      <c r="O88" s="1">
        <f t="shared" si="9"/>
        <v>-0.26732710192047238</v>
      </c>
    </row>
    <row r="89" spans="1:15" x14ac:dyDescent="0.2">
      <c r="A89" s="6" t="s">
        <v>156</v>
      </c>
      <c r="B89" s="1">
        <v>4.3346337234503684E-5</v>
      </c>
      <c r="C89" s="1">
        <f t="shared" si="5"/>
        <v>-1.950585175552761E-3</v>
      </c>
      <c r="D89" s="1">
        <v>1158</v>
      </c>
      <c r="E89" s="1">
        <v>-76093</v>
      </c>
      <c r="F89" s="34">
        <f t="shared" si="6"/>
        <v>-0.99431831745804389</v>
      </c>
      <c r="G89" s="1">
        <v>-2.6769999999998609E-3</v>
      </c>
      <c r="H89" s="36">
        <v>7.0832731337463579E-3</v>
      </c>
      <c r="I89" s="1">
        <f t="shared" si="7"/>
        <v>9.6537687803688321E-3</v>
      </c>
      <c r="J89" s="1">
        <v>4</v>
      </c>
      <c r="K89" s="1">
        <v>7.0000000000000007E-2</v>
      </c>
      <c r="L89" s="1">
        <f t="shared" si="8"/>
        <v>3.6296296296296298</v>
      </c>
      <c r="M89" s="1">
        <v>98311.015508274402</v>
      </c>
      <c r="N89" s="1">
        <v>128007.03204025301</v>
      </c>
      <c r="O89" s="1">
        <f t="shared" si="9"/>
        <v>-0.25882568159392705</v>
      </c>
    </row>
    <row r="90" spans="1:15" x14ac:dyDescent="0.2">
      <c r="A90" s="6" t="s">
        <v>157</v>
      </c>
      <c r="B90" s="1">
        <v>4.3376420577773921E-5</v>
      </c>
      <c r="C90" s="1">
        <f t="shared" si="5"/>
        <v>6.9402272924438079E-4</v>
      </c>
      <c r="D90" s="1">
        <v>-1343</v>
      </c>
      <c r="E90" s="1">
        <v>-92406</v>
      </c>
      <c r="F90" s="34">
        <f t="shared" si="6"/>
        <v>-1.0152315617936183</v>
      </c>
      <c r="G90" s="1">
        <v>-3.8300000000065148E-4</v>
      </c>
      <c r="H90" s="36">
        <v>8.2189091540576884E-3</v>
      </c>
      <c r="I90" s="1">
        <f t="shared" si="7"/>
        <v>-9.6916247088238983E-3</v>
      </c>
      <c r="J90" s="1">
        <v>4</v>
      </c>
      <c r="K90" s="1">
        <v>7.0000000000000007E-2</v>
      </c>
      <c r="L90" s="1">
        <f t="shared" si="8"/>
        <v>3.6728971962616823</v>
      </c>
      <c r="M90" s="1">
        <v>100835.113619621</v>
      </c>
      <c r="N90" s="1">
        <v>130079.30268171499</v>
      </c>
      <c r="O90" s="1">
        <f t="shared" si="9"/>
        <v>-0.23198557198848657</v>
      </c>
    </row>
    <row r="91" spans="1:15" x14ac:dyDescent="0.2">
      <c r="A91" s="6" t="s">
        <v>158</v>
      </c>
      <c r="B91" s="1">
        <v>4.3393360815795186E-5</v>
      </c>
      <c r="C91" s="1">
        <f t="shared" si="5"/>
        <v>3.9054024734224411E-4</v>
      </c>
      <c r="D91" s="1">
        <v>-2353</v>
      </c>
      <c r="E91" s="1">
        <v>-90893</v>
      </c>
      <c r="F91" s="34">
        <f t="shared" si="6"/>
        <v>-0.98547697635409337</v>
      </c>
      <c r="G91" s="1">
        <v>1.5839999999984304E-3</v>
      </c>
      <c r="H91" s="36">
        <v>8.0171051547634903E-3</v>
      </c>
      <c r="I91" s="1">
        <f t="shared" si="7"/>
        <v>-8.5317871703831649E-3</v>
      </c>
      <c r="J91" s="1">
        <v>4</v>
      </c>
      <c r="K91" s="1">
        <v>0.06</v>
      </c>
      <c r="L91" s="1">
        <f t="shared" si="8"/>
        <v>3.6728971962616823</v>
      </c>
      <c r="M91" s="1">
        <v>101660.102232155</v>
      </c>
      <c r="N91" s="1">
        <v>130769.007800704</v>
      </c>
      <c r="O91" s="1">
        <f t="shared" si="9"/>
        <v>-0.22481642846149963</v>
      </c>
    </row>
    <row r="92" spans="1:15" x14ac:dyDescent="0.2">
      <c r="A92" s="6" t="s">
        <v>159</v>
      </c>
      <c r="B92" s="1">
        <v>4.3440486533449174E-5</v>
      </c>
      <c r="C92" s="1">
        <f t="shared" si="5"/>
        <v>1.0860121633361375E-3</v>
      </c>
      <c r="D92" s="1">
        <v>-618</v>
      </c>
      <c r="E92" s="1">
        <v>-93046</v>
      </c>
      <c r="F92" s="34">
        <f t="shared" si="6"/>
        <v>-0.97412313514940807</v>
      </c>
      <c r="G92" s="1">
        <v>1.8740000000034207E-3</v>
      </c>
      <c r="H92" s="36">
        <v>9.2906629023590294E-3</v>
      </c>
      <c r="I92" s="1">
        <f t="shared" si="7"/>
        <v>-6.3819404669500646E-3</v>
      </c>
      <c r="J92" s="1">
        <v>4</v>
      </c>
      <c r="K92" s="1">
        <v>0.08</v>
      </c>
      <c r="L92" s="1">
        <f t="shared" si="8"/>
        <v>3.7169811320754711</v>
      </c>
      <c r="M92" s="1">
        <v>100215.86484350701</v>
      </c>
      <c r="N92" s="1">
        <v>129143.844098008</v>
      </c>
      <c r="O92" s="1">
        <f t="shared" si="9"/>
        <v>-0.22259619050349477</v>
      </c>
    </row>
    <row r="93" spans="1:15" x14ac:dyDescent="0.2">
      <c r="A93" s="6" t="s">
        <v>160</v>
      </c>
      <c r="B93" s="1">
        <v>4.3544524276072285E-5</v>
      </c>
      <c r="C93" s="1">
        <f t="shared" si="5"/>
        <v>2.3949488351840248E-3</v>
      </c>
      <c r="D93" s="1">
        <v>-1448</v>
      </c>
      <c r="E93" s="1">
        <v>-103152</v>
      </c>
      <c r="F93" s="34">
        <f t="shared" si="6"/>
        <v>-0.99336880004299</v>
      </c>
      <c r="G93" s="1">
        <v>6.223999999998401E-3</v>
      </c>
      <c r="H93" s="36">
        <v>4.8105235262914147E-3</v>
      </c>
      <c r="I93" s="1">
        <f t="shared" si="7"/>
        <v>-7.3483914742933365E-3</v>
      </c>
      <c r="J93" s="1">
        <v>4</v>
      </c>
      <c r="K93" s="1">
        <v>0.1</v>
      </c>
      <c r="L93" s="1">
        <f t="shared" si="8"/>
        <v>3.6296296296296298</v>
      </c>
      <c r="M93" s="1">
        <v>102278.713123266</v>
      </c>
      <c r="N93" s="1">
        <v>129513.902616191</v>
      </c>
      <c r="O93" s="1">
        <f t="shared" si="9"/>
        <v>-0.22399639301548546</v>
      </c>
    </row>
    <row r="94" spans="1:15" x14ac:dyDescent="0.2">
      <c r="A94" s="6" t="s">
        <v>161</v>
      </c>
      <c r="B94" s="1">
        <v>4.3907793633369924E-5</v>
      </c>
      <c r="C94" s="1">
        <f t="shared" si="5"/>
        <v>8.3424807903402804E-3</v>
      </c>
      <c r="D94" s="1">
        <v>-313</v>
      </c>
      <c r="E94" s="1">
        <v>-102368</v>
      </c>
      <c r="F94" s="34">
        <f t="shared" si="6"/>
        <v>-0.98597202159940278</v>
      </c>
      <c r="G94" s="1">
        <v>2.479000000002167E-3</v>
      </c>
      <c r="H94" s="36">
        <v>2.0659113636138969E-3</v>
      </c>
      <c r="I94" s="1">
        <f t="shared" si="7"/>
        <v>1.4067094647323142E-3</v>
      </c>
      <c r="J94" s="1">
        <v>4</v>
      </c>
      <c r="K94" s="1">
        <v>0.09</v>
      </c>
      <c r="L94" s="1">
        <f t="shared" si="8"/>
        <v>3.545454545454545</v>
      </c>
      <c r="M94" s="1">
        <v>106934.83915949</v>
      </c>
      <c r="N94" s="1">
        <v>242176.260513541</v>
      </c>
      <c r="O94" s="1">
        <f t="shared" si="9"/>
        <v>-0.21028614424113579</v>
      </c>
    </row>
    <row r="95" spans="1:15" x14ac:dyDescent="0.2">
      <c r="A95" s="6" t="s">
        <v>162</v>
      </c>
      <c r="B95" s="1">
        <v>4.3950248318903001E-5</v>
      </c>
      <c r="C95" s="1">
        <f t="shared" si="5"/>
        <v>9.6690546301584008E-4</v>
      </c>
      <c r="D95" s="1">
        <v>77</v>
      </c>
      <c r="E95" s="1">
        <v>-106899</v>
      </c>
      <c r="F95" s="34">
        <f t="shared" si="6"/>
        <v>-0.99695214278038824</v>
      </c>
      <c r="G95" s="1">
        <v>-6.1550000000038553E-3</v>
      </c>
      <c r="H95" s="36">
        <v>2.7159708590610643E-3</v>
      </c>
      <c r="I95" s="1">
        <f t="shared" si="7"/>
        <v>4.1223699130332747E-4</v>
      </c>
      <c r="J95" s="1">
        <v>4</v>
      </c>
      <c r="K95" s="1">
        <v>1.6875</v>
      </c>
      <c r="L95" s="1">
        <f t="shared" si="8"/>
        <v>3.5871559633027523</v>
      </c>
      <c r="M95" s="1">
        <v>107178.568322147</v>
      </c>
      <c r="N95" s="1">
        <v>239483.92394395199</v>
      </c>
      <c r="O95" s="1">
        <f t="shared" si="9"/>
        <v>-0.55843980176862706</v>
      </c>
    </row>
    <row r="96" spans="1:15" x14ac:dyDescent="0.2">
      <c r="A96" s="6" t="s">
        <v>163</v>
      </c>
      <c r="B96" s="1">
        <v>4.3956043956043955E-5</v>
      </c>
      <c r="C96" s="1">
        <f t="shared" si="5"/>
        <v>1.318681318681089E-4</v>
      </c>
      <c r="D96" s="1">
        <v>2804</v>
      </c>
      <c r="E96" s="1">
        <v>-112189</v>
      </c>
      <c r="F96" s="34">
        <f t="shared" si="6"/>
        <v>-1.0007296675335366</v>
      </c>
      <c r="G96" s="1">
        <v>-2.0309999999985756E-3</v>
      </c>
      <c r="H96" s="36">
        <v>8.3081185519974614E-3</v>
      </c>
      <c r="I96" s="1">
        <f t="shared" si="7"/>
        <v>-8.846942820173731E-3</v>
      </c>
      <c r="J96" s="1">
        <v>4</v>
      </c>
      <c r="K96" s="1">
        <v>1.6822916666666701</v>
      </c>
      <c r="L96" s="1">
        <f t="shared" si="8"/>
        <v>0.86046511627906974</v>
      </c>
      <c r="M96" s="1">
        <v>107382.308862148</v>
      </c>
      <c r="N96" s="1">
        <v>241388.71800409601</v>
      </c>
      <c r="O96" s="1">
        <f t="shared" si="9"/>
        <v>-0.55245797289840737</v>
      </c>
    </row>
    <row r="97" spans="1:15" x14ac:dyDescent="0.2">
      <c r="A97" s="6" t="s">
        <v>164</v>
      </c>
      <c r="B97" s="1">
        <v>4.4072278536800355E-5</v>
      </c>
      <c r="C97" s="1">
        <f t="shared" si="5"/>
        <v>2.6443367122081173E-3</v>
      </c>
      <c r="D97" s="1">
        <v>1231</v>
      </c>
      <c r="E97" s="1">
        <v>-97791</v>
      </c>
      <c r="F97" s="34">
        <f t="shared" si="6"/>
        <v>-1.0250026740827896</v>
      </c>
      <c r="G97" s="1">
        <v>3.2090000000005925E-3</v>
      </c>
      <c r="H97" s="36">
        <v>4.91342750434754E-3</v>
      </c>
      <c r="I97" s="1">
        <f t="shared" si="7"/>
        <v>-1.0253927704999333E-2</v>
      </c>
      <c r="J97" s="1">
        <v>4</v>
      </c>
      <c r="K97" s="1">
        <v>1.8295454545454499</v>
      </c>
      <c r="L97" s="1">
        <f t="shared" si="8"/>
        <v>0.86407766990291024</v>
      </c>
      <c r="M97" s="1">
        <v>109965.374869166</v>
      </c>
      <c r="N97" s="1">
        <v>239184.77895245</v>
      </c>
      <c r="O97" s="1">
        <f t="shared" si="9"/>
        <v>-0.55514547284766347</v>
      </c>
    </row>
    <row r="98" spans="1:15" x14ac:dyDescent="0.2">
      <c r="A98" s="6" t="s">
        <v>165</v>
      </c>
      <c r="B98" s="1">
        <v>4.392708104546453E-5</v>
      </c>
      <c r="C98" s="1">
        <f t="shared" si="5"/>
        <v>-3.2945310784098705E-3</v>
      </c>
      <c r="D98" s="1">
        <v>2727</v>
      </c>
      <c r="E98" s="1">
        <v>-113497</v>
      </c>
      <c r="F98" s="34">
        <f t="shared" si="6"/>
        <v>-1.0125984251968503</v>
      </c>
      <c r="G98" s="1">
        <v>-1.8159999999981771E-3</v>
      </c>
      <c r="H98" s="36">
        <v>3.072517161486064E-3</v>
      </c>
      <c r="I98" s="1">
        <f t="shared" si="7"/>
        <v>-1.6960938700757433E-3</v>
      </c>
      <c r="J98" s="1">
        <v>4</v>
      </c>
      <c r="K98" s="1">
        <v>1.95476973684211</v>
      </c>
      <c r="L98" s="1">
        <f t="shared" si="8"/>
        <v>0.76706827309237258</v>
      </c>
      <c r="M98" s="1">
        <v>109371.353442833</v>
      </c>
      <c r="N98" s="1">
        <v>240197.337193282</v>
      </c>
      <c r="O98" s="1">
        <f t="shared" si="9"/>
        <v>-0.54024701907119965</v>
      </c>
    </row>
    <row r="99" spans="1:15" x14ac:dyDescent="0.2">
      <c r="A99" s="6" t="s">
        <v>166</v>
      </c>
      <c r="B99" s="1">
        <v>4.41598586884522E-5</v>
      </c>
      <c r="C99" s="1">
        <f t="shared" si="5"/>
        <v>5.2991830426143017E-3</v>
      </c>
      <c r="D99" s="1">
        <v>1637</v>
      </c>
      <c r="E99" s="1">
        <v>-108903</v>
      </c>
      <c r="F99" s="34">
        <f t="shared" si="6"/>
        <v>-1.0240360893775993</v>
      </c>
      <c r="G99" s="1">
        <v>1.9159999999925641E-3</v>
      </c>
      <c r="H99" s="36">
        <v>8.4145737835476346E-3</v>
      </c>
      <c r="I99" s="1">
        <f t="shared" si="7"/>
        <v>-4.8735431166211374E-3</v>
      </c>
      <c r="J99" s="1">
        <v>4</v>
      </c>
      <c r="K99" s="1">
        <v>1.95476973684211</v>
      </c>
      <c r="L99" s="1">
        <f t="shared" si="8"/>
        <v>0.69217923740606468</v>
      </c>
      <c r="M99" s="1">
        <v>111568.874987982</v>
      </c>
      <c r="N99" s="1">
        <v>239330.78775489601</v>
      </c>
      <c r="O99" s="1">
        <f t="shared" si="9"/>
        <v>-0.54465815741753609</v>
      </c>
    </row>
    <row r="100" spans="1:15" x14ac:dyDescent="0.2">
      <c r="A100" s="6" t="s">
        <v>168</v>
      </c>
      <c r="B100" s="1">
        <v>4.3821209465381244E-5</v>
      </c>
      <c r="C100" s="1">
        <f t="shared" si="5"/>
        <v>-7.6687116564417958E-3</v>
      </c>
      <c r="D100" s="1">
        <v>-1938</v>
      </c>
      <c r="E100" s="1">
        <v>-109740</v>
      </c>
      <c r="F100" s="34">
        <f t="shared" si="6"/>
        <v>-1.0150410460781254</v>
      </c>
      <c r="G100" s="1">
        <v>1.0024000000004446E-2</v>
      </c>
      <c r="H100" s="36">
        <v>9.133979256478849E-3</v>
      </c>
      <c r="I100" s="1">
        <f t="shared" si="7"/>
        <v>-6.4443473473144719E-3</v>
      </c>
      <c r="J100" s="1">
        <v>4</v>
      </c>
      <c r="K100" s="1">
        <v>1.99702380952381</v>
      </c>
      <c r="L100" s="1">
        <f t="shared" si="8"/>
        <v>0.69217923740606468</v>
      </c>
      <c r="M100" s="1">
        <v>110903.74536793699</v>
      </c>
      <c r="N100" s="1">
        <v>239754.72685066899</v>
      </c>
      <c r="O100" s="1">
        <f t="shared" si="9"/>
        <v>-0.53382759542897529</v>
      </c>
    </row>
    <row r="101" spans="1:15" x14ac:dyDescent="0.2">
      <c r="A101" s="6" t="s">
        <v>169</v>
      </c>
      <c r="B101" s="1">
        <v>4.3756016452262186E-5</v>
      </c>
      <c r="C101" s="1">
        <f t="shared" si="5"/>
        <v>-1.4877045593769008E-3</v>
      </c>
      <c r="D101" s="1">
        <v>2170</v>
      </c>
      <c r="E101" s="1">
        <v>-93507</v>
      </c>
      <c r="F101" s="34">
        <f t="shared" si="6"/>
        <v>-0.98234902814860714</v>
      </c>
      <c r="G101" s="1">
        <v>7.0170000000032645E-3</v>
      </c>
      <c r="H101" s="36">
        <v>1.3351379548562751E-2</v>
      </c>
      <c r="I101" s="1">
        <f t="shared" si="7"/>
        <v>8.8196489447445181E-4</v>
      </c>
      <c r="J101" s="1">
        <v>4</v>
      </c>
      <c r="K101" s="1">
        <v>1.8897037928160001</v>
      </c>
      <c r="L101" s="1">
        <f t="shared" si="8"/>
        <v>0.66832174776564024</v>
      </c>
      <c r="M101" s="1">
        <v>108240.23445022</v>
      </c>
      <c r="N101" s="1">
        <v>237182.459292871</v>
      </c>
      <c r="O101" s="1">
        <f t="shared" si="9"/>
        <v>-0.53742608435370709</v>
      </c>
    </row>
    <row r="102" spans="1:15" x14ac:dyDescent="0.2">
      <c r="A102" s="6" t="s">
        <v>170</v>
      </c>
      <c r="B102" s="1">
        <v>4.3561596096880988E-5</v>
      </c>
      <c r="C102" s="1">
        <f t="shared" si="5"/>
        <v>-4.4432828018819061E-3</v>
      </c>
      <c r="D102" s="1">
        <v>480</v>
      </c>
      <c r="E102" s="1">
        <v>-128187</v>
      </c>
      <c r="F102" s="34">
        <f t="shared" si="6"/>
        <v>-1.0232177614270741</v>
      </c>
      <c r="G102" s="1">
        <v>1.8439999999960792E-3</v>
      </c>
      <c r="H102" s="36">
        <v>5.5825310256556234E-3</v>
      </c>
      <c r="I102" s="1">
        <f t="shared" si="7"/>
        <v>-6.2509211280508126E-3</v>
      </c>
      <c r="J102" s="1">
        <v>4</v>
      </c>
      <c r="K102" s="1">
        <v>1.875</v>
      </c>
      <c r="L102" s="1">
        <f t="shared" si="8"/>
        <v>0.7302811493795105</v>
      </c>
      <c r="M102" s="1">
        <v>107296.054548314</v>
      </c>
      <c r="N102" s="1">
        <v>229916.629436113</v>
      </c>
      <c r="O102" s="1">
        <f t="shared" si="9"/>
        <v>-0.54363919485394996</v>
      </c>
    </row>
    <row r="103" spans="1:15" x14ac:dyDescent="0.2">
      <c r="A103" s="6" t="s">
        <v>171</v>
      </c>
      <c r="B103" s="1">
        <v>4.3148084225060405E-5</v>
      </c>
      <c r="C103" s="1">
        <f t="shared" si="5"/>
        <v>-9.4925785295132941E-3</v>
      </c>
      <c r="D103" s="1">
        <v>-1965</v>
      </c>
      <c r="E103" s="1">
        <v>-110945</v>
      </c>
      <c r="F103" s="34">
        <f t="shared" si="6"/>
        <v>-1.0037523598520899</v>
      </c>
      <c r="G103" s="1">
        <v>3.7790000000011651E-3</v>
      </c>
      <c r="H103" s="36">
        <v>1.1023523999591257E-2</v>
      </c>
      <c r="I103" s="1">
        <f t="shared" si="7"/>
        <v>-3.7177764234291866E-3</v>
      </c>
      <c r="J103" s="1">
        <v>4</v>
      </c>
      <c r="K103" s="1">
        <v>1.87538991827313</v>
      </c>
      <c r="L103" s="1">
        <f t="shared" si="8"/>
        <v>0.73913043478260865</v>
      </c>
      <c r="M103" s="1">
        <v>104752.383437688</v>
      </c>
      <c r="N103" s="1">
        <v>231270.10470447299</v>
      </c>
      <c r="O103" s="1">
        <f t="shared" si="9"/>
        <v>-0.53332393513508913</v>
      </c>
    </row>
    <row r="104" spans="1:15" x14ac:dyDescent="0.2">
      <c r="A104" s="6" t="s">
        <v>172</v>
      </c>
      <c r="B104" s="1">
        <v>4.2983021706425962E-5</v>
      </c>
      <c r="C104" s="1">
        <f t="shared" si="5"/>
        <v>-3.8254889318718715E-3</v>
      </c>
      <c r="D104" s="1">
        <v>897</v>
      </c>
      <c r="E104" s="1">
        <v>-118178</v>
      </c>
      <c r="F104" s="34">
        <f t="shared" si="6"/>
        <v>-0.98229737525237959</v>
      </c>
      <c r="G104" s="1">
        <v>6.8540000000001057E-3</v>
      </c>
      <c r="H104" s="36">
        <v>1.3736075758821452E-2</v>
      </c>
      <c r="I104" s="1">
        <f t="shared" si="7"/>
        <v>-7.1655345574265228E-3</v>
      </c>
      <c r="J104" s="1">
        <v>4</v>
      </c>
      <c r="K104" s="1">
        <v>2.3710959817177701</v>
      </c>
      <c r="L104" s="1">
        <f t="shared" si="8"/>
        <v>0.73889459938109736</v>
      </c>
      <c r="M104" s="1">
        <v>103261.762613074</v>
      </c>
      <c r="N104" s="1">
        <v>227534.17706142299</v>
      </c>
      <c r="O104" s="1">
        <f t="shared" si="9"/>
        <v>-0.54705373344609631</v>
      </c>
    </row>
    <row r="105" spans="1:15" x14ac:dyDescent="0.2">
      <c r="A105" s="6" t="s">
        <v>173</v>
      </c>
      <c r="B105" s="1">
        <v>4.2811884579159176E-5</v>
      </c>
      <c r="C105" s="1">
        <f t="shared" si="5"/>
        <v>-3.9815052658617612E-3</v>
      </c>
      <c r="D105" s="1">
        <v>74</v>
      </c>
      <c r="E105" s="1">
        <v>-115401</v>
      </c>
      <c r="F105" s="34">
        <f t="shared" si="6"/>
        <v>-1.0075987713345236</v>
      </c>
      <c r="G105" s="1">
        <v>3.9530000000033471E-3</v>
      </c>
      <c r="H105" s="36">
        <v>-1.1811913833453382E-4</v>
      </c>
      <c r="I105" s="1">
        <f t="shared" si="7"/>
        <v>-6.7888239586124666E-3</v>
      </c>
      <c r="J105" s="1">
        <v>5</v>
      </c>
      <c r="K105" s="1">
        <v>3.05193338986287</v>
      </c>
      <c r="L105" s="1">
        <f t="shared" si="8"/>
        <v>0.48319716410216484</v>
      </c>
      <c r="M105" s="1">
        <v>100436.65845186599</v>
      </c>
      <c r="N105" s="1">
        <v>226993.14064182501</v>
      </c>
      <c r="O105" s="1">
        <f t="shared" si="9"/>
        <v>-0.54616792028953709</v>
      </c>
    </row>
    <row r="106" spans="1:15" x14ac:dyDescent="0.2">
      <c r="A106" s="6" t="s">
        <v>174</v>
      </c>
      <c r="B106" s="1">
        <v>4.2707666026051675E-5</v>
      </c>
      <c r="C106" s="1">
        <f t="shared" si="5"/>
        <v>-2.4343369634850041E-3</v>
      </c>
      <c r="D106" s="1">
        <v>3859</v>
      </c>
      <c r="E106" s="1">
        <v>-106462</v>
      </c>
      <c r="F106" s="34">
        <f t="shared" si="6"/>
        <v>-1.0006499133448874</v>
      </c>
      <c r="G106" s="1">
        <v>4.9999999999971596E-5</v>
      </c>
      <c r="H106" s="36">
        <v>-3.5439927634848888E-4</v>
      </c>
      <c r="I106" s="1">
        <f t="shared" si="7"/>
        <v>4.0716000722300638E-3</v>
      </c>
      <c r="J106" s="1">
        <v>6</v>
      </c>
      <c r="K106" s="1">
        <v>3.2731758373205699</v>
      </c>
      <c r="L106" s="1">
        <f t="shared" si="8"/>
        <v>0.48077458899270265</v>
      </c>
      <c r="M106" s="1">
        <v>93902.0054343628</v>
      </c>
      <c r="N106" s="1">
        <v>223071.020668691</v>
      </c>
      <c r="O106" s="1">
        <f t="shared" si="9"/>
        <v>-0.55753193378525578</v>
      </c>
    </row>
    <row r="107" spans="1:15" x14ac:dyDescent="0.2">
      <c r="A107" s="6" t="s">
        <v>175</v>
      </c>
      <c r="B107" s="1">
        <v>4.1981528127623844E-5</v>
      </c>
      <c r="C107" s="1">
        <f t="shared" si="5"/>
        <v>-1.7002518891687662E-2</v>
      </c>
      <c r="D107" s="1">
        <v>1981</v>
      </c>
      <c r="E107" s="1">
        <v>-114323</v>
      </c>
      <c r="F107" s="34">
        <f t="shared" si="6"/>
        <v>-1.0362574088163741</v>
      </c>
      <c r="G107" s="1">
        <v>3.9809999999974597E-3</v>
      </c>
      <c r="H107" s="36">
        <v>2.1507845129980093E-3</v>
      </c>
      <c r="I107" s="1">
        <f t="shared" si="7"/>
        <v>4.0454264596934131E-4</v>
      </c>
      <c r="J107" s="1">
        <v>6</v>
      </c>
      <c r="K107" s="1">
        <v>3.9708802102545202</v>
      </c>
      <c r="L107" s="1">
        <f t="shared" si="8"/>
        <v>0.63812589663739261</v>
      </c>
      <c r="M107" s="1">
        <v>87583.780038268407</v>
      </c>
      <c r="N107" s="1">
        <v>219111.68861745601</v>
      </c>
      <c r="O107" s="1">
        <f t="shared" si="9"/>
        <v>-0.57904624186899456</v>
      </c>
    </row>
    <row r="108" spans="1:15" x14ac:dyDescent="0.2">
      <c r="A108" s="6" t="s">
        <v>176</v>
      </c>
      <c r="B108" s="1">
        <v>4.0290088638195005E-5</v>
      </c>
      <c r="C108" s="1">
        <f t="shared" si="5"/>
        <v>-4.029008863819495E-2</v>
      </c>
      <c r="D108" s="1">
        <v>2466</v>
      </c>
      <c r="E108" s="1">
        <v>-110317</v>
      </c>
      <c r="F108" s="34">
        <f t="shared" si="6"/>
        <v>-1.0173369955039275</v>
      </c>
      <c r="G108" s="1">
        <v>1.4520000000023717E-3</v>
      </c>
      <c r="H108" s="36">
        <v>4.0564944341124854E-3</v>
      </c>
      <c r="I108" s="1">
        <f t="shared" si="7"/>
        <v>1.8262875360508524E-3</v>
      </c>
      <c r="J108" s="1">
        <v>6</v>
      </c>
      <c r="K108" s="1">
        <v>4.2336059855593096</v>
      </c>
      <c r="L108" s="1">
        <f t="shared" si="8"/>
        <v>0.40820130518526088</v>
      </c>
      <c r="M108" s="1">
        <v>85888.514103779904</v>
      </c>
      <c r="N108" s="1">
        <v>221754.52668824501</v>
      </c>
      <c r="O108" s="1">
        <f t="shared" si="9"/>
        <v>-0.60027517990443391</v>
      </c>
    </row>
    <row r="109" spans="1:15" x14ac:dyDescent="0.2">
      <c r="A109" s="6" t="s">
        <v>177</v>
      </c>
      <c r="B109" s="1">
        <v>4.0404040404040405E-5</v>
      </c>
      <c r="C109" s="1">
        <f t="shared" si="5"/>
        <v>2.8282828282828335E-3</v>
      </c>
      <c r="D109" s="1">
        <v>743</v>
      </c>
      <c r="E109" s="1">
        <v>-112153</v>
      </c>
      <c r="F109" s="34">
        <f t="shared" si="6"/>
        <v>-1.022363029841546</v>
      </c>
      <c r="G109" s="1">
        <v>3.8719999999990936E-3</v>
      </c>
      <c r="H109" s="36">
        <v>-1.0100264418846556E-3</v>
      </c>
      <c r="I109" s="1">
        <f t="shared" si="7"/>
        <v>-2.5939720011251E-3</v>
      </c>
      <c r="J109" s="1">
        <v>6</v>
      </c>
      <c r="K109" s="1">
        <v>4.6040028848835597</v>
      </c>
      <c r="L109" s="1">
        <f t="shared" si="8"/>
        <v>0.33750993470172697</v>
      </c>
      <c r="M109" s="1">
        <v>85299.131591010693</v>
      </c>
      <c r="N109" s="1">
        <v>228625.630790953</v>
      </c>
      <c r="O109" s="1">
        <f t="shared" si="9"/>
        <v>-0.61268377214098635</v>
      </c>
    </row>
    <row r="110" spans="1:15" x14ac:dyDescent="0.2">
      <c r="A110" s="6" t="s">
        <v>178</v>
      </c>
      <c r="B110" s="1">
        <v>4.2372881355932206E-5</v>
      </c>
      <c r="C110" s="1">
        <f t="shared" si="5"/>
        <v>4.8728813559322071E-2</v>
      </c>
      <c r="D110" s="1">
        <v>1737</v>
      </c>
      <c r="E110" s="1">
        <v>-93819</v>
      </c>
      <c r="F110" s="34">
        <f t="shared" si="6"/>
        <v>-1.0066338540552109</v>
      </c>
      <c r="G110" s="1">
        <v>-1.250000000017408E-4</v>
      </c>
      <c r="H110" s="36">
        <v>-3.0700914645412618E-3</v>
      </c>
      <c r="I110" s="1">
        <f t="shared" si="7"/>
        <v>4.8869624031313563E-3</v>
      </c>
      <c r="J110" s="1">
        <v>6</v>
      </c>
      <c r="K110" s="1">
        <v>5.33</v>
      </c>
      <c r="L110" s="1">
        <f t="shared" si="8"/>
        <v>0.2491071371290785</v>
      </c>
      <c r="M110" s="1">
        <v>86539.530966645107</v>
      </c>
      <c r="N110" s="1">
        <v>232716.63702783</v>
      </c>
      <c r="O110" s="1">
        <f t="shared" si="9"/>
        <v>-0.62690203107176212</v>
      </c>
    </row>
    <row r="111" spans="1:15" x14ac:dyDescent="0.2">
      <c r="A111" s="6" t="s">
        <v>179</v>
      </c>
      <c r="B111" s="1">
        <v>4.2607584149978694E-5</v>
      </c>
      <c r="C111" s="1">
        <f t="shared" si="5"/>
        <v>5.5389859394971153E-3</v>
      </c>
      <c r="D111" s="1">
        <v>650</v>
      </c>
      <c r="E111" s="1">
        <v>-93564</v>
      </c>
      <c r="F111" s="34">
        <f t="shared" si="6"/>
        <v>-1.0185252297000575</v>
      </c>
      <c r="G111" s="1">
        <v>5.1529999999983603E-3</v>
      </c>
      <c r="H111" s="36">
        <v>7.9953638345363846E-3</v>
      </c>
      <c r="I111" s="1">
        <f t="shared" si="7"/>
        <v>2.9541610090382253E-3</v>
      </c>
      <c r="J111" s="1">
        <v>5.5</v>
      </c>
      <c r="K111" s="1">
        <v>5.51586118799234</v>
      </c>
      <c r="L111" s="1">
        <f t="shared" si="8"/>
        <v>0.10584518167456558</v>
      </c>
      <c r="M111" s="1">
        <v>88271.111042447097</v>
      </c>
      <c r="N111" s="1">
        <v>236062.81196846499</v>
      </c>
      <c r="O111" s="1">
        <f t="shared" si="9"/>
        <v>-0.62813075935325013</v>
      </c>
    </row>
    <row r="112" spans="1:15" x14ac:dyDescent="0.2">
      <c r="A112" s="6" t="s">
        <v>180</v>
      </c>
      <c r="B112" s="1">
        <v>4.2007981516488134E-5</v>
      </c>
      <c r="C112" s="1">
        <f t="shared" si="5"/>
        <v>-1.4072673808023441E-2</v>
      </c>
      <c r="D112" s="1">
        <v>2826</v>
      </c>
      <c r="E112" s="1">
        <v>-98930</v>
      </c>
      <c r="F112" s="34">
        <f t="shared" si="6"/>
        <v>-1.0069578786486111</v>
      </c>
      <c r="G112" s="1">
        <v>4.4890000000049569E-3</v>
      </c>
      <c r="H112" s="36">
        <v>5.5821105057323114E-3</v>
      </c>
      <c r="I112" s="1">
        <f t="shared" si="7"/>
        <v>-2.8198183607961447E-3</v>
      </c>
      <c r="J112" s="1">
        <v>4.5</v>
      </c>
      <c r="K112" s="1">
        <v>5.8103284557907804</v>
      </c>
      <c r="L112" s="1">
        <f t="shared" si="8"/>
        <v>-2.4342427707897407E-3</v>
      </c>
      <c r="M112" s="1">
        <v>87644.670477897598</v>
      </c>
      <c r="N112" s="1">
        <v>232435.280009137</v>
      </c>
      <c r="O112" s="1">
        <f t="shared" si="9"/>
        <v>-0.6260667388772021</v>
      </c>
    </row>
    <row r="113" spans="1:15" x14ac:dyDescent="0.2">
      <c r="A113" s="6" t="s">
        <v>181</v>
      </c>
      <c r="B113" s="1">
        <v>4.2607584149978694E-5</v>
      </c>
      <c r="C113" s="1">
        <f t="shared" si="5"/>
        <v>1.4273540690242776E-2</v>
      </c>
      <c r="D113" s="1">
        <v>1453</v>
      </c>
      <c r="E113" s="1">
        <v>-78698</v>
      </c>
      <c r="F113" s="34">
        <f t="shared" si="6"/>
        <v>-1.0285760494900382</v>
      </c>
      <c r="G113" s="1">
        <v>-2.2590000000031964E-3</v>
      </c>
      <c r="H113" s="36">
        <v>3.3107299561206771E-3</v>
      </c>
      <c r="I113" s="1">
        <f t="shared" si="7"/>
        <v>-1.0870425142882612E-3</v>
      </c>
      <c r="J113" s="1">
        <v>4.5</v>
      </c>
      <c r="K113" s="1">
        <v>6.3185152708661798</v>
      </c>
      <c r="L113" s="1">
        <f t="shared" si="8"/>
        <v>-0.19240312186068154</v>
      </c>
      <c r="M113" s="1">
        <v>88211.950293771399</v>
      </c>
      <c r="N113" s="1">
        <v>235948.84245846901</v>
      </c>
      <c r="O113" s="1">
        <f t="shared" si="9"/>
        <v>-0.62292603170876648</v>
      </c>
    </row>
    <row r="114" spans="1:15" x14ac:dyDescent="0.2">
      <c r="A114" s="6" t="s">
        <v>182</v>
      </c>
      <c r="B114" s="1">
        <v>4.2653017701002346E-5</v>
      </c>
      <c r="C114" s="1">
        <f t="shared" si="5"/>
        <v>1.0663254425251022E-3</v>
      </c>
      <c r="D114" s="1">
        <v>2731</v>
      </c>
      <c r="E114" s="1">
        <v>-85685</v>
      </c>
      <c r="F114" s="34">
        <f t="shared" si="6"/>
        <v>-1.0184759266553998</v>
      </c>
      <c r="G114" s="1">
        <v>-3.4249999999984458E-3</v>
      </c>
      <c r="H114" s="36">
        <v>5.0590386832623279E-3</v>
      </c>
      <c r="I114" s="1">
        <f t="shared" si="7"/>
        <v>-5.551350932295307E-3</v>
      </c>
      <c r="J114" s="1">
        <v>4.5</v>
      </c>
      <c r="K114" s="1">
        <v>6.3617471332779196</v>
      </c>
      <c r="L114" s="1">
        <f t="shared" si="8"/>
        <v>-0.2484814478840256</v>
      </c>
      <c r="M114" s="1">
        <v>90023.808243097199</v>
      </c>
      <c r="N114" s="1">
        <v>235645.28963070799</v>
      </c>
      <c r="O114" s="1">
        <f t="shared" si="9"/>
        <v>-0.62613685444906242</v>
      </c>
    </row>
    <row r="115" spans="1:15" x14ac:dyDescent="0.2">
      <c r="A115" s="6" t="s">
        <v>183</v>
      </c>
      <c r="B115" s="1">
        <v>4.2589437819420782E-5</v>
      </c>
      <c r="C115" s="1">
        <f t="shared" si="5"/>
        <v>-1.4906303236797733E-3</v>
      </c>
      <c r="D115" s="1">
        <v>2107</v>
      </c>
      <c r="E115" s="1">
        <v>-94881</v>
      </c>
      <c r="F115" s="34">
        <f t="shared" si="6"/>
        <v>-1.0318845992250596</v>
      </c>
      <c r="G115" s="1">
        <v>7.500000000005583E-5</v>
      </c>
      <c r="H115" s="36">
        <v>2.5184350102043121E-3</v>
      </c>
      <c r="I115" s="1">
        <f t="shared" si="7"/>
        <v>-8.441333649788163E-3</v>
      </c>
      <c r="J115" s="1">
        <v>4.5</v>
      </c>
      <c r="K115" s="1">
        <v>6.4003478298652698</v>
      </c>
      <c r="L115" s="1">
        <f t="shared" si="8"/>
        <v>-0.25289474082342611</v>
      </c>
      <c r="M115" s="1">
        <v>89541.726887096505</v>
      </c>
      <c r="N115" s="1">
        <v>231972.65920995301</v>
      </c>
      <c r="O115" s="1">
        <f t="shared" si="9"/>
        <v>-0.61796636652255732</v>
      </c>
    </row>
    <row r="116" spans="1:15" x14ac:dyDescent="0.2">
      <c r="A116" s="6" t="s">
        <v>184</v>
      </c>
      <c r="B116" s="1">
        <v>4.2428613857185285E-5</v>
      </c>
      <c r="C116" s="1">
        <f t="shared" si="5"/>
        <v>-3.7761466332894467E-3</v>
      </c>
      <c r="D116" s="1">
        <v>3195</v>
      </c>
      <c r="E116" s="1">
        <v>-104262</v>
      </c>
      <c r="F116" s="34">
        <f t="shared" si="6"/>
        <v>-1.0222175379426643</v>
      </c>
      <c r="G116" s="1">
        <v>2.673999999998883E-3</v>
      </c>
      <c r="H116" s="36">
        <v>3.2289142364801968E-3</v>
      </c>
      <c r="I116" s="1">
        <f t="shared" si="7"/>
        <v>-2.4372968365209413E-3</v>
      </c>
      <c r="J116" s="1">
        <v>4.5</v>
      </c>
      <c r="K116" s="1">
        <v>6.32369029707408</v>
      </c>
      <c r="L116" s="1">
        <f t="shared" si="8"/>
        <v>-0.25679169054677631</v>
      </c>
      <c r="M116" s="1">
        <v>91107.929749174698</v>
      </c>
      <c r="N116" s="1">
        <v>232967.286807664</v>
      </c>
      <c r="O116" s="1">
        <f t="shared" si="9"/>
        <v>-0.61399614425164617</v>
      </c>
    </row>
    <row r="117" spans="1:15" x14ac:dyDescent="0.2">
      <c r="A117" s="6" t="s">
        <v>185</v>
      </c>
      <c r="B117" s="1">
        <v>4.2220814861726833E-5</v>
      </c>
      <c r="C117" s="1">
        <f t="shared" si="5"/>
        <v>-4.8976145239602586E-3</v>
      </c>
      <c r="D117" s="1">
        <v>3067</v>
      </c>
      <c r="E117" s="1">
        <v>-97634</v>
      </c>
      <c r="F117" s="34">
        <f t="shared" si="6"/>
        <v>-1.0306538398826024</v>
      </c>
      <c r="G117" s="1">
        <v>4.5479999999970743E-3</v>
      </c>
      <c r="H117" s="36">
        <v>1.907515019223312E-3</v>
      </c>
      <c r="I117" s="1">
        <f t="shared" si="7"/>
        <v>-5.5312823285569301E-4</v>
      </c>
      <c r="J117" s="1">
        <v>4.5</v>
      </c>
      <c r="K117" s="1">
        <v>6.3133224360556</v>
      </c>
      <c r="L117" s="1">
        <f t="shared" si="8"/>
        <v>-0.2490124818361954</v>
      </c>
      <c r="M117" s="1">
        <v>89110.813669546405</v>
      </c>
      <c r="N117" s="1">
        <v>233966.83467054801</v>
      </c>
      <c r="O117" s="1">
        <f t="shared" si="9"/>
        <v>-0.60892132144838573</v>
      </c>
    </row>
    <row r="118" spans="1:15" x14ac:dyDescent="0.2">
      <c r="A118" s="6" t="s">
        <v>186</v>
      </c>
      <c r="B118" s="1">
        <v>4.1476565740356696E-5</v>
      </c>
      <c r="C118" s="1">
        <f t="shared" si="5"/>
        <v>-1.7627540439651705E-2</v>
      </c>
      <c r="D118" s="1">
        <v>3439</v>
      </c>
      <c r="E118" s="1">
        <v>-102580</v>
      </c>
      <c r="F118" s="34">
        <f t="shared" si="6"/>
        <v>-1.0314238013786323</v>
      </c>
      <c r="G118" s="1">
        <v>8.8110000000020724E-3</v>
      </c>
      <c r="H118" s="36">
        <v>4.3671550683528626E-3</v>
      </c>
      <c r="I118" s="1">
        <f t="shared" si="7"/>
        <v>2.6354578054272881E-3</v>
      </c>
      <c r="J118" s="1">
        <v>4.5</v>
      </c>
      <c r="K118" s="1">
        <v>6.3177473933294896</v>
      </c>
      <c r="L118" s="1">
        <f t="shared" si="8"/>
        <v>-0.24794783108641461</v>
      </c>
      <c r="M118" s="1">
        <v>89552.909933995004</v>
      </c>
      <c r="N118" s="1">
        <v>232761.56607149</v>
      </c>
      <c r="O118" s="1">
        <f t="shared" si="9"/>
        <v>-0.61912792929410376</v>
      </c>
    </row>
    <row r="119" spans="1:15" x14ac:dyDescent="0.2">
      <c r="A119" s="6" t="s">
        <v>187</v>
      </c>
      <c r="B119" s="1">
        <v>4.1008816895632564E-5</v>
      </c>
      <c r="C119" s="1">
        <f t="shared" si="5"/>
        <v>-1.1277424646298828E-2</v>
      </c>
      <c r="D119" s="1">
        <v>2199</v>
      </c>
      <c r="E119" s="1">
        <v>-100511</v>
      </c>
      <c r="F119" s="34">
        <f t="shared" si="6"/>
        <v>-1.0335351290225094</v>
      </c>
      <c r="G119" s="1">
        <v>1.0798999999998891E-2</v>
      </c>
      <c r="H119" s="36">
        <v>2.4851315523784778E-3</v>
      </c>
      <c r="I119" s="1">
        <f t="shared" si="7"/>
        <v>4.424522356415439E-3</v>
      </c>
      <c r="J119" s="1">
        <v>4.5</v>
      </c>
      <c r="K119" s="1">
        <v>6.2925575281228197</v>
      </c>
      <c r="L119" s="1">
        <f t="shared" si="8"/>
        <v>-0.24840258834111462</v>
      </c>
      <c r="M119" s="1">
        <v>89474.927494049698</v>
      </c>
      <c r="N119" s="1">
        <v>229949.20561611</v>
      </c>
      <c r="O119" s="1">
        <f t="shared" si="9"/>
        <v>-0.61525639003958355</v>
      </c>
    </row>
    <row r="120" spans="1:15" x14ac:dyDescent="0.2">
      <c r="A120" s="6" t="s">
        <v>188</v>
      </c>
      <c r="B120" s="1">
        <v>4.0719928332926137E-5</v>
      </c>
      <c r="C120" s="1">
        <f t="shared" si="5"/>
        <v>-7.044547601596219E-3</v>
      </c>
      <c r="D120" s="1">
        <v>2734</v>
      </c>
      <c r="E120" s="1">
        <v>-97201</v>
      </c>
      <c r="F120" s="34">
        <f t="shared" si="6"/>
        <v>-1.021888369316486</v>
      </c>
      <c r="G120" s="1">
        <v>8.2200000000123407E-4</v>
      </c>
      <c r="H120" s="36">
        <v>-3.8337952297990725E-4</v>
      </c>
      <c r="I120" s="1">
        <f t="shared" si="7"/>
        <v>8.293258608979226E-3</v>
      </c>
      <c r="J120" s="1">
        <v>4.5</v>
      </c>
      <c r="K120" s="1">
        <v>6.2205200546291</v>
      </c>
      <c r="L120" s="1">
        <f t="shared" si="8"/>
        <v>-0.24580642952901632</v>
      </c>
      <c r="M120" s="1">
        <v>89044.708823217094</v>
      </c>
      <c r="N120" s="1">
        <v>229672.54455380101</v>
      </c>
      <c r="O120" s="1">
        <f t="shared" si="9"/>
        <v>-0.61088998701125252</v>
      </c>
    </row>
    <row r="121" spans="1:15" x14ac:dyDescent="0.2">
      <c r="A121" s="6" t="s">
        <v>189</v>
      </c>
      <c r="B121" s="1">
        <v>4.1220115416323168E-5</v>
      </c>
      <c r="C121" s="1">
        <f t="shared" si="5"/>
        <v>1.228359439406429E-2</v>
      </c>
      <c r="D121" s="1">
        <v>1543</v>
      </c>
      <c r="E121" s="1">
        <v>-106219</v>
      </c>
      <c r="F121" s="34">
        <f t="shared" si="6"/>
        <v>-1.0281378600823046</v>
      </c>
      <c r="G121" s="1">
        <v>2.4850000000021391E-3</v>
      </c>
      <c r="H121" s="36">
        <v>-2.0151395484197102E-3</v>
      </c>
      <c r="I121" s="1">
        <f t="shared" si="7"/>
        <v>1.2058418180420638E-3</v>
      </c>
      <c r="J121" s="1">
        <v>4.5</v>
      </c>
      <c r="K121" s="1">
        <v>6.40625</v>
      </c>
      <c r="L121" s="1">
        <f t="shared" si="8"/>
        <v>-0.23828201315306485</v>
      </c>
      <c r="M121" s="1">
        <v>89956.755360886993</v>
      </c>
      <c r="N121" s="1">
        <v>232346.958218549</v>
      </c>
      <c r="O121" s="1">
        <f t="shared" si="9"/>
        <v>-0.61229444603116601</v>
      </c>
    </row>
    <row r="122" spans="1:15" x14ac:dyDescent="0.2">
      <c r="A122" s="6" t="s">
        <v>190</v>
      </c>
      <c r="B122" s="1">
        <v>4.1262636682484009E-5</v>
      </c>
      <c r="C122" s="1">
        <f t="shared" si="5"/>
        <v>1.0315659170620089E-3</v>
      </c>
      <c r="D122" s="1">
        <v>2061</v>
      </c>
      <c r="E122" s="1">
        <v>-97243</v>
      </c>
      <c r="F122" s="34">
        <f t="shared" si="6"/>
        <v>-1.0145361426500217</v>
      </c>
      <c r="G122" s="1">
        <v>1.1579999999987475E-3</v>
      </c>
      <c r="H122" s="36">
        <v>-9.933203278911075E-4</v>
      </c>
      <c r="I122" s="1">
        <f t="shared" si="7"/>
        <v>4.5092262686083906E-3</v>
      </c>
      <c r="J122" s="1">
        <v>4.5</v>
      </c>
      <c r="K122" s="1">
        <v>6.4095029835444999</v>
      </c>
      <c r="L122" s="1">
        <f t="shared" si="8"/>
        <v>-0.2573839662447257</v>
      </c>
      <c r="M122" s="1">
        <v>92237.540812246705</v>
      </c>
      <c r="N122" s="1">
        <v>234110.801811752</v>
      </c>
      <c r="O122" s="1">
        <f t="shared" si="9"/>
        <v>-0.61283173714712924</v>
      </c>
    </row>
    <row r="123" spans="1:15" x14ac:dyDescent="0.2">
      <c r="A123" s="6" t="s">
        <v>191</v>
      </c>
      <c r="B123" s="1">
        <v>4.0992006558721051E-5</v>
      </c>
      <c r="C123" s="1">
        <f t="shared" si="5"/>
        <v>-6.5587210493952839E-3</v>
      </c>
      <c r="D123" s="1">
        <v>3633</v>
      </c>
      <c r="E123" s="1">
        <v>-86335</v>
      </c>
      <c r="F123" s="34">
        <f t="shared" si="6"/>
        <v>-1.0212048291890334</v>
      </c>
      <c r="G123" s="1">
        <v>3.1140097437160207E-3</v>
      </c>
      <c r="H123" s="36">
        <v>5.4475037979305179E-3</v>
      </c>
      <c r="I123" s="1">
        <f t="shared" si="7"/>
        <v>2.1534594028900234E-3</v>
      </c>
      <c r="J123" s="1">
        <v>4.5</v>
      </c>
      <c r="K123" s="1">
        <v>6.4800728937637402</v>
      </c>
      <c r="L123" s="1">
        <f t="shared" si="8"/>
        <v>-0.25770999590461696</v>
      </c>
      <c r="M123" s="1">
        <v>89983.873029476905</v>
      </c>
      <c r="N123" s="1">
        <v>232964.719172791</v>
      </c>
      <c r="O123" s="1">
        <f t="shared" si="9"/>
        <v>-0.60600644607222653</v>
      </c>
    </row>
    <row r="124" spans="1:15" x14ac:dyDescent="0.2">
      <c r="A124" s="6" t="s">
        <v>192</v>
      </c>
      <c r="B124" s="1">
        <v>4.0617384240454911E-5</v>
      </c>
      <c r="C124" s="1">
        <f t="shared" si="5"/>
        <v>-9.1389114541024826E-3</v>
      </c>
      <c r="D124" s="1">
        <v>1381</v>
      </c>
      <c r="E124" s="1">
        <v>-100450</v>
      </c>
      <c r="F124" s="34">
        <f t="shared" si="6"/>
        <v>-1.042092339055297</v>
      </c>
      <c r="G124" s="1">
        <v>1.0373000000001357E-2</v>
      </c>
      <c r="H124" s="36">
        <v>6.1896717755482661E-3</v>
      </c>
      <c r="I124" s="1">
        <f t="shared" si="7"/>
        <v>-2.320851208441943E-3</v>
      </c>
      <c r="J124" s="1">
        <v>4.5</v>
      </c>
      <c r="K124" s="1">
        <v>6.4999457548858599</v>
      </c>
      <c r="L124" s="1">
        <f t="shared" si="8"/>
        <v>-0.2647130478386861</v>
      </c>
      <c r="M124" s="1">
        <v>90199.716736208895</v>
      </c>
      <c r="N124" s="1">
        <v>232645.50193284001</v>
      </c>
      <c r="O124" s="1">
        <f t="shared" si="9"/>
        <v>-0.61374199882715363</v>
      </c>
    </row>
    <row r="125" spans="1:15" x14ac:dyDescent="0.2">
      <c r="A125" s="6" t="s">
        <v>193</v>
      </c>
      <c r="B125" s="1">
        <v>4.0338846308995566E-5</v>
      </c>
      <c r="C125" s="1">
        <f t="shared" si="5"/>
        <v>-6.8576038725290884E-3</v>
      </c>
      <c r="D125" s="1">
        <v>2778</v>
      </c>
      <c r="E125" s="1">
        <v>-82400</v>
      </c>
      <c r="F125" s="34">
        <f t="shared" si="6"/>
        <v>-1.0137582255672033</v>
      </c>
      <c r="G125" s="1">
        <v>-2.3260000000004419E-3</v>
      </c>
      <c r="H125" s="36">
        <v>6.4641699374209148E-3</v>
      </c>
      <c r="I125" s="1">
        <f t="shared" si="7"/>
        <v>4.1575940817113466E-3</v>
      </c>
      <c r="J125" s="1">
        <v>4.5</v>
      </c>
      <c r="K125" s="1">
        <v>6.5</v>
      </c>
      <c r="L125" s="1">
        <f t="shared" si="8"/>
        <v>-0.26666136266158857</v>
      </c>
      <c r="M125" s="1">
        <v>90955.564079368807</v>
      </c>
      <c r="N125" s="1">
        <v>232761.248705209</v>
      </c>
      <c r="O125" s="1">
        <f t="shared" si="9"/>
        <v>-0.61228423386203379</v>
      </c>
    </row>
    <row r="126" spans="1:15" x14ac:dyDescent="0.2">
      <c r="A126" s="6" t="s">
        <v>194</v>
      </c>
      <c r="B126" s="1">
        <v>3.9478878799842084E-5</v>
      </c>
      <c r="C126" s="1">
        <f t="shared" si="5"/>
        <v>-2.1318594551914805E-2</v>
      </c>
      <c r="D126" s="1">
        <v>1066</v>
      </c>
      <c r="E126" s="1">
        <v>-86970</v>
      </c>
      <c r="F126" s="34">
        <f t="shared" si="6"/>
        <v>-1.0337261374531244</v>
      </c>
      <c r="G126" s="1">
        <v>7.3099999999794987E-4</v>
      </c>
      <c r="H126" s="36">
        <v>3.8932930343393251E-3</v>
      </c>
      <c r="I126" s="1">
        <f t="shared" si="7"/>
        <v>-8.7337137277007093E-3</v>
      </c>
      <c r="J126" s="1">
        <v>4.5</v>
      </c>
      <c r="K126" s="1">
        <v>6.5148816815144803</v>
      </c>
      <c r="L126" s="1">
        <f t="shared" si="8"/>
        <v>-0.26666666666666672</v>
      </c>
      <c r="M126" s="1">
        <v>90095.553164506593</v>
      </c>
      <c r="N126" s="1">
        <v>230561.25035137599</v>
      </c>
      <c r="O126" s="1">
        <f t="shared" si="9"/>
        <v>-0.60922974156962906</v>
      </c>
    </row>
    <row r="127" spans="1:15" x14ac:dyDescent="0.2">
      <c r="A127" s="6" t="s">
        <v>195</v>
      </c>
      <c r="B127" s="1">
        <v>3.929273084479371E-5</v>
      </c>
      <c r="C127" s="1">
        <f t="shared" si="5"/>
        <v>-4.7151277013753202E-3</v>
      </c>
      <c r="D127" s="1">
        <v>-456</v>
      </c>
      <c r="E127" s="1">
        <v>-107207</v>
      </c>
      <c r="F127" s="34">
        <f t="shared" si="6"/>
        <v>-1.0122687394358909</v>
      </c>
      <c r="G127" s="1">
        <v>4.6900000000185048E-4</v>
      </c>
      <c r="H127" s="36">
        <v>1.6616275657909518E-3</v>
      </c>
      <c r="I127" s="1">
        <f t="shared" si="7"/>
        <v>-3.1500290481900617E-3</v>
      </c>
      <c r="J127" s="1">
        <v>4.5</v>
      </c>
      <c r="K127" s="1">
        <v>6.5179597631799497</v>
      </c>
      <c r="L127" s="1">
        <f t="shared" si="8"/>
        <v>-0.26811888289216812</v>
      </c>
      <c r="M127" s="1">
        <v>86001.848730064201</v>
      </c>
      <c r="N127" s="1">
        <v>232014.55290855499</v>
      </c>
      <c r="O127" s="1">
        <f t="shared" si="9"/>
        <v>-0.60923111642430716</v>
      </c>
    </row>
    <row r="128" spans="1:15" x14ac:dyDescent="0.2">
      <c r="A128" s="6" t="s">
        <v>196</v>
      </c>
      <c r="B128" s="1">
        <v>3.9285012767629152E-5</v>
      </c>
      <c r="C128" s="1">
        <f t="shared" si="5"/>
        <v>-1.9642506383801036E-4</v>
      </c>
      <c r="D128" s="1">
        <v>558</v>
      </c>
      <c r="E128" s="1">
        <v>-113905</v>
      </c>
      <c r="F128" s="34">
        <f t="shared" si="6"/>
        <v>-0.99575583456149841</v>
      </c>
      <c r="G128" s="1">
        <v>1.6529999999986133E-3</v>
      </c>
      <c r="H128" s="36">
        <v>3.3750545262873385E-4</v>
      </c>
      <c r="I128" s="1">
        <f t="shared" si="7"/>
        <v>-1.1906491503398398E-3</v>
      </c>
      <c r="J128" s="1">
        <v>4.5</v>
      </c>
      <c r="K128" s="1">
        <v>6.5258998956244696</v>
      </c>
      <c r="L128" s="1">
        <f t="shared" si="8"/>
        <v>-0.26841853730890308</v>
      </c>
      <c r="M128" s="1">
        <v>87056.82058</v>
      </c>
      <c r="N128" s="1">
        <v>231079.09843231901</v>
      </c>
      <c r="O128" s="1">
        <f t="shared" si="9"/>
        <v>-0.62932291541696439</v>
      </c>
    </row>
    <row r="129" spans="1:15" x14ac:dyDescent="0.2">
      <c r="A129" s="6" t="s">
        <v>197</v>
      </c>
      <c r="B129" s="1">
        <v>3.9564787339268051E-5</v>
      </c>
      <c r="C129" s="1">
        <f>(B129-B128)/B128</f>
        <v>7.1216617210681891E-3</v>
      </c>
      <c r="D129" s="1">
        <v>1522</v>
      </c>
      <c r="E129" s="1">
        <v>-111252</v>
      </c>
      <c r="F129" s="34">
        <f t="shared" si="6"/>
        <v>-1.0049076415226859</v>
      </c>
      <c r="G129" s="1">
        <v>4.7529999999996958E-3</v>
      </c>
      <c r="H129" s="36">
        <v>1.1617728972663115E-3</v>
      </c>
      <c r="I129" s="1">
        <f t="shared" si="7"/>
        <v>1.3150507105845755E-3</v>
      </c>
      <c r="J129" s="1">
        <v>4.5</v>
      </c>
      <c r="K129" s="1">
        <v>6.5258998956244696</v>
      </c>
      <c r="L129" s="1">
        <f t="shared" si="8"/>
        <v>-0.26919038569757225</v>
      </c>
      <c r="M129" s="1">
        <v>89035.538960000005</v>
      </c>
      <c r="N129" s="1">
        <v>232233.04165702101</v>
      </c>
      <c r="O129" s="1">
        <f t="shared" si="9"/>
        <v>-0.62325695215376431</v>
      </c>
    </row>
    <row r="130" spans="1:15" x14ac:dyDescent="0.2">
      <c r="B130" s="1"/>
      <c r="C130" s="1"/>
      <c r="D130" s="1"/>
      <c r="E130" s="1"/>
      <c r="F130" s="34">
        <f t="shared" ref="F130:F132" si="10">((1+D129)/(1+E129))-1</f>
        <v>-1.0136897645863858</v>
      </c>
      <c r="H130" s="36"/>
      <c r="I130" s="1">
        <f t="shared" ref="I130:I132" si="11">((1+G129)/(1+H129))-1</f>
        <v>3.5870597539304772E-3</v>
      </c>
      <c r="J130" s="1"/>
      <c r="K130" s="1"/>
      <c r="L130" s="1">
        <f t="shared" ref="L130:L132" si="12">((J129+1)/(K129+1))-1</f>
        <v>-0.26919038569757225</v>
      </c>
      <c r="M130" s="1"/>
      <c r="N130" s="1"/>
      <c r="O130" s="1">
        <f t="shared" ref="O130:O132" si="13">((M129+1)/(N129+1))-1</f>
        <v>-0.61660858018612452</v>
      </c>
    </row>
    <row r="131" spans="1:15" x14ac:dyDescent="0.2">
      <c r="B131" s="1"/>
      <c r="C131" s="1"/>
      <c r="D131" s="1"/>
      <c r="E131" s="1"/>
      <c r="F131" s="34">
        <f t="shared" si="10"/>
        <v>0</v>
      </c>
      <c r="H131" s="36"/>
      <c r="I131" s="1">
        <f t="shared" si="11"/>
        <v>0</v>
      </c>
      <c r="J131" s="1"/>
      <c r="K131" s="1"/>
      <c r="L131" s="1">
        <f t="shared" si="12"/>
        <v>0</v>
      </c>
      <c r="M131" s="1"/>
      <c r="N131" s="1"/>
      <c r="O131" s="1">
        <f t="shared" si="13"/>
        <v>0</v>
      </c>
    </row>
    <row r="132" spans="1:15" x14ac:dyDescent="0.2">
      <c r="B132" s="1"/>
      <c r="C132" s="1"/>
      <c r="D132" s="1"/>
      <c r="E132" s="1"/>
      <c r="F132" s="34">
        <f t="shared" si="10"/>
        <v>0</v>
      </c>
      <c r="H132" s="36"/>
      <c r="I132" s="1">
        <f t="shared" si="11"/>
        <v>0</v>
      </c>
      <c r="J132" s="1"/>
      <c r="K132" s="1"/>
      <c r="L132" s="1">
        <f t="shared" si="12"/>
        <v>0</v>
      </c>
      <c r="M132" s="1"/>
      <c r="N132" s="1"/>
      <c r="O132" s="1">
        <f t="shared" si="13"/>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1C615-89DF-9F4E-9E3B-6F6E29BCF8B4}">
  <dimension ref="A1:O320"/>
  <sheetViews>
    <sheetView topLeftCell="I1" zoomScale="116" workbookViewId="0">
      <selection activeCell="N1" sqref="N1:O3"/>
    </sheetView>
  </sheetViews>
  <sheetFormatPr baseColWidth="10" defaultRowHeight="16" x14ac:dyDescent="0.2"/>
  <cols>
    <col min="2" max="2" width="23" customWidth="1"/>
    <col min="3" max="3" width="19" customWidth="1"/>
    <col min="4" max="4" width="27.33203125" customWidth="1"/>
    <col min="5" max="5" width="24.5" customWidth="1"/>
    <col min="6" max="6" width="24.1640625" customWidth="1"/>
    <col min="7" max="7" width="29.6640625" customWidth="1"/>
    <col min="8" max="8" width="36.5" customWidth="1"/>
    <col min="9" max="10" width="19.83203125" customWidth="1"/>
    <col min="11" max="11" width="21.6640625" customWidth="1"/>
    <col min="12" max="12" width="23.1640625" customWidth="1"/>
    <col min="14" max="14" width="18.6640625" customWidth="1"/>
    <col min="15" max="15" width="21.33203125" customWidth="1"/>
  </cols>
  <sheetData>
    <row r="1" spans="1:15" x14ac:dyDescent="0.2">
      <c r="A1" s="1" t="s">
        <v>220</v>
      </c>
      <c r="B1" s="1" t="s">
        <v>63</v>
      </c>
      <c r="C1" s="1" t="s">
        <v>218</v>
      </c>
      <c r="D1" s="1" t="s">
        <v>61</v>
      </c>
      <c r="E1" s="1" t="s">
        <v>217</v>
      </c>
      <c r="F1" s="1" t="s">
        <v>216</v>
      </c>
      <c r="G1" s="1" t="s">
        <v>62</v>
      </c>
      <c r="H1" s="1" t="s">
        <v>249</v>
      </c>
      <c r="I1" s="27" t="s">
        <v>265</v>
      </c>
      <c r="J1" s="1" t="s">
        <v>262</v>
      </c>
      <c r="K1" s="1" t="s">
        <v>263</v>
      </c>
      <c r="L1" s="1" t="s">
        <v>264</v>
      </c>
      <c r="N1" s="153" t="s">
        <v>342</v>
      </c>
      <c r="O1" s="154"/>
    </row>
    <row r="2" spans="1:15" x14ac:dyDescent="0.2">
      <c r="A2" s="53">
        <v>41609</v>
      </c>
      <c r="B2" s="44">
        <v>4.7551117451260102E-5</v>
      </c>
      <c r="C2" s="42">
        <v>-5.1183399999999997E-4</v>
      </c>
      <c r="D2" s="1"/>
      <c r="E2" s="1"/>
      <c r="F2" s="1"/>
      <c r="G2" s="1"/>
      <c r="H2" s="1">
        <v>0.19933967215381995</v>
      </c>
      <c r="I2" s="1"/>
      <c r="J2" s="1"/>
      <c r="K2" s="1"/>
      <c r="L2" s="1"/>
      <c r="N2" s="127" t="s">
        <v>343</v>
      </c>
      <c r="O2" s="126" t="s">
        <v>344</v>
      </c>
    </row>
    <row r="3" spans="1:15" x14ac:dyDescent="0.2">
      <c r="A3" s="53">
        <v>41640</v>
      </c>
      <c r="B3" s="44">
        <v>4.752625825768737E-5</v>
      </c>
      <c r="C3" s="42">
        <f>(B3-B2)/B2</f>
        <v>-5.227888408345624E-4</v>
      </c>
      <c r="D3" s="1">
        <v>-1.0272775463839454</v>
      </c>
      <c r="E3" s="1">
        <v>7.1556350626118537E-3</v>
      </c>
      <c r="F3" s="1">
        <v>6.4766355140186915</v>
      </c>
      <c r="G3" s="1">
        <v>-0.78956849381900607</v>
      </c>
      <c r="H3" s="1">
        <v>2.5670737139898314E-2</v>
      </c>
      <c r="I3" s="33">
        <f>(1+H3)*B2</f>
        <v>4.8771789688059835E-5</v>
      </c>
      <c r="J3" s="33">
        <f>I3-B3</f>
        <v>1.245531430372465E-6</v>
      </c>
      <c r="K3" s="1">
        <f>J3/B3</f>
        <v>2.6207226826467037E-2</v>
      </c>
      <c r="L3" s="1">
        <f>K3^2</f>
        <v>6.8681873793389353E-4</v>
      </c>
      <c r="N3" s="128">
        <f>AVERAGE(K3:K130)</f>
        <v>5.2880985651425827E-3</v>
      </c>
      <c r="O3" s="129">
        <f>AVERAGE(L3:L130)</f>
        <v>6.4616308657566039E-3</v>
      </c>
    </row>
    <row r="4" spans="1:15" x14ac:dyDescent="0.2">
      <c r="A4" s="53">
        <v>41671</v>
      </c>
      <c r="B4" s="44">
        <v>4.7505938242280282E-5</v>
      </c>
      <c r="C4" s="42">
        <f t="shared" ref="C4:C67" si="0">(B4-B3)/B3</f>
        <v>-4.2755344418052456E-4</v>
      </c>
      <c r="D4" s="1">
        <v>-1.0289362626450691</v>
      </c>
      <c r="E4" s="1">
        <v>1.3739493116319279E-2</v>
      </c>
      <c r="F4" s="1">
        <v>6.4766355140186915</v>
      </c>
      <c r="G4" s="1">
        <v>-0.78185047411987263</v>
      </c>
      <c r="H4" s="1">
        <v>3.2459453393819837E-2</v>
      </c>
      <c r="I4" s="33">
        <f t="shared" ref="I4:I67" si="1">(1+H4)*B3</f>
        <v>4.9068934622585418E-5</v>
      </c>
      <c r="J4" s="33">
        <f t="shared" ref="J4:J67" si="2">I4-B4</f>
        <v>1.5629963803051361E-6</v>
      </c>
      <c r="K4" s="1">
        <f t="shared" ref="K4:K67" si="3">J4/B4</f>
        <v>3.290107380542312E-2</v>
      </c>
      <c r="L4" s="1">
        <f t="shared" ref="L4:L67" si="4">K4^2</f>
        <v>1.0824806575498993E-3</v>
      </c>
    </row>
    <row r="5" spans="1:15" x14ac:dyDescent="0.2">
      <c r="A5" s="53">
        <v>41699</v>
      </c>
      <c r="B5" s="44">
        <v>4.7510452299505891E-5</v>
      </c>
      <c r="C5" s="42">
        <f t="shared" si="0"/>
        <v>9.5020904599053929E-5</v>
      </c>
      <c r="D5" s="1">
        <v>-0.99007439348911286</v>
      </c>
      <c r="E5" s="1">
        <v>1.795451931800196E-3</v>
      </c>
      <c r="F5" s="1">
        <v>6.4766355140186915</v>
      </c>
      <c r="G5" s="1">
        <v>-0.7763657331477074</v>
      </c>
      <c r="H5" s="1">
        <v>9.2439905338779216E-3</v>
      </c>
      <c r="I5" s="33">
        <f t="shared" si="1"/>
        <v>4.7945082685694909E-5</v>
      </c>
      <c r="J5" s="33">
        <f t="shared" si="2"/>
        <v>4.3463038618901873E-7</v>
      </c>
      <c r="K5" s="1">
        <f t="shared" si="3"/>
        <v>9.1481003685064659E-3</v>
      </c>
      <c r="L5" s="1">
        <f t="shared" si="4"/>
        <v>8.3687740352268139E-5</v>
      </c>
    </row>
    <row r="6" spans="1:15" x14ac:dyDescent="0.2">
      <c r="A6" s="53">
        <v>41730</v>
      </c>
      <c r="B6" s="44">
        <v>3.1152647975077901E-5</v>
      </c>
      <c r="C6" s="42">
        <f t="shared" si="0"/>
        <v>-0.34429906542056032</v>
      </c>
      <c r="D6" s="1">
        <v>-0.99603742624725067</v>
      </c>
      <c r="E6" s="1">
        <v>-1.0770680468732641E-2</v>
      </c>
      <c r="F6" s="1">
        <v>5.9444444444444438</v>
      </c>
      <c r="G6" s="1">
        <v>-0.74666792475021859</v>
      </c>
      <c r="H6" s="1">
        <v>-2.6775139692733528E-3</v>
      </c>
      <c r="I6" s="33">
        <f t="shared" si="1"/>
        <v>4.7383242399787468E-5</v>
      </c>
      <c r="J6" s="33">
        <f t="shared" si="2"/>
        <v>1.6230594424709567E-5</v>
      </c>
      <c r="K6" s="1">
        <f t="shared" si="3"/>
        <v>0.5210020810331768</v>
      </c>
      <c r="L6" s="1">
        <f t="shared" si="4"/>
        <v>0.27144316844090094</v>
      </c>
    </row>
    <row r="7" spans="1:15" x14ac:dyDescent="0.2">
      <c r="A7" s="53">
        <v>41760</v>
      </c>
      <c r="B7" s="44">
        <v>4.7415836889521102E-5</v>
      </c>
      <c r="C7" s="42">
        <f t="shared" si="0"/>
        <v>0.52204836415362643</v>
      </c>
      <c r="D7" s="1">
        <v>-1.0138018956820576</v>
      </c>
      <c r="E7" s="1">
        <v>-2.4885503138332155E-3</v>
      </c>
      <c r="F7" s="1">
        <v>5.8807339449541276</v>
      </c>
      <c r="G7" s="1">
        <v>-0.73057274841198705</v>
      </c>
      <c r="H7" s="1">
        <v>1.03782101280817E-2</v>
      </c>
      <c r="I7" s="33">
        <f t="shared" si="1"/>
        <v>3.1475956701809414E-5</v>
      </c>
      <c r="J7" s="33">
        <f t="shared" si="2"/>
        <v>-1.5939880187711688E-5</v>
      </c>
      <c r="K7" s="1">
        <f t="shared" si="3"/>
        <v>-0.33617207315883951</v>
      </c>
      <c r="L7" s="1">
        <f t="shared" si="4"/>
        <v>0.11301166277191214</v>
      </c>
    </row>
    <row r="8" spans="1:15" x14ac:dyDescent="0.2">
      <c r="A8" s="53">
        <v>41791</v>
      </c>
      <c r="B8" s="44">
        <v>4.7167586434602143E-5</v>
      </c>
      <c r="C8" s="42">
        <f t="shared" si="0"/>
        <v>-5.2356020942408371E-3</v>
      </c>
      <c r="D8" s="1">
        <v>-0.99466595546072811</v>
      </c>
      <c r="E8" s="1">
        <v>-1.4874148802025422E-3</v>
      </c>
      <c r="F8" s="1">
        <v>5.8807339449541276</v>
      </c>
      <c r="G8" s="1">
        <v>-0.73278942021446036</v>
      </c>
      <c r="H8" s="1">
        <v>5.5814821706783035E-3</v>
      </c>
      <c r="I8" s="33">
        <f t="shared" si="1"/>
        <v>4.7680487537727757E-5</v>
      </c>
      <c r="J8" s="33">
        <f t="shared" si="2"/>
        <v>5.1290110312561337E-7</v>
      </c>
      <c r="K8" s="1">
        <f t="shared" si="3"/>
        <v>1.0874016287366129E-2</v>
      </c>
      <c r="L8" s="1">
        <f t="shared" si="4"/>
        <v>1.1824423021790386E-4</v>
      </c>
    </row>
    <row r="9" spans="1:15" x14ac:dyDescent="0.2">
      <c r="A9" s="53">
        <v>41821</v>
      </c>
      <c r="B9" s="44">
        <v>3.1142946122703201E-5</v>
      </c>
      <c r="C9" s="42">
        <f t="shared" si="0"/>
        <v>-0.33973839925256949</v>
      </c>
      <c r="D9" s="1">
        <v>-1.0024737550054887</v>
      </c>
      <c r="E9" s="1">
        <v>1.1357581300901476E-3</v>
      </c>
      <c r="F9" s="1">
        <v>5.8181818181818175</v>
      </c>
      <c r="G9" s="1">
        <v>-0.73310483237071433</v>
      </c>
      <c r="H9" s="1">
        <v>1.0279467832706859E-2</v>
      </c>
      <c r="I9" s="33">
        <f t="shared" si="1"/>
        <v>4.7652444122103057E-5</v>
      </c>
      <c r="J9" s="33">
        <f t="shared" si="2"/>
        <v>1.6509497999399856E-5</v>
      </c>
      <c r="K9" s="1">
        <f t="shared" si="3"/>
        <v>0.53011998076072953</v>
      </c>
      <c r="L9" s="1">
        <f t="shared" si="4"/>
        <v>0.28102719400175624</v>
      </c>
    </row>
    <row r="10" spans="1:15" x14ac:dyDescent="0.2">
      <c r="A10" s="53">
        <v>41852</v>
      </c>
      <c r="B10" s="44">
        <v>4.7666714333381001E-5</v>
      </c>
      <c r="C10" s="42">
        <f t="shared" si="0"/>
        <v>0.53057819724486432</v>
      </c>
      <c r="D10" s="1">
        <v>-1.0026206680747869</v>
      </c>
      <c r="E10" s="1">
        <v>2.691244071357124E-3</v>
      </c>
      <c r="F10" s="1">
        <v>5.8807339449541276</v>
      </c>
      <c r="G10" s="1">
        <v>-0.72641197918471834</v>
      </c>
      <c r="H10" s="1">
        <v>1.1963945148925757E-2</v>
      </c>
      <c r="I10" s="33">
        <f t="shared" si="1"/>
        <v>3.1515538621891174E-5</v>
      </c>
      <c r="J10" s="33">
        <f t="shared" si="2"/>
        <v>-1.6151175711489827E-5</v>
      </c>
      <c r="K10" s="1">
        <f t="shared" si="3"/>
        <v>-0.33883551525134509</v>
      </c>
      <c r="L10" s="1">
        <f t="shared" si="4"/>
        <v>0.11480950639564451</v>
      </c>
    </row>
    <row r="11" spans="1:15" x14ac:dyDescent="0.2">
      <c r="A11" s="53">
        <v>41883</v>
      </c>
      <c r="B11" s="44">
        <v>4.7961630695443642E-5</v>
      </c>
      <c r="C11" s="42">
        <f t="shared" si="0"/>
        <v>6.1870503597121415E-3</v>
      </c>
      <c r="D11" s="1">
        <v>-1.01450958530769</v>
      </c>
      <c r="E11" s="1">
        <v>3.8769907337314891E-3</v>
      </c>
      <c r="F11" s="1">
        <v>5.8807339449541276</v>
      </c>
      <c r="G11" s="1">
        <v>-0.71618851869025035</v>
      </c>
      <c r="H11" s="1">
        <v>1.663924698631512E-2</v>
      </c>
      <c r="I11" s="33">
        <f t="shared" si="1"/>
        <v>4.8459852566200253E-5</v>
      </c>
      <c r="J11" s="33">
        <f t="shared" si="2"/>
        <v>4.9822187075661099E-7</v>
      </c>
      <c r="K11" s="1">
        <f t="shared" si="3"/>
        <v>1.038792600527534E-2</v>
      </c>
      <c r="L11" s="1">
        <f t="shared" si="4"/>
        <v>1.0790900669107567E-4</v>
      </c>
    </row>
    <row r="12" spans="1:15" x14ac:dyDescent="0.2">
      <c r="A12" s="53">
        <v>41913</v>
      </c>
      <c r="B12" s="44">
        <v>4.7487890587900086E-5</v>
      </c>
      <c r="C12" s="42">
        <f t="shared" si="0"/>
        <v>-9.8774812422831523E-3</v>
      </c>
      <c r="D12" s="1">
        <v>-0.9943481738203146</v>
      </c>
      <c r="E12" s="1">
        <v>3.2449890980581486E-3</v>
      </c>
      <c r="F12" s="1">
        <v>5.8807339449541276</v>
      </c>
      <c r="G12" s="1">
        <v>-0.70778706024751281</v>
      </c>
      <c r="H12" s="1">
        <v>9.9147126537887428E-3</v>
      </c>
      <c r="I12" s="33">
        <f t="shared" si="1"/>
        <v>4.8437156482196108E-5</v>
      </c>
      <c r="J12" s="33">
        <f t="shared" si="2"/>
        <v>9.4926589429602246E-7</v>
      </c>
      <c r="K12" s="1">
        <f t="shared" si="3"/>
        <v>1.9989641202085642E-2</v>
      </c>
      <c r="L12" s="1">
        <f t="shared" si="4"/>
        <v>3.9958575538811994E-4</v>
      </c>
    </row>
    <row r="13" spans="1:15" x14ac:dyDescent="0.2">
      <c r="A13" s="53">
        <v>41944</v>
      </c>
      <c r="B13" s="44">
        <v>4.7460844803037492E-5</v>
      </c>
      <c r="C13" s="42">
        <f t="shared" si="0"/>
        <v>-5.6953013763649948E-4</v>
      </c>
      <c r="D13" s="1">
        <v>-1.0012253003394223</v>
      </c>
      <c r="E13" s="1">
        <v>3.6213757144099024E-3</v>
      </c>
      <c r="F13" s="1">
        <v>5.8807339449541276</v>
      </c>
      <c r="G13" s="1">
        <v>-0.7067338119185087</v>
      </c>
      <c r="H13" s="1">
        <v>1.2344586665170654E-2</v>
      </c>
      <c r="I13" s="33">
        <f t="shared" si="1"/>
        <v>4.807410896880856E-5</v>
      </c>
      <c r="J13" s="33">
        <f t="shared" si="2"/>
        <v>6.1326416577106769E-7</v>
      </c>
      <c r="K13" s="1">
        <f t="shared" si="3"/>
        <v>1.2921475972796397E-2</v>
      </c>
      <c r="L13" s="1">
        <f t="shared" si="4"/>
        <v>1.6696454131555461E-4</v>
      </c>
    </row>
    <row r="14" spans="1:15" x14ac:dyDescent="0.2">
      <c r="A14" s="53">
        <v>41974</v>
      </c>
      <c r="B14" s="44">
        <v>4.7478871902003608E-5</v>
      </c>
      <c r="C14" s="42">
        <f t="shared" si="0"/>
        <v>3.7983097521606312E-4</v>
      </c>
      <c r="D14" s="1">
        <v>-1.0096595907121872</v>
      </c>
      <c r="E14" s="1">
        <v>2.7140723520213683E-3</v>
      </c>
      <c r="F14" s="1">
        <v>5.8807339449541276</v>
      </c>
      <c r="G14" s="1">
        <v>-0.70274049570058139</v>
      </c>
      <c r="H14" s="1">
        <v>1.3996925309670054E-2</v>
      </c>
      <c r="I14" s="33">
        <f t="shared" si="1"/>
        <v>4.8125150702879454E-5</v>
      </c>
      <c r="J14" s="33">
        <f t="shared" si="2"/>
        <v>6.4627880087584586E-7</v>
      </c>
      <c r="K14" s="1">
        <f t="shared" si="3"/>
        <v>1.3611924104047065E-2</v>
      </c>
      <c r="L14" s="1">
        <f t="shared" si="4"/>
        <v>1.8528447781433749E-4</v>
      </c>
    </row>
    <row r="15" spans="1:15" x14ac:dyDescent="0.2">
      <c r="A15" s="53">
        <v>42005</v>
      </c>
      <c r="B15" s="44">
        <v>4.7451836386068141E-5</v>
      </c>
      <c r="C15" s="42">
        <f t="shared" si="0"/>
        <v>-5.694220366327991E-4</v>
      </c>
      <c r="D15" s="1">
        <v>-0.98615782471560753</v>
      </c>
      <c r="E15" s="1">
        <v>3.288748445563705E-3</v>
      </c>
      <c r="F15" s="1">
        <v>5.6964285714285712</v>
      </c>
      <c r="G15" s="1">
        <v>-0.7128054001847024</v>
      </c>
      <c r="H15" s="1">
        <v>6.9888402639363299E-3</v>
      </c>
      <c r="I15" s="33">
        <f t="shared" si="1"/>
        <v>4.7810694153638613E-5</v>
      </c>
      <c r="J15" s="33">
        <f t="shared" si="2"/>
        <v>3.5885776757047232E-7</v>
      </c>
      <c r="K15" s="1">
        <f t="shared" si="3"/>
        <v>7.562568593780134E-3</v>
      </c>
      <c r="L15" s="1">
        <f t="shared" si="4"/>
        <v>5.7192443735629632E-5</v>
      </c>
    </row>
    <row r="16" spans="1:15" x14ac:dyDescent="0.2">
      <c r="A16" s="53">
        <v>42036</v>
      </c>
      <c r="B16" s="44">
        <v>4.7655356462066336E-5</v>
      </c>
      <c r="C16" s="42">
        <f t="shared" si="0"/>
        <v>4.2889820815859656E-3</v>
      </c>
      <c r="D16" s="1">
        <v>-0.99068884332042229</v>
      </c>
      <c r="E16" s="1">
        <v>2.7186862182104754E-3</v>
      </c>
      <c r="F16" s="1">
        <v>5.7567567567567561</v>
      </c>
      <c r="G16" s="1">
        <v>-0.69975316139115895</v>
      </c>
      <c r="H16" s="1">
        <v>7.9169447758127703E-3</v>
      </c>
      <c r="I16" s="33">
        <f t="shared" si="1"/>
        <v>4.7827509954247546E-5</v>
      </c>
      <c r="J16" s="33">
        <f t="shared" si="2"/>
        <v>1.7215349218120923E-7</v>
      </c>
      <c r="K16" s="1">
        <f t="shared" si="3"/>
        <v>3.6124688799304945E-3</v>
      </c>
      <c r="L16" s="1">
        <f t="shared" si="4"/>
        <v>1.3049931408466282E-5</v>
      </c>
    </row>
    <row r="17" spans="1:12" x14ac:dyDescent="0.2">
      <c r="A17" s="53">
        <v>42064</v>
      </c>
      <c r="B17" s="44">
        <v>4.7200981780421035E-5</v>
      </c>
      <c r="C17" s="42">
        <f t="shared" si="0"/>
        <v>-9.5345983196450015E-3</v>
      </c>
      <c r="D17" s="1">
        <v>-0.98429466580976865</v>
      </c>
      <c r="E17" s="1">
        <v>-4.8221023167910326E-3</v>
      </c>
      <c r="F17" s="1">
        <v>5.7567567567567561</v>
      </c>
      <c r="G17" s="1">
        <v>-0.67181235885708879</v>
      </c>
      <c r="H17" s="1">
        <v>-1.3857920960262068E-3</v>
      </c>
      <c r="I17" s="33">
        <f t="shared" si="1"/>
        <v>4.7589316045747896E-5</v>
      </c>
      <c r="J17" s="33">
        <f t="shared" si="2"/>
        <v>3.8833426532686096E-7</v>
      </c>
      <c r="K17" s="1">
        <f t="shared" si="3"/>
        <v>8.2272497452148766E-3</v>
      </c>
      <c r="L17" s="1">
        <f t="shared" si="4"/>
        <v>6.7687638370138249E-5</v>
      </c>
    </row>
    <row r="18" spans="1:12" x14ac:dyDescent="0.2">
      <c r="A18" s="53">
        <v>42095</v>
      </c>
      <c r="B18" s="44">
        <v>4.6349942062572421E-5</v>
      </c>
      <c r="C18" s="42">
        <f t="shared" si="0"/>
        <v>-1.8030127462340742E-2</v>
      </c>
      <c r="D18" s="1">
        <v>-0.98291274201064771</v>
      </c>
      <c r="E18" s="1">
        <v>-4.4253829636712316E-3</v>
      </c>
      <c r="F18" s="1">
        <v>5.7567567567567561</v>
      </c>
      <c r="G18" s="1">
        <v>-0.6589512168326026</v>
      </c>
      <c r="H18" s="1">
        <v>-1.4815709094641266E-3</v>
      </c>
      <c r="I18" s="33">
        <f t="shared" si="1"/>
        <v>4.7131050178917018E-5</v>
      </c>
      <c r="J18" s="33">
        <f t="shared" si="2"/>
        <v>7.8110811634459696E-7</v>
      </c>
      <c r="K18" s="1">
        <f t="shared" si="3"/>
        <v>1.6852407610134679E-2</v>
      </c>
      <c r="L18" s="1">
        <f t="shared" si="4"/>
        <v>2.8400364225812522E-4</v>
      </c>
    </row>
    <row r="19" spans="1:12" x14ac:dyDescent="0.2">
      <c r="A19" s="53">
        <v>42125</v>
      </c>
      <c r="B19" s="44">
        <v>4.5903144365389032E-5</v>
      </c>
      <c r="C19" s="42">
        <f t="shared" si="0"/>
        <v>-9.639660316731611E-3</v>
      </c>
      <c r="D19" s="1">
        <v>-1.0064647485435738</v>
      </c>
      <c r="E19" s="1">
        <v>-6.3158931355677961E-4</v>
      </c>
      <c r="F19" s="1">
        <v>5.6964285714285712</v>
      </c>
      <c r="G19" s="1">
        <v>-0.66925294992235473</v>
      </c>
      <c r="H19" s="1">
        <v>9.1404652062903533E-3</v>
      </c>
      <c r="I19" s="33">
        <f t="shared" si="1"/>
        <v>4.6773602095308934E-5</v>
      </c>
      <c r="J19" s="33">
        <f t="shared" si="2"/>
        <v>8.7045772991990218E-7</v>
      </c>
      <c r="K19" s="1">
        <f t="shared" si="3"/>
        <v>1.8962921646305069E-2</v>
      </c>
      <c r="L19" s="1">
        <f t="shared" si="4"/>
        <v>3.5959239736390534E-4</v>
      </c>
    </row>
    <row r="20" spans="1:12" x14ac:dyDescent="0.2">
      <c r="A20" s="53">
        <v>42156</v>
      </c>
      <c r="B20" s="44">
        <v>4.5903144365389032E-5</v>
      </c>
      <c r="C20" s="42">
        <f t="shared" si="0"/>
        <v>0</v>
      </c>
      <c r="D20" s="1">
        <v>-0.98089957832266128</v>
      </c>
      <c r="E20" s="1">
        <v>-3.4794962259029338E-3</v>
      </c>
      <c r="F20" s="1">
        <v>5.6964285714285712</v>
      </c>
      <c r="G20" s="1">
        <v>-0.65691168887970031</v>
      </c>
      <c r="H20" s="1">
        <v>-1.3603254844684028E-3</v>
      </c>
      <c r="I20" s="33">
        <f t="shared" si="1"/>
        <v>4.5840701148291562E-5</v>
      </c>
      <c r="J20" s="33">
        <f t="shared" si="2"/>
        <v>-6.2443217097470614E-8</v>
      </c>
      <c r="K20" s="1">
        <f t="shared" si="3"/>
        <v>-1.3603254844683972E-3</v>
      </c>
      <c r="L20" s="1">
        <f t="shared" si="4"/>
        <v>1.8504854236941794E-6</v>
      </c>
    </row>
    <row r="21" spans="1:12" x14ac:dyDescent="0.2">
      <c r="A21" s="53">
        <v>42186</v>
      </c>
      <c r="B21" s="44">
        <v>4.658746797111577E-5</v>
      </c>
      <c r="C21" s="42">
        <f t="shared" si="0"/>
        <v>1.4907989750756979E-2</v>
      </c>
      <c r="D21" s="1">
        <v>-0.99963919957814107</v>
      </c>
      <c r="E21" s="1">
        <v>-2.8599803928441858E-6</v>
      </c>
      <c r="F21" s="1">
        <v>5.6371681415929213</v>
      </c>
      <c r="G21" s="1">
        <v>-0.65839800779449853</v>
      </c>
      <c r="H21" s="1">
        <v>7.4679559868631113E-3</v>
      </c>
      <c r="I21" s="33">
        <f t="shared" si="1"/>
        <v>4.6245947027168384E-5</v>
      </c>
      <c r="J21" s="33">
        <f t="shared" si="2"/>
        <v>-3.4152094394738548E-7</v>
      </c>
      <c r="K21" s="1">
        <f t="shared" si="3"/>
        <v>-7.3307470618306295E-3</v>
      </c>
      <c r="L21" s="1">
        <f t="shared" si="4"/>
        <v>5.3739852484538407E-5</v>
      </c>
    </row>
    <row r="22" spans="1:12" x14ac:dyDescent="0.2">
      <c r="A22" s="53">
        <v>42217</v>
      </c>
      <c r="B22" s="44">
        <v>4.5189570247186951E-5</v>
      </c>
      <c r="C22" s="42">
        <f t="shared" si="0"/>
        <v>-3.0005874644132086E-2</v>
      </c>
      <c r="D22" s="1">
        <v>-0.99350977523606865</v>
      </c>
      <c r="E22" s="1">
        <v>1.2328701802677422E-3</v>
      </c>
      <c r="F22" s="1">
        <v>5.6371681415929213</v>
      </c>
      <c r="G22" s="1">
        <v>-0.65911804128082996</v>
      </c>
      <c r="H22" s="1">
        <v>6.8106230927973792E-3</v>
      </c>
      <c r="I22" s="33">
        <f t="shared" si="1"/>
        <v>4.6904757656314807E-5</v>
      </c>
      <c r="J22" s="33">
        <f t="shared" si="2"/>
        <v>1.715187409127855E-6</v>
      </c>
      <c r="K22" s="1">
        <f t="shared" si="3"/>
        <v>3.7955382176590301E-2</v>
      </c>
      <c r="L22" s="1">
        <f t="shared" si="4"/>
        <v>1.4406110361710287E-3</v>
      </c>
    </row>
    <row r="23" spans="1:12" x14ac:dyDescent="0.2">
      <c r="A23" s="53">
        <v>42248</v>
      </c>
      <c r="B23" s="44">
        <v>4.5238633793259441E-5</v>
      </c>
      <c r="C23" s="42">
        <f t="shared" si="0"/>
        <v>1.0857272110381246E-3</v>
      </c>
      <c r="D23" s="1">
        <v>-1.0036896826049981</v>
      </c>
      <c r="E23" s="1">
        <v>7.1729216669980111E-4</v>
      </c>
      <c r="F23" s="1">
        <v>5.5789473684210522</v>
      </c>
      <c r="G23" s="1">
        <v>-0.700386194311583</v>
      </c>
      <c r="H23" s="1">
        <v>9.4126896193654011E-3</v>
      </c>
      <c r="I23" s="33">
        <f t="shared" si="1"/>
        <v>4.5614925645956227E-5</v>
      </c>
      <c r="J23" s="33">
        <f t="shared" si="2"/>
        <v>3.7629185269678602E-7</v>
      </c>
      <c r="K23" s="1">
        <f t="shared" si="3"/>
        <v>8.3179314038624545E-3</v>
      </c>
      <c r="L23" s="1">
        <f t="shared" si="4"/>
        <v>6.918798283936122E-5</v>
      </c>
    </row>
    <row r="24" spans="1:12" x14ac:dyDescent="0.2">
      <c r="A24" s="53">
        <v>42278</v>
      </c>
      <c r="B24" s="44">
        <v>4.4000528006336101E-5</v>
      </c>
      <c r="C24" s="42">
        <f t="shared" si="0"/>
        <v>-2.7368328419940434E-2</v>
      </c>
      <c r="D24" s="1">
        <v>-1.0002624889478338</v>
      </c>
      <c r="E24" s="1">
        <v>-5.4409044107395221E-4</v>
      </c>
      <c r="F24" s="1">
        <v>5.666666666666667</v>
      </c>
      <c r="G24" s="1">
        <v>-0.71924142752023434</v>
      </c>
      <c r="H24" s="1">
        <v>7.5047144812592972E-3</v>
      </c>
      <c r="I24" s="33">
        <f t="shared" si="1"/>
        <v>4.55781368234001E-5</v>
      </c>
      <c r="J24" s="33">
        <f t="shared" si="2"/>
        <v>1.5776088170639985E-6</v>
      </c>
      <c r="K24" s="1">
        <f t="shared" si="3"/>
        <v>3.5854315585413472E-2</v>
      </c>
      <c r="L24" s="1">
        <f t="shared" si="4"/>
        <v>1.2855319460984235E-3</v>
      </c>
    </row>
    <row r="25" spans="1:12" x14ac:dyDescent="0.2">
      <c r="A25" s="53">
        <v>42309</v>
      </c>
      <c r="B25" s="44">
        <v>4.5205912933411693E-5</v>
      </c>
      <c r="C25" s="42">
        <f t="shared" si="0"/>
        <v>2.7394783237646967E-2</v>
      </c>
      <c r="D25" s="1">
        <v>-1.006551459511696</v>
      </c>
      <c r="E25" s="1">
        <v>1.55038093156179E-3</v>
      </c>
      <c r="F25" s="1">
        <v>5.666666666666667</v>
      </c>
      <c r="G25" s="1">
        <v>-0.71353948560355451</v>
      </c>
      <c r="H25" s="1">
        <v>1.1385982173084491E-2</v>
      </c>
      <c r="I25" s="33">
        <f t="shared" si="1"/>
        <v>4.4501517233822544E-5</v>
      </c>
      <c r="J25" s="33">
        <f t="shared" si="2"/>
        <v>-7.0439569958914884E-7</v>
      </c>
      <c r="K25" s="1">
        <f t="shared" si="3"/>
        <v>-1.558193727061156E-2</v>
      </c>
      <c r="L25" s="1">
        <f t="shared" si="4"/>
        <v>2.4279676910527362E-4</v>
      </c>
    </row>
    <row r="26" spans="1:12" x14ac:dyDescent="0.2">
      <c r="A26" s="53">
        <v>42339</v>
      </c>
      <c r="B26" s="44">
        <v>4.5075501464953795E-5</v>
      </c>
      <c r="C26" s="42">
        <f t="shared" si="0"/>
        <v>-2.8848320937571734E-3</v>
      </c>
      <c r="D26" s="1">
        <v>-1.0027784831871891</v>
      </c>
      <c r="E26" s="1">
        <v>2.8186296052872262E-3</v>
      </c>
      <c r="F26" s="1">
        <v>5.6964285714285712</v>
      </c>
      <c r="G26" s="1">
        <v>-0.71315835974778286</v>
      </c>
      <c r="H26" s="1">
        <v>1.1549462892134103E-2</v>
      </c>
      <c r="I26" s="33">
        <f t="shared" si="1"/>
        <v>4.5728016947341181E-5</v>
      </c>
      <c r="J26" s="33">
        <f t="shared" si="2"/>
        <v>6.5251548238738643E-7</v>
      </c>
      <c r="K26" s="1">
        <f t="shared" si="3"/>
        <v>1.4476055976764169E-2</v>
      </c>
      <c r="L26" s="1">
        <f t="shared" si="4"/>
        <v>2.0955619664240964E-4</v>
      </c>
    </row>
    <row r="27" spans="1:12" x14ac:dyDescent="0.2">
      <c r="A27" s="53">
        <v>42370</v>
      </c>
      <c r="B27" s="44">
        <v>4.3900083410158503E-5</v>
      </c>
      <c r="C27" s="42">
        <f t="shared" si="0"/>
        <v>-2.6076649545633542E-2</v>
      </c>
      <c r="D27" s="1">
        <v>-0.99144511511465394</v>
      </c>
      <c r="E27" s="1">
        <v>3.5963856336485023E-3</v>
      </c>
      <c r="F27" s="1">
        <v>5.0483870967741939</v>
      </c>
      <c r="G27" s="1">
        <v>-0.73483117725951819</v>
      </c>
      <c r="H27" s="1">
        <v>7.1450663285166048E-3</v>
      </c>
      <c r="I27" s="33">
        <f t="shared" si="1"/>
        <v>4.5397568912712037E-5</v>
      </c>
      <c r="J27" s="33">
        <f t="shared" si="2"/>
        <v>1.4974855025535341E-6</v>
      </c>
      <c r="K27" s="1">
        <f t="shared" si="3"/>
        <v>3.4111222262666933E-2</v>
      </c>
      <c r="L27" s="1">
        <f t="shared" si="4"/>
        <v>1.1635754842530643E-3</v>
      </c>
    </row>
    <row r="28" spans="1:12" x14ac:dyDescent="0.2">
      <c r="A28" s="53">
        <v>42401</v>
      </c>
      <c r="B28" s="44">
        <v>4.5576774075930902E-5</v>
      </c>
      <c r="C28" s="42">
        <f t="shared" si="0"/>
        <v>3.8193336675629457E-2</v>
      </c>
      <c r="D28" s="1">
        <v>-1.0131666613788508</v>
      </c>
      <c r="E28" s="1">
        <v>-1.6683442654761294E-3</v>
      </c>
      <c r="F28" s="1">
        <v>4.5970149253731343</v>
      </c>
      <c r="G28" s="1">
        <v>-0.74097169273406194</v>
      </c>
      <c r="H28" s="1">
        <v>7.3854289252323641E-3</v>
      </c>
      <c r="I28" s="33">
        <f t="shared" si="1"/>
        <v>4.4224304355996002E-5</v>
      </c>
      <c r="J28" s="33">
        <f t="shared" si="2"/>
        <v>-1.3524697199349009E-6</v>
      </c>
      <c r="K28" s="1">
        <f t="shared" si="3"/>
        <v>-2.9674538125091663E-2</v>
      </c>
      <c r="L28" s="1">
        <f t="shared" si="4"/>
        <v>8.8057821293751866E-4</v>
      </c>
    </row>
    <row r="29" spans="1:12" x14ac:dyDescent="0.2">
      <c r="A29" s="53">
        <v>42430</v>
      </c>
      <c r="B29" s="44">
        <v>4.5591319412783804E-5</v>
      </c>
      <c r="C29" s="42">
        <f t="shared" si="0"/>
        <v>3.191392358895179E-4</v>
      </c>
      <c r="D29" s="1">
        <v>-0.99725963305818266</v>
      </c>
      <c r="E29" s="1">
        <v>3.3661528651207639E-3</v>
      </c>
      <c r="F29" s="1">
        <v>4.4347826086956523</v>
      </c>
      <c r="G29" s="1">
        <v>-0.72840866760317713</v>
      </c>
      <c r="H29" s="1">
        <v>6.9077675619665328E-3</v>
      </c>
      <c r="I29" s="33">
        <f t="shared" si="1"/>
        <v>4.5891607837471692E-5</v>
      </c>
      <c r="J29" s="33">
        <f t="shared" si="2"/>
        <v>3.00288424687888E-7</v>
      </c>
      <c r="K29" s="1">
        <f t="shared" si="3"/>
        <v>6.5865263071041361E-3</v>
      </c>
      <c r="L29" s="1">
        <f t="shared" si="4"/>
        <v>4.3382328794174849E-5</v>
      </c>
    </row>
    <row r="30" spans="1:12" x14ac:dyDescent="0.2">
      <c r="A30" s="53">
        <v>42461</v>
      </c>
      <c r="B30" s="44">
        <v>4.5789642382892991E-5</v>
      </c>
      <c r="C30" s="42">
        <f t="shared" si="0"/>
        <v>4.3500160263749118E-3</v>
      </c>
      <c r="D30" s="1">
        <v>-1.0113043927115057</v>
      </c>
      <c r="E30" s="1">
        <v>1.3830444669415964E-3</v>
      </c>
      <c r="F30" s="1">
        <v>4.514705882352942</v>
      </c>
      <c r="G30" s="1">
        <v>-0.70908123113167798</v>
      </c>
      <c r="H30" s="1">
        <v>9.3726185897608678E-3</v>
      </c>
      <c r="I30" s="33">
        <f t="shared" si="1"/>
        <v>4.6018629460643791E-5</v>
      </c>
      <c r="J30" s="33">
        <f t="shared" si="2"/>
        <v>2.2898707775079928E-7</v>
      </c>
      <c r="K30" s="1">
        <f t="shared" si="3"/>
        <v>5.0008487909997054E-3</v>
      </c>
      <c r="L30" s="1">
        <f t="shared" si="4"/>
        <v>2.5008488630443214E-5</v>
      </c>
    </row>
    <row r="31" spans="1:12" x14ac:dyDescent="0.2">
      <c r="A31" s="53">
        <v>42491</v>
      </c>
      <c r="B31" s="44">
        <v>4.5413260672116258E-5</v>
      </c>
      <c r="C31" s="42">
        <f t="shared" si="0"/>
        <v>-8.2198001816530877E-3</v>
      </c>
      <c r="D31" s="1">
        <v>-1.0043974210613325</v>
      </c>
      <c r="E31" s="1">
        <v>-1.3864945143730045E-3</v>
      </c>
      <c r="F31" s="1">
        <v>4.4744525547445253</v>
      </c>
      <c r="G31" s="1">
        <v>-0.69240732964564189</v>
      </c>
      <c r="H31" s="1">
        <v>4.4375738307181976E-3</v>
      </c>
      <c r="I31" s="33">
        <f t="shared" si="1"/>
        <v>4.5992837301649269E-5</v>
      </c>
      <c r="J31" s="33">
        <f t="shared" si="2"/>
        <v>5.7957662953301089E-7</v>
      </c>
      <c r="K31" s="1">
        <f t="shared" si="3"/>
        <v>1.2762277382316899E-2</v>
      </c>
      <c r="L31" s="1">
        <f t="shared" si="4"/>
        <v>1.6287572398319749E-4</v>
      </c>
    </row>
    <row r="32" spans="1:12" x14ac:dyDescent="0.2">
      <c r="A32" s="53">
        <v>42522</v>
      </c>
      <c r="B32" s="44">
        <v>4.5396767750136188E-5</v>
      </c>
      <c r="C32" s="42">
        <f t="shared" si="0"/>
        <v>-3.6317414200112913E-4</v>
      </c>
      <c r="D32" s="1">
        <v>-0.99684387305999533</v>
      </c>
      <c r="E32" s="1">
        <v>1.3567199963466781E-3</v>
      </c>
      <c r="F32" s="1">
        <v>4.4744525547445253</v>
      </c>
      <c r="G32" s="1">
        <v>-0.67823132053070545</v>
      </c>
      <c r="H32" s="1">
        <v>4.7292685142567804E-3</v>
      </c>
      <c r="I32" s="33">
        <f t="shared" si="1"/>
        <v>4.5628032175942633E-5</v>
      </c>
      <c r="J32" s="33">
        <f t="shared" si="2"/>
        <v>2.3126442580644464E-7</v>
      </c>
      <c r="K32" s="1">
        <f t="shared" si="3"/>
        <v>5.0942927716643629E-3</v>
      </c>
      <c r="L32" s="1">
        <f t="shared" si="4"/>
        <v>2.5951818843431777E-5</v>
      </c>
    </row>
    <row r="33" spans="1:12" x14ac:dyDescent="0.2">
      <c r="A33" s="53">
        <v>42552</v>
      </c>
      <c r="B33" s="44">
        <v>4.4399058739954699E-5</v>
      </c>
      <c r="C33" s="42">
        <f t="shared" si="0"/>
        <v>-2.1977534076277835E-2</v>
      </c>
      <c r="D33" s="1">
        <v>-0.99888066752918259</v>
      </c>
      <c r="E33" s="1">
        <v>1.3561796421805994E-3</v>
      </c>
      <c r="F33" s="1">
        <v>4.4347826086956523</v>
      </c>
      <c r="G33" s="1">
        <v>-0.679479902504317</v>
      </c>
      <c r="H33" s="1">
        <v>5.2362082606294061E-3</v>
      </c>
      <c r="I33" s="33">
        <f t="shared" si="1"/>
        <v>4.563447468043533E-5</v>
      </c>
      <c r="J33" s="33">
        <f t="shared" si="2"/>
        <v>1.2354159404806301E-6</v>
      </c>
      <c r="K33" s="1">
        <f t="shared" si="3"/>
        <v>2.7825273227445241E-2</v>
      </c>
      <c r="L33" s="1">
        <f t="shared" si="4"/>
        <v>7.742458301819809E-4</v>
      </c>
    </row>
    <row r="34" spans="1:12" x14ac:dyDescent="0.2">
      <c r="A34" s="53">
        <v>42583</v>
      </c>
      <c r="B34" s="44">
        <v>4.5626682483916596E-5</v>
      </c>
      <c r="C34" s="42">
        <f t="shared" si="0"/>
        <v>2.7649769585253808E-2</v>
      </c>
      <c r="D34" s="1">
        <v>-1.0061237675215595</v>
      </c>
      <c r="E34" s="1">
        <v>2.9028335854521803E-3</v>
      </c>
      <c r="F34" s="1">
        <v>4.3956834532374094</v>
      </c>
      <c r="G34" s="1">
        <v>-0.67829609646279998</v>
      </c>
      <c r="H34" s="1">
        <v>8.789223654185014E-3</v>
      </c>
      <c r="I34" s="33">
        <f t="shared" si="1"/>
        <v>4.4789291997255464E-5</v>
      </c>
      <c r="J34" s="33">
        <f t="shared" si="2"/>
        <v>-8.3739048666113232E-7</v>
      </c>
      <c r="K34" s="1">
        <f t="shared" si="3"/>
        <v>-1.8353087296152037E-2</v>
      </c>
      <c r="L34" s="1">
        <f t="shared" si="4"/>
        <v>3.3683581330017732E-4</v>
      </c>
    </row>
    <row r="35" spans="1:12" x14ac:dyDescent="0.2">
      <c r="A35" s="53">
        <v>42614</v>
      </c>
      <c r="B35" s="44">
        <v>4.5877873101803002E-5</v>
      </c>
      <c r="C35" s="42">
        <f t="shared" si="0"/>
        <v>5.50534477221636E-3</v>
      </c>
      <c r="D35" s="1">
        <v>-1.0071315372424723</v>
      </c>
      <c r="E35" s="1">
        <v>1.05473022510294E-4</v>
      </c>
      <c r="F35" s="1">
        <v>4.3571428571428577</v>
      </c>
      <c r="G35" s="1">
        <v>-0.66065166650957163</v>
      </c>
      <c r="H35" s="1">
        <v>6.2137954336641699E-3</v>
      </c>
      <c r="I35" s="33">
        <f t="shared" si="1"/>
        <v>4.5910197355188397E-5</v>
      </c>
      <c r="J35" s="33">
        <f t="shared" si="2"/>
        <v>3.232425338539521E-8</v>
      </c>
      <c r="K35" s="1">
        <f t="shared" si="3"/>
        <v>7.0457175104145936E-4</v>
      </c>
      <c r="L35" s="1">
        <f t="shared" si="4"/>
        <v>4.9642135236562821E-7</v>
      </c>
    </row>
    <row r="36" spans="1:12" x14ac:dyDescent="0.2">
      <c r="A36" s="53">
        <v>42644</v>
      </c>
      <c r="B36" s="44">
        <v>4.5628764373060775E-5</v>
      </c>
      <c r="C36" s="42">
        <f t="shared" si="0"/>
        <v>-5.4298229603943265E-3</v>
      </c>
      <c r="D36" s="1">
        <v>-1.0113634660070459</v>
      </c>
      <c r="E36" s="1">
        <v>3.0197446816517814E-3</v>
      </c>
      <c r="F36" s="1">
        <v>4.3571428571428577</v>
      </c>
      <c r="G36" s="1">
        <v>-0.66222569610958071</v>
      </c>
      <c r="H36" s="1">
        <v>1.0296585661826056E-2</v>
      </c>
      <c r="I36" s="33">
        <f t="shared" si="1"/>
        <v>4.6350258552178103E-5</v>
      </c>
      <c r="J36" s="33">
        <f t="shared" si="2"/>
        <v>7.2149417911732757E-7</v>
      </c>
      <c r="K36" s="1">
        <f t="shared" si="3"/>
        <v>1.581226642953535E-2</v>
      </c>
      <c r="L36" s="1">
        <f t="shared" si="4"/>
        <v>2.500277696386106E-4</v>
      </c>
    </row>
    <row r="37" spans="1:12" x14ac:dyDescent="0.2">
      <c r="A37" s="53">
        <v>42675</v>
      </c>
      <c r="B37" s="44">
        <v>4.4861154726122651E-5</v>
      </c>
      <c r="C37" s="42">
        <f t="shared" si="0"/>
        <v>-1.6822933022295931E-2</v>
      </c>
      <c r="D37" s="1">
        <v>-0.99284906152998176</v>
      </c>
      <c r="E37" s="1">
        <v>7.0624463924446879E-3</v>
      </c>
      <c r="F37" s="1">
        <v>4.3571428571428577</v>
      </c>
      <c r="G37" s="1">
        <v>-0.6580045348361081</v>
      </c>
      <c r="H37" s="1">
        <v>8.5789627720612473E-3</v>
      </c>
      <c r="I37" s="33">
        <f t="shared" si="1"/>
        <v>4.6020211843952411E-5</v>
      </c>
      <c r="J37" s="33">
        <f t="shared" si="2"/>
        <v>1.1590571178297601E-6</v>
      </c>
      <c r="K37" s="1">
        <f t="shared" si="3"/>
        <v>2.583654221354318E-2</v>
      </c>
      <c r="L37" s="1">
        <f t="shared" si="4"/>
        <v>6.6752691355219872E-4</v>
      </c>
    </row>
    <row r="38" spans="1:12" x14ac:dyDescent="0.2">
      <c r="A38" s="53">
        <v>42705</v>
      </c>
      <c r="B38" s="44">
        <v>4.2999656002751997E-5</v>
      </c>
      <c r="C38" s="42">
        <f t="shared" si="0"/>
        <v>-4.1494668042655239E-2</v>
      </c>
      <c r="D38" s="1">
        <v>-0.99577112398357404</v>
      </c>
      <c r="E38" s="1">
        <v>6.3723728439257776E-3</v>
      </c>
      <c r="F38" s="1">
        <v>4.3191489361702127</v>
      </c>
      <c r="G38" s="1">
        <v>-0.6491886553774362</v>
      </c>
      <c r="H38" s="1">
        <v>8.6479491977868514E-3</v>
      </c>
      <c r="I38" s="33">
        <f t="shared" si="1"/>
        <v>4.524911171314822E-5</v>
      </c>
      <c r="J38" s="33">
        <f t="shared" si="2"/>
        <v>2.2494557103962224E-6</v>
      </c>
      <c r="K38" s="1">
        <f t="shared" si="3"/>
        <v>5.2313342000974525E-2</v>
      </c>
      <c r="L38" s="1">
        <f t="shared" si="4"/>
        <v>2.7366857513109254E-3</v>
      </c>
    </row>
    <row r="39" spans="1:12" x14ac:dyDescent="0.2">
      <c r="A39" s="53">
        <v>42736</v>
      </c>
      <c r="B39" s="44">
        <v>4.5183444785830472E-5</v>
      </c>
      <c r="C39" s="42">
        <f t="shared" si="0"/>
        <v>5.0786191939272987E-2</v>
      </c>
      <c r="D39" s="1">
        <v>-0.99286916112490986</v>
      </c>
      <c r="E39" s="1">
        <v>1.94704129941492E-3</v>
      </c>
      <c r="F39" s="1">
        <v>3.8701298701298699</v>
      </c>
      <c r="G39" s="1">
        <v>-0.65633954925141857</v>
      </c>
      <c r="H39" s="1">
        <v>2.2828987887745515E-3</v>
      </c>
      <c r="I39" s="33">
        <f t="shared" si="1"/>
        <v>4.3097819865358408E-5</v>
      </c>
      <c r="J39" s="33">
        <f t="shared" si="2"/>
        <v>-2.0856249204720639E-6</v>
      </c>
      <c r="K39" s="1">
        <f t="shared" si="3"/>
        <v>-4.6159050739887721E-2</v>
      </c>
      <c r="L39" s="1">
        <f t="shared" si="4"/>
        <v>2.1306579652075291E-3</v>
      </c>
    </row>
    <row r="40" spans="1:12" x14ac:dyDescent="0.2">
      <c r="A40" s="53">
        <v>42767</v>
      </c>
      <c r="B40" s="44">
        <v>4.3936731107205627E-5</v>
      </c>
      <c r="C40" s="42">
        <f t="shared" si="0"/>
        <v>-2.7592267135325078E-2</v>
      </c>
      <c r="D40" s="1">
        <v>-1.0180504925941485</v>
      </c>
      <c r="E40" s="1">
        <v>-1.2564058985569115E-3</v>
      </c>
      <c r="F40" s="1">
        <v>3.5454545454545459</v>
      </c>
      <c r="G40" s="1">
        <v>-0.6491859135816056</v>
      </c>
      <c r="H40" s="1">
        <v>5.8431992956161569E-3</v>
      </c>
      <c r="I40" s="33">
        <f t="shared" si="1"/>
        <v>4.5447460658576545E-5</v>
      </c>
      <c r="J40" s="33">
        <f t="shared" si="2"/>
        <v>1.5107295513709182E-6</v>
      </c>
      <c r="K40" s="1">
        <f t="shared" si="3"/>
        <v>3.4384204589202098E-2</v>
      </c>
      <c r="L40" s="1">
        <f t="shared" si="4"/>
        <v>1.1822735252321067E-3</v>
      </c>
    </row>
    <row r="41" spans="1:12" x14ac:dyDescent="0.2">
      <c r="A41" s="53">
        <v>42795</v>
      </c>
      <c r="B41" s="44">
        <v>4.4573211499888568E-5</v>
      </c>
      <c r="C41" s="42">
        <f t="shared" si="0"/>
        <v>1.4486293737463742E-2</v>
      </c>
      <c r="D41" s="1">
        <v>-0.96225627246650447</v>
      </c>
      <c r="E41" s="1">
        <v>-8.0558292796706343E-4</v>
      </c>
      <c r="F41" s="1">
        <v>3.5180722891566258</v>
      </c>
      <c r="G41" s="1">
        <v>-0.6486112974424767</v>
      </c>
      <c r="H41" s="1">
        <v>-1.0624163032612269E-2</v>
      </c>
      <c r="I41" s="33">
        <f t="shared" si="1"/>
        <v>4.3469940112802628E-5</v>
      </c>
      <c r="J41" s="33">
        <f t="shared" si="2"/>
        <v>-1.1032713870859397E-6</v>
      </c>
      <c r="K41" s="1">
        <f t="shared" si="3"/>
        <v>-2.4751893569273056E-2</v>
      </c>
      <c r="L41" s="1">
        <f t="shared" si="4"/>
        <v>6.1265623526462088E-4</v>
      </c>
    </row>
    <row r="42" spans="1:12" x14ac:dyDescent="0.2">
      <c r="A42" s="53">
        <v>42826</v>
      </c>
      <c r="B42" s="44">
        <v>4.3099732781656801E-5</v>
      </c>
      <c r="C42" s="42">
        <f t="shared" si="0"/>
        <v>-3.30574950435297E-2</v>
      </c>
      <c r="D42" s="1">
        <v>-0.98005858671303481</v>
      </c>
      <c r="E42" s="1">
        <v>1.2661729853478132E-3</v>
      </c>
      <c r="F42" s="1">
        <v>3.1899441340782122</v>
      </c>
      <c r="G42" s="1">
        <v>-0.64892493986177024</v>
      </c>
      <c r="H42" s="1">
        <v>-4.1955080605739926E-3</v>
      </c>
      <c r="I42" s="33">
        <f t="shared" si="1"/>
        <v>4.4386204231755116E-5</v>
      </c>
      <c r="J42" s="33">
        <f t="shared" si="2"/>
        <v>1.286471450098315E-6</v>
      </c>
      <c r="K42" s="1">
        <f t="shared" si="3"/>
        <v>2.9848710585181071E-2</v>
      </c>
      <c r="L42" s="1">
        <f t="shared" si="4"/>
        <v>8.9094552359790047E-4</v>
      </c>
    </row>
    <row r="43" spans="1:12" x14ac:dyDescent="0.2">
      <c r="A43" s="53">
        <v>42856</v>
      </c>
      <c r="B43" s="44">
        <v>4.483500717360115E-5</v>
      </c>
      <c r="C43" s="42">
        <f t="shared" si="0"/>
        <v>4.0261836441892754E-2</v>
      </c>
      <c r="D43" s="1">
        <v>-1.0025735837893803</v>
      </c>
      <c r="E43" s="1">
        <v>-2.9248595966089308E-3</v>
      </c>
      <c r="F43" s="1">
        <v>2.9473684210526319</v>
      </c>
      <c r="G43" s="1">
        <v>-0.64526996906122913</v>
      </c>
      <c r="H43" s="1">
        <v>-2.1386907035593219E-3</v>
      </c>
      <c r="I43" s="33">
        <f t="shared" si="1"/>
        <v>4.3007555783830779E-5</v>
      </c>
      <c r="J43" s="33">
        <f t="shared" si="2"/>
        <v>-1.827451389770371E-6</v>
      </c>
      <c r="K43" s="1">
        <f t="shared" si="3"/>
        <v>-4.0759475797438355E-2</v>
      </c>
      <c r="L43" s="1">
        <f t="shared" si="4"/>
        <v>1.661334867281963E-3</v>
      </c>
    </row>
    <row r="44" spans="1:12" x14ac:dyDescent="0.2">
      <c r="A44" s="53">
        <v>42887</v>
      </c>
      <c r="B44" s="44">
        <v>4.4766765153550001E-5</v>
      </c>
      <c r="C44" s="42">
        <f t="shared" si="0"/>
        <v>-1.5220700152208258E-3</v>
      </c>
      <c r="D44" s="1">
        <v>-0.99235047793602915</v>
      </c>
      <c r="E44" s="1">
        <v>-6.1239174537043306E-3</v>
      </c>
      <c r="F44" s="1">
        <v>2.9267015706806281</v>
      </c>
      <c r="G44" s="1">
        <v>-0.65223748279172011</v>
      </c>
      <c r="H44" s="1">
        <v>-8.319740507638132E-3</v>
      </c>
      <c r="I44" s="33">
        <f t="shared" si="1"/>
        <v>4.4461991548258695E-5</v>
      </c>
      <c r="J44" s="33">
        <f t="shared" si="2"/>
        <v>-3.0477360529130638E-7</v>
      </c>
      <c r="K44" s="1">
        <f t="shared" si="3"/>
        <v>-6.8080327949972021E-3</v>
      </c>
      <c r="L44" s="1">
        <f t="shared" si="4"/>
        <v>4.6349310537757414E-5</v>
      </c>
    </row>
    <row r="45" spans="1:12" x14ac:dyDescent="0.2">
      <c r="A45" s="53">
        <v>42917</v>
      </c>
      <c r="B45" s="44">
        <v>4.5083630133898384E-5</v>
      </c>
      <c r="C45" s="42">
        <f t="shared" si="0"/>
        <v>7.0781299310221767E-3</v>
      </c>
      <c r="D45" s="1">
        <v>-0.99430503149065097</v>
      </c>
      <c r="E45" s="1">
        <v>-2.615738249886479E-3</v>
      </c>
      <c r="F45" s="1">
        <v>2.6764705882352939</v>
      </c>
      <c r="G45" s="1">
        <v>-0.64680138727839298</v>
      </c>
      <c r="H45" s="1">
        <v>-5.0949574048142904E-3</v>
      </c>
      <c r="I45" s="33">
        <f t="shared" si="1"/>
        <v>4.4538680391941341E-5</v>
      </c>
      <c r="J45" s="33">
        <f t="shared" si="2"/>
        <v>-5.449497419570426E-7</v>
      </c>
      <c r="K45" s="1">
        <f t="shared" si="3"/>
        <v>-1.2087530226349161E-2</v>
      </c>
      <c r="L45" s="1">
        <f t="shared" si="4"/>
        <v>1.4610838697290458E-4</v>
      </c>
    </row>
    <row r="46" spans="1:12" x14ac:dyDescent="0.2">
      <c r="A46" s="53">
        <v>42948</v>
      </c>
      <c r="B46" s="44">
        <v>4.4863167339614178E-5</v>
      </c>
      <c r="C46" s="42">
        <f t="shared" si="0"/>
        <v>-4.8900852400179731E-3</v>
      </c>
      <c r="D46" s="1">
        <v>-1.0031110169715904</v>
      </c>
      <c r="E46" s="1">
        <v>1.7881563283816959E-3</v>
      </c>
      <c r="F46" s="1">
        <v>2.3720930232558142</v>
      </c>
      <c r="G46" s="1">
        <v>-0.64908276156378808</v>
      </c>
      <c r="H46" s="1">
        <v>9.3851634778387366E-4</v>
      </c>
      <c r="I46" s="33">
        <f t="shared" si="1"/>
        <v>4.5125941857796493E-5</v>
      </c>
      <c r="J46" s="33">
        <f t="shared" si="2"/>
        <v>2.6277451818231489E-7</v>
      </c>
      <c r="K46" s="1">
        <f t="shared" si="3"/>
        <v>5.8572440102837983E-3</v>
      </c>
      <c r="L46" s="1">
        <f t="shared" si="4"/>
        <v>3.4307307396005435E-5</v>
      </c>
    </row>
    <row r="47" spans="1:12" x14ac:dyDescent="0.2">
      <c r="A47" s="53">
        <v>42979</v>
      </c>
      <c r="B47" s="44">
        <v>4.3099732781656801E-5</v>
      </c>
      <c r="C47" s="42">
        <f t="shared" si="0"/>
        <v>-3.9306956296869942E-2</v>
      </c>
      <c r="D47" s="1">
        <v>-1.0194884753809634</v>
      </c>
      <c r="E47" s="1">
        <v>6.1591045580982051E-3</v>
      </c>
      <c r="F47" s="1">
        <v>2.3564814814814814</v>
      </c>
      <c r="G47" s="1">
        <v>-0.6475666158862432</v>
      </c>
      <c r="H47" s="1">
        <v>1.0023434864794725E-2</v>
      </c>
      <c r="I47" s="33">
        <f t="shared" si="1"/>
        <v>4.5312850375271186E-5</v>
      </c>
      <c r="J47" s="33">
        <f t="shared" si="2"/>
        <v>2.213117593614385E-6</v>
      </c>
      <c r="K47" s="1">
        <f t="shared" si="3"/>
        <v>5.1348754407040904E-2</v>
      </c>
      <c r="L47" s="1">
        <f t="shared" si="4"/>
        <v>2.6366945791546025E-3</v>
      </c>
    </row>
    <row r="48" spans="1:12" x14ac:dyDescent="0.2">
      <c r="A48" s="53">
        <v>43009</v>
      </c>
      <c r="B48" s="44">
        <v>4.4740727484228892E-5</v>
      </c>
      <c r="C48" s="42">
        <f t="shared" si="0"/>
        <v>3.8074359089077629E-2</v>
      </c>
      <c r="D48" s="1">
        <v>-1.0144110722693871</v>
      </c>
      <c r="E48" s="1">
        <v>6.2279645812934881E-4</v>
      </c>
      <c r="F48" s="1">
        <v>2.3720930232558142</v>
      </c>
      <c r="G48" s="1">
        <v>-0.63343122629862747</v>
      </c>
      <c r="H48" s="1">
        <v>3.152239345907385E-3</v>
      </c>
      <c r="I48" s="33">
        <f t="shared" si="1"/>
        <v>4.3235593455129231E-5</v>
      </c>
      <c r="J48" s="33">
        <f t="shared" si="2"/>
        <v>-1.5051340290996609E-6</v>
      </c>
      <c r="K48" s="1">
        <f t="shared" si="3"/>
        <v>-3.3641250684406522E-2</v>
      </c>
      <c r="L48" s="1">
        <f t="shared" si="4"/>
        <v>1.1317337476110822E-3</v>
      </c>
    </row>
    <row r="49" spans="1:12" x14ac:dyDescent="0.2">
      <c r="A49" s="53">
        <v>43040</v>
      </c>
      <c r="B49" s="44">
        <v>4.4893378226711559E-5</v>
      </c>
      <c r="C49" s="42">
        <f t="shared" si="0"/>
        <v>3.4118967452300896E-3</v>
      </c>
      <c r="D49" s="1">
        <v>-1.0262771725613093</v>
      </c>
      <c r="E49" s="1">
        <v>4.7710576130233218E-3</v>
      </c>
      <c r="F49" s="1">
        <v>2.3720930232558142</v>
      </c>
      <c r="G49" s="1">
        <v>-0.61760906662119042</v>
      </c>
      <c r="H49" s="1">
        <v>1.064038624705734E-2</v>
      </c>
      <c r="I49" s="33">
        <f t="shared" si="1"/>
        <v>4.5216786105635422E-5</v>
      </c>
      <c r="J49" s="33">
        <f t="shared" si="2"/>
        <v>3.2340787892386322E-7</v>
      </c>
      <c r="K49" s="1">
        <f t="shared" si="3"/>
        <v>7.2039105030290533E-3</v>
      </c>
      <c r="L49" s="1">
        <f t="shared" si="4"/>
        <v>5.189632653565231E-5</v>
      </c>
    </row>
    <row r="50" spans="1:12" x14ac:dyDescent="0.2">
      <c r="A50" s="53">
        <v>43070</v>
      </c>
      <c r="B50" s="44">
        <v>4.4756747079622256E-5</v>
      </c>
      <c r="C50" s="42">
        <f t="shared" si="0"/>
        <v>-3.0434588014142385E-3</v>
      </c>
      <c r="D50" s="1">
        <v>-1.0060948226085842</v>
      </c>
      <c r="E50" s="1">
        <v>1.2906439195932151E-3</v>
      </c>
      <c r="F50" s="1">
        <v>2.3564814814814814</v>
      </c>
      <c r="G50" s="1">
        <v>-0.60964123839844309</v>
      </c>
      <c r="H50" s="1">
        <v>1.1309768359181759E-3</v>
      </c>
      <c r="I50" s="33">
        <f t="shared" si="1"/>
        <v>4.4944151597572083E-5</v>
      </c>
      <c r="J50" s="33">
        <f t="shared" si="2"/>
        <v>1.8740451794982746E-7</v>
      </c>
      <c r="K50" s="1">
        <f t="shared" si="3"/>
        <v>4.1871791445529946E-3</v>
      </c>
      <c r="L50" s="1">
        <f t="shared" si="4"/>
        <v>1.7532469188579547E-5</v>
      </c>
    </row>
    <row r="51" spans="1:12" x14ac:dyDescent="0.2">
      <c r="A51" s="53">
        <v>43101</v>
      </c>
      <c r="B51" s="44">
        <v>4.4127119853599626E-5</v>
      </c>
      <c r="C51" s="42">
        <f t="shared" si="0"/>
        <v>-1.406776111102361E-2</v>
      </c>
      <c r="D51" s="1">
        <v>-0.99423118318145942</v>
      </c>
      <c r="E51" s="1">
        <v>2.6533920267308719E-3</v>
      </c>
      <c r="F51" s="1">
        <v>2.1521739130434785</v>
      </c>
      <c r="G51" s="1">
        <v>-0.56280358554058463</v>
      </c>
      <c r="H51" s="1">
        <v>-1.9349305065383634E-3</v>
      </c>
      <c r="I51" s="33">
        <f t="shared" si="1"/>
        <v>4.4670145884324475E-5</v>
      </c>
      <c r="J51" s="33">
        <f t="shared" si="2"/>
        <v>5.4302603072484877E-7</v>
      </c>
      <c r="K51" s="1">
        <f t="shared" si="3"/>
        <v>1.2305947737501204E-2</v>
      </c>
      <c r="L51" s="1">
        <f t="shared" si="4"/>
        <v>1.5143634971811099E-4</v>
      </c>
    </row>
    <row r="52" spans="1:12" x14ac:dyDescent="0.2">
      <c r="A52" s="53">
        <v>43132</v>
      </c>
      <c r="B52" s="44">
        <v>4.4016407767438149E-5</v>
      </c>
      <c r="C52" s="42">
        <f t="shared" si="0"/>
        <v>-2.5089352427438323E-3</v>
      </c>
      <c r="D52" s="1">
        <v>-1.0011884106196374</v>
      </c>
      <c r="E52" s="1">
        <v>-3.6475834217275516E-4</v>
      </c>
      <c r="F52" s="1">
        <v>2.008298755186722</v>
      </c>
      <c r="G52" s="1">
        <v>-0.53894075580414857</v>
      </c>
      <c r="H52" s="1">
        <v>-3.2565512831994395E-3</v>
      </c>
      <c r="I52" s="33">
        <f t="shared" si="1"/>
        <v>4.3983417624816492E-5</v>
      </c>
      <c r="J52" s="33">
        <f t="shared" si="2"/>
        <v>-3.2990142621656504E-8</v>
      </c>
      <c r="K52" s="1">
        <f t="shared" si="3"/>
        <v>-7.4949647858500387E-4</v>
      </c>
      <c r="L52" s="1">
        <f t="shared" si="4"/>
        <v>5.6174497141132114E-7</v>
      </c>
    </row>
    <row r="53" spans="1:12" x14ac:dyDescent="0.2">
      <c r="A53" s="53">
        <v>43160</v>
      </c>
      <c r="B53" s="44">
        <v>4.3902202680629862E-5</v>
      </c>
      <c r="C53" s="42">
        <f t="shared" si="0"/>
        <v>-2.5946026175441761E-3</v>
      </c>
      <c r="D53" s="1">
        <v>-1.0053005717817958</v>
      </c>
      <c r="E53" s="1">
        <v>2.7249532071400573E-3</v>
      </c>
      <c r="F53" s="1">
        <v>1.9958677685950414</v>
      </c>
      <c r="G53" s="1">
        <v>-0.51226603846312524</v>
      </c>
      <c r="H53" s="1">
        <v>7.9102876766004972E-4</v>
      </c>
      <c r="I53" s="33">
        <f t="shared" si="1"/>
        <v>4.4051226012231244E-5</v>
      </c>
      <c r="J53" s="33">
        <f t="shared" si="2"/>
        <v>1.4902333160138218E-7</v>
      </c>
      <c r="K53" s="1">
        <f t="shared" si="3"/>
        <v>3.3944386044924557E-3</v>
      </c>
      <c r="L53" s="1">
        <f t="shared" si="4"/>
        <v>1.1522213439668691E-5</v>
      </c>
    </row>
    <row r="54" spans="1:12" x14ac:dyDescent="0.2">
      <c r="A54" s="53">
        <v>43191</v>
      </c>
      <c r="B54" s="44">
        <v>4.3997624128297071E-5</v>
      </c>
      <c r="C54" s="42">
        <f t="shared" si="0"/>
        <v>2.1735002309875005E-3</v>
      </c>
      <c r="D54" s="1">
        <v>-1.0346832428754773</v>
      </c>
      <c r="E54" s="1">
        <v>-4.9409537855458208E-3</v>
      </c>
      <c r="F54" s="1">
        <v>1.8884462151394423</v>
      </c>
      <c r="G54" s="1">
        <v>-0.51214384167451066</v>
      </c>
      <c r="H54" s="1">
        <v>1.9796339535394889E-3</v>
      </c>
      <c r="I54" s="33">
        <f t="shared" si="1"/>
        <v>4.3989112971691608E-5</v>
      </c>
      <c r="J54" s="33">
        <f t="shared" si="2"/>
        <v>-8.5111566054636234E-9</v>
      </c>
      <c r="K54" s="1">
        <f t="shared" si="3"/>
        <v>-1.9344582290727996E-4</v>
      </c>
      <c r="L54" s="1">
        <f t="shared" si="4"/>
        <v>3.7421286400274717E-8</v>
      </c>
    </row>
    <row r="55" spans="1:12" x14ac:dyDescent="0.2">
      <c r="A55" s="53">
        <v>43221</v>
      </c>
      <c r="B55" s="44">
        <v>4.3821209465381244E-5</v>
      </c>
      <c r="C55" s="42">
        <f t="shared" si="0"/>
        <v>-4.0096406660823742E-3</v>
      </c>
      <c r="D55" s="1">
        <v>-1.013603773070527</v>
      </c>
      <c r="E55" s="1">
        <v>-3.128654873753689E-3</v>
      </c>
      <c r="F55" s="1">
        <v>1.6951672862453533</v>
      </c>
      <c r="G55" s="1">
        <v>-0.50421231795430832</v>
      </c>
      <c r="H55" s="1">
        <v>-3.2190602009101892E-3</v>
      </c>
      <c r="I55" s="33">
        <f t="shared" si="1"/>
        <v>4.3855993127531065E-5</v>
      </c>
      <c r="J55" s="33">
        <f t="shared" si="2"/>
        <v>3.4783662149820958E-8</v>
      </c>
      <c r="K55" s="1">
        <f t="shared" si="3"/>
        <v>7.9376317025891424E-4</v>
      </c>
      <c r="L55" s="1">
        <f t="shared" si="4"/>
        <v>6.3005997045948209E-7</v>
      </c>
    </row>
    <row r="56" spans="1:12" x14ac:dyDescent="0.2">
      <c r="A56" s="53">
        <v>43252</v>
      </c>
      <c r="B56" s="44">
        <v>4.3656683838295645E-5</v>
      </c>
      <c r="C56" s="42">
        <f t="shared" si="0"/>
        <v>-3.7544748100933742E-3</v>
      </c>
      <c r="D56" s="1">
        <v>-0.98671700044788535</v>
      </c>
      <c r="E56" s="1">
        <v>1.3205908469464678E-3</v>
      </c>
      <c r="F56" s="1">
        <v>1.6851851851851851</v>
      </c>
      <c r="G56" s="1">
        <v>-0.49279244935165145</v>
      </c>
      <c r="H56" s="1">
        <v>-7.1321634757914865E-3</v>
      </c>
      <c r="I56" s="33">
        <f t="shared" si="1"/>
        <v>4.3508669435767241E-5</v>
      </c>
      <c r="J56" s="33">
        <f t="shared" si="2"/>
        <v>-1.4801440252840419E-7</v>
      </c>
      <c r="K56" s="1">
        <f t="shared" si="3"/>
        <v>-3.390417904315626E-3</v>
      </c>
      <c r="L56" s="1">
        <f t="shared" si="4"/>
        <v>1.1494933565903962E-5</v>
      </c>
    </row>
    <row r="57" spans="1:12" x14ac:dyDescent="0.2">
      <c r="A57" s="53">
        <v>43282</v>
      </c>
      <c r="B57" s="44">
        <v>4.3061685865001613E-5</v>
      </c>
      <c r="C57" s="42">
        <f t="shared" si="0"/>
        <v>-1.3629023576273092E-2</v>
      </c>
      <c r="D57" s="1">
        <v>-1.0085366517808518</v>
      </c>
      <c r="E57" s="1">
        <v>4.4839773958293971E-3</v>
      </c>
      <c r="F57" s="1">
        <v>1.5709219858156027</v>
      </c>
      <c r="G57" s="1">
        <v>-0.4935724901600218</v>
      </c>
      <c r="H57" s="1">
        <v>2.1645371917213664E-3</v>
      </c>
      <c r="I57" s="33">
        <f t="shared" si="1"/>
        <v>4.3751180354130856E-5</v>
      </c>
      <c r="J57" s="33">
        <f t="shared" si="2"/>
        <v>6.8949448912924256E-7</v>
      </c>
      <c r="K57" s="1">
        <f t="shared" si="3"/>
        <v>1.6011785773803838E-2</v>
      </c>
      <c r="L57" s="1">
        <f t="shared" si="4"/>
        <v>2.5637728366618696E-4</v>
      </c>
    </row>
    <row r="58" spans="1:12" x14ac:dyDescent="0.2">
      <c r="A58" s="53">
        <v>43313</v>
      </c>
      <c r="B58" s="44">
        <v>4.2977479800584495E-5</v>
      </c>
      <c r="C58" s="42">
        <f t="shared" si="0"/>
        <v>-1.9554753309265214E-3</v>
      </c>
      <c r="D58" s="1">
        <v>-0.99278687792405007</v>
      </c>
      <c r="E58" s="1">
        <v>-9.7339759370607126E-4</v>
      </c>
      <c r="F58" s="1">
        <v>1.4914089347079038</v>
      </c>
      <c r="G58" s="1">
        <v>-0.49123860774931793</v>
      </c>
      <c r="H58" s="1">
        <v>-8.0624631292634356E-3</v>
      </c>
      <c r="I58" s="33">
        <f t="shared" si="1"/>
        <v>4.2714502610431117E-5</v>
      </c>
      <c r="J58" s="33">
        <f t="shared" si="2"/>
        <v>-2.6297719015337852E-7</v>
      </c>
      <c r="K58" s="1">
        <f t="shared" si="3"/>
        <v>-6.118953260488811E-3</v>
      </c>
      <c r="L58" s="1">
        <f t="shared" si="4"/>
        <v>3.744158900404665E-5</v>
      </c>
    </row>
    <row r="59" spans="1:12" x14ac:dyDescent="0.2">
      <c r="A59" s="53">
        <v>43344</v>
      </c>
      <c r="B59" s="44">
        <v>4.289544235924933E-5</v>
      </c>
      <c r="C59" s="42">
        <f t="shared" si="0"/>
        <v>-1.9088471849866191E-3</v>
      </c>
      <c r="D59" s="1">
        <v>-1.0252325083883171</v>
      </c>
      <c r="E59" s="1">
        <v>3.9632559152225078E-3</v>
      </c>
      <c r="F59" s="1">
        <v>1.4914089347079038</v>
      </c>
      <c r="G59" s="1">
        <v>-0.495223776846482</v>
      </c>
      <c r="H59" s="1">
        <v>6.4799696420845751E-3</v>
      </c>
      <c r="I59" s="33">
        <f t="shared" si="1"/>
        <v>4.3255972564985583E-5</v>
      </c>
      <c r="J59" s="33">
        <f t="shared" si="2"/>
        <v>3.6053020573625244E-7</v>
      </c>
      <c r="K59" s="1">
        <f t="shared" si="3"/>
        <v>8.4048604212263855E-3</v>
      </c>
      <c r="L59" s="1">
        <f t="shared" si="4"/>
        <v>7.0641678700297775E-5</v>
      </c>
    </row>
    <row r="60" spans="1:12" x14ac:dyDescent="0.2">
      <c r="A60" s="53">
        <v>43374</v>
      </c>
      <c r="B60" s="44">
        <v>4.2900042900042899E-5</v>
      </c>
      <c r="C60" s="42">
        <f t="shared" si="0"/>
        <v>1.0725010725007353E-4</v>
      </c>
      <c r="D60" s="1">
        <v>-1.0209068969897117</v>
      </c>
      <c r="E60" s="1">
        <v>4.7674349446846787E-3</v>
      </c>
      <c r="F60" s="1">
        <v>1.4576271186440675</v>
      </c>
      <c r="G60" s="1">
        <v>-0.49411820134230011</v>
      </c>
      <c r="H60" s="1">
        <v>5.8475620757710706E-3</v>
      </c>
      <c r="I60" s="33">
        <f t="shared" si="1"/>
        <v>4.3146276121212697E-5</v>
      </c>
      <c r="J60" s="33">
        <f t="shared" si="2"/>
        <v>2.4623322116979748E-7</v>
      </c>
      <c r="K60" s="1">
        <f t="shared" si="3"/>
        <v>5.7396963854679794E-3</v>
      </c>
      <c r="L60" s="1">
        <f t="shared" si="4"/>
        <v>3.2944114597354191E-5</v>
      </c>
    </row>
    <row r="61" spans="1:12" x14ac:dyDescent="0.2">
      <c r="A61" s="53">
        <v>43405</v>
      </c>
      <c r="B61" s="44">
        <v>4.2932274337233013E-5</v>
      </c>
      <c r="C61" s="42">
        <f t="shared" si="0"/>
        <v>7.5131480090155471E-4</v>
      </c>
      <c r="D61" s="1">
        <v>-1.0086981884850568</v>
      </c>
      <c r="E61" s="1">
        <v>1.546504237097901E-3</v>
      </c>
      <c r="F61" s="1">
        <v>1.2727272727272729</v>
      </c>
      <c r="G61" s="1">
        <v>-0.51001031716890222</v>
      </c>
      <c r="H61" s="1">
        <v>-1.3766856133208731E-3</v>
      </c>
      <c r="I61" s="33">
        <f t="shared" si="1"/>
        <v>4.2840983028171562E-5</v>
      </c>
      <c r="J61" s="33">
        <f t="shared" si="2"/>
        <v>-9.1291309061450549E-8</v>
      </c>
      <c r="K61" s="1">
        <f t="shared" si="3"/>
        <v>-2.1264028163138372E-3</v>
      </c>
      <c r="L61" s="1">
        <f t="shared" si="4"/>
        <v>4.5215889372274182E-6</v>
      </c>
    </row>
    <row r="62" spans="1:12" x14ac:dyDescent="0.2">
      <c r="A62" s="53">
        <v>43435</v>
      </c>
      <c r="B62" s="44">
        <v>4.3114598603087008E-5</v>
      </c>
      <c r="C62" s="42">
        <f t="shared" si="0"/>
        <v>4.2467879624041764E-3</v>
      </c>
      <c r="D62" s="1">
        <v>-1.00315805303524</v>
      </c>
      <c r="E62" s="1">
        <v>4.6691237036267097E-4</v>
      </c>
      <c r="F62" s="1">
        <v>1.265625</v>
      </c>
      <c r="G62" s="1">
        <v>-0.51040119169168174</v>
      </c>
      <c r="H62" s="1">
        <v>-4.1022727338594425E-3</v>
      </c>
      <c r="I62" s="33">
        <f t="shared" si="1"/>
        <v>4.2756154438816806E-5</v>
      </c>
      <c r="J62" s="33">
        <f t="shared" si="2"/>
        <v>-3.5844416427020218E-7</v>
      </c>
      <c r="K62" s="1">
        <f t="shared" si="3"/>
        <v>-8.3137539460830679E-3</v>
      </c>
      <c r="L62" s="1">
        <f t="shared" si="4"/>
        <v>6.9118504676011781E-5</v>
      </c>
    </row>
    <row r="63" spans="1:12" x14ac:dyDescent="0.2">
      <c r="A63" s="53">
        <v>43466</v>
      </c>
      <c r="B63" s="44">
        <v>4.3114598603087008E-5</v>
      </c>
      <c r="C63" s="42">
        <f t="shared" si="0"/>
        <v>0</v>
      </c>
      <c r="D63" s="1">
        <v>-0.99046302519942675</v>
      </c>
      <c r="E63" s="1">
        <v>6.5906785334468587E-4</v>
      </c>
      <c r="F63" s="1">
        <v>1.217125382262997</v>
      </c>
      <c r="G63" s="1">
        <v>-0.5167776764225841</v>
      </c>
      <c r="H63" s="1">
        <v>-7.8523729828002611E-3</v>
      </c>
      <c r="I63" s="33">
        <f t="shared" si="1"/>
        <v>4.2776046693851847E-5</v>
      </c>
      <c r="J63" s="33">
        <f t="shared" si="2"/>
        <v>-3.3855190923516045E-7</v>
      </c>
      <c r="K63" s="1">
        <f t="shared" si="3"/>
        <v>-7.8523729828003114E-3</v>
      </c>
      <c r="L63" s="1">
        <f t="shared" si="4"/>
        <v>6.1659761461012259E-5</v>
      </c>
    </row>
    <row r="64" spans="1:12" x14ac:dyDescent="0.2">
      <c r="A64" s="53">
        <v>43497</v>
      </c>
      <c r="B64" s="44">
        <v>4.3107164410725064E-5</v>
      </c>
      <c r="C64" s="42">
        <f t="shared" si="0"/>
        <v>-1.7242865764291996E-4</v>
      </c>
      <c r="D64" s="1">
        <v>-1.0076468415219801</v>
      </c>
      <c r="E64" s="1">
        <v>-9.2283718694130545E-4</v>
      </c>
      <c r="F64" s="1">
        <v>1.1323529411764706</v>
      </c>
      <c r="G64" s="1">
        <v>-0.48510547942391191</v>
      </c>
      <c r="H64" s="1">
        <v>-4.5803779807192697E-3</v>
      </c>
      <c r="I64" s="33">
        <f t="shared" si="1"/>
        <v>4.2917117444997876E-5</v>
      </c>
      <c r="J64" s="33">
        <f t="shared" si="2"/>
        <v>-1.9004696572718868E-7</v>
      </c>
      <c r="K64" s="1">
        <f t="shared" si="3"/>
        <v>-4.4087095109393223E-3</v>
      </c>
      <c r="L64" s="1">
        <f t="shared" si="4"/>
        <v>1.9436719551846839E-5</v>
      </c>
    </row>
    <row r="65" spans="1:12" x14ac:dyDescent="0.2">
      <c r="A65" s="53">
        <v>43525</v>
      </c>
      <c r="B65" s="44">
        <v>4.3107164410725064E-5</v>
      </c>
      <c r="C65" s="42">
        <f t="shared" si="0"/>
        <v>0</v>
      </c>
      <c r="D65" s="1">
        <v>-0.98668215506945245</v>
      </c>
      <c r="E65" s="1">
        <v>3.772998196025501E-3</v>
      </c>
      <c r="F65" s="1">
        <v>1.1323529411764706</v>
      </c>
      <c r="G65" s="1">
        <v>-0.47134036546922731</v>
      </c>
      <c r="H65" s="1">
        <v>-6.4539793577511745E-3</v>
      </c>
      <c r="I65" s="33">
        <f t="shared" si="1"/>
        <v>4.2828951661447058E-5</v>
      </c>
      <c r="J65" s="33">
        <f t="shared" si="2"/>
        <v>-2.7821274927800608E-7</v>
      </c>
      <c r="K65" s="1">
        <f t="shared" si="3"/>
        <v>-6.4539793577511849E-3</v>
      </c>
      <c r="L65" s="1">
        <f t="shared" si="4"/>
        <v>4.1653849550278395E-5</v>
      </c>
    </row>
    <row r="66" spans="1:12" x14ac:dyDescent="0.2">
      <c r="A66" s="53">
        <v>43556</v>
      </c>
      <c r="B66" s="44">
        <v>4.3001689226757559E-5</v>
      </c>
      <c r="C66" s="42">
        <f t="shared" si="0"/>
        <v>-2.446813317678184E-3</v>
      </c>
      <c r="D66" s="1">
        <v>-1.0247120001227163</v>
      </c>
      <c r="E66" s="1">
        <v>-7.6939540050748878E-3</v>
      </c>
      <c r="F66" s="1">
        <v>1.1260997067448679</v>
      </c>
      <c r="G66" s="1">
        <v>-0.45348203274212984</v>
      </c>
      <c r="H66" s="1">
        <v>-6.1064730194103668E-3</v>
      </c>
      <c r="I66" s="33">
        <f t="shared" si="1"/>
        <v>4.2843931674307686E-5</v>
      </c>
      <c r="J66" s="33">
        <f t="shared" si="2"/>
        <v>-1.5775755244987335E-7</v>
      </c>
      <c r="K66" s="1">
        <f t="shared" si="3"/>
        <v>-3.6686361695695805E-3</v>
      </c>
      <c r="L66" s="1">
        <f t="shared" si="4"/>
        <v>1.3458891344674164E-5</v>
      </c>
    </row>
    <row r="67" spans="1:12" x14ac:dyDescent="0.2">
      <c r="A67" s="53">
        <v>43586</v>
      </c>
      <c r="B67" s="44">
        <v>4.2766662285079565E-5</v>
      </c>
      <c r="C67" s="42">
        <f t="shared" si="0"/>
        <v>-5.4655281200383697E-3</v>
      </c>
      <c r="D67" s="1">
        <v>-0.99399860258521733</v>
      </c>
      <c r="E67" s="1">
        <v>-2.1864244916880438E-3</v>
      </c>
      <c r="F67" s="1">
        <v>1.1198830409356724</v>
      </c>
      <c r="G67" s="1">
        <v>-0.44708614414692482</v>
      </c>
      <c r="H67" s="1">
        <v>-1.012230963316405E-2</v>
      </c>
      <c r="I67" s="33">
        <f t="shared" si="1"/>
        <v>4.256641281365522E-5</v>
      </c>
      <c r="J67" s="33">
        <f t="shared" si="2"/>
        <v>-2.0024947142434466E-7</v>
      </c>
      <c r="K67" s="1">
        <f t="shared" si="3"/>
        <v>-4.6823731552744462E-3</v>
      </c>
      <c r="L67" s="1">
        <f t="shared" si="4"/>
        <v>2.1924618365234772E-5</v>
      </c>
    </row>
    <row r="68" spans="1:12" x14ac:dyDescent="0.2">
      <c r="A68" s="53">
        <v>43617</v>
      </c>
      <c r="B68" s="44">
        <v>4.2955326460481103E-5</v>
      </c>
      <c r="C68" s="42">
        <f t="shared" ref="C68:C128" si="5">(B68-B67)/B67</f>
        <v>4.4114776632302073E-3</v>
      </c>
      <c r="D68" s="1">
        <v>-0.98594018359490676</v>
      </c>
      <c r="E68" s="1">
        <v>2.7952909110806612E-3</v>
      </c>
      <c r="F68" s="1">
        <v>1.1386430678466075</v>
      </c>
      <c r="G68" s="1">
        <v>-0.4517530870939096</v>
      </c>
      <c r="H68" s="1">
        <v>-7.6908913690204323E-3</v>
      </c>
      <c r="I68" s="33">
        <f t="shared" ref="I68:I129" si="6">(1+H68)*B67</f>
        <v>4.2437748531229432E-5</v>
      </c>
      <c r="J68" s="33">
        <f t="shared" ref="J68:J129" si="7">I68-B68</f>
        <v>-5.1757792925167108E-7</v>
      </c>
      <c r="K68" s="1">
        <f t="shared" ref="K68:K129" si="8">J68/B68</f>
        <v>-1.2049214192978901E-2</v>
      </c>
      <c r="L68" s="1">
        <f t="shared" ref="L68:L129" si="9">K68^2</f>
        <v>1.4518356266828418E-4</v>
      </c>
    </row>
    <row r="69" spans="1:12" x14ac:dyDescent="0.2">
      <c r="A69" s="53">
        <v>43647</v>
      </c>
      <c r="B69" s="44">
        <v>4.3090446847933813E-5</v>
      </c>
      <c r="C69" s="42">
        <f t="shared" si="5"/>
        <v>3.145602619899099E-3</v>
      </c>
      <c r="D69" s="1">
        <v>-1.0263603740611784</v>
      </c>
      <c r="E69" s="1">
        <v>-1.1209239526346337E-3</v>
      </c>
      <c r="F69" s="1">
        <v>1.1449704142011834</v>
      </c>
      <c r="G69" s="1">
        <v>-0.45207296894761118</v>
      </c>
      <c r="H69" s="1">
        <v>7.5177417229385212E-4</v>
      </c>
      <c r="I69" s="33">
        <f t="shared" si="6"/>
        <v>4.298761916547654E-5</v>
      </c>
      <c r="J69" s="33">
        <f t="shared" si="7"/>
        <v>-1.0282768245727363E-7</v>
      </c>
      <c r="K69" s="1">
        <f t="shared" si="8"/>
        <v>-2.3863220267859491E-3</v>
      </c>
      <c r="L69" s="1">
        <f t="shared" si="9"/>
        <v>5.6945328155237997E-6</v>
      </c>
    </row>
    <row r="70" spans="1:12" x14ac:dyDescent="0.2">
      <c r="A70" s="53">
        <v>43678</v>
      </c>
      <c r="B70" s="44">
        <v>4.3090446847933813E-5</v>
      </c>
      <c r="C70" s="42">
        <f t="shared" si="5"/>
        <v>0</v>
      </c>
      <c r="D70" s="1">
        <v>-1.0028642061357176</v>
      </c>
      <c r="E70" s="1">
        <v>1.4481639780106192E-4</v>
      </c>
      <c r="F70" s="1">
        <v>1.1323529411764706</v>
      </c>
      <c r="G70" s="1">
        <v>-0.45040046185799409</v>
      </c>
      <c r="H70" s="1">
        <v>-5.1592137126778657E-3</v>
      </c>
      <c r="I70" s="33">
        <f t="shared" si="6"/>
        <v>4.2868134023670536E-5</v>
      </c>
      <c r="J70" s="33">
        <f t="shared" si="7"/>
        <v>-2.2231282426327765E-7</v>
      </c>
      <c r="K70" s="1">
        <f t="shared" si="8"/>
        <v>-5.1592137126778848E-3</v>
      </c>
      <c r="L70" s="1">
        <f t="shared" si="9"/>
        <v>2.6617486133083525E-5</v>
      </c>
    </row>
    <row r="71" spans="1:12" x14ac:dyDescent="0.2">
      <c r="A71" s="53">
        <v>43709</v>
      </c>
      <c r="B71" s="44">
        <v>4.3792232900967944E-5</v>
      </c>
      <c r="C71" s="42">
        <f t="shared" si="5"/>
        <v>1.6286348932763081E-2</v>
      </c>
      <c r="D71" s="1">
        <v>-1.0418990058879256</v>
      </c>
      <c r="E71" s="1">
        <v>2.851812732404202E-3</v>
      </c>
      <c r="F71" s="1">
        <v>1.3162939297124603</v>
      </c>
      <c r="G71" s="1">
        <v>-0.43203715846442736</v>
      </c>
      <c r="H71" s="1">
        <v>9.6442181863286153E-3</v>
      </c>
      <c r="I71" s="33">
        <f t="shared" si="6"/>
        <v>4.350602051908168E-5</v>
      </c>
      <c r="J71" s="33">
        <f t="shared" si="7"/>
        <v>-2.8621238188626479E-7</v>
      </c>
      <c r="K71" s="1">
        <f t="shared" si="8"/>
        <v>-6.5356882471260926E-3</v>
      </c>
      <c r="L71" s="1">
        <f t="shared" si="9"/>
        <v>4.2715220863622137E-5</v>
      </c>
    </row>
    <row r="72" spans="1:12" x14ac:dyDescent="0.2">
      <c r="A72" s="53">
        <v>43739</v>
      </c>
      <c r="B72" s="44">
        <v>4.3090446847933813E-5</v>
      </c>
      <c r="C72" s="42">
        <f t="shared" si="5"/>
        <v>-1.6025354418925268E-2</v>
      </c>
      <c r="D72" s="1">
        <v>-1.0230338801165109</v>
      </c>
      <c r="E72" s="1">
        <v>2.3676964546541779E-3</v>
      </c>
      <c r="F72" s="1">
        <v>1.3026315789473686</v>
      </c>
      <c r="G72" s="1">
        <v>-0.40639562972981869</v>
      </c>
      <c r="H72" s="1">
        <v>3.3330101865233549E-3</v>
      </c>
      <c r="I72" s="33">
        <f t="shared" si="6"/>
        <v>4.3938192859317477E-5</v>
      </c>
      <c r="J72" s="33">
        <f t="shared" si="7"/>
        <v>8.4774601138366324E-7</v>
      </c>
      <c r="K72" s="1">
        <f t="shared" si="8"/>
        <v>1.9673641686180673E-2</v>
      </c>
      <c r="L72" s="1">
        <f t="shared" si="9"/>
        <v>3.8705217719622593E-4</v>
      </c>
    </row>
    <row r="73" spans="1:12" x14ac:dyDescent="0.2">
      <c r="A73" s="53">
        <v>43770</v>
      </c>
      <c r="B73" s="44">
        <v>4.3090446847933813E-5</v>
      </c>
      <c r="C73" s="42">
        <f t="shared" si="5"/>
        <v>0</v>
      </c>
      <c r="D73" s="1">
        <v>-1.0244702138431496</v>
      </c>
      <c r="E73" s="1">
        <v>3.5566782036631217E-3</v>
      </c>
      <c r="F73" s="1">
        <v>1.4734982332155475</v>
      </c>
      <c r="G73" s="1">
        <v>-0.40128428427389384</v>
      </c>
      <c r="H73" s="1">
        <v>5.3684888163536889E-3</v>
      </c>
      <c r="I73" s="33">
        <f t="shared" si="6"/>
        <v>4.3321777429928628E-5</v>
      </c>
      <c r="J73" s="33">
        <f t="shared" si="7"/>
        <v>2.3133058199481445E-7</v>
      </c>
      <c r="K73" s="1">
        <f t="shared" si="8"/>
        <v>5.3684888163536585E-3</v>
      </c>
      <c r="L73" s="1">
        <f t="shared" si="9"/>
        <v>2.8820672171314304E-5</v>
      </c>
    </row>
    <row r="74" spans="1:12" x14ac:dyDescent="0.2">
      <c r="A74" s="53">
        <v>43800</v>
      </c>
      <c r="B74" s="44">
        <v>4.3157395019636617E-5</v>
      </c>
      <c r="C74" s="42">
        <f t="shared" si="5"/>
        <v>1.5536662207069547E-3</v>
      </c>
      <c r="D74" s="1">
        <v>-1.0213769393511989</v>
      </c>
      <c r="E74" s="1">
        <v>1.0167695390497666E-2</v>
      </c>
      <c r="F74" s="1">
        <v>1.7450980392156863</v>
      </c>
      <c r="G74" s="1">
        <v>-0.36843445795492324</v>
      </c>
      <c r="H74" s="1">
        <v>1.1402613690708399E-2</v>
      </c>
      <c r="I74" s="33">
        <f t="shared" si="6"/>
        <v>4.3581790567100806E-5</v>
      </c>
      <c r="J74" s="33">
        <f t="shared" si="7"/>
        <v>4.2439554746418905E-7</v>
      </c>
      <c r="K74" s="1">
        <f t="shared" si="8"/>
        <v>9.8336692302927239E-3</v>
      </c>
      <c r="L74" s="1">
        <f t="shared" si="9"/>
        <v>9.6701050530805893E-5</v>
      </c>
    </row>
    <row r="75" spans="1:12" x14ac:dyDescent="0.2">
      <c r="A75" s="53">
        <v>43831</v>
      </c>
      <c r="B75" s="44">
        <v>4.3136916573203351E-5</v>
      </c>
      <c r="C75" s="42">
        <f t="shared" si="5"/>
        <v>-4.7450608230520256E-4</v>
      </c>
      <c r="D75" s="1">
        <v>-1.0016092649647887</v>
      </c>
      <c r="E75" s="1">
        <v>1.4913337224774281E-2</v>
      </c>
      <c r="F75" s="1">
        <v>1.7450980392156863</v>
      </c>
      <c r="G75" s="1">
        <v>-0.33859606015388577</v>
      </c>
      <c r="H75" s="1">
        <v>9.8623776991149208E-3</v>
      </c>
      <c r="I75" s="33">
        <f t="shared" si="6"/>
        <v>4.3583029549830172E-5</v>
      </c>
      <c r="J75" s="33">
        <f t="shared" si="7"/>
        <v>4.4611297662682165E-7</v>
      </c>
      <c r="K75" s="1">
        <f t="shared" si="8"/>
        <v>1.0341791024162978E-2</v>
      </c>
      <c r="L75" s="1">
        <f t="shared" si="9"/>
        <v>1.0695264158745794E-4</v>
      </c>
    </row>
    <row r="76" spans="1:12" x14ac:dyDescent="0.2">
      <c r="A76" s="53">
        <v>43862</v>
      </c>
      <c r="B76" s="44">
        <v>4.3029259896729779E-5</v>
      </c>
      <c r="C76" s="42">
        <f t="shared" si="5"/>
        <v>-2.4956970740103385E-3</v>
      </c>
      <c r="D76" s="1">
        <v>-0.99559471365638763</v>
      </c>
      <c r="E76" s="1">
        <v>8.4155795496447805E-3</v>
      </c>
      <c r="F76" s="1">
        <v>1.7450980392156863</v>
      </c>
      <c r="G76" s="1">
        <v>-0.30808565588221259</v>
      </c>
      <c r="H76" s="1">
        <v>1.6640383697982678E-3</v>
      </c>
      <c r="I76" s="33">
        <f t="shared" si="6"/>
        <v>4.3208698057535953E-5</v>
      </c>
      <c r="J76" s="33">
        <f t="shared" si="7"/>
        <v>1.7943816080617363E-7</v>
      </c>
      <c r="K76" s="1">
        <f t="shared" si="8"/>
        <v>4.1701428571354745E-3</v>
      </c>
      <c r="L76" s="1">
        <f t="shared" si="9"/>
        <v>1.7390091448918019E-5</v>
      </c>
    </row>
    <row r="77" spans="1:12" x14ac:dyDescent="0.2">
      <c r="A77" s="53">
        <v>43891</v>
      </c>
      <c r="B77" s="44">
        <v>4.2317295078498584E-5</v>
      </c>
      <c r="C77" s="42">
        <f t="shared" si="5"/>
        <v>-1.6546062375692977E-2</v>
      </c>
      <c r="D77" s="1">
        <v>-1.0413912912119039</v>
      </c>
      <c r="E77" s="1">
        <v>-4.3985633490297715E-3</v>
      </c>
      <c r="F77" s="1">
        <v>1.7131782945736433</v>
      </c>
      <c r="G77" s="1">
        <v>-0.30893099320063733</v>
      </c>
      <c r="H77" s="1">
        <v>3.0737076192477973E-3</v>
      </c>
      <c r="I77" s="33">
        <f t="shared" si="6"/>
        <v>4.3161519260724949E-5</v>
      </c>
      <c r="J77" s="33">
        <f t="shared" si="7"/>
        <v>8.4422418222636548E-7</v>
      </c>
      <c r="K77" s="1">
        <f t="shared" si="8"/>
        <v>1.994986165019124E-2</v>
      </c>
      <c r="L77" s="1">
        <f t="shared" si="9"/>
        <v>3.9799697986177117E-4</v>
      </c>
    </row>
    <row r="78" spans="1:12" x14ac:dyDescent="0.2">
      <c r="A78" s="53">
        <v>43922</v>
      </c>
      <c r="B78" s="44">
        <v>4.265483705852244E-5</v>
      </c>
      <c r="C78" s="42">
        <f t="shared" si="5"/>
        <v>7.9764545299437356E-3</v>
      </c>
      <c r="D78" s="1">
        <v>-1.0290448372204211</v>
      </c>
      <c r="E78" s="1">
        <v>-5.0064452511553448E-3</v>
      </c>
      <c r="F78" s="1">
        <v>2.6363636363636367</v>
      </c>
      <c r="G78" s="1">
        <v>-0.30110422030441808</v>
      </c>
      <c r="H78" s="1">
        <v>1.3472319079793789E-3</v>
      </c>
      <c r="I78" s="33">
        <f t="shared" si="6"/>
        <v>4.2374306288687722E-5</v>
      </c>
      <c r="J78" s="33">
        <f t="shared" si="7"/>
        <v>-2.8053076983471732E-7</v>
      </c>
      <c r="K78" s="1">
        <f t="shared" si="8"/>
        <v>-6.5767633680051127E-3</v>
      </c>
      <c r="L78" s="1">
        <f t="shared" si="9"/>
        <v>4.3253816398733956E-5</v>
      </c>
    </row>
    <row r="79" spans="1:12" x14ac:dyDescent="0.2">
      <c r="A79" s="53">
        <v>43952</v>
      </c>
      <c r="B79" s="44">
        <v>4.2901883392680941E-5</v>
      </c>
      <c r="C79" s="42">
        <f t="shared" si="5"/>
        <v>5.7917542580118997E-3</v>
      </c>
      <c r="D79" s="1">
        <v>-0.99487888978757821</v>
      </c>
      <c r="E79" s="1">
        <v>-8.8009093018768247E-3</v>
      </c>
      <c r="F79" s="1">
        <v>4.7142857142857144</v>
      </c>
      <c r="G79" s="1">
        <v>-0.30544547834102809</v>
      </c>
      <c r="H79" s="1">
        <v>-6.6888647137994988E-3</v>
      </c>
      <c r="I79" s="33">
        <f t="shared" si="6"/>
        <v>4.2369524624048821E-5</v>
      </c>
      <c r="J79" s="33">
        <f t="shared" si="7"/>
        <v>-5.3235876863212006E-7</v>
      </c>
      <c r="K79" s="1">
        <f t="shared" si="8"/>
        <v>-1.2408750538046086E-2</v>
      </c>
      <c r="L79" s="1">
        <f t="shared" si="9"/>
        <v>1.5397708991545905E-4</v>
      </c>
    </row>
    <row r="80" spans="1:12" x14ac:dyDescent="0.2">
      <c r="A80" s="53">
        <v>43983</v>
      </c>
      <c r="B80" s="44">
        <v>4.2984869325997249E-5</v>
      </c>
      <c r="C80" s="42">
        <f t="shared" si="5"/>
        <v>1.9343191196698412E-3</v>
      </c>
      <c r="D80" s="1">
        <v>-1.0165297902390542</v>
      </c>
      <c r="E80" s="1">
        <v>-3.2149534700343096E-4</v>
      </c>
      <c r="F80" s="1">
        <v>4.2380952380952381</v>
      </c>
      <c r="G80" s="1">
        <v>-0.31333599469046647</v>
      </c>
      <c r="H80" s="1">
        <v>6.6715097066300019E-3</v>
      </c>
      <c r="I80" s="33">
        <f t="shared" si="6"/>
        <v>4.3188103724167927E-5</v>
      </c>
      <c r="J80" s="33">
        <f t="shared" si="7"/>
        <v>2.0323439817067763E-7</v>
      </c>
      <c r="K80" s="1">
        <f t="shared" si="8"/>
        <v>4.7280450390426443E-3</v>
      </c>
      <c r="L80" s="1">
        <f t="shared" si="9"/>
        <v>2.235440989121576E-5</v>
      </c>
    </row>
    <row r="81" spans="1:12" x14ac:dyDescent="0.2">
      <c r="A81" s="53">
        <v>44013</v>
      </c>
      <c r="B81" s="44">
        <v>4.3149946062567421E-5</v>
      </c>
      <c r="C81" s="42">
        <f t="shared" si="5"/>
        <v>3.8403451995684709E-3</v>
      </c>
      <c r="D81" s="1">
        <v>-1.0254831581233155</v>
      </c>
      <c r="E81" s="1">
        <v>1.1059015271719375E-3</v>
      </c>
      <c r="F81" s="1">
        <v>4.0925925925925926</v>
      </c>
      <c r="G81" s="1">
        <v>-0.3182936478752636</v>
      </c>
      <c r="H81" s="1">
        <v>1.0352798505208503E-2</v>
      </c>
      <c r="I81" s="33">
        <f t="shared" si="6"/>
        <v>4.3429883016902016E-5</v>
      </c>
      <c r="J81" s="33">
        <f t="shared" si="7"/>
        <v>2.7993695433459545E-7</v>
      </c>
      <c r="K81" s="1">
        <f t="shared" si="8"/>
        <v>6.48753891670425E-3</v>
      </c>
      <c r="L81" s="1">
        <f t="shared" si="9"/>
        <v>4.2088161195752155E-5</v>
      </c>
    </row>
    <row r="82" spans="1:12" x14ac:dyDescent="0.2">
      <c r="A82" s="53">
        <v>44044</v>
      </c>
      <c r="B82" s="44">
        <v>4.3151808060757745E-5</v>
      </c>
      <c r="C82" s="42">
        <f t="shared" si="5"/>
        <v>4.3151808060768554E-5</v>
      </c>
      <c r="D82" s="1">
        <v>-1.0350953800855862</v>
      </c>
      <c r="E82" s="1">
        <v>-1.0598823586194239E-3</v>
      </c>
      <c r="F82" s="1">
        <v>4.045871559633027</v>
      </c>
      <c r="G82" s="1">
        <v>-0.34453642623461334</v>
      </c>
      <c r="H82" s="1">
        <v>1.1160599814182463E-2</v>
      </c>
      <c r="I82" s="33">
        <f t="shared" si="6"/>
        <v>4.3631525342575292E-5</v>
      </c>
      <c r="J82" s="33">
        <f t="shared" si="7"/>
        <v>4.7971728181754619E-7</v>
      </c>
      <c r="K82" s="1">
        <f t="shared" si="8"/>
        <v>1.1116968288839816E-2</v>
      </c>
      <c r="L82" s="1">
        <f t="shared" si="9"/>
        <v>1.2358698393507008E-4</v>
      </c>
    </row>
    <row r="83" spans="1:12" x14ac:dyDescent="0.2">
      <c r="A83" s="53">
        <v>44075</v>
      </c>
      <c r="B83" s="44">
        <v>4.3122035360068997E-5</v>
      </c>
      <c r="C83" s="42">
        <f t="shared" si="5"/>
        <v>-6.899525657610582E-4</v>
      </c>
      <c r="D83" s="1">
        <v>-1.0534295720509097</v>
      </c>
      <c r="E83" s="1">
        <v>-2.4026345116640035E-3</v>
      </c>
      <c r="F83" s="1">
        <v>4</v>
      </c>
      <c r="G83" s="1">
        <v>-0.31824693671439908</v>
      </c>
      <c r="H83" s="1">
        <v>1.5144613493862922E-2</v>
      </c>
      <c r="I83" s="33">
        <f t="shared" si="6"/>
        <v>4.3805325515399274E-5</v>
      </c>
      <c r="J83" s="33">
        <f t="shared" si="7"/>
        <v>6.8329015533027747E-7</v>
      </c>
      <c r="K83" s="1">
        <f t="shared" si="8"/>
        <v>1.5845498702109134E-2</v>
      </c>
      <c r="L83" s="1">
        <f t="shared" si="9"/>
        <v>2.5107982911854224E-4</v>
      </c>
    </row>
    <row r="84" spans="1:12" x14ac:dyDescent="0.2">
      <c r="A84" s="53">
        <v>44105</v>
      </c>
      <c r="B84" s="44">
        <v>4.3159257660768235E-5</v>
      </c>
      <c r="C84" s="42">
        <f t="shared" si="5"/>
        <v>8.631851532153248E-4</v>
      </c>
      <c r="D84" s="1">
        <v>-1.0324072054782572</v>
      </c>
      <c r="E84" s="1">
        <v>-1.4754145534623397E-4</v>
      </c>
      <c r="F84" s="1">
        <v>3.5871559633027523</v>
      </c>
      <c r="G84" s="1">
        <v>-0.30628505648003213</v>
      </c>
      <c r="H84" s="1">
        <v>9.7473857913475247E-3</v>
      </c>
      <c r="I84" s="33">
        <f t="shared" si="6"/>
        <v>4.3542362474831716E-5</v>
      </c>
      <c r="J84" s="33">
        <f t="shared" si="7"/>
        <v>3.8310481406348139E-7</v>
      </c>
      <c r="K84" s="1">
        <f t="shared" si="8"/>
        <v>8.8765385418508643E-3</v>
      </c>
      <c r="L84" s="1">
        <f t="shared" si="9"/>
        <v>7.8792936484963863E-5</v>
      </c>
    </row>
    <row r="85" spans="1:12" x14ac:dyDescent="0.2">
      <c r="A85" s="53">
        <v>44136</v>
      </c>
      <c r="B85" s="44">
        <v>4.3177892918825559E-5</v>
      </c>
      <c r="C85" s="42">
        <f t="shared" si="5"/>
        <v>4.3177892918821006E-4</v>
      </c>
      <c r="D85" s="1">
        <v>-1.0324160422324749</v>
      </c>
      <c r="E85" s="1">
        <v>4.4387805888890242E-4</v>
      </c>
      <c r="F85" s="1">
        <v>3.5871559633027523</v>
      </c>
      <c r="G85" s="1">
        <v>-0.29583234879155818</v>
      </c>
      <c r="H85" s="1">
        <v>1.0269206255700858E-2</v>
      </c>
      <c r="I85" s="33">
        <f t="shared" si="6"/>
        <v>4.3602468979529602E-5</v>
      </c>
      <c r="J85" s="33">
        <f t="shared" si="7"/>
        <v>4.2457606070404289E-7</v>
      </c>
      <c r="K85" s="1">
        <f t="shared" si="8"/>
        <v>9.833181565905633E-3</v>
      </c>
      <c r="L85" s="1">
        <f t="shared" si="9"/>
        <v>9.6691459708066359E-5</v>
      </c>
    </row>
    <row r="86" spans="1:12" x14ac:dyDescent="0.2">
      <c r="A86" s="53">
        <v>44166</v>
      </c>
      <c r="B86" s="44">
        <v>4.3312543312543313E-5</v>
      </c>
      <c r="C86" s="42">
        <f t="shared" si="5"/>
        <v>3.1185031185031685E-3</v>
      </c>
      <c r="D86" s="1">
        <v>-1.0059540264103599</v>
      </c>
      <c r="E86" s="1">
        <v>5.2694898723726347E-4</v>
      </c>
      <c r="F86" s="1">
        <v>3.5871559633027523</v>
      </c>
      <c r="G86" s="1">
        <v>-0.28591057621535543</v>
      </c>
      <c r="H86" s="1">
        <v>2.3250577895375865E-3</v>
      </c>
      <c r="I86" s="33">
        <f t="shared" si="6"/>
        <v>4.3278284015092289E-5</v>
      </c>
      <c r="J86" s="33">
        <f t="shared" si="7"/>
        <v>-3.4259297451023744E-8</v>
      </c>
      <c r="K86" s="1">
        <f t="shared" si="8"/>
        <v>-7.909786595492362E-4</v>
      </c>
      <c r="L86" s="1">
        <f t="shared" si="9"/>
        <v>6.2564723986230647E-7</v>
      </c>
    </row>
    <row r="87" spans="1:12" x14ac:dyDescent="0.2">
      <c r="A87" s="53">
        <v>44197</v>
      </c>
      <c r="B87" s="44">
        <v>4.3387712599791739E-5</v>
      </c>
      <c r="C87" s="42">
        <f t="shared" si="5"/>
        <v>1.7355085039916615E-3</v>
      </c>
      <c r="D87" s="1">
        <v>-0.99730876052274631</v>
      </c>
      <c r="E87" s="1">
        <v>8.6440151418898381E-5</v>
      </c>
      <c r="F87" s="1">
        <v>3.5871559633027523</v>
      </c>
      <c r="G87" s="1">
        <v>-0.291486378879244</v>
      </c>
      <c r="H87" s="1">
        <v>-6.7825370023108468E-4</v>
      </c>
      <c r="I87" s="33">
        <f t="shared" si="6"/>
        <v>4.3283166419775163E-5</v>
      </c>
      <c r="J87" s="33">
        <f t="shared" si="7"/>
        <v>-1.0454618001657626E-7</v>
      </c>
      <c r="K87" s="1">
        <f t="shared" si="8"/>
        <v>-2.4095803570220497E-3</v>
      </c>
      <c r="L87" s="1">
        <f t="shared" si="9"/>
        <v>5.8060774969465084E-6</v>
      </c>
    </row>
    <row r="88" spans="1:12" x14ac:dyDescent="0.2">
      <c r="A88" s="53">
        <v>44228</v>
      </c>
      <c r="B88" s="44">
        <v>4.3431053203040177E-5</v>
      </c>
      <c r="C88" s="42">
        <f t="shared" si="5"/>
        <v>9.9891422367000444E-4</v>
      </c>
      <c r="D88" s="1">
        <v>-1.023029455505982</v>
      </c>
      <c r="E88" s="1">
        <v>-3.6144085755136501E-3</v>
      </c>
      <c r="F88" s="1">
        <v>3.5871559633027523</v>
      </c>
      <c r="G88" s="1">
        <v>-0.26732710192047238</v>
      </c>
      <c r="H88" s="1">
        <v>3.4072065798177223E-3</v>
      </c>
      <c r="I88" s="33">
        <f t="shared" si="6"/>
        <v>4.3535543499644984E-5</v>
      </c>
      <c r="J88" s="33">
        <f t="shared" si="7"/>
        <v>1.044902966048069E-7</v>
      </c>
      <c r="K88" s="1">
        <f t="shared" si="8"/>
        <v>2.4058890793256789E-3</v>
      </c>
      <c r="L88" s="1">
        <f t="shared" si="9"/>
        <v>5.7883022620185628E-6</v>
      </c>
    </row>
    <row r="89" spans="1:12" x14ac:dyDescent="0.2">
      <c r="A89" s="53">
        <v>44256</v>
      </c>
      <c r="B89" s="44">
        <v>4.3346337234503684E-5</v>
      </c>
      <c r="C89" s="42">
        <f t="shared" si="5"/>
        <v>-1.950585175552761E-3</v>
      </c>
      <c r="D89" s="1">
        <v>-0.99431831745804389</v>
      </c>
      <c r="E89" s="1">
        <v>9.6537687803688321E-3</v>
      </c>
      <c r="F89" s="1">
        <v>3.6296296296296298</v>
      </c>
      <c r="G89" s="1">
        <v>-0.25882568159392705</v>
      </c>
      <c r="H89" s="1">
        <v>7.5784401882119977E-3</v>
      </c>
      <c r="I89" s="33">
        <f t="shared" si="6"/>
        <v>4.3760192842050469E-5</v>
      </c>
      <c r="J89" s="33">
        <f t="shared" si="7"/>
        <v>4.1385560754678515E-7</v>
      </c>
      <c r="K89" s="1">
        <f t="shared" si="8"/>
        <v>9.5476488661043329E-3</v>
      </c>
      <c r="L89" s="1">
        <f t="shared" si="9"/>
        <v>9.1157598870423353E-5</v>
      </c>
    </row>
    <row r="90" spans="1:12" x14ac:dyDescent="0.2">
      <c r="A90" s="53">
        <v>44287</v>
      </c>
      <c r="B90" s="44">
        <v>4.3376420577773921E-5</v>
      </c>
      <c r="C90" s="42">
        <f t="shared" si="5"/>
        <v>6.9402272924438079E-4</v>
      </c>
      <c r="D90" s="1">
        <v>-1.0152315617936183</v>
      </c>
      <c r="E90" s="1">
        <v>-9.6916247088238983E-3</v>
      </c>
      <c r="F90" s="1">
        <v>3.6728971962616823</v>
      </c>
      <c r="G90" s="1">
        <v>-0.23198557198848657</v>
      </c>
      <c r="H90" s="1">
        <v>-4.7044172098104336E-3</v>
      </c>
      <c r="I90" s="33">
        <f t="shared" si="6"/>
        <v>4.3142417979635442E-5</v>
      </c>
      <c r="J90" s="33">
        <f t="shared" si="7"/>
        <v>-2.3400259813847899E-7</v>
      </c>
      <c r="K90" s="1">
        <f t="shared" si="8"/>
        <v>-5.3946958974844944E-3</v>
      </c>
      <c r="L90" s="1">
        <f t="shared" si="9"/>
        <v>2.9102743826336035E-5</v>
      </c>
    </row>
    <row r="91" spans="1:12" x14ac:dyDescent="0.2">
      <c r="A91" s="53">
        <v>44317</v>
      </c>
      <c r="B91" s="44">
        <v>4.3393360815795186E-5</v>
      </c>
      <c r="C91" s="42">
        <f t="shared" si="5"/>
        <v>3.9054024734224411E-4</v>
      </c>
      <c r="D91" s="1">
        <v>-0.98547697635409337</v>
      </c>
      <c r="E91" s="1">
        <v>-8.5317871703831649E-3</v>
      </c>
      <c r="F91" s="1">
        <v>3.6728971962616823</v>
      </c>
      <c r="G91" s="1">
        <v>-0.22481642846149963</v>
      </c>
      <c r="H91" s="1">
        <v>-1.2593860606032429E-2</v>
      </c>
      <c r="I91" s="33">
        <f t="shared" si="6"/>
        <v>4.2830143983428799E-5</v>
      </c>
      <c r="J91" s="33">
        <f t="shared" si="7"/>
        <v>-5.6321683236638752E-7</v>
      </c>
      <c r="K91" s="1">
        <f t="shared" si="8"/>
        <v>-1.29793319018834E-2</v>
      </c>
      <c r="L91" s="1">
        <f t="shared" si="9"/>
        <v>1.6846305661924815E-4</v>
      </c>
    </row>
    <row r="92" spans="1:12" x14ac:dyDescent="0.2">
      <c r="A92" s="53">
        <v>44348</v>
      </c>
      <c r="B92" s="44">
        <v>4.3440486533449174E-5</v>
      </c>
      <c r="C92" s="42">
        <f t="shared" si="5"/>
        <v>1.0860121633361375E-3</v>
      </c>
      <c r="D92" s="1">
        <v>-0.97412313514940807</v>
      </c>
      <c r="E92" s="1">
        <v>-6.3819404669500646E-3</v>
      </c>
      <c r="F92" s="1">
        <v>3.7169811320754711</v>
      </c>
      <c r="G92" s="1">
        <v>-0.22259619050349477</v>
      </c>
      <c r="H92" s="1">
        <v>-1.3836883826961407E-2</v>
      </c>
      <c r="I92" s="33">
        <f t="shared" si="6"/>
        <v>4.2792931923325611E-5</v>
      </c>
      <c r="J92" s="33">
        <f t="shared" si="7"/>
        <v>-6.4755461012356246E-7</v>
      </c>
      <c r="K92" s="1">
        <f t="shared" si="8"/>
        <v>-1.4906707125044409E-2</v>
      </c>
      <c r="L92" s="1">
        <f t="shared" si="9"/>
        <v>2.2220991731184976E-4</v>
      </c>
    </row>
    <row r="93" spans="1:12" x14ac:dyDescent="0.2">
      <c r="A93" s="53">
        <v>44378</v>
      </c>
      <c r="B93" s="44">
        <v>4.3544524276072285E-5</v>
      </c>
      <c r="C93" s="42">
        <f t="shared" si="5"/>
        <v>2.3949488351840248E-3</v>
      </c>
      <c r="D93" s="1">
        <v>-0.99336880004299</v>
      </c>
      <c r="E93" s="1">
        <v>-7.3483914742933365E-3</v>
      </c>
      <c r="F93" s="1">
        <v>3.6296296296296298</v>
      </c>
      <c r="G93" s="1">
        <v>-0.22399639301548546</v>
      </c>
      <c r="H93" s="1">
        <v>-9.2043511748650855E-3</v>
      </c>
      <c r="I93" s="33">
        <f t="shared" si="6"/>
        <v>4.3040645040188311E-5</v>
      </c>
      <c r="J93" s="33">
        <f t="shared" si="7"/>
        <v>-5.0387923588397429E-7</v>
      </c>
      <c r="K93" s="1">
        <f t="shared" si="8"/>
        <v>-1.157158665207547E-2</v>
      </c>
      <c r="L93" s="1">
        <f t="shared" si="9"/>
        <v>1.3390161764649118E-4</v>
      </c>
    </row>
    <row r="94" spans="1:12" x14ac:dyDescent="0.2">
      <c r="A94" s="53">
        <v>44409</v>
      </c>
      <c r="B94" s="44">
        <v>4.3907793633369924E-5</v>
      </c>
      <c r="C94" s="42">
        <f t="shared" si="5"/>
        <v>8.3424807903402804E-3</v>
      </c>
      <c r="D94" s="1">
        <v>-0.98597202159940278</v>
      </c>
      <c r="E94" s="1">
        <v>1.4067094647323142E-3</v>
      </c>
      <c r="F94" s="1">
        <v>3.545454545454545</v>
      </c>
      <c r="G94" s="1">
        <v>-0.21028614424113579</v>
      </c>
      <c r="H94" s="1">
        <v>-3.3263835161016315E-3</v>
      </c>
      <c r="I94" s="33">
        <f t="shared" si="6"/>
        <v>4.3399678488303873E-5</v>
      </c>
      <c r="J94" s="33">
        <f t="shared" si="7"/>
        <v>-5.0811514506605125E-7</v>
      </c>
      <c r="K94" s="1">
        <f t="shared" si="8"/>
        <v>-1.1572322428879317E-2</v>
      </c>
      <c r="L94" s="1">
        <f t="shared" si="9"/>
        <v>1.339186463979433E-4</v>
      </c>
    </row>
    <row r="95" spans="1:12" x14ac:dyDescent="0.2">
      <c r="A95" s="53">
        <v>44440</v>
      </c>
      <c r="B95" s="44">
        <v>4.3950248318903001E-5</v>
      </c>
      <c r="C95" s="42">
        <f t="shared" si="5"/>
        <v>9.6690546301584008E-4</v>
      </c>
      <c r="D95" s="1">
        <v>-0.99695214278038824</v>
      </c>
      <c r="E95" s="1">
        <v>4.1223699130332747E-4</v>
      </c>
      <c r="F95" s="1">
        <v>3.5871559633027523</v>
      </c>
      <c r="G95" s="1">
        <v>-0.55843980176862706</v>
      </c>
      <c r="H95" s="1">
        <v>7.7853886187136904E-4</v>
      </c>
      <c r="I95" s="33">
        <f t="shared" si="6"/>
        <v>4.394197755705253E-5</v>
      </c>
      <c r="J95" s="33">
        <f t="shared" si="7"/>
        <v>-8.2707618504715983E-9</v>
      </c>
      <c r="K95" s="1">
        <f t="shared" si="8"/>
        <v>-1.8818464438378029E-4</v>
      </c>
      <c r="L95" s="1">
        <f t="shared" si="9"/>
        <v>3.5413460381849853E-8</v>
      </c>
    </row>
    <row r="96" spans="1:12" x14ac:dyDescent="0.2">
      <c r="A96" s="53">
        <v>44470</v>
      </c>
      <c r="B96" s="44">
        <v>4.3956043956043955E-5</v>
      </c>
      <c r="C96" s="42">
        <f t="shared" si="5"/>
        <v>1.318681318681089E-4</v>
      </c>
      <c r="D96" s="1">
        <v>-1.0007296675335366</v>
      </c>
      <c r="E96" s="1">
        <v>-8.846942820173731E-3</v>
      </c>
      <c r="F96" s="1">
        <v>0.86046511627906974</v>
      </c>
      <c r="G96" s="1">
        <v>-0.55245797289840737</v>
      </c>
      <c r="H96" s="1">
        <v>-1.4732848548318658E-2</v>
      </c>
      <c r="I96" s="33">
        <f t="shared" si="6"/>
        <v>4.3302735966759608E-5</v>
      </c>
      <c r="J96" s="33">
        <f t="shared" si="7"/>
        <v>-6.5330798928434666E-7</v>
      </c>
      <c r="K96" s="1">
        <f t="shared" si="8"/>
        <v>-1.4862756756218887E-2</v>
      </c>
      <c r="L96" s="1">
        <f t="shared" si="9"/>
        <v>2.2090153839453018E-4</v>
      </c>
    </row>
    <row r="97" spans="1:12" x14ac:dyDescent="0.2">
      <c r="A97" s="53">
        <v>44501</v>
      </c>
      <c r="B97" s="44">
        <v>4.4072278536800355E-5</v>
      </c>
      <c r="C97" s="42">
        <f t="shared" si="5"/>
        <v>2.6443367122081173E-3</v>
      </c>
      <c r="D97" s="1">
        <v>-1.0250026740827896</v>
      </c>
      <c r="E97" s="1">
        <v>-1.0253927704999333E-2</v>
      </c>
      <c r="F97" s="1">
        <v>0.86407766990291024</v>
      </c>
      <c r="G97" s="1">
        <v>-0.55514547284766347</v>
      </c>
      <c r="H97" s="1">
        <v>-8.7441183184650863E-3</v>
      </c>
      <c r="I97" s="33">
        <f t="shared" si="6"/>
        <v>4.3571687106880656E-5</v>
      </c>
      <c r="J97" s="33">
        <f t="shared" si="7"/>
        <v>-5.0059142991969912E-7</v>
      </c>
      <c r="K97" s="1">
        <f t="shared" si="8"/>
        <v>-1.1358419544877972E-2</v>
      </c>
      <c r="L97" s="1">
        <f t="shared" si="9"/>
        <v>1.2901369455746594E-4</v>
      </c>
    </row>
    <row r="98" spans="1:12" x14ac:dyDescent="0.2">
      <c r="A98" s="53">
        <v>44531</v>
      </c>
      <c r="B98" s="44">
        <v>4.392708104546453E-5</v>
      </c>
      <c r="C98" s="42">
        <f t="shared" si="5"/>
        <v>-3.2945310784098705E-3</v>
      </c>
      <c r="D98" s="1">
        <v>-1.0125984251968503</v>
      </c>
      <c r="E98" s="1">
        <v>-1.6960938700757433E-3</v>
      </c>
      <c r="F98" s="1">
        <v>0.76706827309237258</v>
      </c>
      <c r="G98" s="1">
        <v>-0.54024701907119965</v>
      </c>
      <c r="H98" s="1">
        <v>-4.6071889541130923E-3</v>
      </c>
      <c r="I98" s="33">
        <f t="shared" si="6"/>
        <v>4.3869229221943018E-5</v>
      </c>
      <c r="J98" s="33">
        <f t="shared" si="7"/>
        <v>-5.7851823521512416E-8</v>
      </c>
      <c r="K98" s="1">
        <f t="shared" si="8"/>
        <v>-1.3169967624672302E-3</v>
      </c>
      <c r="L98" s="1">
        <f t="shared" si="9"/>
        <v>1.7344804723491658E-6</v>
      </c>
    </row>
    <row r="99" spans="1:12" x14ac:dyDescent="0.2">
      <c r="A99" s="53">
        <v>44562</v>
      </c>
      <c r="B99" s="44">
        <v>4.41598586884522E-5</v>
      </c>
      <c r="C99" s="42">
        <f t="shared" si="5"/>
        <v>5.2991830426143017E-3</v>
      </c>
      <c r="D99" s="1">
        <v>-1.0240360893775993</v>
      </c>
      <c r="E99" s="1">
        <v>-4.8735431166211374E-3</v>
      </c>
      <c r="F99" s="1">
        <v>0.69217923740606468</v>
      </c>
      <c r="G99" s="1">
        <v>-0.54465815741753609</v>
      </c>
      <c r="H99" s="1">
        <v>-4.4031013697775631E-3</v>
      </c>
      <c r="I99" s="33">
        <f t="shared" si="6"/>
        <v>4.3733665654742911E-5</v>
      </c>
      <c r="J99" s="33">
        <f t="shared" si="7"/>
        <v>-4.2619303370928916E-7</v>
      </c>
      <c r="K99" s="1">
        <f t="shared" si="8"/>
        <v>-9.651141248346852E-3</v>
      </c>
      <c r="L99" s="1">
        <f t="shared" si="9"/>
        <v>9.3144527395542034E-5</v>
      </c>
    </row>
    <row r="100" spans="1:12" x14ac:dyDescent="0.2">
      <c r="A100" s="53">
        <v>44593</v>
      </c>
      <c r="B100" s="44">
        <v>4.3821209465381244E-5</v>
      </c>
      <c r="C100" s="42">
        <f t="shared" si="5"/>
        <v>-7.6687116564417958E-3</v>
      </c>
      <c r="D100" s="1">
        <v>-1.0150410460781254</v>
      </c>
      <c r="E100" s="1">
        <v>-6.4443473473144719E-3</v>
      </c>
      <c r="F100" s="1">
        <v>0.69217923740606468</v>
      </c>
      <c r="G100" s="1">
        <v>-0.53382759542897529</v>
      </c>
      <c r="H100" s="1">
        <v>-8.6745916751189596E-3</v>
      </c>
      <c r="I100" s="33">
        <f t="shared" si="6"/>
        <v>4.3776789945898925E-5</v>
      </c>
      <c r="J100" s="33">
        <f t="shared" si="7"/>
        <v>-4.4419519482319326E-8</v>
      </c>
      <c r="K100" s="1">
        <f t="shared" si="8"/>
        <v>-1.0136534345865271E-3</v>
      </c>
      <c r="L100" s="1">
        <f t="shared" si="9"/>
        <v>1.0274932854490628E-6</v>
      </c>
    </row>
    <row r="101" spans="1:12" x14ac:dyDescent="0.2">
      <c r="A101" s="53">
        <v>44621</v>
      </c>
      <c r="B101" s="44">
        <v>4.3756016452262186E-5</v>
      </c>
      <c r="C101" s="42">
        <f t="shared" si="5"/>
        <v>-1.4877045593769008E-3</v>
      </c>
      <c r="D101" s="1">
        <v>-0.98234902814860714</v>
      </c>
      <c r="E101" s="1">
        <v>8.8196489447445181E-4</v>
      </c>
      <c r="F101" s="1">
        <v>0.66832174776564024</v>
      </c>
      <c r="G101" s="1">
        <v>-0.53742608435370709</v>
      </c>
      <c r="H101" s="1">
        <v>-1.1542832912106572E-2</v>
      </c>
      <c r="I101" s="33">
        <f t="shared" si="6"/>
        <v>4.3315388566515926E-5</v>
      </c>
      <c r="J101" s="33">
        <f t="shared" si="7"/>
        <v>-4.4062788574626048E-7</v>
      </c>
      <c r="K101" s="1">
        <f t="shared" si="8"/>
        <v>-1.0070109700845037E-2</v>
      </c>
      <c r="L101" s="1">
        <f t="shared" si="9"/>
        <v>1.0140710938705333E-4</v>
      </c>
    </row>
    <row r="102" spans="1:12" x14ac:dyDescent="0.2">
      <c r="A102" s="53">
        <v>44652</v>
      </c>
      <c r="B102" s="44">
        <v>4.3561596096880988E-5</v>
      </c>
      <c r="C102" s="42">
        <f t="shared" si="5"/>
        <v>-4.4432828018819061E-3</v>
      </c>
      <c r="D102" s="1">
        <v>-1.0232177614270741</v>
      </c>
      <c r="E102" s="1">
        <v>-6.2509211280508126E-3</v>
      </c>
      <c r="F102" s="1">
        <v>0.7302811493795105</v>
      </c>
      <c r="G102" s="1">
        <v>-0.54363919485394996</v>
      </c>
      <c r="H102" s="1">
        <v>-5.8697902228021315E-3</v>
      </c>
      <c r="I102" s="33">
        <f t="shared" si="6"/>
        <v>4.3499177814701932E-5</v>
      </c>
      <c r="J102" s="33">
        <f t="shared" si="7"/>
        <v>-6.2418282179055632E-8</v>
      </c>
      <c r="K102" s="1">
        <f t="shared" si="8"/>
        <v>-1.4328740857024011E-3</v>
      </c>
      <c r="L102" s="1">
        <f t="shared" si="9"/>
        <v>2.0531281454774918E-6</v>
      </c>
    </row>
    <row r="103" spans="1:12" x14ac:dyDescent="0.2">
      <c r="A103" s="53">
        <v>44682</v>
      </c>
      <c r="B103" s="44">
        <v>4.3148084225060405E-5</v>
      </c>
      <c r="C103" s="42">
        <f t="shared" si="5"/>
        <v>-9.4925785295132941E-3</v>
      </c>
      <c r="D103" s="1">
        <v>-1.0037523598520899</v>
      </c>
      <c r="E103" s="1">
        <v>-3.7177764234291866E-3</v>
      </c>
      <c r="F103" s="1">
        <v>0.73913043478260865</v>
      </c>
      <c r="G103" s="1">
        <v>-0.53332393513508913</v>
      </c>
      <c r="H103" s="1">
        <v>-9.3277653817445943E-3</v>
      </c>
      <c r="I103" s="33">
        <f t="shared" si="6"/>
        <v>4.3155263748834963E-5</v>
      </c>
      <c r="J103" s="33">
        <f t="shared" si="7"/>
        <v>7.1795237745574786E-9</v>
      </c>
      <c r="K103" s="1">
        <f t="shared" si="8"/>
        <v>1.6639264299914412E-4</v>
      </c>
      <c r="L103" s="1">
        <f t="shared" si="9"/>
        <v>2.7686511644240625E-8</v>
      </c>
    </row>
    <row r="104" spans="1:12" x14ac:dyDescent="0.2">
      <c r="A104" s="53">
        <v>44713</v>
      </c>
      <c r="B104" s="44">
        <v>4.2983021706425962E-5</v>
      </c>
      <c r="C104" s="42">
        <f t="shared" si="5"/>
        <v>-3.8254889318718715E-3</v>
      </c>
      <c r="D104" s="1">
        <v>-0.98229737525237959</v>
      </c>
      <c r="E104" s="1">
        <v>-7.1655345574265228E-3</v>
      </c>
      <c r="F104" s="1">
        <v>0.73889459938109736</v>
      </c>
      <c r="G104" s="1">
        <v>-0.54705373344609631</v>
      </c>
      <c r="H104" s="1">
        <v>-1.9044182846881759E-2</v>
      </c>
      <c r="I104" s="33">
        <f t="shared" si="6"/>
        <v>4.2326364219585699E-5</v>
      </c>
      <c r="J104" s="33">
        <f t="shared" si="7"/>
        <v>-6.5665748684026276E-7</v>
      </c>
      <c r="K104" s="1">
        <f t="shared" si="8"/>
        <v>-1.5277136431338713E-2</v>
      </c>
      <c r="L104" s="1">
        <f t="shared" si="9"/>
        <v>2.3339089754173656E-4</v>
      </c>
    </row>
    <row r="105" spans="1:12" x14ac:dyDescent="0.2">
      <c r="A105" s="53">
        <v>44743</v>
      </c>
      <c r="B105" s="44">
        <v>4.2811884579159176E-5</v>
      </c>
      <c r="C105" s="42">
        <f t="shared" si="5"/>
        <v>-3.9815052658617612E-3</v>
      </c>
      <c r="D105" s="1">
        <v>-1.0075987713345236</v>
      </c>
      <c r="E105" s="1">
        <v>-6.7888239586124666E-3</v>
      </c>
      <c r="F105" s="1">
        <v>0.48319716410216484</v>
      </c>
      <c r="G105" s="1">
        <v>-0.54616792028953709</v>
      </c>
      <c r="H105" s="1">
        <v>-1.1783516956414372E-2</v>
      </c>
      <c r="I105" s="33">
        <f t="shared" si="6"/>
        <v>4.2476530541310365E-5</v>
      </c>
      <c r="J105" s="33">
        <f t="shared" si="7"/>
        <v>-3.3535403784881111E-7</v>
      </c>
      <c r="K105" s="1">
        <f t="shared" si="8"/>
        <v>-7.8331996160725288E-3</v>
      </c>
      <c r="L105" s="1">
        <f t="shared" si="9"/>
        <v>6.1359016225238811E-5</v>
      </c>
    </row>
    <row r="106" spans="1:12" x14ac:dyDescent="0.2">
      <c r="A106" s="53">
        <v>44774</v>
      </c>
      <c r="B106" s="44">
        <v>4.2707666026051675E-5</v>
      </c>
      <c r="C106" s="42">
        <f t="shared" si="5"/>
        <v>-2.4343369634850041E-3</v>
      </c>
      <c r="D106" s="1">
        <v>-1.0006499133448874</v>
      </c>
      <c r="E106" s="1">
        <v>4.0716000722300638E-3</v>
      </c>
      <c r="F106" s="1">
        <v>0.48077458899270265</v>
      </c>
      <c r="G106" s="1">
        <v>-0.55753193378525578</v>
      </c>
      <c r="H106" s="1">
        <v>-3.3988037300845728E-3</v>
      </c>
      <c r="I106" s="33">
        <f t="shared" si="6"/>
        <v>4.2666375386159577E-5</v>
      </c>
      <c r="J106" s="33">
        <f t="shared" si="7"/>
        <v>-4.1290639892098868E-8</v>
      </c>
      <c r="K106" s="1">
        <f t="shared" si="8"/>
        <v>-9.6682033307349507E-4</v>
      </c>
      <c r="L106" s="1">
        <f t="shared" si="9"/>
        <v>9.3474155644434395E-7</v>
      </c>
    </row>
    <row r="107" spans="1:12" x14ac:dyDescent="0.2">
      <c r="A107" s="53">
        <v>44805</v>
      </c>
      <c r="B107" s="44">
        <v>4.1981528127623844E-5</v>
      </c>
      <c r="C107" s="42">
        <f t="shared" si="5"/>
        <v>-1.7002518891687662E-2</v>
      </c>
      <c r="D107" s="1">
        <v>-1.0362574088163741</v>
      </c>
      <c r="E107" s="1">
        <v>4.0454264596934131E-4</v>
      </c>
      <c r="F107" s="1">
        <v>0.63812589663739261</v>
      </c>
      <c r="G107" s="1">
        <v>-0.57904624186899456</v>
      </c>
      <c r="H107" s="1">
        <v>4.3596823844226258E-3</v>
      </c>
      <c r="I107" s="33">
        <f t="shared" si="6"/>
        <v>4.2893857885305252E-5</v>
      </c>
      <c r="J107" s="33">
        <f t="shared" si="7"/>
        <v>9.123297576814075E-7</v>
      </c>
      <c r="K107" s="1">
        <f t="shared" si="8"/>
        <v>2.1731694827971128E-2</v>
      </c>
      <c r="L107" s="1">
        <f t="shared" si="9"/>
        <v>4.7226656009606712E-4</v>
      </c>
    </row>
    <row r="108" spans="1:12" x14ac:dyDescent="0.2">
      <c r="A108" s="53">
        <v>44835</v>
      </c>
      <c r="B108" s="44">
        <v>4.0290088638195005E-5</v>
      </c>
      <c r="C108" s="42">
        <f t="shared" si="5"/>
        <v>-4.029008863819495E-2</v>
      </c>
      <c r="D108" s="1">
        <v>-1.0173369955039275</v>
      </c>
      <c r="E108" s="1">
        <v>1.8262875360508524E-3</v>
      </c>
      <c r="F108" s="1">
        <v>0.40820130518526088</v>
      </c>
      <c r="G108" s="1">
        <v>-0.60027517990443391</v>
      </c>
      <c r="H108" s="1">
        <v>-5.3047906283418223E-4</v>
      </c>
      <c r="I108" s="33">
        <f t="shared" si="6"/>
        <v>4.1959257805926356E-5</v>
      </c>
      <c r="J108" s="33">
        <f t="shared" si="7"/>
        <v>1.6691691677313508E-6</v>
      </c>
      <c r="K108" s="1">
        <f t="shared" si="8"/>
        <v>4.1428778743092129E-2</v>
      </c>
      <c r="L108" s="1">
        <f t="shared" si="9"/>
        <v>1.7163437081440822E-3</v>
      </c>
    </row>
    <row r="109" spans="1:12" x14ac:dyDescent="0.2">
      <c r="A109" s="53">
        <v>44866</v>
      </c>
      <c r="B109" s="44">
        <v>4.0404040404040405E-5</v>
      </c>
      <c r="C109" s="42">
        <f t="shared" si="5"/>
        <v>2.8282828282828335E-3</v>
      </c>
      <c r="D109" s="1">
        <v>-1.022363029841546</v>
      </c>
      <c r="E109" s="1">
        <v>-2.5939720011251E-3</v>
      </c>
      <c r="F109" s="1">
        <v>0.33750993470172697</v>
      </c>
      <c r="G109" s="1">
        <v>-0.61268377214098635</v>
      </c>
      <c r="H109" s="1">
        <v>-3.4038249770372252E-3</v>
      </c>
      <c r="I109" s="33">
        <f t="shared" si="6"/>
        <v>4.0152948228161278E-5</v>
      </c>
      <c r="J109" s="33">
        <f t="shared" si="7"/>
        <v>-2.5109217587912714E-7</v>
      </c>
      <c r="K109" s="1">
        <f t="shared" si="8"/>
        <v>-6.2145313530083965E-3</v>
      </c>
      <c r="L109" s="1">
        <f t="shared" si="9"/>
        <v>3.8620399937524368E-5</v>
      </c>
    </row>
    <row r="110" spans="1:12" x14ac:dyDescent="0.2">
      <c r="A110" s="53">
        <v>44896</v>
      </c>
      <c r="B110" s="44">
        <v>4.2372881355932206E-5</v>
      </c>
      <c r="C110" s="42">
        <f t="shared" si="5"/>
        <v>4.8728813559322071E-2</v>
      </c>
      <c r="D110" s="1">
        <v>-1.0066338540552109</v>
      </c>
      <c r="E110" s="1">
        <v>4.8869624031313563E-3</v>
      </c>
      <c r="F110" s="1">
        <v>0.2491071371290785</v>
      </c>
      <c r="G110" s="1">
        <v>-0.62690203107176212</v>
      </c>
      <c r="H110" s="1">
        <v>-1.1429146547013666E-3</v>
      </c>
      <c r="I110" s="33">
        <f t="shared" si="6"/>
        <v>4.0357862034153478E-5</v>
      </c>
      <c r="J110" s="33">
        <f t="shared" si="7"/>
        <v>-2.0150193217787285E-6</v>
      </c>
      <c r="K110" s="1">
        <f t="shared" si="8"/>
        <v>-4.7554455993977993E-2</v>
      </c>
      <c r="L110" s="1">
        <f t="shared" si="9"/>
        <v>2.2614262848831895E-3</v>
      </c>
    </row>
    <row r="111" spans="1:12" x14ac:dyDescent="0.2">
      <c r="A111" s="53">
        <v>44927</v>
      </c>
      <c r="B111" s="44">
        <v>4.2607584149978694E-5</v>
      </c>
      <c r="C111" s="42">
        <f t="shared" si="5"/>
        <v>5.5389859394971153E-3</v>
      </c>
      <c r="D111" s="1">
        <v>-1.0185252297000575</v>
      </c>
      <c r="E111" s="1">
        <v>2.9541610090382253E-3</v>
      </c>
      <c r="F111" s="1">
        <v>0.10584518167456558</v>
      </c>
      <c r="G111" s="1">
        <v>-0.62813075935325013</v>
      </c>
      <c r="H111" s="1">
        <v>1.8495392442008894E-4</v>
      </c>
      <c r="I111" s="33">
        <f t="shared" si="6"/>
        <v>4.2380718386627974E-5</v>
      </c>
      <c r="J111" s="33">
        <f t="shared" si="7"/>
        <v>-2.2686576335072066E-7</v>
      </c>
      <c r="K111" s="1">
        <f t="shared" si="8"/>
        <v>-5.3245394658414146E-3</v>
      </c>
      <c r="L111" s="1">
        <f t="shared" si="9"/>
        <v>2.8350720523302776E-5</v>
      </c>
    </row>
    <row r="112" spans="1:12" x14ac:dyDescent="0.2">
      <c r="A112" s="53">
        <v>44958</v>
      </c>
      <c r="B112" s="44">
        <v>4.2007981516488134E-5</v>
      </c>
      <c r="C112" s="42">
        <f t="shared" si="5"/>
        <v>-1.4072673808023441E-2</v>
      </c>
      <c r="D112" s="1">
        <v>-1.0069578786486111</v>
      </c>
      <c r="E112" s="1">
        <v>-2.8198183607961447E-3</v>
      </c>
      <c r="F112" s="1">
        <v>-2.4342427707897407E-3</v>
      </c>
      <c r="G112" s="1">
        <v>-0.6260667388772021</v>
      </c>
      <c r="H112" s="1">
        <v>-9.1655865653450259E-3</v>
      </c>
      <c r="I112" s="33">
        <f t="shared" si="6"/>
        <v>4.2217060649111844E-5</v>
      </c>
      <c r="J112" s="33">
        <f t="shared" si="7"/>
        <v>2.0907913262370968E-7</v>
      </c>
      <c r="K112" s="1">
        <f t="shared" si="8"/>
        <v>4.9771287521074093E-3</v>
      </c>
      <c r="L112" s="1">
        <f t="shared" si="9"/>
        <v>2.4771810615054258E-5</v>
      </c>
    </row>
    <row r="113" spans="1:12" x14ac:dyDescent="0.2">
      <c r="A113" s="53">
        <v>44986</v>
      </c>
      <c r="B113" s="44">
        <v>4.2607584149978694E-5</v>
      </c>
      <c r="C113" s="42">
        <f t="shared" si="5"/>
        <v>1.4273540690242776E-2</v>
      </c>
      <c r="D113" s="1">
        <v>-1.0285760494900382</v>
      </c>
      <c r="E113" s="1">
        <v>-1.0870425142882612E-3</v>
      </c>
      <c r="F113" s="1">
        <v>-0.19240312186068154</v>
      </c>
      <c r="G113" s="1">
        <v>-0.62292603170876648</v>
      </c>
      <c r="H113" s="1">
        <v>-1.5368774894417444E-3</v>
      </c>
      <c r="I113" s="33">
        <f t="shared" si="6"/>
        <v>4.1943420395318561E-5</v>
      </c>
      <c r="J113" s="33">
        <f t="shared" si="7"/>
        <v>-6.6416375466013338E-7</v>
      </c>
      <c r="K113" s="1">
        <f t="shared" si="8"/>
        <v>-1.5587923321873332E-2</v>
      </c>
      <c r="L113" s="1">
        <f t="shared" si="9"/>
        <v>2.4298335348860254E-4</v>
      </c>
    </row>
    <row r="114" spans="1:12" x14ac:dyDescent="0.2">
      <c r="A114" s="53">
        <v>45017</v>
      </c>
      <c r="B114" s="44">
        <v>4.2653017701002346E-5</v>
      </c>
      <c r="C114" s="42">
        <f t="shared" si="5"/>
        <v>1.0663254425251022E-3</v>
      </c>
      <c r="D114" s="1">
        <v>-1.0184759266553998</v>
      </c>
      <c r="E114" s="1">
        <v>-5.551350932295307E-3</v>
      </c>
      <c r="F114" s="1">
        <v>-0.2484814478840256</v>
      </c>
      <c r="G114" s="1">
        <v>-0.62613685444906242</v>
      </c>
      <c r="H114" s="1">
        <v>-9.0142891627979817E-3</v>
      </c>
      <c r="I114" s="33">
        <f t="shared" si="6"/>
        <v>4.222350706592254E-5</v>
      </c>
      <c r="J114" s="33">
        <f t="shared" si="7"/>
        <v>-4.2951063507980534E-7</v>
      </c>
      <c r="K114" s="1">
        <f t="shared" si="8"/>
        <v>-1.0069876839446035E-2</v>
      </c>
      <c r="L114" s="1">
        <f t="shared" si="9"/>
        <v>1.0140241956161168E-4</v>
      </c>
    </row>
    <row r="115" spans="1:12" x14ac:dyDescent="0.2">
      <c r="A115" s="53">
        <v>45047</v>
      </c>
      <c r="B115" s="44">
        <v>4.2589437819420782E-5</v>
      </c>
      <c r="C115" s="42">
        <f t="shared" si="5"/>
        <v>-1.4906303236797733E-3</v>
      </c>
      <c r="D115" s="1">
        <v>-1.0318845992250596</v>
      </c>
      <c r="E115" s="1">
        <v>-8.441333649788163E-3</v>
      </c>
      <c r="F115" s="1">
        <v>-0.25289474082342611</v>
      </c>
      <c r="G115" s="1">
        <v>-0.61796636652255732</v>
      </c>
      <c r="H115" s="1">
        <v>-7.79910121604282E-3</v>
      </c>
      <c r="I115" s="33">
        <f t="shared" si="6"/>
        <v>4.2320362498782566E-5</v>
      </c>
      <c r="J115" s="33">
        <f t="shared" si="7"/>
        <v>-2.6907532063821554E-7</v>
      </c>
      <c r="K115" s="1">
        <f t="shared" si="8"/>
        <v>-6.3178885285853012E-3</v>
      </c>
      <c r="L115" s="1">
        <f t="shared" si="9"/>
        <v>3.9915715459629739E-5</v>
      </c>
    </row>
    <row r="116" spans="1:12" x14ac:dyDescent="0.2">
      <c r="A116" s="53">
        <v>45078</v>
      </c>
      <c r="B116" s="44">
        <v>4.2428613857185285E-5</v>
      </c>
      <c r="C116" s="42">
        <f t="shared" si="5"/>
        <v>-3.7761466332894467E-3</v>
      </c>
      <c r="D116" s="1">
        <v>-1.0222175379426643</v>
      </c>
      <c r="E116" s="1">
        <v>-2.4372968365209413E-3</v>
      </c>
      <c r="F116" s="1">
        <v>-0.25679169054677631</v>
      </c>
      <c r="G116" s="1">
        <v>-0.61399614425164617</v>
      </c>
      <c r="H116" s="1">
        <v>-4.9752282494482832E-3</v>
      </c>
      <c r="I116" s="33">
        <f t="shared" si="6"/>
        <v>4.2377545645253479E-5</v>
      </c>
      <c r="J116" s="33">
        <f t="shared" si="7"/>
        <v>-5.1068211931806773E-8</v>
      </c>
      <c r="K116" s="1">
        <f t="shared" si="8"/>
        <v>-1.2036266870207538E-3</v>
      </c>
      <c r="L116" s="1">
        <f t="shared" si="9"/>
        <v>1.4487172017085558E-6</v>
      </c>
    </row>
    <row r="117" spans="1:12" x14ac:dyDescent="0.2">
      <c r="A117" s="53">
        <v>45108</v>
      </c>
      <c r="B117" s="44">
        <v>4.2220814861726833E-5</v>
      </c>
      <c r="C117" s="42">
        <f t="shared" si="5"/>
        <v>-4.8976145239602586E-3</v>
      </c>
      <c r="D117" s="1">
        <v>-1.0306538398826024</v>
      </c>
      <c r="E117" s="1">
        <v>-5.5312823285569301E-4</v>
      </c>
      <c r="F117" s="1">
        <v>-0.2490124818361954</v>
      </c>
      <c r="G117" s="1">
        <v>-0.60892132144838573</v>
      </c>
      <c r="H117" s="1">
        <v>-6.2365350033206576E-4</v>
      </c>
      <c r="I117" s="33">
        <f t="shared" si="6"/>
        <v>4.2402153103639011E-5</v>
      </c>
      <c r="J117" s="33">
        <f t="shared" si="7"/>
        <v>1.8133824191217781E-7</v>
      </c>
      <c r="K117" s="1">
        <f t="shared" si="8"/>
        <v>4.2949962596899316E-3</v>
      </c>
      <c r="L117" s="1">
        <f t="shared" si="9"/>
        <v>1.8446992870750503E-5</v>
      </c>
    </row>
    <row r="118" spans="1:12" x14ac:dyDescent="0.2">
      <c r="A118" s="53">
        <v>45139</v>
      </c>
      <c r="B118" s="44">
        <v>4.1476565740356696E-5</v>
      </c>
      <c r="C118" s="42">
        <f t="shared" si="5"/>
        <v>-1.7627540439651705E-2</v>
      </c>
      <c r="D118" s="1">
        <v>-1.0314238013786323</v>
      </c>
      <c r="E118" s="1">
        <v>2.6354578054272881E-3</v>
      </c>
      <c r="F118" s="1">
        <v>-0.24794783108641461</v>
      </c>
      <c r="G118" s="1">
        <v>-0.61912792929410376</v>
      </c>
      <c r="H118" s="1">
        <v>2.72246958556932E-3</v>
      </c>
      <c r="I118" s="33">
        <f t="shared" si="6"/>
        <v>4.233575974606583E-5</v>
      </c>
      <c r="J118" s="33">
        <f t="shared" si="7"/>
        <v>8.5919400570913464E-7</v>
      </c>
      <c r="K118" s="1">
        <f t="shared" si="8"/>
        <v>2.0715167477647237E-2</v>
      </c>
      <c r="L118" s="1">
        <f t="shared" si="9"/>
        <v>4.2911816362697382E-4</v>
      </c>
    </row>
    <row r="119" spans="1:12" x14ac:dyDescent="0.2">
      <c r="A119" s="53">
        <v>45170</v>
      </c>
      <c r="B119" s="44">
        <v>4.1008816895632564E-5</v>
      </c>
      <c r="C119" s="42">
        <f t="shared" si="5"/>
        <v>-1.1277424646298828E-2</v>
      </c>
      <c r="D119" s="1">
        <v>-1.0335351290225094</v>
      </c>
      <c r="E119" s="1">
        <v>4.424522356415439E-3</v>
      </c>
      <c r="F119" s="1">
        <v>-0.24840258834111462</v>
      </c>
      <c r="G119" s="1">
        <v>-0.61525639003958355</v>
      </c>
      <c r="H119" s="1">
        <v>5.0582119573494254E-3</v>
      </c>
      <c r="I119" s="33">
        <f t="shared" si="6"/>
        <v>4.168636300113436E-5</v>
      </c>
      <c r="J119" s="33">
        <f t="shared" si="7"/>
        <v>6.7754610550179643E-7</v>
      </c>
      <c r="K119" s="1">
        <f t="shared" si="8"/>
        <v>1.6521961782661305E-2</v>
      </c>
      <c r="L119" s="1">
        <f t="shared" si="9"/>
        <v>2.7297522114772075E-4</v>
      </c>
    </row>
    <row r="120" spans="1:12" x14ac:dyDescent="0.2">
      <c r="A120" s="53">
        <v>45200</v>
      </c>
      <c r="B120" s="44">
        <v>4.0719928332926137E-5</v>
      </c>
      <c r="C120" s="42">
        <f t="shared" si="5"/>
        <v>-7.044547601596219E-3</v>
      </c>
      <c r="D120" s="1">
        <v>-1.021888369316486</v>
      </c>
      <c r="E120" s="1">
        <v>8.293258608979226E-3</v>
      </c>
      <c r="F120" s="1">
        <v>-0.24580642952901632</v>
      </c>
      <c r="G120" s="1">
        <v>-0.61088998701125252</v>
      </c>
      <c r="H120" s="1">
        <v>5.2505173246797827E-3</v>
      </c>
      <c r="I120" s="33">
        <f t="shared" si="6"/>
        <v>4.1224134399207702E-5</v>
      </c>
      <c r="J120" s="33">
        <f t="shared" si="7"/>
        <v>5.0420606628156557E-7</v>
      </c>
      <c r="K120" s="1">
        <f t="shared" si="8"/>
        <v>1.2382292575742686E-2</v>
      </c>
      <c r="L120" s="1">
        <f t="shared" si="9"/>
        <v>1.5332116943129245E-4</v>
      </c>
    </row>
    <row r="121" spans="1:12" x14ac:dyDescent="0.2">
      <c r="A121" s="53">
        <v>45231</v>
      </c>
      <c r="B121" s="44">
        <v>4.1220115416323168E-5</v>
      </c>
      <c r="C121" s="42">
        <f t="shared" si="5"/>
        <v>1.228359439406429E-2</v>
      </c>
      <c r="D121" s="1">
        <v>-1.0281378600823046</v>
      </c>
      <c r="E121" s="1">
        <v>1.2058418180420638E-3</v>
      </c>
      <c r="F121" s="1">
        <v>-0.23828201315306485</v>
      </c>
      <c r="G121" s="1">
        <v>-0.61229444603116601</v>
      </c>
      <c r="H121" s="1">
        <v>3.5385125693381154E-4</v>
      </c>
      <c r="I121" s="33">
        <f t="shared" si="6"/>
        <v>4.0734337130748997E-5</v>
      </c>
      <c r="J121" s="33">
        <f t="shared" si="7"/>
        <v>-4.85778285574171E-7</v>
      </c>
      <c r="K121" s="1">
        <f t="shared" si="8"/>
        <v>-1.1784981208029387E-2</v>
      </c>
      <c r="L121" s="1">
        <f t="shared" si="9"/>
        <v>1.388857820736058E-4</v>
      </c>
    </row>
    <row r="122" spans="1:12" x14ac:dyDescent="0.2">
      <c r="A122" s="53">
        <v>45261</v>
      </c>
      <c r="B122" s="44">
        <v>4.1262636682484009E-5</v>
      </c>
      <c r="C122" s="42">
        <f t="shared" si="5"/>
        <v>1.0315659170620089E-3</v>
      </c>
      <c r="D122" s="1">
        <v>-1.0145361426500217</v>
      </c>
      <c r="E122" s="1">
        <v>4.5092262686083906E-3</v>
      </c>
      <c r="F122" s="1">
        <v>-0.2573839662447257</v>
      </c>
      <c r="G122" s="1">
        <v>-0.61283173714712924</v>
      </c>
      <c r="H122" s="1">
        <v>-6.2481563948472508E-4</v>
      </c>
      <c r="I122" s="33">
        <f t="shared" si="6"/>
        <v>4.1194360443549688E-5</v>
      </c>
      <c r="J122" s="33">
        <f t="shared" si="7"/>
        <v>-6.8276238934321636E-8</v>
      </c>
      <c r="K122" s="1">
        <f t="shared" si="8"/>
        <v>-1.654674650573285E-3</v>
      </c>
      <c r="L122" s="1">
        <f t="shared" si="9"/>
        <v>2.7379481992498227E-6</v>
      </c>
    </row>
    <row r="123" spans="1:12" x14ac:dyDescent="0.2">
      <c r="A123" s="53">
        <v>45292</v>
      </c>
      <c r="B123" s="44">
        <v>4.0992006558721051E-5</v>
      </c>
      <c r="C123" s="42">
        <f t="shared" si="5"/>
        <v>-6.5587210493952839E-3</v>
      </c>
      <c r="D123" s="1">
        <v>-1.0212048291890334</v>
      </c>
      <c r="E123" s="1">
        <v>2.1534594028900234E-3</v>
      </c>
      <c r="F123" s="1">
        <v>-0.25770999590461696</v>
      </c>
      <c r="G123" s="1">
        <v>-0.60600644607222653</v>
      </c>
      <c r="H123" s="1">
        <v>-9.1042807885744837E-4</v>
      </c>
      <c r="I123" s="33">
        <f t="shared" si="6"/>
        <v>4.1225070019440582E-5</v>
      </c>
      <c r="J123" s="33">
        <f t="shared" si="7"/>
        <v>2.3306346071953114E-7</v>
      </c>
      <c r="K123" s="1">
        <f t="shared" si="8"/>
        <v>5.6855831242529622E-3</v>
      </c>
      <c r="L123" s="1">
        <f t="shared" si="9"/>
        <v>3.2325855462790076E-5</v>
      </c>
    </row>
    <row r="124" spans="1:12" x14ac:dyDescent="0.2">
      <c r="A124" s="53">
        <v>45323</v>
      </c>
      <c r="B124" s="44">
        <v>4.0617384240454911E-5</v>
      </c>
      <c r="C124" s="42">
        <f t="shared" si="5"/>
        <v>-9.1389114541024826E-3</v>
      </c>
      <c r="D124" s="1">
        <v>-1.042092339055297</v>
      </c>
      <c r="E124" s="1">
        <v>-2.320851208441943E-3</v>
      </c>
      <c r="F124" s="1">
        <v>-0.2647130478386861</v>
      </c>
      <c r="G124" s="1">
        <v>-0.61374199882715363</v>
      </c>
      <c r="H124" s="1">
        <v>1.10460770787449E-3</v>
      </c>
      <c r="I124" s="33">
        <f t="shared" si="6"/>
        <v>4.1037286645127055E-5</v>
      </c>
      <c r="J124" s="33">
        <f t="shared" si="7"/>
        <v>4.1990240467214333E-7</v>
      </c>
      <c r="K124" s="1">
        <f t="shared" si="8"/>
        <v>1.033799720302817E-2</v>
      </c>
      <c r="L124" s="1">
        <f t="shared" si="9"/>
        <v>1.0687418616981827E-4</v>
      </c>
    </row>
    <row r="125" spans="1:12" x14ac:dyDescent="0.2">
      <c r="A125" s="53">
        <v>45352</v>
      </c>
      <c r="B125" s="44">
        <v>4.0338846308995566E-5</v>
      </c>
      <c r="C125" s="42">
        <f t="shared" si="5"/>
        <v>-6.8576038725290884E-3</v>
      </c>
      <c r="D125" s="1">
        <v>-1.0137582255672033</v>
      </c>
      <c r="E125" s="1">
        <v>4.1575940817113466E-3</v>
      </c>
      <c r="F125" s="1">
        <v>-0.26666136266158857</v>
      </c>
      <c r="G125" s="1">
        <v>-0.61228423386203379</v>
      </c>
      <c r="H125" s="1">
        <v>-1.2259890687943836E-3</v>
      </c>
      <c r="I125" s="33">
        <f t="shared" si="6"/>
        <v>4.0567587771373097E-5</v>
      </c>
      <c r="J125" s="33">
        <f t="shared" si="7"/>
        <v>2.2874146237753093E-7</v>
      </c>
      <c r="K125" s="1">
        <f t="shared" si="8"/>
        <v>5.6705008523389912E-3</v>
      </c>
      <c r="L125" s="1">
        <f t="shared" si="9"/>
        <v>3.2154579916377225E-5</v>
      </c>
    </row>
    <row r="126" spans="1:12" x14ac:dyDescent="0.2">
      <c r="A126" s="53">
        <v>45383</v>
      </c>
      <c r="B126" s="44">
        <v>3.9478878799842084E-5</v>
      </c>
      <c r="C126" s="42">
        <f t="shared" si="5"/>
        <v>-2.1318594551914805E-2</v>
      </c>
      <c r="D126" s="1">
        <v>-1.0337261374531244</v>
      </c>
      <c r="E126" s="1">
        <v>-8.7337137277007093E-3</v>
      </c>
      <c r="F126" s="1">
        <v>-0.26666666666666672</v>
      </c>
      <c r="G126" s="1">
        <v>-0.60922974156962906</v>
      </c>
      <c r="H126" s="1">
        <v>-7.6047952740922907E-3</v>
      </c>
      <c r="I126" s="33">
        <f t="shared" si="6"/>
        <v>4.0032077641222579E-5</v>
      </c>
      <c r="J126" s="33">
        <f t="shared" si="7"/>
        <v>5.5319884138049438E-7</v>
      </c>
      <c r="K126" s="1">
        <f t="shared" si="8"/>
        <v>1.4012526652167923E-2</v>
      </c>
      <c r="L126" s="1">
        <f t="shared" si="9"/>
        <v>1.9635090317771637E-4</v>
      </c>
    </row>
    <row r="127" spans="1:12" x14ac:dyDescent="0.2">
      <c r="A127" s="53">
        <v>45413</v>
      </c>
      <c r="B127" s="44">
        <v>3.929273084479371E-5</v>
      </c>
      <c r="C127" s="42">
        <f t="shared" si="5"/>
        <v>-4.7151277013753202E-3</v>
      </c>
      <c r="D127" s="1">
        <v>-1.0122687394358909</v>
      </c>
      <c r="E127" s="1">
        <v>-3.1500290481900617E-3</v>
      </c>
      <c r="F127" s="1">
        <v>-0.26811888289216812</v>
      </c>
      <c r="G127" s="1">
        <v>-0.60923111642430716</v>
      </c>
      <c r="H127" s="1">
        <v>-8.713598835289613E-3</v>
      </c>
      <c r="I127" s="33">
        <f t="shared" si="6"/>
        <v>3.913487568751324E-5</v>
      </c>
      <c r="J127" s="33">
        <f t="shared" si="7"/>
        <v>-1.5785515728047005E-7</v>
      </c>
      <c r="K127" s="1">
        <f t="shared" si="8"/>
        <v>-4.0174137527879631E-3</v>
      </c>
      <c r="L127" s="1">
        <f t="shared" si="9"/>
        <v>1.6139613261089865E-5</v>
      </c>
    </row>
    <row r="128" spans="1:12" ht="17" thickBot="1" x14ac:dyDescent="0.25">
      <c r="A128" s="53">
        <v>45444</v>
      </c>
      <c r="B128" s="44">
        <v>3.9285012767629152E-5</v>
      </c>
      <c r="C128" s="42">
        <f t="shared" si="5"/>
        <v>-1.9642506383801036E-4</v>
      </c>
      <c r="D128" s="1">
        <v>-0.99575583456149841</v>
      </c>
      <c r="E128" s="1">
        <v>-1.1906491503398398E-3</v>
      </c>
      <c r="F128" s="1">
        <v>-0.26841853730890308</v>
      </c>
      <c r="G128" s="1">
        <v>-0.62932291541696439</v>
      </c>
      <c r="H128" s="46">
        <v>-1.1716080888641E-2</v>
      </c>
      <c r="I128" s="33">
        <f t="shared" si="6"/>
        <v>3.8832374031880511E-5</v>
      </c>
      <c r="J128" s="33">
        <f t="shared" si="7"/>
        <v>-4.5263873574864088E-7</v>
      </c>
      <c r="K128" s="1">
        <f t="shared" si="8"/>
        <v>-1.1521919018481652E-2</v>
      </c>
      <c r="L128" s="1">
        <f t="shared" si="9"/>
        <v>1.327546178684492E-4</v>
      </c>
    </row>
    <row r="129" spans="1:12" x14ac:dyDescent="0.2">
      <c r="A129" s="53">
        <v>45474</v>
      </c>
      <c r="B129" s="44">
        <v>3.9564787339268051E-5</v>
      </c>
      <c r="C129" s="42">
        <f>(B129-B128)/B128</f>
        <v>7.1216617210681891E-3</v>
      </c>
      <c r="D129" s="1">
        <v>-1.0049076415226859</v>
      </c>
      <c r="E129" s="1">
        <v>1.3150507105845755E-3</v>
      </c>
      <c r="F129" s="1">
        <v>-0.26919038569757225</v>
      </c>
      <c r="G129" s="1">
        <v>-0.62325695215376431</v>
      </c>
      <c r="H129" s="1">
        <v>-6.2963467904294662E-2</v>
      </c>
      <c r="I129" s="33">
        <f t="shared" si="6"/>
        <v>3.6811492127114732E-5</v>
      </c>
      <c r="J129" s="33">
        <f t="shared" si="7"/>
        <v>-2.7532952121533193E-6</v>
      </c>
      <c r="K129" s="1">
        <f t="shared" si="8"/>
        <v>-6.9589536487175141E-2</v>
      </c>
      <c r="L129" s="1">
        <f t="shared" si="9"/>
        <v>4.8427035884998802E-3</v>
      </c>
    </row>
    <row r="130" spans="1:12" s="57" customFormat="1" x14ac:dyDescent="0.2">
      <c r="A130" s="54">
        <v>45505</v>
      </c>
      <c r="B130" s="62">
        <f>_xlfn.FORECAST.ETS(A130,B$3:B129,A$3:A129)</f>
        <v>4.042139196429747E-5</v>
      </c>
      <c r="C130" s="63"/>
      <c r="D130" s="55"/>
      <c r="E130" s="55"/>
      <c r="F130" s="55"/>
      <c r="G130" s="55"/>
      <c r="H130" s="55">
        <v>-5.0340522438063695E-2</v>
      </c>
      <c r="I130" s="58"/>
      <c r="J130" s="58"/>
      <c r="K130" s="55"/>
      <c r="L130" s="55"/>
    </row>
    <row r="131" spans="1:12" x14ac:dyDescent="0.2">
      <c r="A131" s="53">
        <v>45536</v>
      </c>
      <c r="B131" s="44">
        <f>_xlfn.FORECAST.ETS(A131,B$3:B130,A$3:A130)</f>
        <v>4.0370414061543334E-5</v>
      </c>
      <c r="C131" s="42"/>
      <c r="D131" s="1"/>
      <c r="E131" s="1"/>
      <c r="F131" s="1"/>
      <c r="G131" s="1"/>
      <c r="H131" s="1"/>
      <c r="I131" s="33"/>
      <c r="J131" s="33"/>
      <c r="K131" s="1"/>
      <c r="L131" s="1"/>
    </row>
    <row r="132" spans="1:12" x14ac:dyDescent="0.2">
      <c r="A132" s="53">
        <v>45566</v>
      </c>
      <c r="B132" s="44">
        <f>_xlfn.FORECAST.ETS(A132,B$3:B131,A$3:A131)</f>
        <v>4.0319387634495267E-5</v>
      </c>
      <c r="C132" s="42"/>
      <c r="D132" s="1"/>
      <c r="E132" s="1"/>
      <c r="F132" s="1"/>
      <c r="G132" s="1"/>
      <c r="H132" s="1"/>
      <c r="I132" s="33"/>
      <c r="J132" s="33"/>
      <c r="K132" s="1"/>
      <c r="L132" s="1"/>
    </row>
    <row r="133" spans="1:12" x14ac:dyDescent="0.2">
      <c r="A133" s="53">
        <v>45597</v>
      </c>
      <c r="B133" s="44">
        <f>_xlfn.FORECAST.ETS(A133,B$3:B132,A$3:A132)</f>
        <v>4.0268314362711374E-5</v>
      </c>
      <c r="C133" s="42"/>
      <c r="D133" s="1"/>
      <c r="E133" s="1"/>
      <c r="F133" s="1"/>
      <c r="G133" s="1"/>
      <c r="H133" s="1"/>
      <c r="I133" s="33"/>
      <c r="J133" s="33"/>
      <c r="K133" s="1"/>
      <c r="L133" s="1"/>
    </row>
    <row r="134" spans="1:12" x14ac:dyDescent="0.2">
      <c r="A134" s="53">
        <v>45627</v>
      </c>
      <c r="B134" s="44">
        <f>_xlfn.FORECAST.ETS(A134,B$3:B133,A$3:A133)</f>
        <v>4.0217195859966671E-5</v>
      </c>
      <c r="C134" s="42"/>
      <c r="D134" s="1"/>
      <c r="E134" s="1"/>
      <c r="F134" s="1"/>
      <c r="G134" s="1"/>
      <c r="H134" s="1"/>
      <c r="I134" s="33"/>
      <c r="J134" s="33"/>
      <c r="K134" s="1"/>
      <c r="L134" s="1"/>
    </row>
    <row r="135" spans="1:12" x14ac:dyDescent="0.2">
      <c r="A135" s="53">
        <v>45658</v>
      </c>
      <c r="B135" s="44">
        <f>_xlfn.FORECAST.ETS(A135,B$3:B134,A$3:A134)</f>
        <v>4.016603367710783E-5</v>
      </c>
      <c r="C135" s="42"/>
      <c r="D135" s="1"/>
      <c r="E135" s="1"/>
      <c r="F135" s="1"/>
      <c r="G135" s="1"/>
      <c r="H135" s="1"/>
      <c r="I135" s="33"/>
      <c r="J135" s="33"/>
      <c r="K135" s="1"/>
      <c r="L135" s="1"/>
    </row>
    <row r="136" spans="1:12" x14ac:dyDescent="0.2">
      <c r="A136" s="53">
        <v>45689</v>
      </c>
      <c r="B136" s="44">
        <f>_xlfn.FORECAST.ETS(A136,B$3:B135,A$3:A135)</f>
        <v>4.0033760121783687E-5</v>
      </c>
      <c r="C136" s="42"/>
      <c r="D136" s="1"/>
      <c r="E136" s="1"/>
      <c r="F136" s="1"/>
      <c r="G136" s="1"/>
      <c r="H136" s="1"/>
      <c r="I136" s="33"/>
      <c r="J136" s="33"/>
      <c r="K136" s="1"/>
      <c r="L136" s="1"/>
    </row>
    <row r="137" spans="1:12" x14ac:dyDescent="0.2">
      <c r="A137" s="53">
        <v>45717</v>
      </c>
      <c r="B137" s="44">
        <f>_xlfn.FORECAST.ETS(A137,B$3:B136,A$3:A136)</f>
        <v>3.9983439886331672E-5</v>
      </c>
      <c r="C137" s="42"/>
      <c r="D137" s="1"/>
      <c r="E137" s="1"/>
      <c r="F137" s="1"/>
      <c r="G137" s="1"/>
      <c r="H137" s="1"/>
      <c r="I137" s="33"/>
      <c r="J137" s="33"/>
      <c r="K137" s="1"/>
      <c r="L137" s="1"/>
    </row>
    <row r="138" spans="1:12" x14ac:dyDescent="0.2">
      <c r="A138" s="53">
        <v>45748</v>
      </c>
      <c r="B138" s="44">
        <f>_xlfn.FORECAST.ETS(A138,B$3:B137,A$3:A137)</f>
        <v>3.9933050097827266E-5</v>
      </c>
      <c r="C138" s="42"/>
      <c r="D138" s="1"/>
      <c r="E138" s="1"/>
      <c r="F138" s="1"/>
      <c r="G138" s="1"/>
      <c r="H138" s="1"/>
      <c r="I138" s="33"/>
      <c r="J138" s="33"/>
      <c r="K138" s="1"/>
      <c r="L138" s="1"/>
    </row>
    <row r="139" spans="1:12" x14ac:dyDescent="0.2">
      <c r="A139" s="53">
        <v>45778</v>
      </c>
      <c r="B139" s="44">
        <f>_xlfn.FORECAST.ETS(A139,B$3:B138,A$3:A138)</f>
        <v>3.9882593181035787E-5</v>
      </c>
      <c r="C139" s="42"/>
      <c r="D139" s="1"/>
      <c r="E139" s="1"/>
      <c r="F139" s="1"/>
      <c r="G139" s="1"/>
      <c r="H139" s="1"/>
      <c r="I139" s="33"/>
      <c r="J139" s="33"/>
      <c r="K139" s="1"/>
      <c r="L139" s="1"/>
    </row>
    <row r="140" spans="1:12" x14ac:dyDescent="0.2">
      <c r="A140" s="53">
        <v>45809</v>
      </c>
      <c r="B140" s="44">
        <f>_xlfn.FORECAST.ETS(A140,B$3:B139,A$3:A139)</f>
        <v>3.9832071461119595E-5</v>
      </c>
      <c r="C140" s="42"/>
      <c r="D140" s="1"/>
      <c r="E140" s="1"/>
      <c r="F140" s="1"/>
      <c r="G140" s="1"/>
      <c r="H140" s="1"/>
      <c r="I140" s="33"/>
      <c r="J140" s="33"/>
      <c r="K140" s="1"/>
      <c r="L140" s="1"/>
    </row>
    <row r="141" spans="1:12" x14ac:dyDescent="0.2">
      <c r="A141" s="53">
        <v>45839</v>
      </c>
      <c r="B141" s="44">
        <f>_xlfn.FORECAST.ETS(A141,B$3:B140,A$3:A140)</f>
        <v>3.9781487168339616E-5</v>
      </c>
      <c r="C141" s="42"/>
      <c r="D141" s="1"/>
      <c r="E141" s="1"/>
      <c r="F141" s="1"/>
      <c r="G141" s="1"/>
      <c r="H141" s="1"/>
      <c r="I141" s="33"/>
      <c r="J141" s="33"/>
      <c r="K141" s="1"/>
      <c r="L141" s="1"/>
    </row>
    <row r="142" spans="1:12" x14ac:dyDescent="0.2">
      <c r="A142" s="53">
        <v>45870</v>
      </c>
      <c r="B142" s="44">
        <f>_xlfn.FORECAST.ETS(A142,B$3:B141,A$3:A141)</f>
        <v>3.9730842442507953E-5</v>
      </c>
      <c r="C142" s="42"/>
      <c r="D142" s="1"/>
      <c r="E142" s="1"/>
      <c r="F142" s="1"/>
      <c r="G142" s="1"/>
      <c r="H142" s="1"/>
      <c r="I142" s="33"/>
      <c r="J142" s="33"/>
      <c r="K142" s="1"/>
      <c r="L142" s="1"/>
    </row>
    <row r="143" spans="1:12" x14ac:dyDescent="0.2">
      <c r="A143" s="53">
        <v>45901</v>
      </c>
      <c r="B143" s="44">
        <f>_xlfn.FORECAST.ETS(A143,B$3:B142,A$3:A142)</f>
        <v>3.9680139337206052E-5</v>
      </c>
      <c r="C143" s="42"/>
      <c r="D143" s="1"/>
      <c r="E143" s="1"/>
      <c r="F143" s="1"/>
      <c r="G143" s="1"/>
      <c r="H143" s="1"/>
      <c r="I143" s="33"/>
      <c r="J143" s="33"/>
      <c r="K143" s="1"/>
      <c r="L143" s="1"/>
    </row>
    <row r="144" spans="1:12" x14ac:dyDescent="0.2">
      <c r="A144" s="53">
        <v>45931</v>
      </c>
      <c r="B144" s="44">
        <f>_xlfn.FORECAST.ETS(A144,B$3:B143,A$3:A143)</f>
        <v>3.9629379823781804E-5</v>
      </c>
      <c r="C144" s="42"/>
      <c r="D144" s="1"/>
      <c r="E144" s="1"/>
      <c r="F144" s="1"/>
      <c r="G144" s="1"/>
      <c r="H144" s="1"/>
      <c r="I144" s="33"/>
      <c r="J144" s="33"/>
      <c r="K144" s="1"/>
      <c r="L144" s="1"/>
    </row>
    <row r="145" spans="1:12" x14ac:dyDescent="0.2">
      <c r="A145" s="53">
        <v>45962</v>
      </c>
      <c r="B145" s="44">
        <f>_xlfn.FORECAST.ETS(A145,B$3:B144,A$3:A144)</f>
        <v>3.9578565795138666E-5</v>
      </c>
      <c r="C145" s="42"/>
      <c r="D145" s="1"/>
      <c r="E145" s="1"/>
      <c r="F145" s="1"/>
      <c r="G145" s="1"/>
      <c r="H145" s="1"/>
      <c r="I145" s="33"/>
      <c r="J145" s="33"/>
      <c r="K145" s="1"/>
      <c r="L145" s="1"/>
    </row>
    <row r="146" spans="1:12" x14ac:dyDescent="0.2">
      <c r="A146" s="53">
        <v>45992</v>
      </c>
      <c r="B146" s="44">
        <f>_xlfn.FORECAST.ETS(A146,B$3:B145,A$3:A145)</f>
        <v>3.9527699069328368E-5</v>
      </c>
      <c r="C146" s="42"/>
      <c r="D146" s="1"/>
      <c r="E146" s="1"/>
      <c r="F146" s="1"/>
      <c r="G146" s="1"/>
      <c r="H146" s="1"/>
      <c r="I146" s="33"/>
      <c r="J146" s="33"/>
      <c r="K146" s="1"/>
      <c r="L146" s="1"/>
    </row>
    <row r="147" spans="1:12" x14ac:dyDescent="0.2">
      <c r="B147" s="45">
        <f>AVERAGE(B135:B146)</f>
        <v>3.981325517179236E-5</v>
      </c>
    </row>
    <row r="166" spans="1:6" x14ac:dyDescent="0.2">
      <c r="A166" t="s">
        <v>221</v>
      </c>
    </row>
    <row r="167" spans="1:6" ht="17" thickBot="1" x14ac:dyDescent="0.25"/>
    <row r="168" spans="1:6" x14ac:dyDescent="0.2">
      <c r="A168" s="41" t="s">
        <v>222</v>
      </c>
      <c r="B168" s="41"/>
    </row>
    <row r="169" spans="1:6" x14ac:dyDescent="0.2">
      <c r="A169" t="s">
        <v>223</v>
      </c>
      <c r="B169">
        <v>0.10281535914454604</v>
      </c>
    </row>
    <row r="170" spans="1:6" x14ac:dyDescent="0.2">
      <c r="A170" t="s">
        <v>224</v>
      </c>
      <c r="B170">
        <v>1.0570998076021987E-2</v>
      </c>
    </row>
    <row r="171" spans="1:6" x14ac:dyDescent="0.2">
      <c r="A171" t="s">
        <v>225</v>
      </c>
      <c r="B171">
        <v>-2.213739868179547E-2</v>
      </c>
    </row>
    <row r="172" spans="1:6" x14ac:dyDescent="0.2">
      <c r="A172" t="s">
        <v>226</v>
      </c>
      <c r="B172">
        <v>8.1576162492865964E-2</v>
      </c>
    </row>
    <row r="173" spans="1:6" ht="17" thickBot="1" x14ac:dyDescent="0.25">
      <c r="A173" s="39" t="s">
        <v>227</v>
      </c>
      <c r="B173" s="39">
        <v>126</v>
      </c>
    </row>
    <row r="175" spans="1:6" ht="17" thickBot="1" x14ac:dyDescent="0.25">
      <c r="A175" t="s">
        <v>228</v>
      </c>
    </row>
    <row r="176" spans="1:6" x14ac:dyDescent="0.2">
      <c r="A176" s="40"/>
      <c r="B176" s="40" t="s">
        <v>233</v>
      </c>
      <c r="C176" s="40" t="s">
        <v>234</v>
      </c>
      <c r="D176" s="40" t="s">
        <v>235</v>
      </c>
      <c r="E176" s="40" t="s">
        <v>236</v>
      </c>
      <c r="F176" s="40" t="s">
        <v>237</v>
      </c>
    </row>
    <row r="177" spans="1:9" x14ac:dyDescent="0.2">
      <c r="A177" t="s">
        <v>229</v>
      </c>
      <c r="B177">
        <v>4</v>
      </c>
      <c r="C177">
        <v>8.6028682264024381E-3</v>
      </c>
      <c r="D177">
        <v>2.1507170566006095E-3</v>
      </c>
      <c r="E177">
        <v>0.32318912340133182</v>
      </c>
      <c r="F177">
        <v>0.86197353166362289</v>
      </c>
    </row>
    <row r="178" spans="1:9" x14ac:dyDescent="0.2">
      <c r="A178" t="s">
        <v>230</v>
      </c>
      <c r="B178">
        <v>121</v>
      </c>
      <c r="C178">
        <v>0.80521510473455915</v>
      </c>
      <c r="D178">
        <v>6.6546702870624724E-3</v>
      </c>
    </row>
    <row r="179" spans="1:9" ht="17" thickBot="1" x14ac:dyDescent="0.25">
      <c r="A179" s="39" t="s">
        <v>231</v>
      </c>
      <c r="B179" s="39">
        <v>125</v>
      </c>
      <c r="C179" s="39">
        <v>0.81381797296096159</v>
      </c>
      <c r="D179" s="39"/>
      <c r="E179" s="39"/>
      <c r="F179" s="39"/>
    </row>
    <row r="180" spans="1:9" ht="17" thickBot="1" x14ac:dyDescent="0.25"/>
    <row r="181" spans="1:9" x14ac:dyDescent="0.2">
      <c r="A181" s="40"/>
      <c r="B181" s="40" t="s">
        <v>238</v>
      </c>
      <c r="C181" s="40" t="s">
        <v>226</v>
      </c>
      <c r="D181" s="40" t="s">
        <v>239</v>
      </c>
      <c r="E181" s="40" t="s">
        <v>240</v>
      </c>
      <c r="F181" s="40" t="s">
        <v>241</v>
      </c>
      <c r="G181" s="40" t="s">
        <v>242</v>
      </c>
      <c r="H181" s="40" t="s">
        <v>243</v>
      </c>
      <c r="I181" s="40" t="s">
        <v>244</v>
      </c>
    </row>
    <row r="182" spans="1:9" x14ac:dyDescent="0.2">
      <c r="A182" t="s">
        <v>232</v>
      </c>
      <c r="B182">
        <v>-0.31294974467131631</v>
      </c>
      <c r="C182">
        <v>0.47803542926182713</v>
      </c>
      <c r="D182">
        <v>-0.65465805568965285</v>
      </c>
      <c r="E182">
        <v>0.5139304372913357</v>
      </c>
      <c r="F182">
        <v>-1.2593469647175881</v>
      </c>
      <c r="G182">
        <v>0.63344747537495549</v>
      </c>
      <c r="H182">
        <v>-1.2593469647175881</v>
      </c>
      <c r="I182">
        <v>0.63344747537495549</v>
      </c>
    </row>
    <row r="183" spans="1:9" x14ac:dyDescent="0.2">
      <c r="A183" t="s">
        <v>257</v>
      </c>
      <c r="B183">
        <v>-0.30146773060182347</v>
      </c>
      <c r="C183">
        <v>0.46832795359648299</v>
      </c>
      <c r="D183">
        <v>-0.64371073365732023</v>
      </c>
      <c r="E183">
        <v>0.52098124391423284</v>
      </c>
      <c r="F183">
        <v>-1.2286464421004442</v>
      </c>
      <c r="G183">
        <v>0.62571098089679711</v>
      </c>
      <c r="H183">
        <v>-1.2286464421004442</v>
      </c>
      <c r="I183">
        <v>0.62571098089679711</v>
      </c>
    </row>
    <row r="184" spans="1:9" x14ac:dyDescent="0.2">
      <c r="A184" t="s">
        <v>258</v>
      </c>
      <c r="B184">
        <v>0.96065928799638456</v>
      </c>
      <c r="C184">
        <v>1.5934438159054141</v>
      </c>
      <c r="D184">
        <v>0.60288243514285833</v>
      </c>
      <c r="E184">
        <v>0.54771521144726298</v>
      </c>
      <c r="F184">
        <v>-2.1939830363214563</v>
      </c>
      <c r="G184">
        <v>4.1153016123142256</v>
      </c>
      <c r="H184">
        <v>-2.1939830363214563</v>
      </c>
      <c r="I184">
        <v>4.1153016123142256</v>
      </c>
    </row>
    <row r="185" spans="1:9" x14ac:dyDescent="0.2">
      <c r="A185" t="s">
        <v>259</v>
      </c>
      <c r="B185">
        <v>2.8339233368914292E-3</v>
      </c>
      <c r="C185">
        <v>3.7864224162622428E-3</v>
      </c>
      <c r="D185">
        <v>0.74844352408227321</v>
      </c>
      <c r="E185">
        <v>0.4556450132893195</v>
      </c>
      <c r="F185">
        <v>-4.6622985523626405E-3</v>
      </c>
      <c r="G185">
        <v>1.0330145226145499E-2</v>
      </c>
      <c r="H185">
        <v>-4.6622985523626405E-3</v>
      </c>
      <c r="I185">
        <v>1.0330145226145499E-2</v>
      </c>
    </row>
    <row r="186" spans="1:9" ht="17" thickBot="1" x14ac:dyDescent="0.25">
      <c r="A186" s="39" t="s">
        <v>260</v>
      </c>
      <c r="B186" s="39">
        <v>-4.6874152419732621E-3</v>
      </c>
      <c r="C186" s="39">
        <v>5.1720750743466992E-2</v>
      </c>
      <c r="D186" s="39">
        <v>-9.0629296261043615E-2</v>
      </c>
      <c r="E186" s="39">
        <v>0.92793700942316015</v>
      </c>
      <c r="F186" s="39">
        <v>-0.10708228333346267</v>
      </c>
      <c r="G186" s="39">
        <v>9.7707452849516152E-2</v>
      </c>
      <c r="H186" s="39">
        <v>-0.10708228333346267</v>
      </c>
      <c r="I186" s="39">
        <v>9.7707452849516152E-2</v>
      </c>
    </row>
    <row r="190" spans="1:9" x14ac:dyDescent="0.2">
      <c r="A190" t="s">
        <v>245</v>
      </c>
    </row>
    <row r="191" spans="1:9" ht="17" thickBot="1" x14ac:dyDescent="0.25"/>
    <row r="192" spans="1:9" x14ac:dyDescent="0.2">
      <c r="A192" s="40" t="s">
        <v>246</v>
      </c>
      <c r="B192" s="40" t="s">
        <v>261</v>
      </c>
      <c r="C192" s="40" t="s">
        <v>248</v>
      </c>
    </row>
    <row r="193" spans="1:3" x14ac:dyDescent="0.2">
      <c r="A193">
        <v>1</v>
      </c>
      <c r="B193">
        <v>2.5670737139898314E-2</v>
      </c>
      <c r="C193">
        <v>-2.6193525980732876E-2</v>
      </c>
    </row>
    <row r="194" spans="1:3" x14ac:dyDescent="0.2">
      <c r="A194">
        <v>2</v>
      </c>
      <c r="B194">
        <v>3.2459453393819837E-2</v>
      </c>
      <c r="C194">
        <v>-3.288700683800036E-2</v>
      </c>
    </row>
    <row r="195" spans="1:3" x14ac:dyDescent="0.2">
      <c r="A195">
        <v>3</v>
      </c>
      <c r="B195">
        <v>9.2439905338779216E-3</v>
      </c>
      <c r="C195">
        <v>-9.1489696292788684E-3</v>
      </c>
    </row>
    <row r="196" spans="1:3" x14ac:dyDescent="0.2">
      <c r="A196">
        <v>4</v>
      </c>
      <c r="B196">
        <v>-2.6775139692733528E-3</v>
      </c>
      <c r="C196">
        <v>-0.34162155145128698</v>
      </c>
    </row>
    <row r="197" spans="1:3" x14ac:dyDescent="0.2">
      <c r="A197">
        <v>5</v>
      </c>
      <c r="B197">
        <v>1.03782101280817E-2</v>
      </c>
      <c r="C197">
        <v>0.51167015402554472</v>
      </c>
    </row>
    <row r="198" spans="1:3" x14ac:dyDescent="0.2">
      <c r="A198">
        <v>6</v>
      </c>
      <c r="B198">
        <v>5.5814821706783035E-3</v>
      </c>
      <c r="C198">
        <v>-1.081708426491914E-2</v>
      </c>
    </row>
    <row r="199" spans="1:3" x14ac:dyDescent="0.2">
      <c r="A199">
        <v>7</v>
      </c>
      <c r="B199">
        <v>1.0279467832706859E-2</v>
      </c>
      <c r="C199">
        <v>-0.35001786708527632</v>
      </c>
    </row>
    <row r="200" spans="1:3" x14ac:dyDescent="0.2">
      <c r="A200">
        <v>8</v>
      </c>
      <c r="B200">
        <v>1.1963945148925757E-2</v>
      </c>
      <c r="C200">
        <v>0.51861425209593859</v>
      </c>
    </row>
    <row r="201" spans="1:3" x14ac:dyDescent="0.2">
      <c r="A201">
        <v>9</v>
      </c>
      <c r="B201">
        <v>1.663924698631512E-2</v>
      </c>
      <c r="C201">
        <v>-1.0452196626602978E-2</v>
      </c>
    </row>
    <row r="202" spans="1:3" x14ac:dyDescent="0.2">
      <c r="A202">
        <v>10</v>
      </c>
      <c r="B202">
        <v>9.9147126537887428E-3</v>
      </c>
      <c r="C202">
        <v>-1.9792193896071897E-2</v>
      </c>
    </row>
    <row r="203" spans="1:3" x14ac:dyDescent="0.2">
      <c r="A203">
        <v>11</v>
      </c>
      <c r="B203">
        <v>1.2344586665170654E-2</v>
      </c>
      <c r="C203">
        <v>-1.2914116802807154E-2</v>
      </c>
    </row>
    <row r="204" spans="1:3" x14ac:dyDescent="0.2">
      <c r="A204">
        <v>12</v>
      </c>
      <c r="B204">
        <v>1.3996925309670054E-2</v>
      </c>
      <c r="C204">
        <v>-1.361709433445399E-2</v>
      </c>
    </row>
    <row r="205" spans="1:3" x14ac:dyDescent="0.2">
      <c r="A205">
        <v>13</v>
      </c>
      <c r="B205">
        <v>6.9888402639363299E-3</v>
      </c>
      <c r="C205">
        <v>-7.5582623005691291E-3</v>
      </c>
    </row>
    <row r="206" spans="1:3" x14ac:dyDescent="0.2">
      <c r="A206">
        <v>14</v>
      </c>
      <c r="B206">
        <v>7.9169447758127703E-3</v>
      </c>
      <c r="C206">
        <v>-3.6279626942268047E-3</v>
      </c>
    </row>
    <row r="207" spans="1:3" x14ac:dyDescent="0.2">
      <c r="A207">
        <v>15</v>
      </c>
      <c r="B207">
        <v>-1.3857920960262068E-3</v>
      </c>
      <c r="C207">
        <v>-8.1488062236187951E-3</v>
      </c>
    </row>
    <row r="208" spans="1:3" x14ac:dyDescent="0.2">
      <c r="A208">
        <v>16</v>
      </c>
      <c r="B208">
        <v>-1.4815709094641266E-3</v>
      </c>
      <c r="C208">
        <v>-1.6548556552876615E-2</v>
      </c>
    </row>
    <row r="209" spans="1:3" x14ac:dyDescent="0.2">
      <c r="A209">
        <v>17</v>
      </c>
      <c r="B209">
        <v>9.1404652062903533E-3</v>
      </c>
      <c r="C209">
        <v>-1.8780125523021964E-2</v>
      </c>
    </row>
    <row r="210" spans="1:3" x14ac:dyDescent="0.2">
      <c r="A210">
        <v>18</v>
      </c>
      <c r="B210">
        <v>-1.3603254844684028E-3</v>
      </c>
      <c r="C210">
        <v>1.3603254844684028E-3</v>
      </c>
    </row>
    <row r="211" spans="1:3" x14ac:dyDescent="0.2">
      <c r="A211">
        <v>19</v>
      </c>
      <c r="B211">
        <v>7.4679559868631113E-3</v>
      </c>
      <c r="C211">
        <v>7.4400337638938678E-3</v>
      </c>
    </row>
    <row r="212" spans="1:3" x14ac:dyDescent="0.2">
      <c r="A212">
        <v>20</v>
      </c>
      <c r="B212">
        <v>6.8106230927973792E-3</v>
      </c>
      <c r="C212">
        <v>-3.6816497736929465E-2</v>
      </c>
    </row>
    <row r="213" spans="1:3" x14ac:dyDescent="0.2">
      <c r="A213">
        <v>21</v>
      </c>
      <c r="B213">
        <v>9.4126896193654011E-3</v>
      </c>
      <c r="C213">
        <v>-8.3269624083272768E-3</v>
      </c>
    </row>
    <row r="214" spans="1:3" x14ac:dyDescent="0.2">
      <c r="A214">
        <v>22</v>
      </c>
      <c r="B214">
        <v>7.5047144812592972E-3</v>
      </c>
      <c r="C214">
        <v>-3.4873042901199733E-2</v>
      </c>
    </row>
    <row r="215" spans="1:3" x14ac:dyDescent="0.2">
      <c r="A215">
        <v>23</v>
      </c>
      <c r="B215">
        <v>1.1385982173084491E-2</v>
      </c>
      <c r="C215">
        <v>1.6008801064562476E-2</v>
      </c>
    </row>
    <row r="216" spans="1:3" x14ac:dyDescent="0.2">
      <c r="A216">
        <v>24</v>
      </c>
      <c r="B216">
        <v>1.1549462892134103E-2</v>
      </c>
      <c r="C216">
        <v>-1.4434294985891275E-2</v>
      </c>
    </row>
    <row r="217" spans="1:3" x14ac:dyDescent="0.2">
      <c r="A217">
        <v>25</v>
      </c>
      <c r="B217">
        <v>7.1450663285166048E-3</v>
      </c>
      <c r="C217">
        <v>-3.3221715874150147E-2</v>
      </c>
    </row>
    <row r="218" spans="1:3" x14ac:dyDescent="0.2">
      <c r="A218">
        <v>26</v>
      </c>
      <c r="B218">
        <v>7.3854289252323641E-3</v>
      </c>
      <c r="C218">
        <v>3.0807907750397094E-2</v>
      </c>
    </row>
    <row r="219" spans="1:3" x14ac:dyDescent="0.2">
      <c r="A219">
        <v>27</v>
      </c>
      <c r="B219">
        <v>6.9077675619665328E-3</v>
      </c>
      <c r="C219">
        <v>-6.5886283260770152E-3</v>
      </c>
    </row>
    <row r="220" spans="1:3" x14ac:dyDescent="0.2">
      <c r="A220">
        <v>28</v>
      </c>
      <c r="B220">
        <v>9.3726185897608678E-3</v>
      </c>
      <c r="C220">
        <v>-5.0226025633859561E-3</v>
      </c>
    </row>
    <row r="221" spans="1:3" x14ac:dyDescent="0.2">
      <c r="A221">
        <v>29</v>
      </c>
      <c r="B221">
        <v>4.4375738307181976E-3</v>
      </c>
      <c r="C221">
        <v>-1.2657374012371285E-2</v>
      </c>
    </row>
    <row r="222" spans="1:3" x14ac:dyDescent="0.2">
      <c r="A222">
        <v>30</v>
      </c>
      <c r="B222">
        <v>4.7292685142567804E-3</v>
      </c>
      <c r="C222">
        <v>-5.09244265625791E-3</v>
      </c>
    </row>
    <row r="223" spans="1:3" x14ac:dyDescent="0.2">
      <c r="A223">
        <v>31</v>
      </c>
      <c r="B223">
        <v>5.2362082606294061E-3</v>
      </c>
      <c r="C223">
        <v>-2.7213742336907241E-2</v>
      </c>
    </row>
    <row r="224" spans="1:3" x14ac:dyDescent="0.2">
      <c r="A224">
        <v>32</v>
      </c>
      <c r="B224">
        <v>8.789223654185014E-3</v>
      </c>
      <c r="C224">
        <v>1.8860545931068794E-2</v>
      </c>
    </row>
    <row r="225" spans="1:3" x14ac:dyDescent="0.2">
      <c r="A225">
        <v>33</v>
      </c>
      <c r="B225">
        <v>6.2137954336641699E-3</v>
      </c>
      <c r="C225">
        <v>-7.0845066144780994E-4</v>
      </c>
    </row>
    <row r="226" spans="1:3" x14ac:dyDescent="0.2">
      <c r="A226">
        <v>34</v>
      </c>
      <c r="B226">
        <v>1.0296585661826056E-2</v>
      </c>
      <c r="C226">
        <v>-1.5726408622220384E-2</v>
      </c>
    </row>
    <row r="227" spans="1:3" x14ac:dyDescent="0.2">
      <c r="A227">
        <v>35</v>
      </c>
      <c r="B227">
        <v>8.5789627720612473E-3</v>
      </c>
      <c r="C227">
        <v>-2.5401895794357178E-2</v>
      </c>
    </row>
    <row r="228" spans="1:3" x14ac:dyDescent="0.2">
      <c r="A228">
        <v>36</v>
      </c>
      <c r="B228">
        <v>8.6479491977868514E-3</v>
      </c>
      <c r="C228">
        <v>-5.014261724044209E-2</v>
      </c>
    </row>
    <row r="229" spans="1:3" x14ac:dyDescent="0.2">
      <c r="A229">
        <v>37</v>
      </c>
      <c r="B229">
        <v>2.2828987887745515E-3</v>
      </c>
      <c r="C229">
        <v>4.8503293150498436E-2</v>
      </c>
    </row>
    <row r="230" spans="1:3" x14ac:dyDescent="0.2">
      <c r="A230">
        <v>38</v>
      </c>
      <c r="B230">
        <v>5.8431992956161569E-3</v>
      </c>
      <c r="C230">
        <v>-3.3435466430941238E-2</v>
      </c>
    </row>
    <row r="231" spans="1:3" x14ac:dyDescent="0.2">
      <c r="A231">
        <v>39</v>
      </c>
      <c r="B231">
        <v>-1.0624163032612269E-2</v>
      </c>
      <c r="C231">
        <v>2.5110456770076013E-2</v>
      </c>
    </row>
    <row r="232" spans="1:3" x14ac:dyDescent="0.2">
      <c r="A232">
        <v>40</v>
      </c>
      <c r="B232">
        <v>-4.1955080605739926E-3</v>
      </c>
      <c r="C232">
        <v>-2.8861986982955709E-2</v>
      </c>
    </row>
    <row r="233" spans="1:3" x14ac:dyDescent="0.2">
      <c r="A233">
        <v>41</v>
      </c>
      <c r="B233">
        <v>-2.1386907035593219E-3</v>
      </c>
      <c r="C233">
        <v>4.2400527145452074E-2</v>
      </c>
    </row>
    <row r="234" spans="1:3" x14ac:dyDescent="0.2">
      <c r="A234">
        <v>42</v>
      </c>
      <c r="B234">
        <v>-8.319740507638132E-3</v>
      </c>
      <c r="C234">
        <v>6.7976704924173062E-3</v>
      </c>
    </row>
    <row r="235" spans="1:3" x14ac:dyDescent="0.2">
      <c r="A235">
        <v>43</v>
      </c>
      <c r="B235">
        <v>-5.0949574048142904E-3</v>
      </c>
      <c r="C235">
        <v>1.2173087335836467E-2</v>
      </c>
    </row>
    <row r="236" spans="1:3" x14ac:dyDescent="0.2">
      <c r="A236">
        <v>44</v>
      </c>
      <c r="B236">
        <v>9.3851634778387366E-4</v>
      </c>
      <c r="C236">
        <v>-5.8286015878018464E-3</v>
      </c>
    </row>
    <row r="237" spans="1:3" x14ac:dyDescent="0.2">
      <c r="A237">
        <v>45</v>
      </c>
      <c r="B237">
        <v>1.0023434864794725E-2</v>
      </c>
      <c r="C237">
        <v>-4.9330391161664669E-2</v>
      </c>
    </row>
    <row r="238" spans="1:3" x14ac:dyDescent="0.2">
      <c r="A238">
        <v>46</v>
      </c>
      <c r="B238">
        <v>3.152239345907385E-3</v>
      </c>
      <c r="C238">
        <v>3.4922119743170242E-2</v>
      </c>
    </row>
    <row r="239" spans="1:3" x14ac:dyDescent="0.2">
      <c r="A239">
        <v>47</v>
      </c>
      <c r="B239">
        <v>1.064038624705734E-2</v>
      </c>
      <c r="C239">
        <v>-7.2284895018272502E-3</v>
      </c>
    </row>
    <row r="240" spans="1:3" x14ac:dyDescent="0.2">
      <c r="A240">
        <v>48</v>
      </c>
      <c r="B240">
        <v>1.1309768359181759E-3</v>
      </c>
      <c r="C240">
        <v>-4.1744356373324149E-3</v>
      </c>
    </row>
    <row r="241" spans="1:3" x14ac:dyDescent="0.2">
      <c r="A241">
        <v>49</v>
      </c>
      <c r="B241">
        <v>-1.9349305065383634E-3</v>
      </c>
      <c r="C241">
        <v>-1.2132830604485247E-2</v>
      </c>
    </row>
    <row r="242" spans="1:3" x14ac:dyDescent="0.2">
      <c r="A242">
        <v>50</v>
      </c>
      <c r="B242">
        <v>-3.2565512831994395E-3</v>
      </c>
      <c r="C242">
        <v>7.4761604045560717E-4</v>
      </c>
    </row>
    <row r="243" spans="1:3" x14ac:dyDescent="0.2">
      <c r="A243">
        <v>51</v>
      </c>
      <c r="B243">
        <v>7.9102876766004972E-4</v>
      </c>
      <c r="C243">
        <v>-3.3856313852042258E-3</v>
      </c>
    </row>
    <row r="244" spans="1:3" x14ac:dyDescent="0.2">
      <c r="A244">
        <v>52</v>
      </c>
      <c r="B244">
        <v>1.9796339535394889E-3</v>
      </c>
      <c r="C244">
        <v>1.9386627744801162E-4</v>
      </c>
    </row>
    <row r="245" spans="1:3" x14ac:dyDescent="0.2">
      <c r="A245">
        <v>53</v>
      </c>
      <c r="B245">
        <v>-3.2190602009101892E-3</v>
      </c>
      <c r="C245">
        <v>-7.9058046517218499E-4</v>
      </c>
    </row>
    <row r="246" spans="1:3" x14ac:dyDescent="0.2">
      <c r="A246">
        <v>54</v>
      </c>
      <c r="B246">
        <v>-7.1321634757914865E-3</v>
      </c>
      <c r="C246">
        <v>3.3776886656981123E-3</v>
      </c>
    </row>
    <row r="247" spans="1:3" x14ac:dyDescent="0.2">
      <c r="A247">
        <v>55</v>
      </c>
      <c r="B247">
        <v>2.1645371917213664E-3</v>
      </c>
      <c r="C247">
        <v>-1.5793560767994458E-2</v>
      </c>
    </row>
    <row r="248" spans="1:3" x14ac:dyDescent="0.2">
      <c r="A248">
        <v>56</v>
      </c>
      <c r="B248">
        <v>-8.0624631292634356E-3</v>
      </c>
      <c r="C248">
        <v>6.1069877983369143E-3</v>
      </c>
    </row>
    <row r="249" spans="1:3" x14ac:dyDescent="0.2">
      <c r="A249">
        <v>57</v>
      </c>
      <c r="B249">
        <v>6.4799696420845751E-3</v>
      </c>
      <c r="C249">
        <v>-8.3888168270711948E-3</v>
      </c>
    </row>
    <row r="250" spans="1:3" x14ac:dyDescent="0.2">
      <c r="A250">
        <v>58</v>
      </c>
      <c r="B250">
        <v>5.8475620757710706E-3</v>
      </c>
      <c r="C250">
        <v>-5.7403119685209975E-3</v>
      </c>
    </row>
    <row r="251" spans="1:3" x14ac:dyDescent="0.2">
      <c r="A251">
        <v>59</v>
      </c>
      <c r="B251">
        <v>-1.3766856133208731E-3</v>
      </c>
      <c r="C251">
        <v>2.1280004142224277E-3</v>
      </c>
    </row>
    <row r="252" spans="1:3" x14ac:dyDescent="0.2">
      <c r="A252">
        <v>60</v>
      </c>
      <c r="B252">
        <v>-4.1022727338594425E-3</v>
      </c>
      <c r="C252">
        <v>8.3490606962636181E-3</v>
      </c>
    </row>
    <row r="253" spans="1:3" x14ac:dyDescent="0.2">
      <c r="A253">
        <v>61</v>
      </c>
      <c r="B253">
        <v>-7.8523729828002611E-3</v>
      </c>
      <c r="C253">
        <v>7.8523729828002611E-3</v>
      </c>
    </row>
    <row r="254" spans="1:3" x14ac:dyDescent="0.2">
      <c r="A254">
        <v>62</v>
      </c>
      <c r="B254">
        <v>-4.5803779807192697E-3</v>
      </c>
      <c r="C254">
        <v>4.4079493230763499E-3</v>
      </c>
    </row>
    <row r="255" spans="1:3" x14ac:dyDescent="0.2">
      <c r="A255">
        <v>63</v>
      </c>
      <c r="B255">
        <v>-6.4539793577511745E-3</v>
      </c>
      <c r="C255">
        <v>6.4539793577511745E-3</v>
      </c>
    </row>
    <row r="256" spans="1:3" x14ac:dyDescent="0.2">
      <c r="A256">
        <v>64</v>
      </c>
      <c r="B256">
        <v>-6.1064730194103668E-3</v>
      </c>
      <c r="C256">
        <v>3.6596597017321828E-3</v>
      </c>
    </row>
    <row r="257" spans="1:3" x14ac:dyDescent="0.2">
      <c r="A257">
        <v>65</v>
      </c>
      <c r="B257">
        <v>-1.012230963316405E-2</v>
      </c>
      <c r="C257">
        <v>4.6567815131256804E-3</v>
      </c>
    </row>
    <row r="258" spans="1:3" x14ac:dyDescent="0.2">
      <c r="A258">
        <v>66</v>
      </c>
      <c r="B258">
        <v>-7.6908913690204323E-3</v>
      </c>
      <c r="C258">
        <v>1.210236903225064E-2</v>
      </c>
    </row>
    <row r="259" spans="1:3" x14ac:dyDescent="0.2">
      <c r="A259">
        <v>67</v>
      </c>
      <c r="B259">
        <v>7.5177417229385212E-4</v>
      </c>
      <c r="C259">
        <v>2.3938284476052469E-3</v>
      </c>
    </row>
    <row r="260" spans="1:3" x14ac:dyDescent="0.2">
      <c r="A260">
        <v>68</v>
      </c>
      <c r="B260">
        <v>-5.1592137126778657E-3</v>
      </c>
      <c r="C260">
        <v>5.1592137126778657E-3</v>
      </c>
    </row>
    <row r="261" spans="1:3" x14ac:dyDescent="0.2">
      <c r="A261">
        <v>69</v>
      </c>
      <c r="B261">
        <v>9.6442181863286153E-3</v>
      </c>
      <c r="C261">
        <v>6.6421307464344659E-3</v>
      </c>
    </row>
    <row r="262" spans="1:3" x14ac:dyDescent="0.2">
      <c r="A262">
        <v>70</v>
      </c>
      <c r="B262">
        <v>3.3330101865233549E-3</v>
      </c>
      <c r="C262">
        <v>-1.9358364605448625E-2</v>
      </c>
    </row>
    <row r="263" spans="1:3" x14ac:dyDescent="0.2">
      <c r="A263">
        <v>71</v>
      </c>
      <c r="B263">
        <v>5.3684888163536889E-3</v>
      </c>
      <c r="C263">
        <v>-5.3684888163536889E-3</v>
      </c>
    </row>
    <row r="264" spans="1:3" x14ac:dyDescent="0.2">
      <c r="A264">
        <v>72</v>
      </c>
      <c r="B264">
        <v>1.1402613690708399E-2</v>
      </c>
      <c r="C264">
        <v>-9.8489474700014443E-3</v>
      </c>
    </row>
    <row r="265" spans="1:3" x14ac:dyDescent="0.2">
      <c r="A265">
        <v>73</v>
      </c>
      <c r="B265">
        <v>9.8623776991149208E-3</v>
      </c>
      <c r="C265">
        <v>-1.0336883781420123E-2</v>
      </c>
    </row>
    <row r="266" spans="1:3" x14ac:dyDescent="0.2">
      <c r="A266">
        <v>74</v>
      </c>
      <c r="B266">
        <v>1.6640383697982678E-3</v>
      </c>
      <c r="C266">
        <v>-4.1597354438086065E-3</v>
      </c>
    </row>
    <row r="267" spans="1:3" x14ac:dyDescent="0.2">
      <c r="A267">
        <v>75</v>
      </c>
      <c r="B267">
        <v>3.0737076192477973E-3</v>
      </c>
      <c r="C267">
        <v>-1.9619769994940774E-2</v>
      </c>
    </row>
    <row r="268" spans="1:3" x14ac:dyDescent="0.2">
      <c r="A268">
        <v>76</v>
      </c>
      <c r="B268">
        <v>1.3472319079793789E-3</v>
      </c>
      <c r="C268">
        <v>6.6292226219643565E-3</v>
      </c>
    </row>
    <row r="269" spans="1:3" x14ac:dyDescent="0.2">
      <c r="A269">
        <v>77</v>
      </c>
      <c r="B269">
        <v>-6.6888647137994988E-3</v>
      </c>
      <c r="C269">
        <v>1.2480618971811398E-2</v>
      </c>
    </row>
    <row r="270" spans="1:3" x14ac:dyDescent="0.2">
      <c r="A270">
        <v>78</v>
      </c>
      <c r="B270">
        <v>6.6715097066300019E-3</v>
      </c>
      <c r="C270">
        <v>-4.7371905869601607E-3</v>
      </c>
    </row>
    <row r="271" spans="1:3" x14ac:dyDescent="0.2">
      <c r="A271">
        <v>79</v>
      </c>
      <c r="B271">
        <v>1.0352798505208503E-2</v>
      </c>
      <c r="C271">
        <v>-6.512453305640032E-3</v>
      </c>
    </row>
    <row r="272" spans="1:3" x14ac:dyDescent="0.2">
      <c r="A272">
        <v>80</v>
      </c>
      <c r="B272">
        <v>1.1160599814182463E-2</v>
      </c>
      <c r="C272">
        <v>-1.1117448006121694E-2</v>
      </c>
    </row>
    <row r="273" spans="1:3" x14ac:dyDescent="0.2">
      <c r="A273">
        <v>81</v>
      </c>
      <c r="B273">
        <v>1.5144613493862922E-2</v>
      </c>
      <c r="C273">
        <v>-1.5834566059623981E-2</v>
      </c>
    </row>
    <row r="274" spans="1:3" x14ac:dyDescent="0.2">
      <c r="A274">
        <v>82</v>
      </c>
      <c r="B274">
        <v>9.7473857913475247E-3</v>
      </c>
      <c r="C274">
        <v>-8.8842006381321999E-3</v>
      </c>
    </row>
    <row r="275" spans="1:3" x14ac:dyDescent="0.2">
      <c r="A275">
        <v>83</v>
      </c>
      <c r="B275">
        <v>1.0269206255700858E-2</v>
      </c>
      <c r="C275">
        <v>-9.8374273265126478E-3</v>
      </c>
    </row>
    <row r="276" spans="1:3" x14ac:dyDescent="0.2">
      <c r="A276">
        <v>84</v>
      </c>
      <c r="B276">
        <v>2.3250577895375865E-3</v>
      </c>
      <c r="C276">
        <v>7.9344532896558203E-4</v>
      </c>
    </row>
    <row r="277" spans="1:3" x14ac:dyDescent="0.2">
      <c r="A277">
        <v>85</v>
      </c>
      <c r="B277">
        <v>-6.7825370023108468E-4</v>
      </c>
      <c r="C277">
        <v>2.4137622042227462E-3</v>
      </c>
    </row>
    <row r="278" spans="1:3" x14ac:dyDescent="0.2">
      <c r="A278">
        <v>86</v>
      </c>
      <c r="B278">
        <v>3.4072065798177223E-3</v>
      </c>
      <c r="C278">
        <v>-2.4082923561477179E-3</v>
      </c>
    </row>
    <row r="279" spans="1:3" x14ac:dyDescent="0.2">
      <c r="A279">
        <v>87</v>
      </c>
      <c r="B279">
        <v>7.5784401882119977E-3</v>
      </c>
      <c r="C279">
        <v>-9.5290253637647579E-3</v>
      </c>
    </row>
    <row r="280" spans="1:3" x14ac:dyDescent="0.2">
      <c r="A280">
        <v>88</v>
      </c>
      <c r="B280">
        <v>-4.7044172098104336E-3</v>
      </c>
      <c r="C280">
        <v>5.3984399390548145E-3</v>
      </c>
    </row>
    <row r="281" spans="1:3" x14ac:dyDescent="0.2">
      <c r="A281">
        <v>89</v>
      </c>
      <c r="B281">
        <v>-1.2593860606032429E-2</v>
      </c>
      <c r="C281">
        <v>1.2984400853374673E-2</v>
      </c>
    </row>
    <row r="282" spans="1:3" x14ac:dyDescent="0.2">
      <c r="A282">
        <v>90</v>
      </c>
      <c r="B282">
        <v>-1.3836883826961407E-2</v>
      </c>
      <c r="C282">
        <v>1.4922895990297544E-2</v>
      </c>
    </row>
    <row r="283" spans="1:3" x14ac:dyDescent="0.2">
      <c r="A283">
        <v>91</v>
      </c>
      <c r="B283">
        <v>-9.2043511748650855E-3</v>
      </c>
      <c r="C283">
        <v>1.1599300010049111E-2</v>
      </c>
    </row>
    <row r="284" spans="1:3" x14ac:dyDescent="0.2">
      <c r="A284">
        <v>92</v>
      </c>
      <c r="B284">
        <v>-3.3263835161016315E-3</v>
      </c>
      <c r="C284">
        <v>1.1668864306441911E-2</v>
      </c>
    </row>
    <row r="285" spans="1:3" x14ac:dyDescent="0.2">
      <c r="A285">
        <v>93</v>
      </c>
      <c r="B285">
        <v>7.7853886187136904E-4</v>
      </c>
      <c r="C285">
        <v>1.8836660114447104E-4</v>
      </c>
    </row>
    <row r="286" spans="1:3" x14ac:dyDescent="0.2">
      <c r="A286">
        <v>94</v>
      </c>
      <c r="B286">
        <v>-1.4732848548318658E-2</v>
      </c>
      <c r="C286">
        <v>1.4864716680186766E-2</v>
      </c>
    </row>
    <row r="287" spans="1:3" x14ac:dyDescent="0.2">
      <c r="A287">
        <v>95</v>
      </c>
      <c r="B287">
        <v>-8.7441183184650863E-3</v>
      </c>
      <c r="C287">
        <v>1.1388455030673204E-2</v>
      </c>
    </row>
    <row r="288" spans="1:3" x14ac:dyDescent="0.2">
      <c r="A288">
        <v>96</v>
      </c>
      <c r="B288">
        <v>-4.6071889541130923E-3</v>
      </c>
      <c r="C288">
        <v>1.3126578757032218E-3</v>
      </c>
    </row>
    <row r="289" spans="1:3" x14ac:dyDescent="0.2">
      <c r="A289">
        <v>97</v>
      </c>
      <c r="B289">
        <v>-4.4031013697775631E-3</v>
      </c>
      <c r="C289">
        <v>9.7022844123918657E-3</v>
      </c>
    </row>
    <row r="290" spans="1:3" x14ac:dyDescent="0.2">
      <c r="A290">
        <v>98</v>
      </c>
      <c r="B290">
        <v>-8.6745916751189596E-3</v>
      </c>
      <c r="C290">
        <v>1.0058800186771638E-3</v>
      </c>
    </row>
    <row r="291" spans="1:3" x14ac:dyDescent="0.2">
      <c r="A291">
        <v>99</v>
      </c>
      <c r="B291">
        <v>-1.1542832912106572E-2</v>
      </c>
      <c r="C291">
        <v>1.0055128352729672E-2</v>
      </c>
    </row>
    <row r="292" spans="1:3" x14ac:dyDescent="0.2">
      <c r="A292">
        <v>100</v>
      </c>
      <c r="B292">
        <v>-5.8697902228021315E-3</v>
      </c>
      <c r="C292">
        <v>1.4265074209202254E-3</v>
      </c>
    </row>
    <row r="293" spans="1:3" x14ac:dyDescent="0.2">
      <c r="A293">
        <v>101</v>
      </c>
      <c r="B293">
        <v>-9.3277653817445943E-3</v>
      </c>
      <c r="C293">
        <v>-1.6481314776869982E-4</v>
      </c>
    </row>
    <row r="294" spans="1:3" x14ac:dyDescent="0.2">
      <c r="A294">
        <v>102</v>
      </c>
      <c r="B294">
        <v>-1.9044182846881759E-2</v>
      </c>
      <c r="C294">
        <v>1.5218693915009887E-2</v>
      </c>
    </row>
    <row r="295" spans="1:3" x14ac:dyDescent="0.2">
      <c r="A295">
        <v>103</v>
      </c>
      <c r="B295">
        <v>-1.1783516956414372E-2</v>
      </c>
      <c r="C295">
        <v>7.8020116905526109E-3</v>
      </c>
    </row>
    <row r="296" spans="1:3" x14ac:dyDescent="0.2">
      <c r="A296">
        <v>104</v>
      </c>
      <c r="B296">
        <v>-3.3988037300845728E-3</v>
      </c>
      <c r="C296">
        <v>9.6446676659956874E-4</v>
      </c>
    </row>
    <row r="297" spans="1:3" x14ac:dyDescent="0.2">
      <c r="A297">
        <v>105</v>
      </c>
      <c r="B297">
        <v>4.3596823844226258E-3</v>
      </c>
      <c r="C297">
        <v>-2.1362201276110288E-2</v>
      </c>
    </row>
    <row r="298" spans="1:3" x14ac:dyDescent="0.2">
      <c r="A298">
        <v>106</v>
      </c>
      <c r="B298">
        <v>-5.3047906283418223E-4</v>
      </c>
      <c r="C298">
        <v>-3.9759609575360767E-2</v>
      </c>
    </row>
    <row r="299" spans="1:3" x14ac:dyDescent="0.2">
      <c r="A299">
        <v>107</v>
      </c>
      <c r="B299">
        <v>-3.4038249770372252E-3</v>
      </c>
      <c r="C299">
        <v>6.2321078053200587E-3</v>
      </c>
    </row>
    <row r="300" spans="1:3" x14ac:dyDescent="0.2">
      <c r="A300">
        <v>108</v>
      </c>
      <c r="B300">
        <v>-1.1429146547013666E-3</v>
      </c>
      <c r="C300">
        <v>4.9871728214023435E-2</v>
      </c>
    </row>
    <row r="301" spans="1:3" x14ac:dyDescent="0.2">
      <c r="A301">
        <v>109</v>
      </c>
      <c r="B301">
        <v>1.8495392442008894E-4</v>
      </c>
      <c r="C301">
        <v>5.3540320150770263E-3</v>
      </c>
    </row>
    <row r="302" spans="1:3" x14ac:dyDescent="0.2">
      <c r="A302">
        <v>110</v>
      </c>
      <c r="B302">
        <v>-9.1655865653450259E-3</v>
      </c>
      <c r="C302">
        <v>-4.9070872426784148E-3</v>
      </c>
    </row>
    <row r="303" spans="1:3" x14ac:dyDescent="0.2">
      <c r="A303">
        <v>111</v>
      </c>
      <c r="B303">
        <v>-1.5368774894417444E-3</v>
      </c>
      <c r="C303">
        <v>1.581041817968452E-2</v>
      </c>
    </row>
    <row r="304" spans="1:3" x14ac:dyDescent="0.2">
      <c r="A304">
        <v>112</v>
      </c>
      <c r="B304">
        <v>-9.0142891627979817E-3</v>
      </c>
      <c r="C304">
        <v>1.0080614605323083E-2</v>
      </c>
    </row>
    <row r="305" spans="1:3" x14ac:dyDescent="0.2">
      <c r="A305">
        <v>113</v>
      </c>
      <c r="B305">
        <v>-7.79910121604282E-3</v>
      </c>
      <c r="C305">
        <v>6.3084708923630464E-3</v>
      </c>
    </row>
    <row r="306" spans="1:3" x14ac:dyDescent="0.2">
      <c r="A306">
        <v>114</v>
      </c>
      <c r="B306">
        <v>-4.9752282494482832E-3</v>
      </c>
      <c r="C306">
        <v>1.1990816161588365E-3</v>
      </c>
    </row>
    <row r="307" spans="1:3" x14ac:dyDescent="0.2">
      <c r="A307">
        <v>115</v>
      </c>
      <c r="B307">
        <v>-6.2365350033206576E-4</v>
      </c>
      <c r="C307">
        <v>-4.2739610236281929E-3</v>
      </c>
    </row>
    <row r="308" spans="1:3" x14ac:dyDescent="0.2">
      <c r="A308">
        <v>116</v>
      </c>
      <c r="B308">
        <v>2.72246958556932E-3</v>
      </c>
      <c r="C308">
        <v>-2.0350010025221025E-2</v>
      </c>
    </row>
    <row r="309" spans="1:3" x14ac:dyDescent="0.2">
      <c r="A309">
        <v>117</v>
      </c>
      <c r="B309">
        <v>5.0582119573494254E-3</v>
      </c>
      <c r="C309">
        <v>-1.6335636603648254E-2</v>
      </c>
    </row>
    <row r="310" spans="1:3" x14ac:dyDescent="0.2">
      <c r="A310">
        <v>118</v>
      </c>
      <c r="B310">
        <v>5.2505173246797827E-3</v>
      </c>
      <c r="C310">
        <v>-1.2295064926276002E-2</v>
      </c>
    </row>
    <row r="311" spans="1:3" x14ac:dyDescent="0.2">
      <c r="A311">
        <v>119</v>
      </c>
      <c r="B311">
        <v>3.5385125693381154E-4</v>
      </c>
      <c r="C311">
        <v>1.1929743137130478E-2</v>
      </c>
    </row>
    <row r="312" spans="1:3" x14ac:dyDescent="0.2">
      <c r="A312">
        <v>120</v>
      </c>
      <c r="B312">
        <v>-6.2481563948472508E-4</v>
      </c>
      <c r="C312">
        <v>1.656381556546734E-3</v>
      </c>
    </row>
    <row r="313" spans="1:3" x14ac:dyDescent="0.2">
      <c r="A313">
        <v>121</v>
      </c>
      <c r="B313">
        <v>-9.1042807885744837E-4</v>
      </c>
      <c r="C313">
        <v>-5.6482929705378351E-3</v>
      </c>
    </row>
    <row r="314" spans="1:3" x14ac:dyDescent="0.2">
      <c r="A314">
        <v>122</v>
      </c>
      <c r="B314">
        <v>1.10460770787449E-3</v>
      </c>
      <c r="C314">
        <v>-1.0243519161976973E-2</v>
      </c>
    </row>
    <row r="315" spans="1:3" x14ac:dyDescent="0.2">
      <c r="A315">
        <v>123</v>
      </c>
      <c r="B315">
        <v>-1.2259890687943836E-3</v>
      </c>
      <c r="C315">
        <v>-5.6316148037347047E-3</v>
      </c>
    </row>
    <row r="316" spans="1:3" x14ac:dyDescent="0.2">
      <c r="A316">
        <v>124</v>
      </c>
      <c r="B316">
        <v>-7.6047952740922907E-3</v>
      </c>
      <c r="C316">
        <v>-1.3713799277822514E-2</v>
      </c>
    </row>
    <row r="317" spans="1:3" x14ac:dyDescent="0.2">
      <c r="A317">
        <v>125</v>
      </c>
      <c r="B317">
        <v>-8.713598835289613E-3</v>
      </c>
      <c r="C317">
        <v>3.9984711339142928E-3</v>
      </c>
    </row>
    <row r="318" spans="1:3" ht="17" thickBot="1" x14ac:dyDescent="0.25">
      <c r="A318" s="39">
        <v>126</v>
      </c>
      <c r="B318" s="39">
        <v>-1.1716080888641E-2</v>
      </c>
      <c r="C318" s="39">
        <v>1.151965582480299E-2</v>
      </c>
    </row>
    <row r="319" spans="1:3" x14ac:dyDescent="0.2">
      <c r="A319">
        <v>126</v>
      </c>
      <c r="B319">
        <v>-6.2963467904294662E-2</v>
      </c>
      <c r="C319">
        <v>6.3159931558518637E-2</v>
      </c>
    </row>
    <row r="320" spans="1:3" ht="17" thickBot="1" x14ac:dyDescent="0.25">
      <c r="A320" s="39">
        <v>127</v>
      </c>
      <c r="B320" s="39">
        <v>-5.0340522438063695E-2</v>
      </c>
      <c r="C320" s="39">
        <v>4.3269220139890451E-2</v>
      </c>
    </row>
  </sheetData>
  <mergeCells count="1">
    <mergeCell ref="N1:O1"/>
  </mergeCells>
  <pageMargins left="0.7" right="0.7" top="0.75" bottom="0.75" header="0.3" footer="0.3"/>
  <drawing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B576-4934-1D49-ABF5-BA9E01260F77}">
  <dimension ref="A1:C54"/>
  <sheetViews>
    <sheetView zoomScale="125" workbookViewId="0">
      <selection activeCell="B33" sqref="B33"/>
    </sheetView>
  </sheetViews>
  <sheetFormatPr baseColWidth="10" defaultRowHeight="16" x14ac:dyDescent="0.2"/>
  <cols>
    <col min="1" max="1" width="25.83203125" customWidth="1"/>
    <col min="2" max="2" width="16" customWidth="1"/>
    <col min="3" max="3" width="41.83203125" customWidth="1"/>
  </cols>
  <sheetData>
    <row r="1" spans="1:3" x14ac:dyDescent="0.2">
      <c r="A1" s="6" t="s">
        <v>7</v>
      </c>
      <c r="B1" s="6" t="s">
        <v>8</v>
      </c>
      <c r="C1" s="6" t="s">
        <v>9</v>
      </c>
    </row>
    <row r="2" spans="1:3" ht="17" x14ac:dyDescent="0.2">
      <c r="A2" s="7" t="s">
        <v>14</v>
      </c>
      <c r="B2" s="10">
        <v>6.2100000000000002E-2</v>
      </c>
      <c r="C2" s="10">
        <v>6.0499999999999998E-2</v>
      </c>
    </row>
    <row r="3" spans="1:3" x14ac:dyDescent="0.2">
      <c r="A3" s="8" t="s">
        <v>15</v>
      </c>
      <c r="B3" s="12">
        <f>4600000*B2*7</f>
        <v>1999620</v>
      </c>
      <c r="C3" s="12">
        <f>4600000*C2*7</f>
        <v>1948100</v>
      </c>
    </row>
    <row r="4" spans="1:3" x14ac:dyDescent="0.2">
      <c r="A4" s="6" t="s">
        <v>10</v>
      </c>
      <c r="B4" s="11" t="s">
        <v>13</v>
      </c>
      <c r="C4" s="11" t="s">
        <v>12</v>
      </c>
    </row>
    <row r="27" spans="1:3" ht="34" x14ac:dyDescent="0.2">
      <c r="A27" s="13" t="s">
        <v>16</v>
      </c>
    </row>
    <row r="29" spans="1:3" x14ac:dyDescent="0.2">
      <c r="A29" s="1" t="s">
        <v>17</v>
      </c>
      <c r="B29" s="1" t="s">
        <v>18</v>
      </c>
      <c r="C29" s="1" t="s">
        <v>19</v>
      </c>
    </row>
    <row r="30" spans="1:3" ht="61" customHeight="1" x14ac:dyDescent="0.2">
      <c r="A30" s="6" t="s">
        <v>21</v>
      </c>
      <c r="B30" s="10">
        <v>6.13E-2</v>
      </c>
      <c r="C30" s="7" t="s">
        <v>49</v>
      </c>
    </row>
    <row r="31" spans="1:3" ht="102" x14ac:dyDescent="0.2">
      <c r="A31" s="8" t="s">
        <v>22</v>
      </c>
      <c r="B31" s="164">
        <v>0.08</v>
      </c>
      <c r="C31" s="17" t="s">
        <v>48</v>
      </c>
    </row>
    <row r="32" spans="1:3" x14ac:dyDescent="0.2">
      <c r="A32" s="6" t="s">
        <v>23</v>
      </c>
      <c r="B32" s="11">
        <f>AVERAGE(0.38,0.43)</f>
        <v>0.40500000000000003</v>
      </c>
      <c r="C32" s="6" t="s">
        <v>47</v>
      </c>
    </row>
    <row r="33" spans="1:3" ht="102" customHeight="1" x14ac:dyDescent="0.2">
      <c r="A33" s="8" t="s">
        <v>20</v>
      </c>
      <c r="B33" s="165">
        <f>B30+B32*(B31-B30)</f>
        <v>6.8873500000000004E-2</v>
      </c>
      <c r="C33" s="17" t="s">
        <v>26</v>
      </c>
    </row>
    <row r="42" spans="1:3" ht="16" customHeight="1" x14ac:dyDescent="0.2"/>
    <row r="48" spans="1:3" x14ac:dyDescent="0.2">
      <c r="A48" s="1" t="s">
        <v>24</v>
      </c>
      <c r="B48" s="4" t="s">
        <v>18</v>
      </c>
      <c r="C48" s="4" t="s">
        <v>52</v>
      </c>
    </row>
    <row r="49" spans="1:3" x14ac:dyDescent="0.2">
      <c r="A49" s="1" t="s">
        <v>54</v>
      </c>
      <c r="B49" s="22">
        <v>0.83760000000000001</v>
      </c>
      <c r="C49" s="4" t="s">
        <v>50</v>
      </c>
    </row>
    <row r="50" spans="1:3" x14ac:dyDescent="0.2">
      <c r="A50" s="3" t="s">
        <v>55</v>
      </c>
      <c r="B50" s="23">
        <v>6.8873500000000004E-2</v>
      </c>
      <c r="C50" s="21" t="s">
        <v>53</v>
      </c>
    </row>
    <row r="51" spans="1:3" x14ac:dyDescent="0.2">
      <c r="A51" s="1" t="s">
        <v>56</v>
      </c>
      <c r="B51" s="22">
        <v>0.16239999999999999</v>
      </c>
      <c r="C51" s="4" t="s">
        <v>50</v>
      </c>
    </row>
    <row r="52" spans="1:3" x14ac:dyDescent="0.2">
      <c r="A52" s="3" t="s">
        <v>57</v>
      </c>
      <c r="B52" s="23">
        <v>3.4700000000000002E-2</v>
      </c>
      <c r="C52" s="21" t="s">
        <v>50</v>
      </c>
    </row>
    <row r="53" spans="1:3" x14ac:dyDescent="0.2">
      <c r="A53" s="1" t="s">
        <v>58</v>
      </c>
      <c r="B53" s="22">
        <v>0.25</v>
      </c>
      <c r="C53" s="4" t="s">
        <v>51</v>
      </c>
    </row>
    <row r="54" spans="1:3" x14ac:dyDescent="0.2">
      <c r="A54" s="3" t="s">
        <v>25</v>
      </c>
      <c r="B54" s="23">
        <f>(B49*B50)+((B51*B52)*(1-B53))</f>
        <v>6.1914903600000008E-2</v>
      </c>
      <c r="C54" s="21" t="s">
        <v>53</v>
      </c>
    </row>
  </sheetData>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Hedging</vt:lpstr>
      <vt:lpstr>NPV IRR</vt:lpstr>
      <vt:lpstr>Exchange Rate Variables</vt:lpstr>
      <vt:lpstr>Vietnam</vt:lpstr>
      <vt:lpstr>The U.S</vt:lpstr>
      <vt:lpstr>Philippines</vt:lpstr>
      <vt:lpstr>Forecast Exchange Rate</vt:lpstr>
      <vt:lpstr>PHPUSD Macro Model</vt:lpstr>
      <vt:lpstr>PHPUSD Macroeconomic Variables</vt:lpstr>
      <vt:lpstr>VNDUSD Macroeconomic Variables</vt:lpstr>
      <vt:lpstr>VNDUSD Macro 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Phan</dc:creator>
  <cp:lastModifiedBy>Ha Phan</cp:lastModifiedBy>
  <dcterms:created xsi:type="dcterms:W3CDTF">2024-09-12T13:03:01Z</dcterms:created>
  <dcterms:modified xsi:type="dcterms:W3CDTF">2024-09-20T16:48:25Z</dcterms:modified>
</cp:coreProperties>
</file>