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PNHa/Library/CloudStorage/OneDrive-Personal/Equity Investment/"/>
    </mc:Choice>
  </mc:AlternateContent>
  <xr:revisionPtr revIDLastSave="0" documentId="13_ncr:1_{1401FF83-00D1-E54F-8A33-B1D97FB90B36}" xr6:coauthVersionLast="47" xr6:coauthVersionMax="47" xr10:uidLastSave="{00000000-0000-0000-0000-000000000000}"/>
  <bookViews>
    <workbookView xWindow="9540" yWindow="500" windowWidth="19260" windowHeight="16400" firstSheet="16" activeTab="21" xr2:uid="{1E343A24-D870-8E46-A759-37FA7104663A}"/>
  </bookViews>
  <sheets>
    <sheet name="DCF-FCFE Model" sheetId="25" r:id="rId1"/>
    <sheet name="Raw Data" sheetId="22" r:id="rId2"/>
    <sheet name="Beta Calculation" sheetId="21" r:id="rId3"/>
    <sheet name="Revenue Forecast" sheetId="26" r:id="rId4"/>
    <sheet name="Related Ratio" sheetId="30" r:id="rId5"/>
    <sheet name="Financial Values Summary" sheetId="29" r:id="rId6"/>
    <sheet name="PE Model" sheetId="27" r:id="rId7"/>
    <sheet name="DuPont analysis" sheetId="18" r:id="rId8"/>
    <sheet name="Market Profile" sheetId="28" r:id="rId9"/>
    <sheet name="Raw Revenue Distribution" sheetId="4" r:id="rId10"/>
    <sheet name="Gross Profit Margin" sheetId="5" r:id="rId11"/>
    <sheet name="Inventory Asset Turnover Ratio" sheetId="7" r:id="rId12"/>
    <sheet name="Change in Inventory" sheetId="15" r:id="rId13"/>
    <sheet name="Time Interest Earned" sheetId="17" r:id="rId14"/>
    <sheet name="Inventory" sheetId="20" r:id="rId15"/>
    <sheet name="Change in Account Receivables" sheetId="16" r:id="rId16"/>
    <sheet name="Accounts Receivable Turnover" sheetId="14" r:id="rId17"/>
    <sheet name="Revenue contribution" sheetId="9" r:id="rId18"/>
    <sheet name="Returns" sheetId="10" r:id="rId19"/>
    <sheet name="Operating cash flow" sheetId="12" r:id="rId20"/>
    <sheet name="EBIDTA" sheetId="8" r:id="rId21"/>
    <sheet name="Expenses" sheetId="1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7" l="1"/>
  <c r="B14" i="25"/>
  <c r="B37" i="21"/>
  <c r="F12" i="30"/>
  <c r="E12" i="30"/>
  <c r="D12" i="30"/>
  <c r="C12" i="30"/>
  <c r="D72" i="4"/>
  <c r="E72" i="4"/>
  <c r="F72" i="4"/>
  <c r="C72" i="4"/>
  <c r="B61" i="4"/>
  <c r="C61" i="4"/>
  <c r="D61" i="4"/>
  <c r="E61" i="4"/>
  <c r="F61" i="4"/>
  <c r="H6" i="29"/>
  <c r="I6" i="29" s="1"/>
  <c r="J6" i="29" s="1"/>
  <c r="K6" i="29" s="1"/>
  <c r="G6" i="29"/>
  <c r="E23" i="27"/>
  <c r="B43" i="26"/>
  <c r="A62" i="26"/>
  <c r="H62" i="22"/>
  <c r="I62" i="22" s="1"/>
  <c r="J62" i="22" s="1"/>
  <c r="K62" i="22" s="1"/>
  <c r="G62" i="22"/>
  <c r="H63" i="22"/>
  <c r="I63" i="22"/>
  <c r="J63" i="22"/>
  <c r="K63" i="22"/>
  <c r="G63" i="22"/>
  <c r="D63" i="22"/>
  <c r="E63" i="22"/>
  <c r="F63" i="22"/>
  <c r="C63" i="22"/>
  <c r="B11" i="27"/>
  <c r="B12" i="27" s="1"/>
  <c r="B14" i="27" s="1"/>
  <c r="B6" i="27"/>
  <c r="B5" i="27"/>
  <c r="E18" i="25"/>
  <c r="A30" i="21"/>
  <c r="D14" i="25"/>
  <c r="D18" i="25" s="1"/>
  <c r="E14" i="25"/>
  <c r="F14" i="25"/>
  <c r="F18" i="25" s="1"/>
  <c r="G14" i="25"/>
  <c r="B16" i="25" s="1"/>
  <c r="C14" i="25"/>
  <c r="C18" i="25" s="1"/>
  <c r="C51" i="26"/>
  <c r="D51" i="26"/>
  <c r="E51" i="26"/>
  <c r="F51" i="26"/>
  <c r="G51" i="26"/>
  <c r="H51" i="26"/>
  <c r="I51" i="26"/>
  <c r="J51" i="26"/>
  <c r="K51" i="26"/>
  <c r="B51" i="26"/>
  <c r="H60" i="22"/>
  <c r="I60" i="22" s="1"/>
  <c r="J60" i="22" s="1"/>
  <c r="K60" i="22" s="1"/>
  <c r="G60" i="22"/>
  <c r="D61" i="22"/>
  <c r="E61" i="22"/>
  <c r="F61" i="22"/>
  <c r="C61" i="22"/>
  <c r="C43" i="26"/>
  <c r="D43" i="26"/>
  <c r="E43" i="26"/>
  <c r="F43" i="26"/>
  <c r="H54" i="22"/>
  <c r="I54" i="22"/>
  <c r="J54" i="22" s="1"/>
  <c r="K54" i="22" s="1"/>
  <c r="G54" i="22"/>
  <c r="G55" i="22"/>
  <c r="D55" i="22"/>
  <c r="E55" i="22"/>
  <c r="F55" i="22"/>
  <c r="C55" i="22"/>
  <c r="G46" i="22"/>
  <c r="H46" i="22" s="1"/>
  <c r="I46" i="22" s="1"/>
  <c r="J46" i="22" s="1"/>
  <c r="K46" i="22" s="1"/>
  <c r="G34" i="22"/>
  <c r="H34" i="22" s="1"/>
  <c r="I34" i="22" s="1"/>
  <c r="J34" i="22" s="1"/>
  <c r="K34" i="22" s="1"/>
  <c r="D35" i="22"/>
  <c r="E35" i="22"/>
  <c r="F35" i="22"/>
  <c r="C35" i="22"/>
  <c r="G32" i="22"/>
  <c r="H32" i="22" s="1"/>
  <c r="I32" i="22" s="1"/>
  <c r="J32" i="22" s="1"/>
  <c r="K32" i="22" s="1"/>
  <c r="D33" i="22"/>
  <c r="E33" i="22"/>
  <c r="F33" i="22"/>
  <c r="C33" i="22"/>
  <c r="G30" i="22"/>
  <c r="H30" i="22" s="1"/>
  <c r="I30" i="22" s="1"/>
  <c r="J30" i="22" s="1"/>
  <c r="K30" i="22" s="1"/>
  <c r="F31" i="22"/>
  <c r="D31" i="22"/>
  <c r="E31" i="22"/>
  <c r="C31" i="22"/>
  <c r="G28" i="22"/>
  <c r="H28" i="22" s="1"/>
  <c r="I28" i="22" s="1"/>
  <c r="J28" i="22" s="1"/>
  <c r="K28" i="22" s="1"/>
  <c r="D29" i="22"/>
  <c r="E29" i="22"/>
  <c r="F29" i="22"/>
  <c r="C29" i="22"/>
  <c r="K18" i="26"/>
  <c r="J18" i="26"/>
  <c r="G26" i="22"/>
  <c r="H26" i="22" s="1"/>
  <c r="I26" i="22" s="1"/>
  <c r="J26" i="22" s="1"/>
  <c r="K26" i="22" s="1"/>
  <c r="D27" i="22"/>
  <c r="E27" i="22"/>
  <c r="F27" i="22"/>
  <c r="C27" i="22"/>
  <c r="K20" i="26"/>
  <c r="J20" i="26"/>
  <c r="I20" i="26"/>
  <c r="H20" i="26"/>
  <c r="G20" i="26"/>
  <c r="F20" i="26"/>
  <c r="E20" i="26"/>
  <c r="D20" i="26"/>
  <c r="C20" i="26"/>
  <c r="B20" i="26"/>
  <c r="I18" i="26"/>
  <c r="H18" i="26"/>
  <c r="G18" i="26"/>
  <c r="F18" i="26"/>
  <c r="E18" i="26"/>
  <c r="D18" i="26"/>
  <c r="C18" i="26"/>
  <c r="B18" i="26"/>
  <c r="F17" i="26"/>
  <c r="E17" i="26"/>
  <c r="D17" i="26"/>
  <c r="C17" i="26"/>
  <c r="B17" i="26"/>
  <c r="D11" i="22"/>
  <c r="E11" i="22"/>
  <c r="F11" i="22"/>
  <c r="H11" i="22" s="1"/>
  <c r="C11" i="22"/>
  <c r="F11" i="26"/>
  <c r="E11" i="26"/>
  <c r="D11" i="26"/>
  <c r="C11" i="26"/>
  <c r="B11" i="26"/>
  <c r="F8" i="26"/>
  <c r="G8" i="26" s="1"/>
  <c r="H8" i="26" s="1"/>
  <c r="I8" i="26" s="1"/>
  <c r="J8" i="26" s="1"/>
  <c r="K8" i="26" s="1"/>
  <c r="E8" i="26"/>
  <c r="D8" i="26"/>
  <c r="F2" i="26"/>
  <c r="E2" i="26"/>
  <c r="D2" i="26"/>
  <c r="C2" i="26"/>
  <c r="B2" i="26"/>
  <c r="E5" i="26"/>
  <c r="C5" i="26"/>
  <c r="B5" i="26"/>
  <c r="B8" i="26"/>
  <c r="C8" i="26"/>
  <c r="F5" i="26"/>
  <c r="G5" i="26" s="1"/>
  <c r="H5" i="26" s="1"/>
  <c r="I5" i="26" s="1"/>
  <c r="J5" i="26" s="1"/>
  <c r="K5" i="26" s="1"/>
  <c r="D5" i="26"/>
  <c r="G50" i="22"/>
  <c r="H50" i="22" s="1"/>
  <c r="I50" i="22" s="1"/>
  <c r="J50" i="22" s="1"/>
  <c r="K50" i="22" s="1"/>
  <c r="G48" i="22"/>
  <c r="H48" i="22" s="1"/>
  <c r="I48" i="22" s="1"/>
  <c r="J48" i="22" s="1"/>
  <c r="K48" i="22" s="1"/>
  <c r="G44" i="22"/>
  <c r="H44" i="22" s="1"/>
  <c r="I44" i="22" s="1"/>
  <c r="J44" i="22" s="1"/>
  <c r="K44" i="22" s="1"/>
  <c r="G38" i="22"/>
  <c r="H38" i="22" s="1"/>
  <c r="I38" i="22" s="1"/>
  <c r="J38" i="22" s="1"/>
  <c r="K38" i="22" s="1"/>
  <c r="I36" i="22"/>
  <c r="I37" i="22" s="1"/>
  <c r="H37" i="22"/>
  <c r="G37" i="22"/>
  <c r="G8" i="22"/>
  <c r="H8" i="22" s="1"/>
  <c r="I8" i="22" s="1"/>
  <c r="J8" i="22" s="1"/>
  <c r="K8" i="22" s="1"/>
  <c r="G6" i="22"/>
  <c r="H6" i="22" s="1"/>
  <c r="I6" i="22" s="1"/>
  <c r="J6" i="22" s="1"/>
  <c r="K6" i="22" s="1"/>
  <c r="G4" i="22"/>
  <c r="H4" i="22" s="1"/>
  <c r="I4" i="22" s="1"/>
  <c r="J4" i="22" s="1"/>
  <c r="K4" i="22" s="1"/>
  <c r="F5" i="22"/>
  <c r="B20" i="4"/>
  <c r="C15" i="4"/>
  <c r="C19" i="4" s="1"/>
  <c r="D15" i="4"/>
  <c r="D20" i="4" s="1"/>
  <c r="E15" i="4"/>
  <c r="E20" i="4" s="1"/>
  <c r="F15" i="4"/>
  <c r="F20" i="4" s="1"/>
  <c r="B15" i="4"/>
  <c r="B19" i="4" s="1"/>
  <c r="E25" i="22"/>
  <c r="F25" i="22"/>
  <c r="G25" i="22" s="1"/>
  <c r="G24" i="22" s="1"/>
  <c r="D37" i="22"/>
  <c r="E37" i="22"/>
  <c r="F37" i="22"/>
  <c r="F43" i="22"/>
  <c r="D43" i="22"/>
  <c r="E59" i="22"/>
  <c r="D59" i="22"/>
  <c r="F59" i="22"/>
  <c r="C59" i="22"/>
  <c r="D57" i="22"/>
  <c r="E57" i="22"/>
  <c r="F57" i="22"/>
  <c r="C57" i="22"/>
  <c r="D53" i="22"/>
  <c r="E53" i="22"/>
  <c r="F53" i="22"/>
  <c r="H53" i="22" s="1"/>
  <c r="C53" i="22"/>
  <c r="D51" i="22"/>
  <c r="E51" i="22"/>
  <c r="F51" i="22"/>
  <c r="C51" i="22"/>
  <c r="D49" i="22"/>
  <c r="E49" i="22"/>
  <c r="F49" i="22"/>
  <c r="C49" i="22"/>
  <c r="D47" i="22"/>
  <c r="E47" i="22"/>
  <c r="F47" i="22"/>
  <c r="C47" i="22"/>
  <c r="D45" i="22"/>
  <c r="E45" i="22"/>
  <c r="F45" i="22"/>
  <c r="C45" i="22"/>
  <c r="E43" i="22"/>
  <c r="C43" i="22"/>
  <c r="D41" i="22"/>
  <c r="E41" i="22"/>
  <c r="F41" i="22"/>
  <c r="C41" i="22"/>
  <c r="D39" i="22"/>
  <c r="E39" i="22"/>
  <c r="F39" i="22"/>
  <c r="C39" i="22"/>
  <c r="C37" i="22"/>
  <c r="D25" i="22"/>
  <c r="C25" i="22"/>
  <c r="D23" i="22"/>
  <c r="E23" i="22"/>
  <c r="F23" i="22"/>
  <c r="K23" i="22" s="1"/>
  <c r="C23" i="22"/>
  <c r="D21" i="22"/>
  <c r="E21" i="22"/>
  <c r="F21" i="22"/>
  <c r="C21" i="22"/>
  <c r="D19" i="22"/>
  <c r="E19" i="22"/>
  <c r="F19" i="22"/>
  <c r="C19" i="22"/>
  <c r="D17" i="22"/>
  <c r="E17" i="22"/>
  <c r="F17" i="22"/>
  <c r="C17" i="22"/>
  <c r="D15" i="22"/>
  <c r="E15" i="22"/>
  <c r="F15" i="22"/>
  <c r="J15" i="22" s="1"/>
  <c r="C15" i="22"/>
  <c r="D13" i="22"/>
  <c r="E13" i="22"/>
  <c r="F13" i="22"/>
  <c r="K13" i="22" s="1"/>
  <c r="C13" i="22"/>
  <c r="D9" i="22"/>
  <c r="E9" i="22"/>
  <c r="F9" i="22"/>
  <c r="C9" i="22"/>
  <c r="D7" i="22"/>
  <c r="E7" i="22"/>
  <c r="F7" i="22"/>
  <c r="C7" i="22"/>
  <c r="D5" i="22"/>
  <c r="E5" i="22"/>
  <c r="C5" i="22"/>
  <c r="B2" i="22"/>
  <c r="G14" i="4"/>
  <c r="G13" i="4"/>
  <c r="G12" i="4"/>
  <c r="B7" i="4"/>
  <c r="B22" i="21"/>
  <c r="B21" i="21"/>
  <c r="D10" i="26" l="1"/>
  <c r="B21" i="4"/>
  <c r="E21" i="4"/>
  <c r="C21" i="4"/>
  <c r="C20" i="4"/>
  <c r="F19" i="4"/>
  <c r="E19" i="4"/>
  <c r="F21" i="4"/>
  <c r="D21" i="4"/>
  <c r="D19" i="4"/>
  <c r="C19" i="26"/>
  <c r="C21" i="26" s="1"/>
  <c r="F10" i="26"/>
  <c r="B19" i="26"/>
  <c r="B21" i="26" s="1"/>
  <c r="C4" i="26"/>
  <c r="E4" i="26"/>
  <c r="D19" i="26"/>
  <c r="F4" i="26"/>
  <c r="E19" i="26"/>
  <c r="F19" i="26"/>
  <c r="G18" i="25"/>
  <c r="C19" i="25" s="1"/>
  <c r="C20" i="25" s="1"/>
  <c r="B16" i="27"/>
  <c r="G13" i="22"/>
  <c r="G12" i="22" s="1"/>
  <c r="G2" i="26"/>
  <c r="E7" i="26"/>
  <c r="K15" i="22"/>
  <c r="I15" i="22"/>
  <c r="H15" i="22"/>
  <c r="J13" i="22"/>
  <c r="I13" i="22"/>
  <c r="H13" i="22"/>
  <c r="G15" i="22"/>
  <c r="G14" i="22" s="1"/>
  <c r="G11" i="22"/>
  <c r="G10" i="22" s="1"/>
  <c r="H10" i="22" s="1"/>
  <c r="K11" i="22"/>
  <c r="J11" i="22"/>
  <c r="I11" i="22"/>
  <c r="C2" i="22"/>
  <c r="C3" i="22" s="1"/>
  <c r="D2" i="22"/>
  <c r="H23" i="22"/>
  <c r="F2" i="22"/>
  <c r="E2" i="22"/>
  <c r="I25" i="22"/>
  <c r="H25" i="22"/>
  <c r="H24" i="22" s="1"/>
  <c r="G23" i="22"/>
  <c r="G22" i="22" s="1"/>
  <c r="J36" i="22"/>
  <c r="G53" i="22"/>
  <c r="G52" i="22" s="1"/>
  <c r="H52" i="22" s="1"/>
  <c r="J23" i="22"/>
  <c r="K53" i="22"/>
  <c r="I23" i="22"/>
  <c r="J53" i="22"/>
  <c r="I53" i="22"/>
  <c r="K25" i="22"/>
  <c r="J25" i="22"/>
  <c r="D4" i="26"/>
  <c r="F7" i="26"/>
  <c r="D7" i="26"/>
  <c r="E10" i="26"/>
  <c r="C7" i="26"/>
  <c r="C10" i="26"/>
  <c r="C28" i="26" l="1"/>
  <c r="C30" i="26" s="1"/>
  <c r="B28" i="26"/>
  <c r="B30" i="26" s="1"/>
  <c r="B33" i="26" s="1"/>
  <c r="F21" i="26"/>
  <c r="F28" i="26"/>
  <c r="F30" i="26" s="1"/>
  <c r="E21" i="26"/>
  <c r="E28" i="26"/>
  <c r="E30" i="26" s="1"/>
  <c r="D21" i="26"/>
  <c r="D28" i="26"/>
  <c r="D30" i="26" s="1"/>
  <c r="C21" i="25"/>
  <c r="H12" i="22"/>
  <c r="I10" i="22"/>
  <c r="J10" i="22" s="1"/>
  <c r="K10" i="22" s="1"/>
  <c r="H14" i="22"/>
  <c r="I14" i="22" s="1"/>
  <c r="J14" i="22" s="1"/>
  <c r="K14" i="22" s="1"/>
  <c r="I12" i="22"/>
  <c r="J12" i="22" s="1"/>
  <c r="K12" i="22" s="1"/>
  <c r="H2" i="26"/>
  <c r="G11" i="26"/>
  <c r="G3" i="26" s="1"/>
  <c r="H22" i="22"/>
  <c r="I22" i="22" s="1"/>
  <c r="J22" i="22" s="1"/>
  <c r="K22" i="22" s="1"/>
  <c r="I24" i="22"/>
  <c r="J24" i="22" s="1"/>
  <c r="K24" i="22" s="1"/>
  <c r="E3" i="22"/>
  <c r="D3" i="22"/>
  <c r="F3" i="22"/>
  <c r="I52" i="22"/>
  <c r="J52" i="22" s="1"/>
  <c r="K52" i="22" s="1"/>
  <c r="K36" i="22"/>
  <c r="K37" i="22" s="1"/>
  <c r="J37" i="22"/>
  <c r="E33" i="26" l="1"/>
  <c r="E34" i="26" s="1"/>
  <c r="D34" i="26"/>
  <c r="D33" i="26"/>
  <c r="F33" i="26"/>
  <c r="F34" i="26" s="1"/>
  <c r="C33" i="26"/>
  <c r="C34" i="26" s="1"/>
  <c r="B34" i="26"/>
  <c r="G12" i="26"/>
  <c r="G6" i="26"/>
  <c r="G9" i="26"/>
  <c r="G17" i="26"/>
  <c r="G19" i="26" s="1"/>
  <c r="I2" i="26"/>
  <c r="H11" i="26"/>
  <c r="H3" i="26" s="1"/>
  <c r="G21" i="26" l="1"/>
  <c r="G28" i="26"/>
  <c r="G30" i="26" s="1"/>
  <c r="J2" i="26"/>
  <c r="I11" i="26"/>
  <c r="H12" i="26"/>
  <c r="H6" i="26"/>
  <c r="H9" i="26"/>
  <c r="H17" i="26"/>
  <c r="H19" i="26" s="1"/>
  <c r="G33" i="26" l="1"/>
  <c r="G34" i="26" s="1"/>
  <c r="H21" i="26"/>
  <c r="H28" i="26"/>
  <c r="H30" i="26" s="1"/>
  <c r="I6" i="26"/>
  <c r="I12" i="26"/>
  <c r="I17" i="26"/>
  <c r="I19" i="26" s="1"/>
  <c r="I9" i="26"/>
  <c r="I3" i="26"/>
  <c r="K2" i="26"/>
  <c r="J11" i="26"/>
  <c r="H33" i="26" l="1"/>
  <c r="H34" i="26" s="1"/>
  <c r="I21" i="26"/>
  <c r="I28" i="26"/>
  <c r="I30" i="26" s="1"/>
  <c r="J6" i="26"/>
  <c r="J12" i="26"/>
  <c r="J17" i="26"/>
  <c r="J19" i="26" s="1"/>
  <c r="J9" i="26"/>
  <c r="K11" i="26"/>
  <c r="J3" i="26"/>
  <c r="I33" i="26" l="1"/>
  <c r="I34" i="26" s="1"/>
  <c r="J21" i="26"/>
  <c r="J28" i="26"/>
  <c r="J30" i="26" s="1"/>
  <c r="J33" i="26" s="1"/>
  <c r="J34" i="26" s="1"/>
  <c r="K12" i="26"/>
  <c r="K6" i="26"/>
  <c r="K17" i="26"/>
  <c r="K19" i="26" s="1"/>
  <c r="K9" i="26"/>
  <c r="K3" i="26"/>
  <c r="K21" i="26" l="1"/>
  <c r="K28" i="26"/>
  <c r="K30" i="26" s="1"/>
  <c r="K33" i="26" s="1"/>
  <c r="K34" i="26" s="1"/>
  <c r="K4" i="9" l="1"/>
  <c r="K5" i="9"/>
  <c r="K6" i="9"/>
  <c r="K3" i="9"/>
  <c r="C6" i="12"/>
  <c r="D6" i="12"/>
  <c r="E6" i="12"/>
  <c r="F6" i="12"/>
  <c r="G6" i="12"/>
  <c r="H6" i="12"/>
  <c r="I6" i="12"/>
  <c r="J6" i="12"/>
  <c r="K6" i="12"/>
  <c r="B6" i="12"/>
  <c r="B6" i="9"/>
  <c r="C6" i="9"/>
  <c r="D15" i="9"/>
  <c r="D14" i="9"/>
  <c r="D13" i="9"/>
  <c r="D12" i="9"/>
  <c r="E12" i="9" s="1"/>
  <c r="B15" i="9"/>
  <c r="B14" i="9"/>
  <c r="B13" i="9"/>
  <c r="B12" i="9"/>
  <c r="D7" i="4"/>
  <c r="C7" i="4"/>
  <c r="C11" i="5"/>
  <c r="K43" i="26"/>
  <c r="J43" i="26"/>
  <c r="I43" i="26"/>
  <c r="G43" i="26"/>
  <c r="H43" i="26"/>
</calcChain>
</file>

<file path=xl/sharedStrings.xml><?xml version="1.0" encoding="utf-8"?>
<sst xmlns="http://schemas.openxmlformats.org/spreadsheetml/2006/main" count="592" uniqueCount="263">
  <si>
    <t>FY2019</t>
  </si>
  <si>
    <t>FY2020</t>
  </si>
  <si>
    <t>FY2021</t>
  </si>
  <si>
    <t>FY2022</t>
  </si>
  <si>
    <t>FY2023</t>
  </si>
  <si>
    <t xml:space="preserve"> gold, silver and jewelry </t>
  </si>
  <si>
    <t>accessories</t>
  </si>
  <si>
    <t>Revenue from sales of goods and provision of services</t>
  </si>
  <si>
    <t>Operating profit margin</t>
  </si>
  <si>
    <t>Gross profit margin</t>
  </si>
  <si>
    <t>Inventory Turnover Ratio</t>
  </si>
  <si>
    <t>Asset Turnover Ratio</t>
  </si>
  <si>
    <t xml:space="preserve">Cost of goods and services provided </t>
  </si>
  <si>
    <t>Taxes</t>
  </si>
  <si>
    <t>Revenue Contribution by Channel</t>
  </si>
  <si>
    <t>Retail</t>
  </si>
  <si>
    <t>Wholesales</t>
  </si>
  <si>
    <t>24K Gold</t>
  </si>
  <si>
    <t xml:space="preserve">Growth of Revenue YTD </t>
  </si>
  <si>
    <t>Others (Export, B2B, Rendering)</t>
  </si>
  <si>
    <t>Exchange Date</t>
  </si>
  <si>
    <t>PNJ</t>
  </si>
  <si>
    <t>VN Index</t>
  </si>
  <si>
    <t>PNJ returns</t>
  </si>
  <si>
    <t>VN Index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</si>
  <si>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</si>
  <si>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</si>
  <si>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</si>
  <si>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</si>
  <si>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</si>
  <si>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</si>
  <si>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</si>
  <si>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</si>
  <si>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</si>
  <si>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</si>
  <si>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</si>
  <si>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</si>
  <si>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</si>
  <si>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</si>
  <si>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</si>
  <si>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</si>
  <si>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</si>
  <si>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</si>
  <si>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</si>
  <si>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</si>
  <si>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</si>
  <si>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</si>
  <si>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</si>
  <si>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</si>
  <si>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rf = The Vietnam 10Y Government Bond has a 2.861% yield.</t>
  </si>
  <si>
    <r>
      <t>𝛽𝑖</t>
    </r>
    <r>
      <rPr>
        <sz val="12"/>
        <color theme="1"/>
        <rFont val="Aptos"/>
      </rPr>
      <t xml:space="preserve"> = </t>
    </r>
    <r>
      <rPr>
        <sz val="12"/>
        <color rgb="FF000000"/>
        <rFont val="Aptos Narrow"/>
      </rPr>
      <t>0.846684817</t>
    </r>
  </si>
  <si>
    <r>
      <t>𝐸</t>
    </r>
    <r>
      <rPr>
        <sz val="12"/>
        <color theme="1"/>
        <rFont val="Aptos"/>
      </rPr>
      <t>(</t>
    </r>
    <r>
      <rPr>
        <sz val="12"/>
        <color theme="1"/>
        <rFont val="Cambria Math"/>
        <family val="1"/>
      </rPr>
      <t>𝑅𝑖</t>
    </r>
    <r>
      <rPr>
        <sz val="12"/>
        <color theme="1"/>
        <rFont val="Aptos"/>
      </rPr>
      <t xml:space="preserve">) = </t>
    </r>
    <r>
      <rPr>
        <sz val="12"/>
        <color theme="1"/>
        <rFont val="Cambria Math"/>
        <family val="1"/>
      </rPr>
      <t>𝑟𝑓</t>
    </r>
    <r>
      <rPr>
        <sz val="12"/>
        <color theme="1"/>
        <rFont val="Aptos"/>
      </rPr>
      <t xml:space="preserve"> + </t>
    </r>
    <r>
      <rPr>
        <sz val="12"/>
        <color theme="1"/>
        <rFont val="Cambria Math"/>
        <family val="1"/>
      </rPr>
      <t>𝛽𝑖</t>
    </r>
    <r>
      <rPr>
        <sz val="12"/>
        <color theme="1"/>
        <rFont val="Aptos"/>
      </rPr>
      <t xml:space="preserve"> × [</t>
    </r>
    <r>
      <rPr>
        <sz val="12"/>
        <color theme="1"/>
        <rFont val="Cambria Math"/>
        <family val="1"/>
      </rPr>
      <t>𝐸</t>
    </r>
    <r>
      <rPr>
        <sz val="12"/>
        <color theme="1"/>
        <rFont val="Aptos"/>
      </rPr>
      <t>(</t>
    </r>
    <r>
      <rPr>
        <sz val="12"/>
        <color theme="1"/>
        <rFont val="Cambria Math"/>
        <family val="1"/>
      </rPr>
      <t>𝑅𝑚</t>
    </r>
    <r>
      <rPr>
        <sz val="12"/>
        <color theme="1"/>
        <rFont val="Aptos"/>
      </rPr>
      <t xml:space="preserve">) − </t>
    </r>
    <r>
      <rPr>
        <sz val="12"/>
        <color theme="1"/>
        <rFont val="Cambria Math"/>
        <family val="1"/>
      </rPr>
      <t>𝑟𝑓</t>
    </r>
    <r>
      <rPr>
        <sz val="12"/>
        <color theme="1"/>
        <rFont val="Aptos"/>
      </rPr>
      <t>]</t>
    </r>
  </si>
  <si>
    <r>
      <t>𝐸</t>
    </r>
    <r>
      <rPr>
        <sz val="12"/>
        <color theme="1"/>
        <rFont val="Aptos"/>
      </rPr>
      <t>(</t>
    </r>
    <r>
      <rPr>
        <sz val="12"/>
        <color theme="1"/>
        <rFont val="Cambria Math"/>
        <family val="1"/>
      </rPr>
      <t>𝑅𝑚</t>
    </r>
    <r>
      <rPr>
        <sz val="12"/>
        <color theme="1"/>
        <rFont val="Aptos"/>
      </rPr>
      <t>): 11.2%</t>
    </r>
  </si>
  <si>
    <t>Q1</t>
  </si>
  <si>
    <t>Q2</t>
  </si>
  <si>
    <t>Q3</t>
  </si>
  <si>
    <t>Q4</t>
  </si>
  <si>
    <t>Operating cash flow (VND bn)</t>
  </si>
  <si>
    <t>EBIDTA</t>
  </si>
  <si>
    <t>Net Income growth rate</t>
  </si>
  <si>
    <t>Operating cash flow growth rate</t>
  </si>
  <si>
    <t>FY19</t>
  </si>
  <si>
    <t>FY20</t>
  </si>
  <si>
    <t>FY21</t>
  </si>
  <si>
    <t>FY22</t>
  </si>
  <si>
    <t>FY23</t>
  </si>
  <si>
    <t>FY19A</t>
  </si>
  <si>
    <t>FY20A</t>
  </si>
  <si>
    <t>FY21A</t>
  </si>
  <si>
    <t>FY22A</t>
  </si>
  <si>
    <t>FY23A</t>
  </si>
  <si>
    <t>4Y Revenue CAGR by Segment (%)</t>
  </si>
  <si>
    <t>Cost of goods sold</t>
  </si>
  <si>
    <t>Gross Profit</t>
  </si>
  <si>
    <t xml:space="preserve">General and Administrative Expenses </t>
  </si>
  <si>
    <t>Quick Ratio</t>
  </si>
  <si>
    <t>Accounts Receivable Turnover ratio</t>
  </si>
  <si>
    <t>Cash Ratio</t>
  </si>
  <si>
    <t xml:space="preserve">Average Account Receivables Days </t>
  </si>
  <si>
    <t xml:space="preserve">Inventory/Revenue </t>
  </si>
  <si>
    <t>Times Interest Earned</t>
  </si>
  <si>
    <t>Net Profit Margin</t>
  </si>
  <si>
    <t xml:space="preserve">Asset Turnover </t>
  </si>
  <si>
    <t>Financial Leverage</t>
  </si>
  <si>
    <t>Return on Equity</t>
  </si>
  <si>
    <t xml:space="preserve">PNJ </t>
  </si>
  <si>
    <t xml:space="preserve">Chow Sang Sang </t>
  </si>
  <si>
    <t>Hong Kong</t>
  </si>
  <si>
    <t>Vietnam</t>
  </si>
  <si>
    <t>Inventory</t>
  </si>
  <si>
    <t>Inventories - Work In Progress</t>
  </si>
  <si>
    <t>Inventories - Raw Materials</t>
  </si>
  <si>
    <t>Inventories - Finished Goods</t>
  </si>
  <si>
    <t>Inventories - Other</t>
  </si>
  <si>
    <t>Stock Identifier</t>
  </si>
  <si>
    <t>Country</t>
  </si>
  <si>
    <t>Company Name</t>
  </si>
  <si>
    <t>Business Acitivies</t>
  </si>
  <si>
    <t>8114.T</t>
  </si>
  <si>
    <t>PNJ.VN</t>
  </si>
  <si>
    <t>0116.HK</t>
  </si>
  <si>
    <t>002003.SZ</t>
  </si>
  <si>
    <t>00116:XHKG</t>
  </si>
  <si>
    <t>Phu Nhuan Jewelry JSC</t>
  </si>
  <si>
    <t>Short</t>
  </si>
  <si>
    <t>Chow Sang Sang Holdings International Limited</t>
  </si>
  <si>
    <t>Beta</t>
  </si>
  <si>
    <t>Raw Beta</t>
  </si>
  <si>
    <t>Labor &amp; Related Expense</t>
  </si>
  <si>
    <t>Advertising Expense</t>
  </si>
  <si>
    <t>Depreciation/Amortization</t>
  </si>
  <si>
    <t>Interest Expense, Net - Operating</t>
  </si>
  <si>
    <t>Interest/Investment Income - Operating</t>
  </si>
  <si>
    <t>Prepaid Expenses</t>
  </si>
  <si>
    <t>Accounts Payable</t>
  </si>
  <si>
    <t>Capital Expenditure</t>
  </si>
  <si>
    <t>Net Change in Working Capital</t>
  </si>
  <si>
    <t>Income Tax</t>
  </si>
  <si>
    <t>Total Inventory</t>
  </si>
  <si>
    <t xml:space="preserve">Account Receivable </t>
  </si>
  <si>
    <t>Net Debt (Financing)</t>
  </si>
  <si>
    <t>Debt-to-Equity ratio</t>
  </si>
  <si>
    <t xml:space="preserve">Free Cash Flow </t>
  </si>
  <si>
    <t>Titan Company</t>
  </si>
  <si>
    <t>India</t>
  </si>
  <si>
    <t>TITN.NS</t>
  </si>
  <si>
    <t>Poh Kong</t>
  </si>
  <si>
    <t>POHK.KL</t>
  </si>
  <si>
    <t>Malaysia</t>
  </si>
  <si>
    <t>services (rendering, business to business, export)</t>
  </si>
  <si>
    <t>Selling/General/Admin. Expenses, Total</t>
  </si>
  <si>
    <t>Selling/General/Admin. Expenses</t>
  </si>
  <si>
    <t>% of Revenue Growth Rate</t>
  </si>
  <si>
    <t>Revenue from Sales of Goods and Provision of Services</t>
  </si>
  <si>
    <t xml:space="preserve">Sales of Gold, Silver and Jewelry </t>
  </si>
  <si>
    <t>Sales of Accessories</t>
  </si>
  <si>
    <t>Sales of Services (Rendering, Business to business, Export)</t>
  </si>
  <si>
    <t>Cost of Goods Sold</t>
  </si>
  <si>
    <t>Poh Kong Jewellers Sdn Bhd</t>
  </si>
  <si>
    <t>Manufactures and trades jewelry, fashion accessories, souvenirs, watches and gold bars.</t>
  </si>
  <si>
    <t>Retais and produces gold jewelry and related gold investment products.</t>
  </si>
  <si>
    <t>TITAN Company LTD</t>
  </si>
  <si>
    <t>Manufactures and retails jewellery through four segments: retail of jewellery and watches, wholesale of precious metals, e-commerce platform, and others.</t>
  </si>
  <si>
    <t>Sells jewellery, watches &amp; wearables, eyecare, fragrances &amp; fashion accessories, and Indian dress wear.</t>
  </si>
  <si>
    <t>Minimum Wage per Month (VND)</t>
  </si>
  <si>
    <t xml:space="preserve">Gold, silver and jewelry </t>
  </si>
  <si>
    <t>Accessories</t>
  </si>
  <si>
    <t>Services (rendering, business to business, export)</t>
  </si>
  <si>
    <t>No. Year</t>
  </si>
  <si>
    <t>Gross Revenue</t>
  </si>
  <si>
    <t>Revenue Growth</t>
  </si>
  <si>
    <t>Net CAPEX = CAPEX - Depreciation</t>
  </si>
  <si>
    <t>Debt Financing (Debt Issuance - Debt Repayment)</t>
  </si>
  <si>
    <t>PV5 (Terminal Value)</t>
  </si>
  <si>
    <t xml:space="preserve">Total intrinsic value of the company (Million VND) </t>
  </si>
  <si>
    <t>VND million</t>
  </si>
  <si>
    <t>% of Revenue</t>
  </si>
  <si>
    <t>Growth Rate</t>
  </si>
  <si>
    <t>Allowances and Provisions</t>
  </si>
  <si>
    <t xml:space="preserve">Revenue </t>
  </si>
  <si>
    <t>Depreciation/Amortisation</t>
  </si>
  <si>
    <t>Other Operating Expenses</t>
  </si>
  <si>
    <t>Net Operating Income</t>
  </si>
  <si>
    <t>Other Expenses</t>
  </si>
  <si>
    <t>Earnings before Tax</t>
  </si>
  <si>
    <t>Provision for Income Taxes</t>
  </si>
  <si>
    <t>Other operating expenses</t>
  </si>
  <si>
    <t>Total Operating Expenses</t>
  </si>
  <si>
    <t xml:space="preserve"> Net Operating Income</t>
  </si>
  <si>
    <t>Net Income after Taxes</t>
  </si>
  <si>
    <t>Inventories</t>
  </si>
  <si>
    <t>Changes in Working Capital</t>
  </si>
  <si>
    <t xml:space="preserve">Accounts Receivable </t>
  </si>
  <si>
    <t xml:space="preserve">Other Operating Cash Flow </t>
  </si>
  <si>
    <t>Depreciation/Depletion</t>
  </si>
  <si>
    <t>Net CAPEX</t>
  </si>
  <si>
    <t>Capital Expenditure (CAPEX)</t>
  </si>
  <si>
    <t xml:space="preserve">Net Profit </t>
  </si>
  <si>
    <t>Net Profit after Taxes</t>
  </si>
  <si>
    <t xml:space="preserve">Change in Working Capital </t>
  </si>
  <si>
    <t>FCFE = Net Profit - (Net CAPEX + Change in Working Capital) + Debt Financing</t>
  </si>
  <si>
    <t>PV of FCFE @ 7.286%</t>
  </si>
  <si>
    <t>Net Income (2024F, VND Million)</t>
  </si>
  <si>
    <t>Total Outstanding Shares (Million)</t>
  </si>
  <si>
    <t>Forward Earnings per share (VND/share)</t>
  </si>
  <si>
    <t>P/E ratio</t>
  </si>
  <si>
    <t xml:space="preserve">Mean </t>
  </si>
  <si>
    <t>Median</t>
  </si>
  <si>
    <t>Forecast P/E ratio using Mean ratio</t>
  </si>
  <si>
    <t>Forecast P/E ratio using Median ratio</t>
  </si>
  <si>
    <t xml:space="preserve">P/E Model </t>
  </si>
  <si>
    <t xml:space="preserve">FCFE Model </t>
  </si>
  <si>
    <t>Final Target Price</t>
  </si>
  <si>
    <t>MARKET PROFILE</t>
  </si>
  <si>
    <t>Closing Price (VND)</t>
  </si>
  <si>
    <t>Target Price</t>
  </si>
  <si>
    <t xml:space="preserve">Recommendation </t>
  </si>
  <si>
    <t>Sell</t>
  </si>
  <si>
    <t>Average Volume</t>
  </si>
  <si>
    <t>52-week Price Range</t>
  </si>
  <si>
    <t>68.38-104</t>
  </si>
  <si>
    <t xml:space="preserve">Day's range </t>
  </si>
  <si>
    <t>2.5-95.1</t>
  </si>
  <si>
    <t>Market Cap (VND million)</t>
  </si>
  <si>
    <t xml:space="preserve">Outstanding Shares (million) </t>
  </si>
  <si>
    <t>Dividend</t>
  </si>
  <si>
    <t>EPS (VND)</t>
  </si>
  <si>
    <t>Total Operating Expense</t>
  </si>
  <si>
    <t>Estimated Value Per Share (Million VND)</t>
  </si>
  <si>
    <t>Estimated Value Per Share (VND)</t>
  </si>
  <si>
    <t>Capex</t>
  </si>
  <si>
    <t>FY24F</t>
  </si>
  <si>
    <t>FY25F</t>
  </si>
  <si>
    <t>FY26F</t>
  </si>
  <si>
    <t>FY27F</t>
  </si>
  <si>
    <t>FY28F</t>
  </si>
  <si>
    <t>Revenue growth</t>
  </si>
  <si>
    <t>FY24</t>
  </si>
  <si>
    <t>FY25</t>
  </si>
  <si>
    <t>FY26</t>
  </si>
  <si>
    <t>FY27</t>
  </si>
  <si>
    <t>FY28</t>
  </si>
  <si>
    <t>Operating Margin</t>
  </si>
  <si>
    <t>Earning quality (score)</t>
  </si>
  <si>
    <t>Q1 FY19</t>
  </si>
  <si>
    <t>Q2 FY19</t>
  </si>
  <si>
    <t>Q3 FY19</t>
  </si>
  <si>
    <t>Q4 FY19</t>
  </si>
  <si>
    <t>Q1 FY20</t>
  </si>
  <si>
    <t>Q2 FY20</t>
  </si>
  <si>
    <t>Q3 FY20</t>
  </si>
  <si>
    <t>Q4 FY20</t>
  </si>
  <si>
    <t>Q1 FY21</t>
  </si>
  <si>
    <t>Q2 FY21</t>
  </si>
  <si>
    <t>Q3 FY21</t>
  </si>
  <si>
    <t>Q4 FY21</t>
  </si>
  <si>
    <t>Q1 FY22</t>
  </si>
  <si>
    <t>Q2 FY22</t>
  </si>
  <si>
    <t>Q3 FY22</t>
  </si>
  <si>
    <t>Q4 FY22</t>
  </si>
  <si>
    <t>Q1 FY23</t>
  </si>
  <si>
    <t>Q2 FY23</t>
  </si>
  <si>
    <t>Q3 FY23</t>
  </si>
  <si>
    <t>Q4 FY23</t>
  </si>
  <si>
    <t>Fixed Asset Turnover</t>
  </si>
  <si>
    <t>Long-term debt equity</t>
  </si>
  <si>
    <t>Market Capitalization (VND million)</t>
  </si>
  <si>
    <t xml:space="preserve">Beta </t>
  </si>
  <si>
    <t>Adjusted Beta (Bi)</t>
  </si>
  <si>
    <t>Risk-free Rate (Rf)</t>
  </si>
  <si>
    <t>Expected Return on Market E(Rm)</t>
  </si>
  <si>
    <t>Market Risk Premium (E(Rm)-Rf)</t>
  </si>
  <si>
    <t>CAPM Model</t>
  </si>
  <si>
    <t>Expected Return</t>
  </si>
  <si>
    <t>FY24E</t>
  </si>
  <si>
    <t>FY25E</t>
  </si>
  <si>
    <t>FY26E</t>
  </si>
  <si>
    <t>FY27E</t>
  </si>
  <si>
    <t>FY28E</t>
  </si>
  <si>
    <t>Weight</t>
  </si>
  <si>
    <t>Downside</t>
  </si>
  <si>
    <t>Target Price using Median ratio</t>
  </si>
  <si>
    <t>Target Price using Mean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</si>
</sst>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₫&quot;* #,##0_);_(&quot;₫&quot;* \(#,##0\);_(&quot;₫&quot;* &quot;-&quot;_);_(@_)"/>
    <numFmt numFmtId="41" formatCode="_(* #,##0_);_(* \(#,##0\);_(* &quot;-&quot;_);_(@_)"/>
    <numFmt numFmtId="43" formatCode="_(* #,##0.00_);_(* \(#,##0.00\);_(* &quot;-&quot;??_);_(@_)"/>
    <numFmt numFmtId="164" formatCode="0.000%"/>
    <numFmt numFmtId="165" formatCode="_(* #,##0.00_);_(* \(#,##0.00\);_(* &quot;-&quot;_);_(@_)"/>
    <numFmt numFmtId="166" formatCode="0.0000%"/>
    <numFmt numFmtId="167" formatCode="0.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i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"/>
    </font>
    <font>
      <sz val="12"/>
      <color theme="1"/>
      <name val="Cambria Math"/>
      <family val="1"/>
    </font>
    <font>
      <sz val="12"/>
      <color rgb="FF000000"/>
      <name val="Aptos Narrow"/>
    </font>
    <font>
      <sz val="12"/>
      <color rgb="FFCCCCCC"/>
      <name val="Arial"/>
      <family val="2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theme="10"/>
      <name val="Times New Roman"/>
      <family val="1"/>
    </font>
    <font>
      <sz val="12"/>
      <color rgb="FFFF0000"/>
      <name val="Arial"/>
      <family val="2"/>
    </font>
    <font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b/>
      <sz val="10"/>
      <color theme="1"/>
      <name val="Aptos Narrow"/>
      <family val="2"/>
      <scheme val="minor"/>
    </font>
    <font>
      <sz val="12"/>
      <color theme="0"/>
      <name val="Times New Roman"/>
      <family val="1"/>
    </font>
    <font>
      <sz val="12"/>
      <color rgb="FFEDDDBE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theme="0"/>
        <bgColor indexed="64"/>
      </patternFill>
    </fill>
    <fill>
      <patternFill patternType="solid">
        <fgColor rgb="FF003056"/>
        <bgColor indexed="64"/>
      </patternFill>
    </fill>
    <fill>
      <patternFill patternType="solid">
        <fgColor rgb="FFECDCBD"/>
        <bgColor indexed="64"/>
      </patternFill>
    </fill>
    <fill>
      <patternFill patternType="solid">
        <fgColor rgb="FFB7863A"/>
        <bgColor indexed="64"/>
      </patternFill>
    </fill>
    <fill>
      <patternFill patternType="solid">
        <fgColor rgb="FFFFF8D7"/>
        <bgColor indexed="64"/>
      </patternFill>
    </fill>
    <fill>
      <patternFill patternType="solid">
        <fgColor rgb="FFEDDDBE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3056"/>
      </bottom>
      <diagonal/>
    </border>
    <border>
      <left style="thin">
        <color rgb="FF003056"/>
      </left>
      <right/>
      <top style="thin">
        <color rgb="FF003056"/>
      </top>
      <bottom style="thin">
        <color rgb="FF003056"/>
      </bottom>
      <diagonal/>
    </border>
    <border>
      <left/>
      <right/>
      <top style="thin">
        <color rgb="FF003056"/>
      </top>
      <bottom style="thin">
        <color rgb="FF003056"/>
      </bottom>
      <diagonal/>
    </border>
    <border>
      <left/>
      <right style="thin">
        <color rgb="FF003056"/>
      </right>
      <top style="thin">
        <color rgb="FF003056"/>
      </top>
      <bottom style="thin">
        <color rgb="FF003056"/>
      </bottom>
      <diagonal/>
    </border>
    <border>
      <left/>
      <right/>
      <top style="thin">
        <color rgb="FF003056"/>
      </top>
      <bottom/>
      <diagonal/>
    </border>
    <border>
      <left style="thin">
        <color rgb="FF003056"/>
      </left>
      <right/>
      <top style="thin">
        <color rgb="FF003056"/>
      </top>
      <bottom style="thin">
        <color theme="4" tint="0.39997558519241921"/>
      </bottom>
      <diagonal/>
    </border>
    <border>
      <left style="thin">
        <color rgb="FF003056"/>
      </left>
      <right/>
      <top style="thin">
        <color rgb="FF003056"/>
      </top>
      <bottom/>
      <diagonal/>
    </border>
    <border>
      <left style="thin">
        <color rgb="FF003056"/>
      </left>
      <right/>
      <top/>
      <bottom/>
      <diagonal/>
    </border>
    <border>
      <left style="thin">
        <color rgb="FF00305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3056"/>
      </left>
      <right/>
      <top/>
      <bottom style="thin">
        <color rgb="FF003056"/>
      </bottom>
      <diagonal/>
    </border>
    <border>
      <left/>
      <right style="thin">
        <color rgb="FF003056"/>
      </right>
      <top style="thin">
        <color rgb="FF003056"/>
      </top>
      <bottom style="thin">
        <color theme="4" tint="0.39997558519241921"/>
      </bottom>
      <diagonal/>
    </border>
    <border>
      <left/>
      <right style="thin">
        <color rgb="FF003056"/>
      </right>
      <top style="thin">
        <color rgb="FF003056"/>
      </top>
      <bottom/>
      <diagonal/>
    </border>
    <border>
      <left/>
      <right style="thin">
        <color rgb="FF003056"/>
      </right>
      <top/>
      <bottom/>
      <diagonal/>
    </border>
    <border>
      <left/>
      <right style="thin">
        <color rgb="FF003056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003056"/>
      </right>
      <top/>
      <bottom style="thin">
        <color rgb="FF003056"/>
      </bottom>
      <diagonal/>
    </border>
    <border>
      <left/>
      <right style="thin">
        <color rgb="FF003056"/>
      </right>
      <top style="thin">
        <color theme="4" tint="0.39997558519241921"/>
      </top>
      <bottom style="thin">
        <color rgb="FF003056"/>
      </bottom>
      <diagonal/>
    </border>
    <border>
      <left style="thin">
        <color rgb="FF003056"/>
      </left>
      <right/>
      <top style="thin">
        <color theme="4" tint="0.39997558519241921"/>
      </top>
      <bottom style="thin">
        <color rgb="FF003056"/>
      </bottom>
      <diagonal/>
    </border>
    <border>
      <left/>
      <right style="mediumDashDot">
        <color rgb="FF003056"/>
      </right>
      <top style="thin">
        <color rgb="FF003056"/>
      </top>
      <bottom/>
      <diagonal/>
    </border>
    <border>
      <left/>
      <right style="mediumDashDot">
        <color rgb="FF003056"/>
      </right>
      <top style="thin">
        <color rgb="FF003056"/>
      </top>
      <bottom style="thin">
        <color rgb="FF003056"/>
      </bottom>
      <diagonal/>
    </border>
    <border>
      <left/>
      <right style="mediumDashDot">
        <color rgb="FF003056"/>
      </right>
      <top/>
      <bottom/>
      <diagonal/>
    </border>
    <border>
      <left style="thin">
        <color rgb="FF003056"/>
      </left>
      <right style="thin">
        <color rgb="FF003056"/>
      </right>
      <top style="thin">
        <color rgb="FF003056"/>
      </top>
      <bottom/>
      <diagonal/>
    </border>
    <border>
      <left style="thin">
        <color rgb="FF003056"/>
      </left>
      <right style="thin">
        <color rgb="FF003056"/>
      </right>
      <top/>
      <bottom style="thin">
        <color rgb="FF003056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49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15" fontId="4" fillId="0" borderId="3" xfId="0" applyNumberFormat="1" applyFont="1" applyBorder="1"/>
    <xf numFmtId="3" fontId="4" fillId="0" borderId="3" xfId="0" applyNumberFormat="1" applyFont="1" applyBorder="1"/>
    <xf numFmtId="4" fontId="4" fillId="0" borderId="1" xfId="0" applyNumberFormat="1" applyFont="1" applyBorder="1"/>
    <xf numFmtId="10" fontId="5" fillId="0" borderId="2" xfId="0" applyNumberFormat="1" applyFont="1" applyBorder="1"/>
    <xf numFmtId="0" fontId="4" fillId="0" borderId="1" xfId="0" applyFont="1" applyBorder="1"/>
    <xf numFmtId="0" fontId="5" fillId="0" borderId="2" xfId="0" applyFont="1" applyBorder="1"/>
    <xf numFmtId="0" fontId="0" fillId="0" borderId="4" xfId="0" applyBorder="1"/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Continuous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9" fontId="0" fillId="0" borderId="0" xfId="1" applyFont="1"/>
    <xf numFmtId="164" fontId="0" fillId="0" borderId="0" xfId="1" applyNumberFormat="1" applyFont="1"/>
    <xf numFmtId="10" fontId="7" fillId="0" borderId="0" xfId="4" applyNumberFormat="1"/>
    <xf numFmtId="3" fontId="11" fillId="0" borderId="0" xfId="0" applyNumberFormat="1" applyFont="1"/>
    <xf numFmtId="0" fontId="12" fillId="0" borderId="0" xfId="0" applyFont="1"/>
    <xf numFmtId="3" fontId="12" fillId="0" borderId="0" xfId="0" applyNumberFormat="1" applyFont="1"/>
    <xf numFmtId="10" fontId="13" fillId="0" borderId="0" xfId="4" applyNumberFormat="1" applyFont="1"/>
    <xf numFmtId="10" fontId="14" fillId="0" borderId="0" xfId="4" applyNumberFormat="1" applyFont="1"/>
    <xf numFmtId="42" fontId="12" fillId="0" borderId="0" xfId="0" applyNumberFormat="1" applyFont="1"/>
    <xf numFmtId="0" fontId="7" fillId="0" borderId="0" xfId="4"/>
    <xf numFmtId="0" fontId="1" fillId="0" borderId="0" xfId="4" applyFont="1"/>
    <xf numFmtId="0" fontId="14" fillId="0" borderId="0" xfId="4" applyFont="1"/>
    <xf numFmtId="0" fontId="12" fillId="0" borderId="0" xfId="4" applyFont="1"/>
    <xf numFmtId="3" fontId="15" fillId="0" borderId="0" xfId="0" applyNumberFormat="1" applyFont="1"/>
    <xf numFmtId="0" fontId="11" fillId="0" borderId="0" xfId="0" applyFont="1"/>
    <xf numFmtId="3" fontId="7" fillId="0" borderId="0" xfId="4" applyNumberFormat="1"/>
    <xf numFmtId="41" fontId="12" fillId="0" borderId="0" xfId="3" applyFont="1"/>
    <xf numFmtId="9" fontId="12" fillId="0" borderId="0" xfId="1" applyFont="1"/>
    <xf numFmtId="10" fontId="12" fillId="0" borderId="0" xfId="1" applyNumberFormat="1" applyFont="1"/>
    <xf numFmtId="10" fontId="12" fillId="0" borderId="0" xfId="0" applyNumberFormat="1" applyFont="1"/>
    <xf numFmtId="166" fontId="12" fillId="0" borderId="0" xfId="0" applyNumberFormat="1" applyFont="1"/>
    <xf numFmtId="1" fontId="12" fillId="0" borderId="0" xfId="0" applyNumberFormat="1" applyFont="1"/>
    <xf numFmtId="41" fontId="0" fillId="0" borderId="0" xfId="3" applyFont="1"/>
    <xf numFmtId="41" fontId="12" fillId="0" borderId="0" xfId="3" applyFont="1" applyFill="1"/>
    <xf numFmtId="165" fontId="12" fillId="0" borderId="0" xfId="3" applyNumberFormat="1" applyFont="1" applyFill="1"/>
    <xf numFmtId="9" fontId="12" fillId="0" borderId="0" xfId="1" applyFont="1" applyFill="1"/>
    <xf numFmtId="10" fontId="12" fillId="0" borderId="0" xfId="1" applyNumberFormat="1" applyFont="1" applyFill="1"/>
    <xf numFmtId="0" fontId="12" fillId="0" borderId="6" xfId="0" applyFont="1" applyBorder="1"/>
    <xf numFmtId="0" fontId="12" fillId="5" borderId="7" xfId="0" applyFont="1" applyFill="1" applyBorder="1"/>
    <xf numFmtId="10" fontId="12" fillId="5" borderId="8" xfId="1" applyNumberFormat="1" applyFont="1" applyFill="1" applyBorder="1"/>
    <xf numFmtId="10" fontId="12" fillId="5" borderId="9" xfId="1" applyNumberFormat="1" applyFont="1" applyFill="1" applyBorder="1"/>
    <xf numFmtId="0" fontId="12" fillId="4" borderId="0" xfId="0" applyFont="1" applyFill="1"/>
    <xf numFmtId="0" fontId="12" fillId="5" borderId="8" xfId="0" applyFont="1" applyFill="1" applyBorder="1"/>
    <xf numFmtId="0" fontId="12" fillId="5" borderId="0" xfId="0" applyFont="1" applyFill="1"/>
    <xf numFmtId="0" fontId="12" fillId="0" borderId="10" xfId="0" applyFont="1" applyBorder="1"/>
    <xf numFmtId="0" fontId="0" fillId="0" borderId="12" xfId="0" applyBorder="1"/>
    <xf numFmtId="0" fontId="0" fillId="0" borderId="15" xfId="0" applyBorder="1"/>
    <xf numFmtId="0" fontId="0" fillId="0" borderId="6" xfId="0" applyBorder="1"/>
    <xf numFmtId="10" fontId="12" fillId="5" borderId="0" xfId="1" applyNumberFormat="1" applyFont="1" applyFill="1" applyBorder="1"/>
    <xf numFmtId="2" fontId="12" fillId="5" borderId="8" xfId="1" applyNumberFormat="1" applyFont="1" applyFill="1" applyBorder="1"/>
    <xf numFmtId="2" fontId="12" fillId="5" borderId="0" xfId="1" applyNumberFormat="1" applyFont="1" applyFill="1" applyBorder="1"/>
    <xf numFmtId="2" fontId="12" fillId="5" borderId="0" xfId="0" applyNumberFormat="1" applyFont="1" applyFill="1"/>
    <xf numFmtId="0" fontId="12" fillId="4" borderId="0" xfId="0" applyFont="1" applyFill="1" applyAlignment="1">
      <alignment vertical="center"/>
    </xf>
    <xf numFmtId="0" fontId="12" fillId="5" borderId="8" xfId="0" applyFont="1" applyFill="1" applyBorder="1" applyAlignment="1">
      <alignment vertical="center"/>
    </xf>
    <xf numFmtId="10" fontId="12" fillId="5" borderId="8" xfId="1" applyNumberFormat="1" applyFont="1" applyFill="1" applyBorder="1" applyAlignment="1">
      <alignment vertical="center"/>
    </xf>
    <xf numFmtId="10" fontId="12" fillId="5" borderId="8" xfId="1" applyNumberFormat="1" applyFont="1" applyFill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12" fillId="5" borderId="0" xfId="0" applyFont="1" applyFill="1" applyAlignment="1">
      <alignment vertical="center"/>
    </xf>
    <xf numFmtId="10" fontId="12" fillId="5" borderId="0" xfId="1" applyNumberFormat="1" applyFont="1" applyFill="1" applyBorder="1" applyAlignment="1">
      <alignment vertical="center"/>
    </xf>
    <xf numFmtId="10" fontId="12" fillId="5" borderId="0" xfId="1" applyNumberFormat="1" applyFont="1" applyFill="1" applyBorder="1" applyAlignment="1">
      <alignment vertical="center" wrapText="1"/>
    </xf>
    <xf numFmtId="0" fontId="12" fillId="0" borderId="10" xfId="0" applyFont="1" applyBorder="1" applyAlignment="1">
      <alignment vertical="center"/>
    </xf>
    <xf numFmtId="10" fontId="12" fillId="3" borderId="8" xfId="1" applyNumberFormat="1" applyFont="1" applyFill="1" applyBorder="1" applyAlignment="1">
      <alignment vertical="center"/>
    </xf>
    <xf numFmtId="10" fontId="12" fillId="3" borderId="8" xfId="1" applyNumberFormat="1" applyFont="1" applyFill="1" applyBorder="1" applyAlignment="1">
      <alignment vertical="center" wrapText="1"/>
    </xf>
    <xf numFmtId="10" fontId="12" fillId="3" borderId="10" xfId="1" applyNumberFormat="1" applyFont="1" applyFill="1" applyBorder="1" applyAlignment="1">
      <alignment vertical="center"/>
    </xf>
    <xf numFmtId="10" fontId="12" fillId="3" borderId="10" xfId="1" applyNumberFormat="1" applyFont="1" applyFill="1" applyBorder="1" applyAlignment="1">
      <alignment vertical="center" wrapText="1"/>
    </xf>
    <xf numFmtId="0" fontId="12" fillId="6" borderId="0" xfId="0" applyFont="1" applyFill="1"/>
    <xf numFmtId="0" fontId="12" fillId="3" borderId="8" xfId="0" applyFont="1" applyFill="1" applyBorder="1"/>
    <xf numFmtId="2" fontId="12" fillId="3" borderId="8" xfId="0" applyNumberFormat="1" applyFont="1" applyFill="1" applyBorder="1"/>
    <xf numFmtId="0" fontId="12" fillId="3" borderId="10" xfId="0" applyFont="1" applyFill="1" applyBorder="1"/>
    <xf numFmtId="2" fontId="12" fillId="3" borderId="10" xfId="1" applyNumberFormat="1" applyFont="1" applyFill="1" applyBorder="1"/>
    <xf numFmtId="10" fontId="12" fillId="3" borderId="8" xfId="1" applyNumberFormat="1" applyFont="1" applyFill="1" applyBorder="1"/>
    <xf numFmtId="10" fontId="12" fillId="3" borderId="10" xfId="1" applyNumberFormat="1" applyFont="1" applyFill="1" applyBorder="1"/>
    <xf numFmtId="0" fontId="12" fillId="0" borderId="13" xfId="0" applyFont="1" applyBorder="1"/>
    <xf numFmtId="10" fontId="12" fillId="0" borderId="0" xfId="1" applyNumberFormat="1" applyFont="1" applyFill="1" applyBorder="1"/>
    <xf numFmtId="0" fontId="12" fillId="5" borderId="7" xfId="0" applyFont="1" applyFill="1" applyBorder="1" applyAlignment="1">
      <alignment vertical="center"/>
    </xf>
    <xf numFmtId="10" fontId="12" fillId="5" borderId="9" xfId="1" applyNumberFormat="1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10" fontId="12" fillId="5" borderId="18" xfId="1" applyNumberFormat="1" applyFont="1" applyFill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0" fontId="12" fillId="3" borderId="9" xfId="1" applyNumberFormat="1" applyFont="1" applyFill="1" applyBorder="1" applyAlignment="1">
      <alignment vertical="center"/>
    </xf>
    <xf numFmtId="0" fontId="17" fillId="4" borderId="11" xfId="0" applyFont="1" applyFill="1" applyBorder="1"/>
    <xf numFmtId="0" fontId="12" fillId="3" borderId="7" xfId="0" applyFont="1" applyFill="1" applyBorder="1"/>
    <xf numFmtId="0" fontId="12" fillId="5" borderId="14" xfId="0" applyFont="1" applyFill="1" applyBorder="1"/>
    <xf numFmtId="0" fontId="17" fillId="4" borderId="16" xfId="0" applyFont="1" applyFill="1" applyBorder="1"/>
    <xf numFmtId="41" fontId="12" fillId="5" borderId="9" xfId="3" applyFont="1" applyFill="1" applyBorder="1"/>
    <xf numFmtId="41" fontId="12" fillId="3" borderId="9" xfId="3" applyFont="1" applyFill="1" applyBorder="1"/>
    <xf numFmtId="41" fontId="12" fillId="5" borderId="19" xfId="3" applyFont="1" applyFill="1" applyBorder="1"/>
    <xf numFmtId="43" fontId="0" fillId="0" borderId="0" xfId="0" applyNumberFormat="1"/>
    <xf numFmtId="1" fontId="12" fillId="0" borderId="0" xfId="1" applyNumberFormat="1" applyFont="1"/>
    <xf numFmtId="43" fontId="12" fillId="0" borderId="0" xfId="0" applyNumberFormat="1" applyFont="1"/>
    <xf numFmtId="9" fontId="12" fillId="0" borderId="0" xfId="0" applyNumberFormat="1" applyFont="1"/>
    <xf numFmtId="41" fontId="12" fillId="0" borderId="0" xfId="3" applyFont="1" applyBorder="1"/>
    <xf numFmtId="41" fontId="12" fillId="0" borderId="0" xfId="3" applyFont="1" applyFill="1" applyBorder="1"/>
    <xf numFmtId="0" fontId="18" fillId="0" borderId="0" xfId="0" applyFont="1"/>
    <xf numFmtId="43" fontId="18" fillId="0" borderId="0" xfId="2" applyFont="1" applyFill="1" applyBorder="1"/>
    <xf numFmtId="10" fontId="12" fillId="0" borderId="0" xfId="3" applyNumberFormat="1" applyFont="1" applyFill="1" applyBorder="1"/>
    <xf numFmtId="10" fontId="18" fillId="0" borderId="0" xfId="0" applyNumberFormat="1" applyFont="1"/>
    <xf numFmtId="9" fontId="18" fillId="0" borderId="0" xfId="0" applyNumberFormat="1" applyFont="1"/>
    <xf numFmtId="0" fontId="12" fillId="7" borderId="0" xfId="0" applyFont="1" applyFill="1"/>
    <xf numFmtId="1" fontId="12" fillId="7" borderId="0" xfId="3" applyNumberFormat="1" applyFont="1" applyFill="1"/>
    <xf numFmtId="41" fontId="12" fillId="7" borderId="0" xfId="3" applyFont="1" applyFill="1"/>
    <xf numFmtId="41" fontId="12" fillId="7" borderId="0" xfId="0" applyNumberFormat="1" applyFont="1" applyFill="1"/>
    <xf numFmtId="41" fontId="12" fillId="5" borderId="8" xfId="3" applyFont="1" applyFill="1" applyBorder="1" applyAlignment="1">
      <alignment vertical="center"/>
    </xf>
    <xf numFmtId="0" fontId="12" fillId="3" borderId="0" xfId="0" applyFont="1" applyFill="1"/>
    <xf numFmtId="0" fontId="12" fillId="8" borderId="0" xfId="0" applyFont="1" applyFill="1"/>
    <xf numFmtId="10" fontId="12" fillId="8" borderId="8" xfId="1" applyNumberFormat="1" applyFont="1" applyFill="1" applyBorder="1"/>
    <xf numFmtId="0" fontId="12" fillId="8" borderId="6" xfId="0" applyFont="1" applyFill="1" applyBorder="1"/>
    <xf numFmtId="10" fontId="12" fillId="8" borderId="6" xfId="1" applyNumberFormat="1" applyFont="1" applyFill="1" applyBorder="1"/>
    <xf numFmtId="0" fontId="12" fillId="8" borderId="7" xfId="0" applyFont="1" applyFill="1" applyBorder="1"/>
    <xf numFmtId="10" fontId="12" fillId="3" borderId="0" xfId="1" applyNumberFormat="1" applyFont="1" applyFill="1" applyBorder="1"/>
    <xf numFmtId="0" fontId="12" fillId="4" borderId="7" xfId="0" applyFont="1" applyFill="1" applyBorder="1"/>
    <xf numFmtId="0" fontId="12" fillId="4" borderId="8" xfId="0" applyFont="1" applyFill="1" applyBorder="1"/>
    <xf numFmtId="0" fontId="12" fillId="4" borderId="9" xfId="0" applyFont="1" applyFill="1" applyBorder="1"/>
    <xf numFmtId="41" fontId="12" fillId="3" borderId="0" xfId="3" applyFont="1" applyFill="1" applyBorder="1"/>
    <xf numFmtId="0" fontId="12" fillId="8" borderId="10" xfId="0" applyFont="1" applyFill="1" applyBorder="1"/>
    <xf numFmtId="10" fontId="12" fillId="8" borderId="10" xfId="1" applyNumberFormat="1" applyFont="1" applyFill="1" applyBorder="1"/>
    <xf numFmtId="0" fontId="16" fillId="3" borderId="0" xfId="0" applyFont="1" applyFill="1"/>
    <xf numFmtId="41" fontId="16" fillId="3" borderId="0" xfId="0" applyNumberFormat="1" applyFont="1" applyFill="1"/>
    <xf numFmtId="10" fontId="12" fillId="8" borderId="9" xfId="1" applyNumberFormat="1" applyFont="1" applyFill="1" applyBorder="1"/>
    <xf numFmtId="41" fontId="12" fillId="3" borderId="0" xfId="3" applyFont="1" applyFill="1"/>
    <xf numFmtId="10" fontId="12" fillId="8" borderId="8" xfId="0" applyNumberFormat="1" applyFont="1" applyFill="1" applyBorder="1"/>
    <xf numFmtId="41" fontId="12" fillId="8" borderId="8" xfId="3" applyFont="1" applyFill="1" applyBorder="1"/>
    <xf numFmtId="41" fontId="12" fillId="8" borderId="9" xfId="3" applyFont="1" applyFill="1" applyBorder="1"/>
    <xf numFmtId="0" fontId="12" fillId="3" borderId="9" xfId="0" applyFont="1" applyFill="1" applyBorder="1"/>
    <xf numFmtId="10" fontId="12" fillId="3" borderId="9" xfId="1" applyNumberFormat="1" applyFont="1" applyFill="1" applyBorder="1" applyAlignment="1">
      <alignment horizontal="right"/>
    </xf>
    <xf numFmtId="0" fontId="12" fillId="3" borderId="9" xfId="0" applyFont="1" applyFill="1" applyBorder="1" applyAlignment="1">
      <alignment horizontal="right"/>
    </xf>
    <xf numFmtId="0" fontId="12" fillId="5" borderId="19" xfId="0" applyFont="1" applyFill="1" applyBorder="1" applyAlignment="1">
      <alignment horizontal="right"/>
    </xf>
    <xf numFmtId="0" fontId="12" fillId="5" borderId="22" xfId="0" applyFont="1" applyFill="1" applyBorder="1"/>
    <xf numFmtId="0" fontId="12" fillId="5" borderId="21" xfId="0" applyFont="1" applyFill="1" applyBorder="1"/>
    <xf numFmtId="41" fontId="12" fillId="8" borderId="24" xfId="3" applyFont="1" applyFill="1" applyBorder="1"/>
    <xf numFmtId="41" fontId="16" fillId="3" borderId="25" xfId="0" applyNumberFormat="1" applyFont="1" applyFill="1" applyBorder="1"/>
    <xf numFmtId="10" fontId="12" fillId="8" borderId="24" xfId="1" applyNumberFormat="1" applyFont="1" applyFill="1" applyBorder="1"/>
    <xf numFmtId="41" fontId="12" fillId="3" borderId="25" xfId="3" applyFont="1" applyFill="1" applyBorder="1"/>
    <xf numFmtId="10" fontId="12" fillId="8" borderId="23" xfId="1" applyNumberFormat="1" applyFont="1" applyFill="1" applyBorder="1"/>
    <xf numFmtId="41" fontId="12" fillId="3" borderId="8" xfId="3" applyFont="1" applyFill="1" applyBorder="1" applyAlignment="1">
      <alignment vertical="center"/>
    </xf>
    <xf numFmtId="41" fontId="12" fillId="5" borderId="0" xfId="3" applyFont="1" applyFill="1" applyBorder="1" applyAlignment="1">
      <alignment vertical="center"/>
    </xf>
    <xf numFmtId="41" fontId="12" fillId="3" borderId="10" xfId="3" applyFont="1" applyFill="1" applyBorder="1" applyAlignment="1">
      <alignment vertical="center"/>
    </xf>
    <xf numFmtId="0" fontId="17" fillId="4" borderId="7" xfId="0" applyFont="1" applyFill="1" applyBorder="1"/>
    <xf numFmtId="0" fontId="16" fillId="3" borderId="14" xfId="0" applyFont="1" applyFill="1" applyBorder="1"/>
    <xf numFmtId="0" fontId="12" fillId="3" borderId="14" xfId="0" applyFont="1" applyFill="1" applyBorder="1"/>
    <xf numFmtId="0" fontId="17" fillId="4" borderId="9" xfId="0" applyFont="1" applyFill="1" applyBorder="1"/>
    <xf numFmtId="167" fontId="12" fillId="8" borderId="9" xfId="1" applyNumberFormat="1" applyFont="1" applyFill="1" applyBorder="1"/>
    <xf numFmtId="167" fontId="16" fillId="3" borderId="19" xfId="1" applyNumberFormat="1" applyFont="1" applyFill="1" applyBorder="1"/>
    <xf numFmtId="164" fontId="12" fillId="8" borderId="9" xfId="1" applyNumberFormat="1" applyFont="1" applyFill="1" applyBorder="1"/>
    <xf numFmtId="10" fontId="12" fillId="3" borderId="19" xfId="1" applyNumberFormat="1" applyFont="1" applyFill="1" applyBorder="1"/>
    <xf numFmtId="164" fontId="17" fillId="4" borderId="9" xfId="1" applyNumberFormat="1" applyFont="1" applyFill="1" applyBorder="1"/>
    <xf numFmtId="0" fontId="16" fillId="3" borderId="22" xfId="0" applyFont="1" applyFill="1" applyBorder="1"/>
    <xf numFmtId="9" fontId="12" fillId="3" borderId="7" xfId="1" applyFont="1" applyFill="1" applyBorder="1"/>
    <xf numFmtId="2" fontId="12" fillId="8" borderId="9" xfId="1" applyNumberFormat="1" applyFont="1" applyFill="1" applyBorder="1"/>
    <xf numFmtId="0" fontId="12" fillId="3" borderId="22" xfId="0" applyFont="1" applyFill="1" applyBorder="1"/>
    <xf numFmtId="41" fontId="12" fillId="3" borderId="21" xfId="3" applyFont="1" applyFill="1" applyBorder="1"/>
    <xf numFmtId="0" fontId="12" fillId="8" borderId="13" xfId="0" applyFont="1" applyFill="1" applyBorder="1"/>
    <xf numFmtId="0" fontId="12" fillId="8" borderId="18" xfId="0" applyFont="1" applyFill="1" applyBorder="1"/>
    <xf numFmtId="0" fontId="12" fillId="0" borderId="12" xfId="0" applyFont="1" applyBorder="1"/>
    <xf numFmtId="0" fontId="12" fillId="0" borderId="17" xfId="0" applyFont="1" applyBorder="1"/>
    <xf numFmtId="41" fontId="12" fillId="0" borderId="18" xfId="3" applyFont="1" applyBorder="1"/>
    <xf numFmtId="0" fontId="12" fillId="0" borderId="13" xfId="0" applyFont="1" applyBorder="1" applyAlignment="1">
      <alignment wrapText="1"/>
    </xf>
    <xf numFmtId="41" fontId="12" fillId="0" borderId="0" xfId="0" applyNumberFormat="1" applyFont="1"/>
    <xf numFmtId="41" fontId="12" fillId="0" borderId="18" xfId="0" applyNumberFormat="1" applyFont="1" applyBorder="1"/>
    <xf numFmtId="43" fontId="12" fillId="0" borderId="18" xfId="0" applyNumberFormat="1" applyFont="1" applyBorder="1"/>
    <xf numFmtId="0" fontId="12" fillId="0" borderId="15" xfId="0" applyFont="1" applyBorder="1"/>
    <xf numFmtId="0" fontId="12" fillId="0" borderId="20" xfId="0" applyFont="1" applyBorder="1"/>
    <xf numFmtId="0" fontId="20" fillId="4" borderId="7" xfId="0" applyFont="1" applyFill="1" applyBorder="1"/>
    <xf numFmtId="0" fontId="19" fillId="4" borderId="8" xfId="0" applyFont="1" applyFill="1" applyBorder="1"/>
    <xf numFmtId="0" fontId="19" fillId="4" borderId="9" xfId="0" applyFont="1" applyFill="1" applyBorder="1"/>
    <xf numFmtId="10" fontId="12" fillId="0" borderId="6" xfId="1" applyNumberFormat="1" applyFont="1" applyBorder="1"/>
    <xf numFmtId="10" fontId="12" fillId="0" borderId="20" xfId="1" applyNumberFormat="1" applyFont="1" applyBorder="1"/>
    <xf numFmtId="41" fontId="12" fillId="0" borderId="10" xfId="3" applyFont="1" applyBorder="1"/>
    <xf numFmtId="41" fontId="12" fillId="0" borderId="17" xfId="3" applyFont="1" applyBorder="1"/>
    <xf numFmtId="41" fontId="12" fillId="0" borderId="6" xfId="3" applyFont="1" applyBorder="1"/>
    <xf numFmtId="43" fontId="12" fillId="0" borderId="10" xfId="0" applyNumberFormat="1" applyFont="1" applyBorder="1"/>
    <xf numFmtId="43" fontId="12" fillId="0" borderId="17" xfId="0" applyNumberFormat="1" applyFont="1" applyBorder="1"/>
    <xf numFmtId="0" fontId="12" fillId="8" borderId="12" xfId="0" applyFont="1" applyFill="1" applyBorder="1"/>
    <xf numFmtId="0" fontId="12" fillId="8" borderId="17" xfId="0" applyFont="1" applyFill="1" applyBorder="1"/>
    <xf numFmtId="10" fontId="12" fillId="8" borderId="0" xfId="3" applyNumberFormat="1" applyFont="1" applyFill="1" applyBorder="1"/>
    <xf numFmtId="10" fontId="12" fillId="8" borderId="18" xfId="3" applyNumberFormat="1" applyFont="1" applyFill="1" applyBorder="1"/>
    <xf numFmtId="0" fontId="12" fillId="8" borderId="15" xfId="0" applyFont="1" applyFill="1" applyBorder="1"/>
    <xf numFmtId="10" fontId="12" fillId="8" borderId="20" xfId="1" applyNumberFormat="1" applyFont="1" applyFill="1" applyBorder="1"/>
    <xf numFmtId="41" fontId="12" fillId="8" borderId="10" xfId="3" applyFont="1" applyFill="1" applyBorder="1"/>
    <xf numFmtId="41" fontId="12" fillId="8" borderId="17" xfId="3" applyFont="1" applyFill="1" applyBorder="1"/>
    <xf numFmtId="41" fontId="12" fillId="8" borderId="6" xfId="3" applyFont="1" applyFill="1" applyBorder="1"/>
    <xf numFmtId="41" fontId="12" fillId="8" borderId="20" xfId="3" applyFont="1" applyFill="1" applyBorder="1"/>
    <xf numFmtId="0" fontId="12" fillId="8" borderId="7" xfId="0" applyFont="1" applyFill="1" applyBorder="1" applyAlignment="1">
      <alignment vertical="center" wrapText="1"/>
    </xf>
    <xf numFmtId="41" fontId="12" fillId="8" borderId="8" xfId="0" applyNumberFormat="1" applyFont="1" applyFill="1" applyBorder="1" applyAlignment="1">
      <alignment vertical="center"/>
    </xf>
    <xf numFmtId="41" fontId="12" fillId="8" borderId="9" xfId="0" applyNumberFormat="1" applyFont="1" applyFill="1" applyBorder="1" applyAlignment="1">
      <alignment vertical="center"/>
    </xf>
    <xf numFmtId="43" fontId="12" fillId="8" borderId="10" xfId="0" applyNumberFormat="1" applyFont="1" applyFill="1" applyBorder="1"/>
    <xf numFmtId="43" fontId="12" fillId="8" borderId="17" xfId="0" applyNumberFormat="1" applyFont="1" applyFill="1" applyBorder="1"/>
    <xf numFmtId="43" fontId="12" fillId="8" borderId="0" xfId="0" applyNumberFormat="1" applyFont="1" applyFill="1"/>
    <xf numFmtId="43" fontId="12" fillId="8" borderId="6" xfId="0" applyNumberFormat="1" applyFont="1" applyFill="1" applyBorder="1"/>
    <xf numFmtId="0" fontId="12" fillId="8" borderId="20" xfId="0" applyFont="1" applyFill="1" applyBorder="1"/>
    <xf numFmtId="0" fontId="12" fillId="3" borderId="13" xfId="0" applyFont="1" applyFill="1" applyBorder="1"/>
    <xf numFmtId="0" fontId="12" fillId="3" borderId="18" xfId="0" applyFont="1" applyFill="1" applyBorder="1"/>
    <xf numFmtId="0" fontId="19" fillId="4" borderId="0" xfId="0" applyFont="1" applyFill="1"/>
    <xf numFmtId="41" fontId="12" fillId="8" borderId="0" xfId="3" applyFont="1" applyFill="1" applyBorder="1"/>
    <xf numFmtId="43" fontId="12" fillId="8" borderId="18" xfId="0" applyNumberFormat="1" applyFont="1" applyFill="1" applyBorder="1"/>
    <xf numFmtId="41" fontId="16" fillId="0" borderId="0" xfId="0" applyNumberFormat="1" applyFont="1"/>
    <xf numFmtId="41" fontId="16" fillId="0" borderId="0" xfId="3" applyFont="1" applyBorder="1"/>
    <xf numFmtId="41" fontId="16" fillId="0" borderId="18" xfId="0" applyNumberFormat="1" applyFont="1" applyBorder="1"/>
    <xf numFmtId="41" fontId="12" fillId="8" borderId="6" xfId="0" applyNumberFormat="1" applyFont="1" applyFill="1" applyBorder="1"/>
    <xf numFmtId="41" fontId="12" fillId="8" borderId="20" xfId="0" applyNumberFormat="1" applyFont="1" applyFill="1" applyBorder="1"/>
    <xf numFmtId="41" fontId="12" fillId="0" borderId="10" xfId="3" applyFont="1" applyFill="1" applyBorder="1"/>
    <xf numFmtId="1" fontId="12" fillId="0" borderId="0" xfId="3" applyNumberFormat="1" applyFont="1" applyFill="1" applyBorder="1"/>
    <xf numFmtId="41" fontId="12" fillId="0" borderId="18" xfId="3" applyFont="1" applyFill="1" applyBorder="1"/>
    <xf numFmtId="2" fontId="12" fillId="0" borderId="0" xfId="0" applyNumberFormat="1" applyFont="1"/>
    <xf numFmtId="2" fontId="12" fillId="0" borderId="18" xfId="0" applyNumberFormat="1" applyFont="1" applyBorder="1"/>
    <xf numFmtId="9" fontId="12" fillId="0" borderId="0" xfId="3" applyNumberFormat="1" applyFont="1" applyBorder="1"/>
    <xf numFmtId="9" fontId="12" fillId="0" borderId="18" xfId="3" applyNumberFormat="1" applyFont="1" applyBorder="1"/>
    <xf numFmtId="165" fontId="12" fillId="0" borderId="0" xfId="3" applyNumberFormat="1" applyFont="1" applyBorder="1"/>
    <xf numFmtId="165" fontId="12" fillId="0" borderId="18" xfId="3" applyNumberFormat="1" applyFont="1" applyBorder="1"/>
    <xf numFmtId="0" fontId="12" fillId="8" borderId="12" xfId="0" applyFont="1" applyFill="1" applyBorder="1" applyAlignment="1">
      <alignment wrapText="1"/>
    </xf>
    <xf numFmtId="41" fontId="12" fillId="8" borderId="10" xfId="3" applyFont="1" applyFill="1" applyBorder="1" applyAlignment="1">
      <alignment vertical="center"/>
    </xf>
    <xf numFmtId="41" fontId="12" fillId="8" borderId="17" xfId="3" applyFont="1" applyFill="1" applyBorder="1" applyAlignment="1">
      <alignment vertical="center"/>
    </xf>
    <xf numFmtId="0" fontId="12" fillId="8" borderId="13" xfId="0" applyFont="1" applyFill="1" applyBorder="1" applyAlignment="1">
      <alignment wrapText="1"/>
    </xf>
    <xf numFmtId="0" fontId="12" fillId="3" borderId="13" xfId="0" applyFont="1" applyFill="1" applyBorder="1" applyAlignment="1">
      <alignment wrapText="1"/>
    </xf>
    <xf numFmtId="10" fontId="12" fillId="3" borderId="18" xfId="1" applyNumberFormat="1" applyFont="1" applyFill="1" applyBorder="1"/>
    <xf numFmtId="0" fontId="12" fillId="3" borderId="15" xfId="0" applyFont="1" applyFill="1" applyBorder="1" applyAlignment="1">
      <alignment wrapText="1"/>
    </xf>
    <xf numFmtId="41" fontId="12" fillId="3" borderId="6" xfId="3" applyFont="1" applyFill="1" applyBorder="1"/>
    <xf numFmtId="10" fontId="12" fillId="3" borderId="6" xfId="1" applyNumberFormat="1" applyFont="1" applyFill="1" applyBorder="1"/>
    <xf numFmtId="10" fontId="12" fillId="3" borderId="20" xfId="1" applyNumberFormat="1" applyFont="1" applyFill="1" applyBorder="1"/>
    <xf numFmtId="10" fontId="12" fillId="3" borderId="6" xfId="0" applyNumberFormat="1" applyFont="1" applyFill="1" applyBorder="1"/>
    <xf numFmtId="10" fontId="12" fillId="3" borderId="20" xfId="0" applyNumberFormat="1" applyFont="1" applyFill="1" applyBorder="1"/>
    <xf numFmtId="0" fontId="12" fillId="3" borderId="6" xfId="0" applyFont="1" applyFill="1" applyBorder="1"/>
    <xf numFmtId="0" fontId="19" fillId="4" borderId="0" xfId="0" applyFont="1" applyFill="1" applyAlignment="1">
      <alignment wrapText="1"/>
    </xf>
    <xf numFmtId="0" fontId="12" fillId="0" borderId="12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2" fillId="8" borderId="15" xfId="0" applyFont="1" applyFill="1" applyBorder="1" applyAlignment="1">
      <alignment wrapText="1"/>
    </xf>
    <xf numFmtId="0" fontId="19" fillId="4" borderId="7" xfId="0" applyFont="1" applyFill="1" applyBorder="1" applyAlignment="1">
      <alignment wrapText="1"/>
    </xf>
    <xf numFmtId="10" fontId="12" fillId="0" borderId="13" xfId="1" applyNumberFormat="1" applyFont="1" applyBorder="1" applyAlignment="1">
      <alignment wrapText="1"/>
    </xf>
    <xf numFmtId="166" fontId="12" fillId="0" borderId="6" xfId="1" applyNumberFormat="1" applyFont="1" applyBorder="1"/>
    <xf numFmtId="166" fontId="12" fillId="0" borderId="20" xfId="1" applyNumberFormat="1" applyFont="1" applyBorder="1"/>
    <xf numFmtId="10" fontId="12" fillId="0" borderId="6" xfId="1" applyNumberFormat="1" applyFont="1" applyFill="1" applyBorder="1"/>
    <xf numFmtId="10" fontId="12" fillId="0" borderId="20" xfId="1" applyNumberFormat="1" applyFont="1" applyFill="1" applyBorder="1"/>
    <xf numFmtId="41" fontId="12" fillId="8" borderId="8" xfId="0" applyNumberFormat="1" applyFont="1" applyFill="1" applyBorder="1" applyAlignment="1">
      <alignment horizontal="center"/>
    </xf>
    <xf numFmtId="41" fontId="12" fillId="8" borderId="9" xfId="0" applyNumberFormat="1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/>
    </xf>
    <xf numFmtId="9" fontId="12" fillId="3" borderId="26" xfId="1" applyFont="1" applyFill="1" applyBorder="1" applyAlignment="1">
      <alignment horizontal="center" vertical="center"/>
    </xf>
    <xf numFmtId="9" fontId="12" fillId="3" borderId="27" xfId="1" applyFont="1" applyFill="1" applyBorder="1" applyAlignment="1">
      <alignment horizontal="center" vertical="center"/>
    </xf>
    <xf numFmtId="165" fontId="12" fillId="3" borderId="26" xfId="3" applyNumberFormat="1" applyFont="1" applyFill="1" applyBorder="1" applyAlignment="1">
      <alignment horizontal="center" vertical="center" wrapText="1"/>
    </xf>
    <xf numFmtId="165" fontId="12" fillId="3" borderId="27" xfId="3" applyNumberFormat="1" applyFont="1" applyFill="1" applyBorder="1" applyAlignment="1">
      <alignment horizontal="center" vertical="center" wrapText="1"/>
    </xf>
  </cellXfs>
  <cellStyles count="5">
    <cellStyle name="Comma" xfId="2" builtinId="3"/>
    <cellStyle name="Comma [0]" xfId="3" builtinId="6"/>
    <cellStyle name="Hyperlink" xfId="4" builtinId="8"/>
    <cellStyle name="Normal" xfId="0" builtinId="0"/>
    <cellStyle name="Percent" xfId="1" builtinId="5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>
        <left style="thin">
          <color rgb="FF003056"/>
        </left>
        <right style="thin">
          <color rgb="FF003056"/>
        </right>
        <top style="thin">
          <color rgb="FF003056"/>
        </top>
        <bottom style="thin">
          <color rgb="FF0030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30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>
        <left style="thin">
          <color rgb="FF003056"/>
        </left>
        <right style="thin">
          <color rgb="FF003056"/>
        </right>
        <top style="thin">
          <color rgb="FF003056"/>
        </top>
        <bottom style="thin">
          <color rgb="FF0030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305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>
        <left style="thin">
          <color rgb="FF003056"/>
        </left>
        <right style="thin">
          <color rgb="FF003056"/>
        </right>
        <top style="thin">
          <color rgb="FF003056"/>
        </top>
        <bottom style="thin">
          <color rgb="FF0030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30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003056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3056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305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>
        <left style="thin">
          <color rgb="FF003056"/>
        </left>
        <right style="thin">
          <color rgb="FF003056"/>
        </right>
        <top style="thin">
          <color rgb="FF003056"/>
        </top>
        <bottom style="thin">
          <color rgb="FF0030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3056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diagonalUp="0" diagonalDown="0">
        <left style="thin">
          <color rgb="FF003056"/>
        </left>
        <right style="thin">
          <color rgb="FF003056"/>
        </right>
        <top style="thin">
          <color rgb="FF003056"/>
        </top>
        <bottom style="thin">
          <color rgb="FF0030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30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diagonalUp="0" diagonalDown="0">
        <left style="thin">
          <color rgb="FF003056"/>
        </left>
        <right style="thin">
          <color rgb="FF003056"/>
        </right>
        <top style="thin">
          <color rgb="FF003056"/>
        </top>
        <bottom style="thin">
          <color rgb="FF0030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30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diagonalUp="0" diagonalDown="0">
        <left style="thin">
          <color rgb="FF003056"/>
        </left>
        <right style="thin">
          <color rgb="FF003056"/>
        </right>
        <top style="thin">
          <color rgb="FF003056"/>
        </top>
        <bottom style="thin">
          <color rgb="FF0030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30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diagonalUp="0" diagonalDown="0">
        <left style="thin">
          <color rgb="FF003056"/>
        </left>
        <right style="thin">
          <color rgb="FF003056"/>
        </right>
        <top style="thin">
          <color rgb="FF003056"/>
        </top>
        <bottom style="thin">
          <color rgb="FF0030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3056"/>
        </patternFill>
      </fill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/>
        <right style="mediumDashDot">
          <color rgb="FF003056"/>
        </right>
        <vertical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diagonalUp="0" diagonalDown="0">
        <left style="thin">
          <color rgb="FF003056"/>
        </left>
        <right style="thin">
          <color rgb="FF003056"/>
        </right>
        <top style="thin">
          <color rgb="FF003056"/>
        </top>
        <bottom style="thin">
          <color rgb="FF003056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border>
        <bottom style="thin">
          <color rgb="FF00305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003056"/>
        </patternFill>
      </fill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003056"/>
      <color rgb="FFEDDDBE"/>
      <color rgb="FFFFF8D7"/>
      <color rgb="FFFFE980"/>
      <color rgb="FFF8DE2B"/>
      <color rgb="FFCD7C3B"/>
      <color rgb="FF01B0AE"/>
      <color rgb="FF125D72"/>
      <color rgb="FFB7863A"/>
      <color rgb="FFE5B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Data'!$A$84</c:f>
              <c:strCache>
                <c:ptCount val="1"/>
                <c:pt idx="0">
                  <c:v>Net Debt (Financing)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'Raw Data'!$B$83:$K$83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'Raw Data'!$B$84:$K$84</c:f>
              <c:numCache>
                <c:formatCode>General</c:formatCode>
                <c:ptCount val="10"/>
                <c:pt idx="0">
                  <c:v>2519378</c:v>
                </c:pt>
                <c:pt idx="1">
                  <c:v>1417040</c:v>
                </c:pt>
                <c:pt idx="2">
                  <c:v>2366476</c:v>
                </c:pt>
                <c:pt idx="3">
                  <c:v>1603498</c:v>
                </c:pt>
                <c:pt idx="4">
                  <c:v>678040</c:v>
                </c:pt>
                <c:pt idx="5">
                  <c:v>638906.95821759675</c:v>
                </c:pt>
                <c:pt idx="6">
                  <c:v>602032.47781673935</c:v>
                </c:pt>
                <c:pt idx="7">
                  <c:v>567286.20604993182</c:v>
                </c:pt>
                <c:pt idx="8">
                  <c:v>534545.31347142172</c:v>
                </c:pt>
                <c:pt idx="9">
                  <c:v>503694.05973024864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7-1442-9818-8FAEE86F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567792"/>
        <c:axId val="263478192"/>
      </c:barChart>
      <c:catAx>
        <c:axId val="1655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63478192"/>
        <c:crosses val="autoZero"/>
        <c:auto val="1"/>
        <c:lblAlgn val="ctr"/>
        <c:lblOffset val="100"/>
        <c:noMultiLvlLbl val="0"/>
      </c:catAx>
      <c:valAx>
        <c:axId val="2634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556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Forecast'!$A$25</c:f>
              <c:strCache>
                <c:ptCount val="1"/>
                <c:pt idx="0">
                  <c:v>Interest/Investment Income - Operating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Forecast'!$B$16:$K$16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Forecast'!$B$25:$K$25</c:f>
              <c:numCache>
                <c:formatCode>_(* #,##0_);_(* \(#,##0\);_(* "-"_);_(@_)</c:formatCode>
                <c:ptCount val="10"/>
                <c:pt idx="0" formatCode="0">
                  <c:v>324</c:v>
                </c:pt>
                <c:pt idx="1">
                  <c:v>1319</c:v>
                </c:pt>
                <c:pt idx="2">
                  <c:v>-7661</c:v>
                </c:pt>
                <c:pt idx="3">
                  <c:v>-17487</c:v>
                </c:pt>
                <c:pt idx="4">
                  <c:v>-89920</c:v>
                </c:pt>
                <c:pt idx="5">
                  <c:v>-108542.90661634356</c:v>
                </c:pt>
                <c:pt idx="6">
                  <c:v>-131022.71548848176</c:v>
                </c:pt>
                <c:pt idx="7">
                  <c:v>-158158.21143111686</c:v>
                </c:pt>
                <c:pt idx="8">
                  <c:v>-190913.6118102273</c:v>
                </c:pt>
                <c:pt idx="9">
                  <c:v>-230452.8284976242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6-9A4B-83DB-1D11CED7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1336336"/>
        <c:axId val="197117808"/>
      </c:barChart>
      <c:catAx>
        <c:axId val="3413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7117808"/>
        <c:crosses val="autoZero"/>
        <c:auto val="1"/>
        <c:lblAlgn val="ctr"/>
        <c:lblOffset val="100"/>
        <c:noMultiLvlLbl val="0"/>
      </c:catAx>
      <c:valAx>
        <c:axId val="1971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413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Forecast'!$A$49</c:f>
              <c:strCache>
                <c:ptCount val="1"/>
                <c:pt idx="0">
                  <c:v>Capital Expenditure (CAPEX)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Forecast'!$B$48:$K$48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Forecast'!$B$49:$K$49</c:f>
              <c:numCache>
                <c:formatCode>_(* #,##0_);_(* \(#,##0\);_(* "-"_);_(@_)</c:formatCode>
                <c:ptCount val="10"/>
                <c:pt idx="0">
                  <c:v>-223766</c:v>
                </c:pt>
                <c:pt idx="1">
                  <c:v>-85434</c:v>
                </c:pt>
                <c:pt idx="2">
                  <c:v>-61304</c:v>
                </c:pt>
                <c:pt idx="3">
                  <c:v>-52385</c:v>
                </c:pt>
                <c:pt idx="4">
                  <c:v>-83115</c:v>
                </c:pt>
                <c:pt idx="5">
                  <c:v>-88115</c:v>
                </c:pt>
                <c:pt idx="6">
                  <c:v>-93115</c:v>
                </c:pt>
                <c:pt idx="7">
                  <c:v>-95615</c:v>
                </c:pt>
                <c:pt idx="8">
                  <c:v>-98115</c:v>
                </c:pt>
                <c:pt idx="9">
                  <c:v>-100615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B-9F4F-9949-F662E5F56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08080"/>
        <c:axId val="213426976"/>
      </c:barChart>
      <c:catAx>
        <c:axId val="2137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3426976"/>
        <c:crosses val="autoZero"/>
        <c:auto val="1"/>
        <c:lblAlgn val="ctr"/>
        <c:lblOffset val="100"/>
        <c:noMultiLvlLbl val="0"/>
      </c:catAx>
      <c:valAx>
        <c:axId val="2134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370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Forecast'!$A$23</c:f>
              <c:strCache>
                <c:ptCount val="1"/>
                <c:pt idx="0">
                  <c:v>Depreciation/Amortisation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Forecast'!$B$16:$K$16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Forecast'!$B$23:$K$23</c:f>
              <c:numCache>
                <c:formatCode>_(* #,##0_);_(* \(#,##0\);_(* "-"_);_(@_)</c:formatCode>
                <c:ptCount val="10"/>
                <c:pt idx="0">
                  <c:v>-36808</c:v>
                </c:pt>
                <c:pt idx="1">
                  <c:v>-45467</c:v>
                </c:pt>
                <c:pt idx="2">
                  <c:v>-47508</c:v>
                </c:pt>
                <c:pt idx="3">
                  <c:v>-50786</c:v>
                </c:pt>
                <c:pt idx="4">
                  <c:v>-54723</c:v>
                </c:pt>
                <c:pt idx="5">
                  <c:v>-58964.032500000001</c:v>
                </c:pt>
                <c:pt idx="6">
                  <c:v>-63533.74501875</c:v>
                </c:pt>
                <c:pt idx="7">
                  <c:v>-68457.610257703098</c:v>
                </c:pt>
                <c:pt idx="8">
                  <c:v>-73763.075052675107</c:v>
                </c:pt>
                <c:pt idx="9">
                  <c:v>-79479.713369257399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5-7345-8EB7-05F74777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926528"/>
        <c:axId val="207434464"/>
      </c:barChart>
      <c:catAx>
        <c:axId val="1969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7434464"/>
        <c:crosses val="autoZero"/>
        <c:auto val="1"/>
        <c:lblAlgn val="ctr"/>
        <c:lblOffset val="100"/>
        <c:noMultiLvlLbl val="0"/>
      </c:catAx>
      <c:valAx>
        <c:axId val="2074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69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Forecast'!$A$43</c:f>
              <c:strCache>
                <c:ptCount val="1"/>
                <c:pt idx="0">
                  <c:v>Changes in Working Capital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Forecast'!$B$37:$K$37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Forecast'!$B$43:$K$43</c:f>
              <c:numCache>
                <c:formatCode>_(* #,##0_);_(* \(#,##0\);_(* "-"_);_(@_)</c:formatCode>
                <c:ptCount val="10"/>
                <c:pt idx="0">
                  <c:v>5815522</c:v>
                </c:pt>
                <c:pt idx="1">
                  <c:v>5601205</c:v>
                </c:pt>
                <c:pt idx="2">
                  <c:v>7662416</c:v>
                </c:pt>
                <c:pt idx="3">
                  <c:v>9569090</c:v>
                </c:pt>
                <c:pt idx="4">
                  <c:v>9932678</c:v>
                </c:pt>
                <c:pt idx="5">
                  <c:v>10499913.664554201</c:v>
                </c:pt>
                <c:pt idx="6">
                  <c:v>11097973.179217691</c:v>
                </c:pt>
                <c:pt idx="7">
                  <c:v>11728463.893625095</c:v>
                </c:pt>
                <c:pt idx="8">
                  <c:v>12393055.43100013</c:v>
                </c:pt>
                <c:pt idx="9">
                  <c:v>13093512.834401421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5-1541-ACC8-52E40876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457728"/>
        <c:axId val="1003650208"/>
      </c:barChart>
      <c:catAx>
        <c:axId val="1454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03650208"/>
        <c:crosses val="autoZero"/>
        <c:auto val="1"/>
        <c:lblAlgn val="ctr"/>
        <c:lblOffset val="100"/>
        <c:noMultiLvlLbl val="0"/>
      </c:catAx>
      <c:valAx>
        <c:axId val="10036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545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Forecast'!$A$39</c:f>
              <c:strCache>
                <c:ptCount val="1"/>
                <c:pt idx="0">
                  <c:v>Inventories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Forecast'!$B$37:$K$37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Forecast'!$B$39:$K$39</c:f>
              <c:numCache>
                <c:formatCode>_(* #,##0_);_(* \(#,##0\);_(* "-"_);_(@_)</c:formatCode>
                <c:ptCount val="10"/>
                <c:pt idx="0">
                  <c:v>7030420</c:v>
                </c:pt>
                <c:pt idx="1">
                  <c:v>6545906</c:v>
                </c:pt>
                <c:pt idx="2">
                  <c:v>8754742</c:v>
                </c:pt>
                <c:pt idx="3">
                  <c:v>10506055</c:v>
                </c:pt>
                <c:pt idx="4">
                  <c:v>10940938</c:v>
                </c:pt>
                <c:pt idx="5" formatCode="_(* #,##0.00_);_(* \(#,##0.00\);_(* &quot;-&quot;??_);_(@_)">
                  <c:v>11597394.279999999</c:v>
                </c:pt>
                <c:pt idx="6" formatCode="_(* #,##0.00_);_(* \(#,##0.00\);_(* &quot;-&quot;??_);_(@_)">
                  <c:v>12293237.936799999</c:v>
                </c:pt>
                <c:pt idx="7" formatCode="_(* #,##0.00_);_(* \(#,##0.00\);_(* &quot;-&quot;??_);_(@_)">
                  <c:v>13030832.213008</c:v>
                </c:pt>
                <c:pt idx="8" formatCode="_(* #,##0.00_);_(* \(#,##0.00\);_(* &quot;-&quot;??_);_(@_)">
                  <c:v>13812682.14578848</c:v>
                </c:pt>
                <c:pt idx="9" formatCode="_(* #,##0.00_);_(* \(#,##0.00\);_(* &quot;-&quot;??_);_(@_)">
                  <c:v>14641443.074535789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C-E541-A72C-DB4772C2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6197888"/>
        <c:axId val="145746416"/>
      </c:barChart>
      <c:catAx>
        <c:axId val="6761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5746416"/>
        <c:crosses val="autoZero"/>
        <c:auto val="1"/>
        <c:lblAlgn val="ctr"/>
        <c:lblOffset val="100"/>
        <c:noMultiLvlLbl val="0"/>
      </c:catAx>
      <c:valAx>
        <c:axId val="1457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761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Forecast'!$A$38</c:f>
              <c:strCache>
                <c:ptCount val="1"/>
                <c:pt idx="0">
                  <c:v>Accounts Receivable 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Forecast'!$B$37:$K$37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Forecast'!$B$38:$K$38</c:f>
              <c:numCache>
                <c:formatCode>_(* #,##0_);_(* \(#,##0\);_(* "-"_);_(@_)</c:formatCode>
                <c:ptCount val="10"/>
                <c:pt idx="0">
                  <c:v>48293</c:v>
                </c:pt>
                <c:pt idx="1">
                  <c:v>66389</c:v>
                </c:pt>
                <c:pt idx="2">
                  <c:v>57926</c:v>
                </c:pt>
                <c:pt idx="3">
                  <c:v>53670</c:v>
                </c:pt>
                <c:pt idx="4">
                  <c:v>64228</c:v>
                </c:pt>
                <c:pt idx="5" formatCode="_(* #,##0.00_);_(* \(#,##0.00\);_(* &quot;-&quot;??_);_(@_)">
                  <c:v>76861.647599999997</c:v>
                </c:pt>
                <c:pt idx="6" formatCode="_(* #,##0.00_);_(* \(#,##0.00\);_(* &quot;-&quot;??_);_(@_)">
                  <c:v>91980.333682919998</c:v>
                </c:pt>
                <c:pt idx="7" formatCode="_(* #,##0.00_);_(* \(#,##0.00\);_(* &quot;-&quot;??_);_(@_)">
                  <c:v>110072.86531835036</c:v>
                </c:pt>
                <c:pt idx="8" formatCode="_(* #,##0.00_);_(* \(#,##0.00\);_(* &quot;-&quot;??_);_(@_)">
                  <c:v>131724.19792646987</c:v>
                </c:pt>
                <c:pt idx="9" formatCode="_(* #,##0.00_);_(* \(#,##0.00\);_(* &quot;-&quot;??_);_(@_)">
                  <c:v>157634.34765860651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2A40-B470-11772A44F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698096"/>
        <c:axId val="247379360"/>
      </c:barChart>
      <c:catAx>
        <c:axId val="1966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47379360"/>
        <c:crosses val="autoZero"/>
        <c:auto val="1"/>
        <c:lblAlgn val="ctr"/>
        <c:lblOffset val="100"/>
        <c:noMultiLvlLbl val="0"/>
      </c:catAx>
      <c:valAx>
        <c:axId val="2473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669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Forecast'!$A$41</c:f>
              <c:strCache>
                <c:ptCount val="1"/>
                <c:pt idx="0">
                  <c:v>Accounts Payable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Forecast'!$B$37:$K$37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Forecast'!$B$41:$K$41</c:f>
              <c:numCache>
                <c:formatCode>_(* #,##0_);_(* \(#,##0\);_(* "-"_);_(@_)</c:formatCode>
                <c:ptCount val="10"/>
                <c:pt idx="0">
                  <c:v>-690808</c:v>
                </c:pt>
                <c:pt idx="1">
                  <c:v>-481588</c:v>
                </c:pt>
                <c:pt idx="2">
                  <c:v>-680447</c:v>
                </c:pt>
                <c:pt idx="3">
                  <c:v>-277213</c:v>
                </c:pt>
                <c:pt idx="4">
                  <c:v>-257305</c:v>
                </c:pt>
                <c:pt idx="5">
                  <c:v>-266542.24949999998</c:v>
                </c:pt>
                <c:pt idx="6">
                  <c:v>-276111.11625705002</c:v>
                </c:pt>
                <c:pt idx="7">
                  <c:v>-286023.50533067802</c:v>
                </c:pt>
                <c:pt idx="8">
                  <c:v>-296291.74917204899</c:v>
                </c:pt>
                <c:pt idx="9">
                  <c:v>-306928.62296732602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B-164C-B3B6-B4833B35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997616"/>
        <c:axId val="797665680"/>
      </c:barChart>
      <c:catAx>
        <c:axId val="2079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797665680"/>
        <c:crosses val="autoZero"/>
        <c:auto val="1"/>
        <c:lblAlgn val="ctr"/>
        <c:lblOffset val="100"/>
        <c:noMultiLvlLbl val="0"/>
      </c:catAx>
      <c:valAx>
        <c:axId val="7976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799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Forecast'!$A$40</c:f>
              <c:strCache>
                <c:ptCount val="1"/>
                <c:pt idx="0">
                  <c:v>Prepaid Expenses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Forecast'!$B$37:$K$37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Forecast'!$B$40:$K$40</c:f>
              <c:numCache>
                <c:formatCode>_(* #,##0.00_);_(* \(#,##0.00\);_(* "-"_);_(@_)</c:formatCode>
                <c:ptCount val="10"/>
                <c:pt idx="0">
                  <c:v>-146501</c:v>
                </c:pt>
                <c:pt idx="1">
                  <c:v>-86332</c:v>
                </c:pt>
                <c:pt idx="2">
                  <c:v>-87376</c:v>
                </c:pt>
                <c:pt idx="3">
                  <c:v>-142910</c:v>
                </c:pt>
                <c:pt idx="4">
                  <c:v>-121827</c:v>
                </c:pt>
                <c:pt idx="5">
                  <c:v>-139796.48250000001</c:v>
                </c:pt>
                <c:pt idx="6">
                  <c:v>-160416.46366874999</c:v>
                </c:pt>
                <c:pt idx="7">
                  <c:v>-184077.89205989099</c:v>
                </c:pt>
                <c:pt idx="8">
                  <c:v>-211229.38113872401</c:v>
                </c:pt>
                <c:pt idx="9">
                  <c:v>-242385.71485668601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5-6A4F-A712-77D12146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614976"/>
        <c:axId val="1199777104"/>
      </c:barChart>
      <c:catAx>
        <c:axId val="1966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99777104"/>
        <c:crosses val="autoZero"/>
        <c:auto val="1"/>
        <c:lblAlgn val="ctr"/>
        <c:lblOffset val="100"/>
        <c:noMultiLvlLbl val="0"/>
      </c:catAx>
      <c:valAx>
        <c:axId val="1199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66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'Related Ratio'!$A$2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'Related Ratio'!$B$1:$F$1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'Related Ratio'!$B$2:$F$2</c:f>
              <c:numCache>
                <c:formatCode>_(* #,##0_);_(* \(#,##0\);_(* "-"_);_(@_)</c:formatCode>
                <c:ptCount val="5"/>
                <c:pt idx="0">
                  <c:v>13539967588</c:v>
                </c:pt>
                <c:pt idx="1">
                  <c:v>14076055770</c:v>
                </c:pt>
                <c:pt idx="2">
                  <c:v>15948760134</c:v>
                </c:pt>
                <c:pt idx="3">
                  <c:v>27949660295</c:v>
                </c:pt>
                <c:pt idx="4">
                  <c:v>27078338249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F-C149-AB45-CDB632CA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280592"/>
        <c:axId val="674666064"/>
      </c:barChart>
      <c:lineChart>
        <c:grouping val="standard"/>
        <c:varyColors val="0"/>
        <c:ser>
          <c:idx val="1"/>
          <c:order val="1"/>
          <c:tx>
            <c:strRef>
              <c:f>'Related Ratio'!$A$3</c:f>
              <c:strCache>
                <c:ptCount val="1"/>
                <c:pt idx="0">
                  <c:v>Growth Rate</c:v>
                </c:pt>
              </c:strCache>
            </c:strRef>
          </c:tx>
          <c:spPr>
            <a:ln w="34925" cap="rnd">
              <a:solidFill>
                <a:srgbClr val="EDDDB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'Related Ratio'!$B$1:$F$1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'Related Ratio'!$B$3:$F$3</c:f>
              <c:numCache>
                <c:formatCode>0.00%</c:formatCode>
                <c:ptCount val="5"/>
                <c:pt idx="1">
                  <c:v>3.959301811587173E-2</c:v>
                </c:pt>
                <c:pt idx="2">
                  <c:v>0.13304184031376567</c:v>
                </c:pt>
                <c:pt idx="3">
                  <c:v>0.75246602620953307</c:v>
                </c:pt>
                <c:pt idx="4">
                  <c:v>-3.1174691813906356E-2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F-C149-AB45-CDB632CA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166816"/>
        <c:axId val="1108732752"/>
      </c:lineChart>
      <c:catAx>
        <c:axId val="5792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74666064"/>
        <c:crosses val="autoZero"/>
        <c:auto val="1"/>
        <c:lblAlgn val="ctr"/>
        <c:lblOffset val="100"/>
        <c:noMultiLvlLbl val="0"/>
      </c:catAx>
      <c:valAx>
        <c:axId val="674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5792805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</c:dispUnitsLbl>
        </c:dispUnits>
      </c:valAx>
      <c:valAx>
        <c:axId val="1108732752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770166816"/>
        <c:crosses val="max"/>
        <c:crossBetween val="between"/>
      </c:valAx>
      <c:catAx>
        <c:axId val="1770166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873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'Related Ratio'!$A$7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'Related Ratio'!$B$6:$F$6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'Related Ratio'!$B$7:$F$7</c:f>
              <c:numCache>
                <c:formatCode>0.00%</c:formatCode>
                <c:ptCount val="5"/>
                <c:pt idx="0">
                  <c:v>8.8999999999999996E-2</c:v>
                </c:pt>
                <c:pt idx="1">
                  <c:v>7.6999999999999999E-2</c:v>
                </c:pt>
                <c:pt idx="2">
                  <c:v>6.7000000000000004E-2</c:v>
                </c:pt>
                <c:pt idx="3">
                  <c:v>6.9000000000000006E-2</c:v>
                </c:pt>
                <c:pt idx="4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5-0145-87E9-2E891FB9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3405856"/>
        <c:axId val="1021355648"/>
      </c:barChart>
      <c:catAx>
        <c:axId val="7634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021355648"/>
        <c:crosses val="autoZero"/>
        <c:auto val="1"/>
        <c:lblAlgn val="ctr"/>
        <c:lblOffset val="100"/>
        <c:noMultiLvlLbl val="0"/>
      </c:catAx>
      <c:valAx>
        <c:axId val="1021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7634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Forecast'!$A$2</c:f>
              <c:strCache>
                <c:ptCount val="1"/>
                <c:pt idx="0">
                  <c:v>Sales of Gold, Silver and Jewelry 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Forecast'!$B$1:$K$1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Forecast'!$B$2:$K$2</c:f>
              <c:numCache>
                <c:formatCode>_(* #,##0_);_(* \(#,##0\);_(* "-"_);_(@_)</c:formatCode>
                <c:ptCount val="10"/>
                <c:pt idx="0">
                  <c:v>17021086.914742999</c:v>
                </c:pt>
                <c:pt idx="1">
                  <c:v>17487379.140948001</c:v>
                </c:pt>
                <c:pt idx="2">
                  <c:v>19608294.312644001</c:v>
                </c:pt>
                <c:pt idx="3">
                  <c:v>34023892.071468003</c:v>
                </c:pt>
                <c:pt idx="4">
                  <c:v>33348659.223161001</c:v>
                </c:pt>
                <c:pt idx="5" formatCode="_(* #,##0.00_);_(* \(#,##0.00\);_(* &quot;-&quot;??_);_(@_)">
                  <c:v>34682605.59208744</c:v>
                </c:pt>
                <c:pt idx="6" formatCode="_(* #,##0.00_);_(* \(#,##0.00\);_(* &quot;-&quot;??_);_(@_)">
                  <c:v>36069909.815770939</c:v>
                </c:pt>
                <c:pt idx="7" formatCode="_(* #,##0.00_);_(* \(#,##0.00\);_(* &quot;-&quot;??_);_(@_)">
                  <c:v>37512706.208401777</c:v>
                </c:pt>
                <c:pt idx="8" formatCode="_(* #,##0.00_);_(* \(#,##0.00\);_(* &quot;-&quot;??_);_(@_)">
                  <c:v>39013214.456737846</c:v>
                </c:pt>
                <c:pt idx="9" formatCode="_(* #,##0.00_);_(* \(#,##0.00\);_(* &quot;-&quot;??_);_(@_)">
                  <c:v>40573743.035007358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6-1E42-B506-7B96E487D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270960"/>
        <c:axId val="145464352"/>
      </c:barChart>
      <c:lineChart>
        <c:grouping val="standard"/>
        <c:varyColors val="0"/>
        <c:ser>
          <c:idx val="1"/>
          <c:order val="1"/>
          <c:tx>
            <c:strRef>
              <c:f>'Revenue Forecast'!$A$4</c:f>
              <c:strCache>
                <c:ptCount val="1"/>
                <c:pt idx="0">
                  <c:v>Growth Rate</c:v>
                </c:pt>
              </c:strCache>
            </c:strRef>
          </c:tx>
          <c:spPr>
            <a:ln w="34925" cap="rnd">
              <a:solidFill>
                <a:srgbClr val="EDDDB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Forecast'!$B$1:$K$1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Forecast'!$B$4:$K$4</c:f>
              <c:numCache>
                <c:formatCode>0.00%</c:formatCode>
                <c:ptCount val="10"/>
                <c:pt idx="1">
                  <c:v>2.739497357252306E-2</c:v>
                </c:pt>
                <c:pt idx="2">
                  <c:v>0.12128262071757333</c:v>
                </c:pt>
                <c:pt idx="3">
                  <c:v>0.73517856928169445</c:v>
                </c:pt>
                <c:pt idx="4">
                  <c:v>-1.9845843823177535E-2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6-1E42-B506-7B96E487D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23040"/>
        <c:axId val="262814016"/>
      </c:lineChart>
      <c:catAx>
        <c:axId val="2622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45464352"/>
        <c:crosses val="autoZero"/>
        <c:auto val="1"/>
        <c:lblAlgn val="ctr"/>
        <c:lblOffset val="100"/>
        <c:noMultiLvlLbl val="0"/>
      </c:catAx>
      <c:valAx>
        <c:axId val="1454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62270960"/>
        <c:crosses val="autoZero"/>
        <c:crossBetween val="between"/>
      </c:valAx>
      <c:valAx>
        <c:axId val="262814016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96923040"/>
        <c:crosses val="max"/>
        <c:crossBetween val="between"/>
      </c:valAx>
      <c:catAx>
        <c:axId val="69692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281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'Related Ratio'!$A$11</c:f>
              <c:strCache>
                <c:ptCount val="1"/>
                <c:pt idx="0">
                  <c:v>Advertising Expense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'Related Ratio'!$B$10:$F$10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'Related Ratio'!$B$11:$F$11</c:f>
              <c:numCache>
                <c:formatCode>_(* #,##0_);_(* \(#,##0\);_(* "-"_);_(@_)</c:formatCode>
                <c:ptCount val="5"/>
                <c:pt idx="0">
                  <c:v>132569</c:v>
                </c:pt>
                <c:pt idx="1">
                  <c:v>146041</c:v>
                </c:pt>
                <c:pt idx="2">
                  <c:v>126473</c:v>
                </c:pt>
                <c:pt idx="3">
                  <c:v>233616</c:v>
                </c:pt>
                <c:pt idx="4">
                  <c:v>256683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3-2249-B205-9E1765F9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83568"/>
        <c:axId val="999201328"/>
      </c:barChart>
      <c:lineChart>
        <c:grouping val="standard"/>
        <c:varyColors val="0"/>
        <c:ser>
          <c:idx val="1"/>
          <c:order val="1"/>
          <c:tx>
            <c:strRef>
              <c:f>'Related Ratio'!$A$12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rgbClr val="EDDDBE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'Related Ratio'!$B$10:$F$10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'Related Ratio'!$B$12:$F$12</c:f>
              <c:numCache>
                <c:formatCode>0.00%</c:formatCode>
                <c:ptCount val="5"/>
                <c:pt idx="1">
                  <c:v>0.10162255127518499</c:v>
                </c:pt>
                <c:pt idx="2">
                  <c:v>-0.13398976999609699</c:v>
                </c:pt>
                <c:pt idx="3">
                  <c:v>0.84716105413803733</c:v>
                </c:pt>
                <c:pt idx="4">
                  <c:v>9.8738956235874253E-2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3-2249-B205-9E1765F9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5840"/>
        <c:axId val="1105753600"/>
      </c:lineChart>
      <c:catAx>
        <c:axId val="5486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99201328"/>
        <c:crosses val="autoZero"/>
        <c:auto val="1"/>
        <c:lblAlgn val="ctr"/>
        <c:lblOffset val="100"/>
        <c:noMultiLvlLbl val="0"/>
      </c:catAx>
      <c:valAx>
        <c:axId val="9992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48683568"/>
        <c:crosses val="autoZero"/>
        <c:crossBetween val="between"/>
      </c:valAx>
      <c:valAx>
        <c:axId val="1105753600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48615840"/>
        <c:crosses val="max"/>
        <c:crossBetween val="between"/>
      </c:valAx>
      <c:catAx>
        <c:axId val="54861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575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'Related Ratio'!$A$17</c:f>
              <c:strCache>
                <c:ptCount val="1"/>
                <c:pt idx="0">
                  <c:v>Earning quality (score)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'Related Ratio'!$B$16:$F$16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'Related Ratio'!$B$17:$F$17</c:f>
              <c:numCache>
                <c:formatCode>General</c:formatCode>
                <c:ptCount val="5"/>
                <c:pt idx="0">
                  <c:v>10</c:v>
                </c:pt>
                <c:pt idx="1">
                  <c:v>90</c:v>
                </c:pt>
                <c:pt idx="2">
                  <c:v>18</c:v>
                </c:pt>
                <c:pt idx="3">
                  <c:v>55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7240-9EBC-8CBB4880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128784"/>
        <c:axId val="671720176"/>
      </c:barChart>
      <c:catAx>
        <c:axId val="5991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71720176"/>
        <c:crosses val="autoZero"/>
        <c:auto val="1"/>
        <c:lblAlgn val="ctr"/>
        <c:lblOffset val="100"/>
        <c:noMultiLvlLbl val="0"/>
      </c:catAx>
      <c:valAx>
        <c:axId val="6717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991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Net Profit Margin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'DuPont analysis'!$A$31</c:f>
              <c:strCache>
                <c:ptCount val="1"/>
                <c:pt idx="0">
                  <c:v>PNJ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analysis'!$B$30:$F$30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analysis'!$B$31:$F$31</c:f>
              <c:numCache>
                <c:formatCode>0.00%</c:formatCode>
                <c:ptCount val="5"/>
                <c:pt idx="0">
                  <c:v>7.0000000000000007E-2</c:v>
                </c:pt>
                <c:pt idx="1">
                  <c:v>6.0999999999999999E-2</c:v>
                </c:pt>
                <c:pt idx="2">
                  <c:v>5.2999999999999999E-2</c:v>
                </c:pt>
                <c:pt idx="3">
                  <c:v>5.2999999999999999E-2</c:v>
                </c:pt>
                <c:pt idx="4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B-EB49-A656-766F349B0CCD}"/>
            </c:ext>
          </c:extLst>
        </c:ser>
        <c:ser>
          <c:idx val="1"/>
          <c:order val="1"/>
          <c:tx>
            <c:strRef>
              <c:f>'DuPont analysis'!$A$32</c:f>
              <c:strCache>
                <c:ptCount val="1"/>
                <c:pt idx="0">
                  <c:v>Poh Kong</c:v>
                </c:pt>
              </c:strCache>
            </c:strRef>
          </c:tx>
          <c:spPr>
            <a:solidFill>
              <a:srgbClr val="F8DE2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analysis'!$B$30:$F$30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analysis'!$B$32:$F$32</c:f>
              <c:numCache>
                <c:formatCode>0.00%</c:formatCode>
                <c:ptCount val="5"/>
                <c:pt idx="0">
                  <c:v>2.5000000000000001E-2</c:v>
                </c:pt>
                <c:pt idx="1">
                  <c:v>3.3000000000000002E-2</c:v>
                </c:pt>
                <c:pt idx="2">
                  <c:v>4.1000000000000002E-2</c:v>
                </c:pt>
                <c:pt idx="3">
                  <c:v>6.8000000000000005E-2</c:v>
                </c:pt>
                <c:pt idx="4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B-EB49-A656-766F349B0CCD}"/>
            </c:ext>
          </c:extLst>
        </c:ser>
        <c:ser>
          <c:idx val="2"/>
          <c:order val="2"/>
          <c:tx>
            <c:strRef>
              <c:f>'DuPont analysis'!$A$33</c:f>
              <c:strCache>
                <c:ptCount val="1"/>
                <c:pt idx="0">
                  <c:v>Chow Sang Sang </c:v>
                </c:pt>
              </c:strCache>
            </c:strRef>
          </c:tx>
          <c:spPr>
            <a:solidFill>
              <a:srgbClr val="CD7C3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analysis'!$B$30:$F$30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analysis'!$B$33:$F$33</c:f>
              <c:numCache>
                <c:formatCode>0.00%</c:formatCode>
                <c:ptCount val="5"/>
                <c:pt idx="0">
                  <c:v>3.5999999999999997E-2</c:v>
                </c:pt>
                <c:pt idx="1">
                  <c:v>4.2999999999999997E-2</c:v>
                </c:pt>
                <c:pt idx="2">
                  <c:v>3.4000000000000002E-2</c:v>
                </c:pt>
                <c:pt idx="3">
                  <c:v>2.3E-2</c:v>
                </c:pt>
                <c:pt idx="4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B-EB49-A656-766F349B0CCD}"/>
            </c:ext>
          </c:extLst>
        </c:ser>
        <c:ser>
          <c:idx val="3"/>
          <c:order val="3"/>
          <c:tx>
            <c:strRef>
              <c:f>'DuPont analysis'!$A$34</c:f>
              <c:strCache>
                <c:ptCount val="1"/>
                <c:pt idx="0">
                  <c:v>Titan Company</c:v>
                </c:pt>
              </c:strCache>
            </c:strRef>
          </c:tx>
          <c:spPr>
            <a:solidFill>
              <a:srgbClr val="01B0A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analysis'!$B$30:$F$30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analysis'!$B$34:$F$34</c:f>
              <c:numCache>
                <c:formatCode>0.00%</c:formatCode>
                <c:ptCount val="5"/>
                <c:pt idx="0">
                  <c:v>7.0000000000000007E-2</c:v>
                </c:pt>
                <c:pt idx="1">
                  <c:v>7.0999999999999994E-2</c:v>
                </c:pt>
                <c:pt idx="2">
                  <c:v>4.4999999999999998E-2</c:v>
                </c:pt>
                <c:pt idx="3">
                  <c:v>7.5999999999999998E-2</c:v>
                </c:pt>
                <c:pt idx="4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7B-EB49-A656-766F349B0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3245312"/>
        <c:axId val="413464256"/>
      </c:barChart>
      <c:catAx>
        <c:axId val="4132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413464256"/>
        <c:crosses val="autoZero"/>
        <c:auto val="1"/>
        <c:lblAlgn val="ctr"/>
        <c:lblOffset val="100"/>
        <c:noMultiLvlLbl val="0"/>
      </c:catAx>
      <c:valAx>
        <c:axId val="413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4132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u="none" strike="noStrike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Asset Turnover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'DuPont analysis'!$A$38</c:f>
              <c:strCache>
                <c:ptCount val="1"/>
                <c:pt idx="0">
                  <c:v>PNJ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analysis'!$B$37:$F$37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analysis'!$B$38:$F$38</c:f>
              <c:numCache>
                <c:formatCode>0.00</c:formatCode>
                <c:ptCount val="5"/>
                <c:pt idx="0">
                  <c:v>2.2599999999999998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2.83</c:v>
                </c:pt>
                <c:pt idx="4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4-0141-9F8E-0E4415AD32C5}"/>
            </c:ext>
          </c:extLst>
        </c:ser>
        <c:ser>
          <c:idx val="1"/>
          <c:order val="1"/>
          <c:tx>
            <c:strRef>
              <c:f>'DuPont analysis'!$A$39</c:f>
              <c:strCache>
                <c:ptCount val="1"/>
                <c:pt idx="0">
                  <c:v>Poh Kong</c:v>
                </c:pt>
              </c:strCache>
            </c:strRef>
          </c:tx>
          <c:spPr>
            <a:solidFill>
              <a:srgbClr val="F8DE2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analysis'!$B$37:$F$37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analysis'!$B$39:$F$39</c:f>
              <c:numCache>
                <c:formatCode>General</c:formatCode>
                <c:ptCount val="5"/>
                <c:pt idx="0">
                  <c:v>1.26</c:v>
                </c:pt>
                <c:pt idx="1">
                  <c:v>0.95</c:v>
                </c:pt>
                <c:pt idx="2">
                  <c:v>1.1299999999999999</c:v>
                </c:pt>
                <c:pt idx="3">
                  <c:v>1.61</c:v>
                </c:pt>
                <c:pt idx="4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4-0141-9F8E-0E4415AD32C5}"/>
            </c:ext>
          </c:extLst>
        </c:ser>
        <c:ser>
          <c:idx val="2"/>
          <c:order val="2"/>
          <c:tx>
            <c:strRef>
              <c:f>'DuPont analysis'!$A$40</c:f>
              <c:strCache>
                <c:ptCount val="1"/>
                <c:pt idx="0">
                  <c:v>Chow Sang Sang </c:v>
                </c:pt>
              </c:strCache>
            </c:strRef>
          </c:tx>
          <c:spPr>
            <a:solidFill>
              <a:srgbClr val="CD7C3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analysis'!$B$37:$F$37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analysis'!$B$40:$F$40</c:f>
              <c:numCache>
                <c:formatCode>0.00</c:formatCode>
                <c:ptCount val="5"/>
                <c:pt idx="0">
                  <c:v>1.18</c:v>
                </c:pt>
                <c:pt idx="1">
                  <c:v>0.91</c:v>
                </c:pt>
                <c:pt idx="2">
                  <c:v>1.26</c:v>
                </c:pt>
                <c:pt idx="3">
                  <c:v>1.1200000000000001</c:v>
                </c:pt>
                <c:pt idx="4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4-0141-9F8E-0E4415AD32C5}"/>
            </c:ext>
          </c:extLst>
        </c:ser>
        <c:ser>
          <c:idx val="3"/>
          <c:order val="3"/>
          <c:tx>
            <c:strRef>
              <c:f>'DuPont analysis'!$A$41</c:f>
              <c:strCache>
                <c:ptCount val="1"/>
                <c:pt idx="0">
                  <c:v>Titan Company</c:v>
                </c:pt>
              </c:strCache>
            </c:strRef>
          </c:tx>
          <c:spPr>
            <a:solidFill>
              <a:srgbClr val="01B0A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analysis'!$B$37:$F$37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analysis'!$B$41:$F$41</c:f>
              <c:numCache>
                <c:formatCode>0.00</c:formatCode>
                <c:ptCount val="5"/>
                <c:pt idx="0">
                  <c:v>1.86</c:v>
                </c:pt>
                <c:pt idx="1">
                  <c:v>1.67</c:v>
                </c:pt>
                <c:pt idx="2">
                  <c:v>1.44</c:v>
                </c:pt>
                <c:pt idx="3">
                  <c:v>1.53</c:v>
                </c:pt>
                <c:pt idx="4">
                  <c:v>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4-0141-9F8E-0E4415AD32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5616640"/>
        <c:axId val="529943632"/>
      </c:barChart>
      <c:catAx>
        <c:axId val="16456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529943632"/>
        <c:crosses val="autoZero"/>
        <c:auto val="1"/>
        <c:lblAlgn val="ctr"/>
        <c:lblOffset val="100"/>
        <c:noMultiLvlLbl val="0"/>
      </c:catAx>
      <c:valAx>
        <c:axId val="5299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6456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Financial Leverage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'DuPont analysis'!$A$45</c:f>
              <c:strCache>
                <c:ptCount val="1"/>
                <c:pt idx="0">
                  <c:v>PNJ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analysis'!$B$44:$F$44</c:f>
              <c:strCache>
                <c:ptCount val="5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</c:strCache>
            </c:strRef>
          </c:cat>
          <c:val>
            <c:numRef>
              <c:f>'DuPont analysis'!$B$45:$F$45</c:f>
              <c:numCache>
                <c:formatCode>General</c:formatCode>
                <c:ptCount val="5"/>
                <c:pt idx="0">
                  <c:v>1.88</c:v>
                </c:pt>
                <c:pt idx="1">
                  <c:v>1.62</c:v>
                </c:pt>
                <c:pt idx="2">
                  <c:v>1.77</c:v>
                </c:pt>
                <c:pt idx="3">
                  <c:v>1.58</c:v>
                </c:pt>
                <c:pt idx="4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2-0444-BCF3-09A8CCC08BD3}"/>
            </c:ext>
          </c:extLst>
        </c:ser>
        <c:ser>
          <c:idx val="1"/>
          <c:order val="1"/>
          <c:tx>
            <c:strRef>
              <c:f>'DuPont analysis'!$A$46</c:f>
              <c:strCache>
                <c:ptCount val="1"/>
                <c:pt idx="0">
                  <c:v>Poh Kong</c:v>
                </c:pt>
              </c:strCache>
            </c:strRef>
          </c:tx>
          <c:spPr>
            <a:solidFill>
              <a:srgbClr val="F8DE2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analysis'!$B$44:$F$44</c:f>
              <c:strCache>
                <c:ptCount val="5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</c:strCache>
            </c:strRef>
          </c:cat>
          <c:val>
            <c:numRef>
              <c:f>'DuPont analysis'!$B$46:$F$46</c:f>
              <c:numCache>
                <c:formatCode>0.00</c:formatCode>
                <c:ptCount val="5"/>
                <c:pt idx="0">
                  <c:v>1.43</c:v>
                </c:pt>
                <c:pt idx="1">
                  <c:v>1.39</c:v>
                </c:pt>
                <c:pt idx="2">
                  <c:v>1.34</c:v>
                </c:pt>
                <c:pt idx="3">
                  <c:v>1.29</c:v>
                </c:pt>
                <c:pt idx="4">
                  <c:v>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2-0444-BCF3-09A8CCC08BD3}"/>
            </c:ext>
          </c:extLst>
        </c:ser>
        <c:ser>
          <c:idx val="2"/>
          <c:order val="2"/>
          <c:tx>
            <c:strRef>
              <c:f>'DuPont analysis'!$A$47</c:f>
              <c:strCache>
                <c:ptCount val="1"/>
                <c:pt idx="0">
                  <c:v>Chow Sang Sang </c:v>
                </c:pt>
              </c:strCache>
            </c:strRef>
          </c:tx>
          <c:spPr>
            <a:solidFill>
              <a:srgbClr val="CD7C3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analysis'!$B$44:$F$44</c:f>
              <c:strCache>
                <c:ptCount val="5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</c:strCache>
            </c:strRef>
          </c:cat>
          <c:val>
            <c:numRef>
              <c:f>'DuPont analysis'!$B$47:$F$47</c:f>
              <c:numCache>
                <c:formatCode>0.00</c:formatCode>
                <c:ptCount val="5"/>
                <c:pt idx="0">
                  <c:v>1.53</c:v>
                </c:pt>
                <c:pt idx="1">
                  <c:v>1.4</c:v>
                </c:pt>
                <c:pt idx="2">
                  <c:v>1.42</c:v>
                </c:pt>
                <c:pt idx="3">
                  <c:v>1.57</c:v>
                </c:pt>
                <c:pt idx="4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2-0444-BCF3-09A8CCC08BD3}"/>
            </c:ext>
          </c:extLst>
        </c:ser>
        <c:ser>
          <c:idx val="3"/>
          <c:order val="3"/>
          <c:tx>
            <c:strRef>
              <c:f>'DuPont analysis'!$A$48</c:f>
              <c:strCache>
                <c:ptCount val="1"/>
                <c:pt idx="0">
                  <c:v>Titan Company</c:v>
                </c:pt>
              </c:strCache>
            </c:strRef>
          </c:tx>
          <c:spPr>
            <a:solidFill>
              <a:srgbClr val="01B0A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analysis'!$B$44:$F$44</c:f>
              <c:strCache>
                <c:ptCount val="5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</c:strCache>
            </c:strRef>
          </c:cat>
          <c:val>
            <c:numRef>
              <c:f>'DuPont analysis'!$B$48:$F$48</c:f>
              <c:numCache>
                <c:formatCode>0.00</c:formatCode>
                <c:ptCount val="5"/>
                <c:pt idx="0">
                  <c:v>1.93</c:v>
                </c:pt>
                <c:pt idx="1">
                  <c:v>2.0299999999999998</c:v>
                </c:pt>
                <c:pt idx="2">
                  <c:v>2.19</c:v>
                </c:pt>
                <c:pt idx="3">
                  <c:v>2.2799999999999998</c:v>
                </c:pt>
                <c:pt idx="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2-0444-BCF3-09A8CCC08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4111056"/>
        <c:axId val="592137808"/>
      </c:barChart>
      <c:catAx>
        <c:axId val="5341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592137808"/>
        <c:crosses val="autoZero"/>
        <c:auto val="1"/>
        <c:lblAlgn val="ctr"/>
        <c:lblOffset val="100"/>
        <c:noMultiLvlLbl val="0"/>
      </c:catAx>
      <c:valAx>
        <c:axId val="5921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5341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Return on Equity</a:t>
            </a:r>
            <a:r>
              <a:rPr lang="en-US" sz="16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'DuPont analysis'!$A$52</c:f>
              <c:strCache>
                <c:ptCount val="1"/>
                <c:pt idx="0">
                  <c:v>PNJ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analysis'!$B$51:$F$51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analysis'!$B$52:$F$52</c:f>
              <c:numCache>
                <c:formatCode>0.00%</c:formatCode>
                <c:ptCount val="5"/>
                <c:pt idx="0">
                  <c:v>0.28699999999999998</c:v>
                </c:pt>
                <c:pt idx="1">
                  <c:v>0.218</c:v>
                </c:pt>
                <c:pt idx="2">
                  <c:v>0.183</c:v>
                </c:pt>
                <c:pt idx="3">
                  <c:v>0.25</c:v>
                </c:pt>
                <c:pt idx="4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7349-A4A4-A2E300B32CD0}"/>
            </c:ext>
          </c:extLst>
        </c:ser>
        <c:ser>
          <c:idx val="1"/>
          <c:order val="1"/>
          <c:tx>
            <c:strRef>
              <c:f>'DuPont analysis'!$A$53</c:f>
              <c:strCache>
                <c:ptCount val="1"/>
                <c:pt idx="0">
                  <c:v>Poh Kong</c:v>
                </c:pt>
              </c:strCache>
            </c:strRef>
          </c:tx>
          <c:spPr>
            <a:solidFill>
              <a:srgbClr val="F8DE2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analysis'!$B$51:$F$51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analysis'!$B$53:$F$53</c:f>
              <c:numCache>
                <c:formatCode>0.00%</c:formatCode>
                <c:ptCount val="5"/>
                <c:pt idx="0">
                  <c:v>4.7E-2</c:v>
                </c:pt>
                <c:pt idx="1">
                  <c:v>4.3999999999999997E-2</c:v>
                </c:pt>
                <c:pt idx="2">
                  <c:v>6.3E-2</c:v>
                </c:pt>
                <c:pt idx="3">
                  <c:v>0.14299999999999999</c:v>
                </c:pt>
                <c:pt idx="4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5-7349-A4A4-A2E300B32CD0}"/>
            </c:ext>
          </c:extLst>
        </c:ser>
        <c:ser>
          <c:idx val="2"/>
          <c:order val="2"/>
          <c:tx>
            <c:strRef>
              <c:f>'DuPont analysis'!$A$54</c:f>
              <c:strCache>
                <c:ptCount val="1"/>
                <c:pt idx="0">
                  <c:v>Chow Sang Sang </c:v>
                </c:pt>
              </c:strCache>
            </c:strRef>
          </c:tx>
          <c:spPr>
            <a:solidFill>
              <a:srgbClr val="CD7C3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analysis'!$B$51:$F$51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analysis'!$B$54:$F$54</c:f>
              <c:numCache>
                <c:formatCode>0.00%</c:formatCode>
                <c:ptCount val="5"/>
                <c:pt idx="0">
                  <c:v>6.0999999999999999E-2</c:v>
                </c:pt>
                <c:pt idx="1">
                  <c:v>5.6000000000000001E-2</c:v>
                </c:pt>
                <c:pt idx="2">
                  <c:v>0.06</c:v>
                </c:pt>
                <c:pt idx="3">
                  <c:v>3.9E-2</c:v>
                </c:pt>
                <c:pt idx="4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5-7349-A4A4-A2E300B32CD0}"/>
            </c:ext>
          </c:extLst>
        </c:ser>
        <c:ser>
          <c:idx val="3"/>
          <c:order val="3"/>
          <c:tx>
            <c:strRef>
              <c:f>'DuPont analysis'!$A$55</c:f>
              <c:strCache>
                <c:ptCount val="1"/>
                <c:pt idx="0">
                  <c:v>Titan Company</c:v>
                </c:pt>
              </c:strCache>
            </c:strRef>
          </c:tx>
          <c:spPr>
            <a:solidFill>
              <a:srgbClr val="01B0A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'DuPont analysis'!$B$51:$F$51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'DuPont analysis'!$B$55:$F$55</c:f>
              <c:numCache>
                <c:formatCode>0.00%</c:formatCode>
                <c:ptCount val="5"/>
                <c:pt idx="0">
                  <c:v>0.252</c:v>
                </c:pt>
                <c:pt idx="1">
                  <c:v>0.23599999999999999</c:v>
                </c:pt>
                <c:pt idx="2">
                  <c:v>0.13700000000000001</c:v>
                </c:pt>
                <c:pt idx="3">
                  <c:v>0.25900000000000001</c:v>
                </c:pt>
                <c:pt idx="4">
                  <c:v>0.307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5-7349-A4A4-A2E300B32C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3172496"/>
        <c:axId val="453587504"/>
      </c:barChart>
      <c:catAx>
        <c:axId val="4631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453587504"/>
        <c:crosses val="autoZero"/>
        <c:auto val="1"/>
        <c:lblAlgn val="ctr"/>
        <c:lblOffset val="100"/>
        <c:noMultiLvlLbl val="0"/>
      </c:catAx>
      <c:valAx>
        <c:axId val="4535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4631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Revenue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'Raw Revenue Distribution'!$A$19</c:f>
              <c:strCache>
                <c:ptCount val="1"/>
                <c:pt idx="0">
                  <c:v>Gold, silver and jewelry 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8D7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Revenue Distribution'!$B$18:$F$18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'Raw Revenue Distribution'!$B$19:$F$19</c:f>
              <c:numCache>
                <c:formatCode>0.00%</c:formatCode>
                <c:ptCount val="5"/>
                <c:pt idx="0">
                  <c:v>0.992815986613799</c:v>
                </c:pt>
                <c:pt idx="1">
                  <c:v>0.98899814262512187</c:v>
                </c:pt>
                <c:pt idx="2">
                  <c:v>0.99354711653622374</c:v>
                </c:pt>
                <c:pt idx="3">
                  <c:v>0.99452701864682336</c:v>
                </c:pt>
                <c:pt idx="4">
                  <c:v>0.99602917134540681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C-3D47-B3E2-D2C812D91D19}"/>
            </c:ext>
          </c:extLst>
        </c:ser>
        <c:ser>
          <c:idx val="1"/>
          <c:order val="1"/>
          <c:tx>
            <c:strRef>
              <c:f>'Raw Revenue Distribution'!$A$20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rgbClr val="FFE98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Revenue Distribution'!$B$18:$F$18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'Raw Revenue Distribution'!$B$20:$F$20</c:f>
              <c:numCache>
                <c:formatCode>0.00%</c:formatCode>
                <c:ptCount val="5"/>
                <c:pt idx="0">
                  <c:v>4.3218301887747871E-3</c:v>
                </c:pt>
                <c:pt idx="1">
                  <c:v>8.7059488913956533E-3</c:v>
                </c:pt>
                <c:pt idx="2">
                  <c:v>4.0104980310023365E-3</c:v>
                </c:pt>
                <c:pt idx="3">
                  <c:v>3.8279391137925251E-3</c:v>
                </c:pt>
                <c:pt idx="4">
                  <c:v>2.1367911740530292E-3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C-3D47-B3E2-D2C812D91D19}"/>
            </c:ext>
          </c:extLst>
        </c:ser>
        <c:ser>
          <c:idx val="2"/>
          <c:order val="2"/>
          <c:tx>
            <c:strRef>
              <c:f>'Raw Revenue Distribution'!$A$21</c:f>
              <c:strCache>
                <c:ptCount val="1"/>
                <c:pt idx="0">
                  <c:v>Services (rendering, business to business, export)</c:v>
                </c:pt>
              </c:strCache>
            </c:strRef>
          </c:tx>
          <c:spPr>
            <a:solidFill>
              <a:srgbClr val="EDDDB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Revenue Distribution'!$B$18:$F$18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'Raw Revenue Distribution'!$B$21:$F$21</c:f>
              <c:numCache>
                <c:formatCode>0.00%</c:formatCode>
                <c:ptCount val="5"/>
                <c:pt idx="0">
                  <c:v>2.8621831974262038E-3</c:v>
                </c:pt>
                <c:pt idx="1">
                  <c:v>2.2959084834825285E-3</c:v>
                </c:pt>
                <c:pt idx="2">
                  <c:v>2.4423854327739057E-3</c:v>
                </c:pt>
                <c:pt idx="3">
                  <c:v>1.64504223938408E-3</c:v>
                </c:pt>
                <c:pt idx="4">
                  <c:v>1.8340374805402146E-3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C-3D47-B3E2-D2C812D91D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8981648"/>
        <c:axId val="576464608"/>
      </c:barChart>
      <c:catAx>
        <c:axId val="5989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76464608"/>
        <c:crosses val="autoZero"/>
        <c:auto val="1"/>
        <c:lblAlgn val="ctr"/>
        <c:lblOffset val="100"/>
        <c:noMultiLvlLbl val="0"/>
      </c:catAx>
      <c:valAx>
        <c:axId val="5764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5989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Revenue from gold, silver and jewelry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Revenue Distribution'!$A$12</c:f>
              <c:strCache>
                <c:ptCount val="1"/>
                <c:pt idx="0">
                  <c:v> gold, silver and jewelry 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Revenue Distribution'!$B$11:$F$11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'Raw Revenue Distribution'!$B$12:$F$12</c:f>
              <c:numCache>
                <c:formatCode>#,##0</c:formatCode>
                <c:ptCount val="5"/>
                <c:pt idx="0">
                  <c:v>17021086914743</c:v>
                </c:pt>
                <c:pt idx="1">
                  <c:v>17487379140948</c:v>
                </c:pt>
                <c:pt idx="2">
                  <c:v>19608294312644</c:v>
                </c:pt>
                <c:pt idx="3">
                  <c:v>34023892071468</c:v>
                </c:pt>
                <c:pt idx="4">
                  <c:v>33348659223161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A-D14E-AF98-F9E2C82AC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8550080"/>
        <c:axId val="593380688"/>
      </c:barChart>
      <c:catAx>
        <c:axId val="5285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593380688"/>
        <c:crosses val="autoZero"/>
        <c:auto val="1"/>
        <c:lblAlgn val="ctr"/>
        <c:lblOffset val="100"/>
        <c:noMultiLvlLbl val="0"/>
      </c:catAx>
      <c:valAx>
        <c:axId val="5933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5285500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Revenue from accessories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Revenue Distribution'!$A$13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Revenue Distribution'!$B$11:$F$11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'Raw Revenue Distribution'!$B$13:$F$13</c:f>
              <c:numCache>
                <c:formatCode>#,##0</c:formatCode>
                <c:ptCount val="5"/>
                <c:pt idx="0">
                  <c:v>74094543466</c:v>
                </c:pt>
                <c:pt idx="1">
                  <c:v>153937831108</c:v>
                </c:pt>
                <c:pt idx="2">
                  <c:v>79149769974</c:v>
                </c:pt>
                <c:pt idx="3">
                  <c:v>130958118605</c:v>
                </c:pt>
                <c:pt idx="4">
                  <c:v>71543206509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E-B24E-9C9A-701588F2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9909920"/>
        <c:axId val="671294976"/>
      </c:barChart>
      <c:catAx>
        <c:axId val="15299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71294976"/>
        <c:crosses val="autoZero"/>
        <c:auto val="1"/>
        <c:lblAlgn val="ctr"/>
        <c:lblOffset val="100"/>
        <c:noMultiLvlLbl val="0"/>
      </c:catAx>
      <c:valAx>
        <c:axId val="6712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5299099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Revenue from services (rendering, business to business, export)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Revenue Distribution'!$A$14</c:f>
              <c:strCache>
                <c:ptCount val="1"/>
                <c:pt idx="0">
                  <c:v>services (rendering, business to business, export)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Revenue Distribution'!$B$11:$F$11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'Raw Revenue Distribution'!$B$14:$F$14</c:f>
              <c:numCache>
                <c:formatCode>#,##0</c:formatCode>
                <c:ptCount val="5"/>
                <c:pt idx="0">
                  <c:v>49069988423</c:v>
                </c:pt>
                <c:pt idx="1">
                  <c:v>40596054121</c:v>
                </c:pt>
                <c:pt idx="2">
                  <c:v>48202054632</c:v>
                </c:pt>
                <c:pt idx="3">
                  <c:v>56278752167</c:v>
                </c:pt>
                <c:pt idx="4">
                  <c:v>61406525733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2F4C-9A33-13BA4CEA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5545888"/>
        <c:axId val="1065725456"/>
      </c:barChart>
      <c:catAx>
        <c:axId val="10655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065725456"/>
        <c:crosses val="autoZero"/>
        <c:auto val="1"/>
        <c:lblAlgn val="ctr"/>
        <c:lblOffset val="100"/>
        <c:noMultiLvlLbl val="0"/>
      </c:catAx>
      <c:valAx>
        <c:axId val="10657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0655458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Forecast'!$A$5</c:f>
              <c:strCache>
                <c:ptCount val="1"/>
                <c:pt idx="0">
                  <c:v>Sales of Accessories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Forecast'!$B$1:$K$1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Forecast'!$B$5:$K$5</c:f>
              <c:numCache>
                <c:formatCode>_(* #,##0_);_(* \(#,##0\);_(* "-"_);_(@_)</c:formatCode>
                <c:ptCount val="10"/>
                <c:pt idx="0">
                  <c:v>74094.543466000003</c:v>
                </c:pt>
                <c:pt idx="1">
                  <c:v>153937.83110800001</c:v>
                </c:pt>
                <c:pt idx="2">
                  <c:v>79149.769973999995</c:v>
                </c:pt>
                <c:pt idx="3">
                  <c:v>130958.118605</c:v>
                </c:pt>
                <c:pt idx="4">
                  <c:v>71543.206508999996</c:v>
                </c:pt>
                <c:pt idx="5" formatCode="_(* #,##0.00_);_(* \(#,##0.00\);_(* &quot;-&quot;??_);_(@_)">
                  <c:v>104002.35930213329</c:v>
                </c:pt>
                <c:pt idx="6" formatCode="_(* #,##0.00_);_(* \(#,##0.00\);_(* &quot;-&quot;??_);_(@_)">
                  <c:v>151188.22971751116</c:v>
                </c:pt>
                <c:pt idx="7" formatCode="_(* #,##0.00_);_(* \(#,##0.00\);_(* &quot;-&quot;??_);_(@_)">
                  <c:v>219782.32954034599</c:v>
                </c:pt>
                <c:pt idx="8" formatCode="_(* #,##0.00_);_(* \(#,##0.00\);_(* &quot;-&quot;??_);_(@_)">
                  <c:v>269650.94011305051</c:v>
                </c:pt>
                <c:pt idx="9" formatCode="_(* #,##0.00_);_(* \(#,##0.00\);_(* &quot;-&quot;??_);_(@_)">
                  <c:v>330834.73842470167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8-C64C-B1E6-01EB22F8F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10128"/>
        <c:axId val="208092144"/>
      </c:barChart>
      <c:lineChart>
        <c:grouping val="standard"/>
        <c:varyColors val="0"/>
        <c:ser>
          <c:idx val="1"/>
          <c:order val="1"/>
          <c:tx>
            <c:strRef>
              <c:f>'Revenue Forecast'!$A$7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rgbClr val="EDDDBE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Forecast'!$B$1:$K$1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Forecast'!$B$7:$K$7</c:f>
              <c:numCache>
                <c:formatCode>0.00%</c:formatCode>
                <c:ptCount val="10"/>
                <c:pt idx="1">
                  <c:v>1.0775866063421788</c:v>
                </c:pt>
                <c:pt idx="2">
                  <c:v>-0.48583288848294909</c:v>
                </c:pt>
                <c:pt idx="3">
                  <c:v>0.65456095005732284</c:v>
                </c:pt>
                <c:pt idx="4">
                  <c:v>-0.45369399567512975</c:v>
                </c:pt>
                <c:pt idx="5">
                  <c:v>0.45369999999999999</c:v>
                </c:pt>
                <c:pt idx="6">
                  <c:v>0.45369999999999999</c:v>
                </c:pt>
                <c:pt idx="7">
                  <c:v>0.45369999999999999</c:v>
                </c:pt>
                <c:pt idx="8">
                  <c:v>0.22689999999999999</c:v>
                </c:pt>
                <c:pt idx="9">
                  <c:v>0.22689999999999999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8-C64C-B1E6-01EB22F8F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08064"/>
        <c:axId val="362720880"/>
      </c:lineChart>
      <c:catAx>
        <c:axId val="1652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092144"/>
        <c:crosses val="autoZero"/>
        <c:auto val="1"/>
        <c:lblAlgn val="ctr"/>
        <c:lblOffset val="100"/>
        <c:noMultiLvlLbl val="0"/>
      </c:catAx>
      <c:valAx>
        <c:axId val="208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5210128"/>
        <c:crosses val="autoZero"/>
        <c:crossBetween val="between"/>
      </c:valAx>
      <c:valAx>
        <c:axId val="362720880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50708064"/>
        <c:crosses val="max"/>
        <c:crossBetween val="between"/>
      </c:valAx>
      <c:catAx>
        <c:axId val="45070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272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Revenue Distribution'!$A$71</c:f>
              <c:strCache>
                <c:ptCount val="1"/>
                <c:pt idx="0">
                  <c:v>Revenue from sales of goods and provision of services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Revenue Distribution'!$C$70:$G$70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'Raw Revenue Distribution'!$C$71:$G$71</c:f>
              <c:numCache>
                <c:formatCode>0</c:formatCode>
                <c:ptCount val="5"/>
                <c:pt idx="0">
                  <c:v>17681913026177</c:v>
                </c:pt>
                <c:pt idx="1">
                  <c:v>19735646137250</c:v>
                </c:pt>
                <c:pt idx="2">
                  <c:v>34211128942240</c:v>
                </c:pt>
                <c:pt idx="3">
                  <c:v>33481608955403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4-6646-B8F8-CB3355FD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7031168"/>
        <c:axId val="458555360"/>
      </c:barChart>
      <c:catAx>
        <c:axId val="17470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58555360"/>
        <c:crosses val="autoZero"/>
        <c:auto val="1"/>
        <c:lblAlgn val="ctr"/>
        <c:lblOffset val="100"/>
        <c:noMultiLvlLbl val="0"/>
      </c:catAx>
      <c:valAx>
        <c:axId val="4585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74703116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Revenue Distribution'!$A$71</c:f>
              <c:strCache>
                <c:ptCount val="1"/>
                <c:pt idx="0">
                  <c:v>Revenue from sales of goods and provision of services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-5.86334256694367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33-8D45-8F37-95707347F56D}"/>
                </c:ext>
              </c:extLst>
            </c:dLbl>
            <c:dLbl>
              <c:idx val="4"/>
              <c:layout>
                <c:manualLayout>
                  <c:x val="2.7825888812567519E-3"/>
                  <c:y val="2.27458656373919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33-8D45-8F37-95707347F56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Revenue Distribution'!$B$70:$F$70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'Raw Revenue Distribution'!$B$71:$F$71</c:f>
              <c:numCache>
                <c:formatCode>0</c:formatCode>
                <c:ptCount val="5"/>
                <c:pt idx="0">
                  <c:v>17144251446632</c:v>
                </c:pt>
                <c:pt idx="1">
                  <c:v>17681913026177</c:v>
                </c:pt>
                <c:pt idx="2">
                  <c:v>19735646137250</c:v>
                </c:pt>
                <c:pt idx="3">
                  <c:v>34211128942240</c:v>
                </c:pt>
                <c:pt idx="4">
                  <c:v>33481608955403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3-8D45-8F37-95707347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38559"/>
        <c:axId val="721048864"/>
      </c:barChart>
      <c:lineChart>
        <c:grouping val="standard"/>
        <c:varyColors val="0"/>
        <c:ser>
          <c:idx val="1"/>
          <c:order val="1"/>
          <c:tx>
            <c:strRef>
              <c:f>'Raw Revenue Distribution'!$A$72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34925" cap="rnd">
              <a:solidFill>
                <a:srgbClr val="EDDDB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1.0202708035387941E-16"/>
                  <c:y val="1.36886932471628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007923805266984E-2"/>
                      <c:h val="1.81833271716249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033-8D45-8F37-95707347F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Revenue Distribution'!$B$70:$F$70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'Raw Revenue Distribution'!$B$72:$F$72</c:f>
              <c:numCache>
                <c:formatCode>0.00%</c:formatCode>
                <c:ptCount val="5"/>
                <c:pt idx="1">
                  <c:v>3.1361041409050494E-2</c:v>
                </c:pt>
                <c:pt idx="2">
                  <c:v>0.11614880743008818</c:v>
                </c:pt>
                <c:pt idx="3">
                  <c:v>0.73346890719064339</c:v>
                </c:pt>
                <c:pt idx="4">
                  <c:v>-2.1324054756236704E-2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3-8D45-8F37-95707347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06224"/>
        <c:axId val="587346416"/>
      </c:lineChart>
      <c:catAx>
        <c:axId val="16243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721048864"/>
        <c:crosses val="autoZero"/>
        <c:auto val="1"/>
        <c:lblAlgn val="ctr"/>
        <c:lblOffset val="100"/>
        <c:noMultiLvlLbl val="0"/>
      </c:catAx>
      <c:valAx>
        <c:axId val="72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24385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</c:dispUnitsLbl>
        </c:dispUnits>
      </c:valAx>
      <c:valAx>
        <c:axId val="587346416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87906224"/>
        <c:crosses val="max"/>
        <c:crossBetween val="between"/>
      </c:valAx>
      <c:catAx>
        <c:axId val="587906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734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Gross</a:t>
            </a:r>
            <a:r>
              <a:rPr lang="en-US"/>
              <a:t>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 Margin'!$A$16:$A$20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'Gross Profit Margin'!$B$16:$B$20</c:f>
              <c:numCache>
                <c:formatCode>0.00%</c:formatCode>
                <c:ptCount val="5"/>
                <c:pt idx="0">
                  <c:v>0.20399999999999999</c:v>
                </c:pt>
                <c:pt idx="1">
                  <c:v>0.19600000000000001</c:v>
                </c:pt>
                <c:pt idx="2">
                  <c:v>0.184</c:v>
                </c:pt>
                <c:pt idx="3">
                  <c:v>0.17499999999999999</c:v>
                </c:pt>
                <c:pt idx="4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D-294A-9759-09D310EC8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5092640"/>
        <c:axId val="334215775"/>
      </c:barChart>
      <c:catAx>
        <c:axId val="18550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334215775"/>
        <c:crosses val="autoZero"/>
        <c:auto val="1"/>
        <c:lblAlgn val="ctr"/>
        <c:lblOffset val="100"/>
        <c:noMultiLvlLbl val="0"/>
      </c:catAx>
      <c:valAx>
        <c:axId val="3342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8550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'Gross Profit Margin'!$B$28</c:f>
              <c:strCache>
                <c:ptCount val="1"/>
                <c:pt idx="0">
                  <c:v>Fixed Asset Turnover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 Margin'!$A$29:$A$33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'Gross Profit Margin'!$B$29:$B$33</c:f>
              <c:numCache>
                <c:formatCode>General</c:formatCode>
                <c:ptCount val="5"/>
                <c:pt idx="0">
                  <c:v>57.72</c:v>
                </c:pt>
                <c:pt idx="1">
                  <c:v>57.74</c:v>
                </c:pt>
                <c:pt idx="2">
                  <c:v>64.709999999999994</c:v>
                </c:pt>
                <c:pt idx="3">
                  <c:v>120.88</c:v>
                </c:pt>
                <c:pt idx="4">
                  <c:v>119.19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5-7144-A339-2CC806FB07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733232"/>
        <c:axId val="1494739680"/>
      </c:barChart>
      <c:catAx>
        <c:axId val="4587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94739680"/>
        <c:crosses val="autoZero"/>
        <c:auto val="1"/>
        <c:lblAlgn val="ctr"/>
        <c:lblOffset val="100"/>
        <c:noMultiLvlLbl val="0"/>
      </c:catAx>
      <c:valAx>
        <c:axId val="1494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587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'Gross Profit Margin'!$B$46</c:f>
              <c:strCache>
                <c:ptCount val="1"/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 Margin'!$A$47:$A$51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'Gross Profit Margin'!$B$47:$B$51</c:f>
              <c:numCache>
                <c:formatCode>_(* #,##0.00_);_(* \(#,##0.00\);_(* "-"_);_(@_)</c:formatCode>
                <c:ptCount val="5"/>
                <c:pt idx="0">
                  <c:v>0.56999999999999995</c:v>
                </c:pt>
                <c:pt idx="1">
                  <c:v>0.35</c:v>
                </c:pt>
                <c:pt idx="2">
                  <c:v>0.45</c:v>
                </c:pt>
                <c:pt idx="3">
                  <c:v>0.32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0-5140-AA26-A7E97A24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4193792"/>
        <c:axId val="1815435664"/>
      </c:barChart>
      <c:catAx>
        <c:axId val="12041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15435664"/>
        <c:crosses val="autoZero"/>
        <c:auto val="1"/>
        <c:lblAlgn val="ctr"/>
        <c:lblOffset val="100"/>
        <c:noMultiLvlLbl val="0"/>
      </c:catAx>
      <c:valAx>
        <c:axId val="18154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041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'Gross Profit Margin'!$B$60</c:f>
              <c:strCache>
                <c:ptCount val="1"/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'Gross Profit Margin'!$A$61:$A$65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'Gross Profit Margin'!$B$61:$B$65</c:f>
              <c:numCache>
                <c:formatCode>General</c:formatCode>
                <c:ptCount val="5"/>
                <c:pt idx="0">
                  <c:v>0.08</c:v>
                </c:pt>
                <c:pt idx="1">
                  <c:v>0.19</c:v>
                </c:pt>
                <c:pt idx="2">
                  <c:v>0.12</c:v>
                </c:pt>
                <c:pt idx="3">
                  <c:v>0.3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C-C547-8E94-E7E473EBAE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46402976"/>
        <c:axId val="713269264"/>
      </c:barChart>
      <c:catAx>
        <c:axId val="10464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713269264"/>
        <c:crosses val="autoZero"/>
        <c:auto val="1"/>
        <c:lblAlgn val="ctr"/>
        <c:lblOffset val="100"/>
        <c:noMultiLvlLbl val="0"/>
      </c:catAx>
      <c:valAx>
        <c:axId val="713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464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'Inventory Asset Turnover Ratio'!$A$16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'Inventory Asset Turnover Ratio'!$B$15:$F$15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'Inventory Asset Turnover Ratio'!$B$16:$F$16</c:f>
              <c:numCache>
                <c:formatCode>General</c:formatCode>
                <c:ptCount val="5"/>
                <c:pt idx="0">
                  <c:v>2.2599999999999998</c:v>
                </c:pt>
                <c:pt idx="1">
                  <c:v>2.0699999999999998</c:v>
                </c:pt>
                <c:pt idx="2">
                  <c:v>2.1</c:v>
                </c:pt>
                <c:pt idx="3">
                  <c:v>2.9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2-D64F-9761-B987B59E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6037328"/>
        <c:axId val="458542384"/>
      </c:barChart>
      <c:catAx>
        <c:axId val="10460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58542384"/>
        <c:crosses val="autoZero"/>
        <c:auto val="1"/>
        <c:lblAlgn val="ctr"/>
        <c:lblOffset val="100"/>
        <c:noMultiLvlLbl val="0"/>
      </c:catAx>
      <c:valAx>
        <c:axId val="4585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460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Increase/Decrease in 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EF-4E43-B27F-CE2082A520EE}"/>
              </c:ext>
            </c:extLst>
          </c:dPt>
          <c:dPt>
            <c:idx val="3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EF-4E43-B27F-CE2082A520EE}"/>
              </c:ext>
            </c:extLst>
          </c:dPt>
          <c:dPt>
            <c:idx val="9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DEF-4E43-B27F-CE2082A520EE}"/>
              </c:ext>
            </c:extLst>
          </c:dPt>
          <c:dPt>
            <c:idx val="10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EF-4E43-B27F-CE2082A520EE}"/>
              </c:ext>
            </c:extLst>
          </c:dPt>
          <c:dPt>
            <c:idx val="11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DEF-4E43-B27F-CE2082A520EE}"/>
              </c:ext>
            </c:extLst>
          </c:dPt>
          <c:dPt>
            <c:idx val="14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EF-4E43-B27F-CE2082A520EE}"/>
              </c:ext>
            </c:extLst>
          </c:dPt>
          <c:dPt>
            <c:idx val="15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EF-4E43-B27F-CE2082A520EE}"/>
              </c:ext>
            </c:extLst>
          </c:dPt>
          <c:dPt>
            <c:idx val="19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DEF-4E43-B27F-CE2082A520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'Change in Inventory'!$A$2:$A$21</c:f>
              <c:strCache>
                <c:ptCount val="20"/>
                <c:pt idx="0">
                  <c:v>Q1 FY19</c:v>
                </c:pt>
                <c:pt idx="1">
                  <c:v>Q2 FY19</c:v>
                </c:pt>
                <c:pt idx="2">
                  <c:v>Q3 FY19</c:v>
                </c:pt>
                <c:pt idx="3">
                  <c:v>Q4 FY19</c:v>
                </c:pt>
                <c:pt idx="4">
                  <c:v>Q1 FY20</c:v>
                </c:pt>
                <c:pt idx="5">
                  <c:v>Q2 FY20</c:v>
                </c:pt>
                <c:pt idx="6">
                  <c:v>Q3 FY20</c:v>
                </c:pt>
                <c:pt idx="7">
                  <c:v>Q4 FY20</c:v>
                </c:pt>
                <c:pt idx="8">
                  <c:v>Q1 FY21</c:v>
                </c:pt>
                <c:pt idx="9">
                  <c:v>Q2 FY21</c:v>
                </c:pt>
                <c:pt idx="10">
                  <c:v>Q3 FY21</c:v>
                </c:pt>
                <c:pt idx="11">
                  <c:v>Q4 FY21</c:v>
                </c:pt>
                <c:pt idx="12">
                  <c:v>Q1 FY22</c:v>
                </c:pt>
                <c:pt idx="13">
                  <c:v>Q2 FY22</c:v>
                </c:pt>
                <c:pt idx="14">
                  <c:v>Q3 FY22</c:v>
                </c:pt>
                <c:pt idx="15">
                  <c:v>Q4 FY22</c:v>
                </c:pt>
                <c:pt idx="16">
                  <c:v>Q1 FY23</c:v>
                </c:pt>
                <c:pt idx="17">
                  <c:v>Q2 FY23</c:v>
                </c:pt>
                <c:pt idx="18">
                  <c:v>Q3 FY23</c:v>
                </c:pt>
                <c:pt idx="19">
                  <c:v>Q4 FY23</c:v>
                </c:pt>
              </c:strCache>
            </c:strRef>
          </c:cat>
          <c:val>
            <c:numRef>
              <c:f>'Change in Inventory'!$B$2:$B$21</c:f>
              <c:numCache>
                <c:formatCode>#,##0</c:formatCode>
                <c:ptCount val="20"/>
                <c:pt idx="0">
                  <c:v>324564003</c:v>
                </c:pt>
                <c:pt idx="1">
                  <c:v>34098932</c:v>
                </c:pt>
                <c:pt idx="2">
                  <c:v>-924377566</c:v>
                </c:pt>
                <c:pt idx="3">
                  <c:v>-2062274428</c:v>
                </c:pt>
                <c:pt idx="4">
                  <c:v>441744267</c:v>
                </c:pt>
                <c:pt idx="5">
                  <c:v>600443656</c:v>
                </c:pt>
                <c:pt idx="6">
                  <c:v>704537725</c:v>
                </c:pt>
                <c:pt idx="7">
                  <c:v>484514384</c:v>
                </c:pt>
                <c:pt idx="8">
                  <c:v>125170956</c:v>
                </c:pt>
                <c:pt idx="9">
                  <c:v>-905212469</c:v>
                </c:pt>
                <c:pt idx="10">
                  <c:v>-964041409</c:v>
                </c:pt>
                <c:pt idx="11">
                  <c:v>-2208835725</c:v>
                </c:pt>
                <c:pt idx="12">
                  <c:v>1306297368</c:v>
                </c:pt>
                <c:pt idx="13">
                  <c:v>795402993</c:v>
                </c:pt>
                <c:pt idx="14">
                  <c:v>-532165408</c:v>
                </c:pt>
                <c:pt idx="15">
                  <c:v>-1753323315</c:v>
                </c:pt>
                <c:pt idx="16">
                  <c:v>739075885</c:v>
                </c:pt>
                <c:pt idx="17">
                  <c:v>376643598</c:v>
                </c:pt>
                <c:pt idx="18">
                  <c:v>796732769</c:v>
                </c:pt>
                <c:pt idx="19">
                  <c:v>-436683980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F-4E43-B27F-CE2082A5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5555312"/>
        <c:axId val="1786312000"/>
      </c:barChart>
      <c:catAx>
        <c:axId val="17755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786312000"/>
        <c:crosses val="autoZero"/>
        <c:auto val="1"/>
        <c:lblAlgn val="ctr"/>
        <c:lblOffset val="100"/>
        <c:noMultiLvlLbl val="0"/>
      </c:catAx>
      <c:valAx>
        <c:axId val="1786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77555531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'Change in Inventory'!$B$41</c:f>
              <c:strCache>
                <c:ptCount val="1"/>
                <c:pt idx="0">
                  <c:v>Inventory/Revenue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'Change in Inventory'!$A$42:$A$46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xVal>
          <c:yVal>
            <c:numRef>
              <c:f>'Change in Inventory'!$B$42:$B$46</c:f>
              <c:numCache>
                <c:formatCode>General</c:formatCode>
                <c:ptCount val="5"/>
                <c:pt idx="0">
                  <c:v>2.83</c:v>
                </c:pt>
                <c:pt idx="1">
                  <c:v>2.58</c:v>
                </c:pt>
                <c:pt idx="2">
                  <c:v>2.56</c:v>
                </c:pt>
                <c:pt idx="3">
                  <c:v>3.52</c:v>
                </c:pt>
                <c:pt idx="4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5-104B-BAC3-FDCA6C56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31216"/>
        <c:axId val="1498706880"/>
      </c:scatterChart>
      <c:valAx>
        <c:axId val="19270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98706880"/>
        <c:crosses val="autoZero"/>
        <c:crossBetween val="midCat"/>
      </c:valAx>
      <c:valAx>
        <c:axId val="14987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270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interest earned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Interest Earned'!$B$2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Interest Earned'!$A$3:$A$9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'Time Interest Earned'!$B$3:$B$9</c:f>
              <c:numCache>
                <c:formatCode>General</c:formatCode>
                <c:ptCount val="7"/>
                <c:pt idx="0">
                  <c:v>17.3</c:v>
                </c:pt>
                <c:pt idx="1">
                  <c:v>20.7</c:v>
                </c:pt>
                <c:pt idx="2">
                  <c:v>14.1</c:v>
                </c:pt>
                <c:pt idx="3">
                  <c:v>9.6999999999999993</c:v>
                </c:pt>
                <c:pt idx="4">
                  <c:v>13.4</c:v>
                </c:pt>
                <c:pt idx="5">
                  <c:v>25.6</c:v>
                </c:pt>
                <c:pt idx="6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C-D141-843D-23E5E5C5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595840"/>
        <c:axId val="1489559024"/>
      </c:scatterChart>
      <c:valAx>
        <c:axId val="17455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89559024"/>
        <c:crosses val="autoZero"/>
        <c:crossBetween val="midCat"/>
      </c:valAx>
      <c:valAx>
        <c:axId val="14895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7455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Forecast'!$A$8</c:f>
              <c:strCache>
                <c:ptCount val="1"/>
                <c:pt idx="0">
                  <c:v>Sales of Services (Rendering, Business to business, Export)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Forecast'!$B$1:$K$1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Forecast'!$B$8:$K$8</c:f>
              <c:numCache>
                <c:formatCode>_(* #,##0_);_(* \(#,##0\);_(* "-"_);_(@_)</c:formatCode>
                <c:ptCount val="10"/>
                <c:pt idx="0">
                  <c:v>49069.988423000003</c:v>
                </c:pt>
                <c:pt idx="1">
                  <c:v>40596.054121000001</c:v>
                </c:pt>
                <c:pt idx="2">
                  <c:v>48202.054631999999</c:v>
                </c:pt>
                <c:pt idx="3">
                  <c:v>56278.752166999999</c:v>
                </c:pt>
                <c:pt idx="4">
                  <c:v>61406.525733000002</c:v>
                </c:pt>
                <c:pt idx="5">
                  <c:v>67001.510470742825</c:v>
                </c:pt>
                <c:pt idx="6">
                  <c:v>73106.275787046412</c:v>
                </c:pt>
                <c:pt idx="7">
                  <c:v>79767.26975111186</c:v>
                </c:pt>
                <c:pt idx="8">
                  <c:v>87035.172494371043</c:v>
                </c:pt>
                <c:pt idx="9">
                  <c:v>94965.281809953551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0-BE42-9EC0-50336EA0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546864"/>
        <c:axId val="145595040"/>
      </c:barChart>
      <c:lineChart>
        <c:grouping val="standard"/>
        <c:varyColors val="0"/>
        <c:ser>
          <c:idx val="1"/>
          <c:order val="1"/>
          <c:tx>
            <c:strRef>
              <c:f>'Revenue Forecast'!$A$10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rgbClr val="EDDDBE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Forecast'!$B$1:$K$1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Forecast'!$B$10:$K$10</c:f>
              <c:numCache>
                <c:formatCode>0.00%</c:formatCode>
                <c:ptCount val="10"/>
                <c:pt idx="1">
                  <c:v>-0.17269077442920513</c:v>
                </c:pt>
                <c:pt idx="2">
                  <c:v>0.1873581232385213</c:v>
                </c:pt>
                <c:pt idx="3">
                  <c:v>0.16755919631770438</c:v>
                </c:pt>
                <c:pt idx="4">
                  <c:v>9.1113846141861701E-2</c:v>
                </c:pt>
                <c:pt idx="5">
                  <c:v>9.1113846141861632E-2</c:v>
                </c:pt>
                <c:pt idx="6">
                  <c:v>9.1113846141861632E-2</c:v>
                </c:pt>
                <c:pt idx="7">
                  <c:v>9.1113846141861632E-2</c:v>
                </c:pt>
                <c:pt idx="8">
                  <c:v>9.1113846141861632E-2</c:v>
                </c:pt>
                <c:pt idx="9">
                  <c:v>9.1113846141861632E-2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0-BE42-9EC0-50336EA0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256992"/>
        <c:axId val="208548608"/>
      </c:lineChart>
      <c:catAx>
        <c:axId val="12045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5595040"/>
        <c:crosses val="autoZero"/>
        <c:auto val="1"/>
        <c:lblAlgn val="ctr"/>
        <c:lblOffset val="100"/>
        <c:noMultiLvlLbl val="0"/>
      </c:catAx>
      <c:valAx>
        <c:axId val="145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04546864"/>
        <c:crosses val="autoZero"/>
        <c:crossBetween val="between"/>
      </c:valAx>
      <c:valAx>
        <c:axId val="208548608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02256992"/>
        <c:crosses val="max"/>
        <c:crossBetween val="between"/>
      </c:valAx>
      <c:catAx>
        <c:axId val="602256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54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Increase/Decrease in Account Receivables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05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C1-6441-98AF-4D55C0722307}"/>
              </c:ext>
            </c:extLst>
          </c:dPt>
          <c:dPt>
            <c:idx val="1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C1-6441-98AF-4D55C0722307}"/>
              </c:ext>
            </c:extLst>
          </c:dPt>
          <c:dPt>
            <c:idx val="2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C1-6441-98AF-4D55C0722307}"/>
              </c:ext>
            </c:extLst>
          </c:dPt>
          <c:dPt>
            <c:idx val="4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C1-6441-98AF-4D55C0722307}"/>
              </c:ext>
            </c:extLst>
          </c:dPt>
          <c:dPt>
            <c:idx val="5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C1-6441-98AF-4D55C0722307}"/>
              </c:ext>
            </c:extLst>
          </c:dPt>
          <c:dPt>
            <c:idx val="6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8C1-6441-98AF-4D55C0722307}"/>
              </c:ext>
            </c:extLst>
          </c:dPt>
          <c:dPt>
            <c:idx val="8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C1-6441-98AF-4D55C0722307}"/>
              </c:ext>
            </c:extLst>
          </c:dPt>
          <c:dPt>
            <c:idx val="9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8C1-6441-98AF-4D55C0722307}"/>
              </c:ext>
            </c:extLst>
          </c:dPt>
          <c:dPt>
            <c:idx val="10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C1-6441-98AF-4D55C0722307}"/>
              </c:ext>
            </c:extLst>
          </c:dPt>
          <c:dPt>
            <c:idx val="11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8C1-6441-98AF-4D55C0722307}"/>
              </c:ext>
            </c:extLst>
          </c:dPt>
          <c:dPt>
            <c:idx val="12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C1-6441-98AF-4D55C0722307}"/>
              </c:ext>
            </c:extLst>
          </c:dPt>
          <c:dPt>
            <c:idx val="13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8C1-6441-98AF-4D55C0722307}"/>
              </c:ext>
            </c:extLst>
          </c:dPt>
          <c:dPt>
            <c:idx val="14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C1-6441-98AF-4D55C0722307}"/>
              </c:ext>
            </c:extLst>
          </c:dPt>
          <c:dPt>
            <c:idx val="15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8C1-6441-98AF-4D55C0722307}"/>
              </c:ext>
            </c:extLst>
          </c:dPt>
          <c:dPt>
            <c:idx val="18"/>
            <c:invertIfNegative val="0"/>
            <c:bubble3D val="0"/>
            <c:spPr>
              <a:solidFill>
                <a:srgbClr val="EDD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8C1-6441-98AF-4D55C07223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'Change in Account Receivables'!$A$2:$A$21</c:f>
              <c:strCache>
                <c:ptCount val="20"/>
                <c:pt idx="0">
                  <c:v>Q1 FY19</c:v>
                </c:pt>
                <c:pt idx="1">
                  <c:v>Q2 FY19</c:v>
                </c:pt>
                <c:pt idx="2">
                  <c:v>Q3 FY19</c:v>
                </c:pt>
                <c:pt idx="3">
                  <c:v>Q4 FY19</c:v>
                </c:pt>
                <c:pt idx="4">
                  <c:v>Q1 FY20</c:v>
                </c:pt>
                <c:pt idx="5">
                  <c:v>Q2 FY20</c:v>
                </c:pt>
                <c:pt idx="6">
                  <c:v>Q3 FY20</c:v>
                </c:pt>
                <c:pt idx="7">
                  <c:v>Q4 FY20</c:v>
                </c:pt>
                <c:pt idx="8">
                  <c:v>Q1 FY21</c:v>
                </c:pt>
                <c:pt idx="9">
                  <c:v>Q2 FY21</c:v>
                </c:pt>
                <c:pt idx="10">
                  <c:v>Q3 FY21</c:v>
                </c:pt>
                <c:pt idx="11">
                  <c:v>Q4 FY21</c:v>
                </c:pt>
                <c:pt idx="12">
                  <c:v>Q1 FY22</c:v>
                </c:pt>
                <c:pt idx="13">
                  <c:v>Q2 FY22</c:v>
                </c:pt>
                <c:pt idx="14">
                  <c:v>Q3 FY22</c:v>
                </c:pt>
                <c:pt idx="15">
                  <c:v>Q4 FY22</c:v>
                </c:pt>
                <c:pt idx="16">
                  <c:v>Q1 FY23</c:v>
                </c:pt>
                <c:pt idx="17">
                  <c:v>Q2 FY23</c:v>
                </c:pt>
                <c:pt idx="18">
                  <c:v>Q3 FY23</c:v>
                </c:pt>
                <c:pt idx="19">
                  <c:v>Q4 FY23</c:v>
                </c:pt>
              </c:strCache>
            </c:strRef>
          </c:cat>
          <c:val>
            <c:numRef>
              <c:f>'Change in Account Receivables'!$B$2:$B$21</c:f>
              <c:numCache>
                <c:formatCode>#,##0</c:formatCode>
                <c:ptCount val="20"/>
                <c:pt idx="0">
                  <c:v>-647252572</c:v>
                </c:pt>
                <c:pt idx="1">
                  <c:v>-66242923</c:v>
                </c:pt>
                <c:pt idx="2">
                  <c:v>-96334075</c:v>
                </c:pt>
                <c:pt idx="3">
                  <c:v>12888587</c:v>
                </c:pt>
                <c:pt idx="4">
                  <c:v>-14843271</c:v>
                </c:pt>
                <c:pt idx="5">
                  <c:v>-7635365</c:v>
                </c:pt>
                <c:pt idx="6">
                  <c:v>-30006676</c:v>
                </c:pt>
                <c:pt idx="7">
                  <c:v>17322808</c:v>
                </c:pt>
                <c:pt idx="8">
                  <c:v>-21628576</c:v>
                </c:pt>
                <c:pt idx="9">
                  <c:v>-11029205</c:v>
                </c:pt>
                <c:pt idx="10">
                  <c:v>-35582762</c:v>
                </c:pt>
                <c:pt idx="11">
                  <c:v>-23111709</c:v>
                </c:pt>
                <c:pt idx="12">
                  <c:v>-18838079</c:v>
                </c:pt>
                <c:pt idx="13">
                  <c:v>-26711636</c:v>
                </c:pt>
                <c:pt idx="14">
                  <c:v>-106457468</c:v>
                </c:pt>
                <c:pt idx="15">
                  <c:v>-52151675</c:v>
                </c:pt>
                <c:pt idx="16">
                  <c:v>20712709</c:v>
                </c:pt>
                <c:pt idx="17">
                  <c:v>4260896</c:v>
                </c:pt>
                <c:pt idx="18">
                  <c:v>-20878325</c:v>
                </c:pt>
                <c:pt idx="19">
                  <c:v>39100712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1-6441-98AF-4D55C07223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674336"/>
        <c:axId val="1745241504"/>
      </c:barChart>
      <c:catAx>
        <c:axId val="14896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745241504"/>
        <c:crosses val="autoZero"/>
        <c:auto val="1"/>
        <c:lblAlgn val="ctr"/>
        <c:lblOffset val="100"/>
        <c:noMultiLvlLbl val="0"/>
      </c:catAx>
      <c:valAx>
        <c:axId val="17452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8967433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'Change in Account Receivables'!$B$29</c:f>
              <c:strCache>
                <c:ptCount val="1"/>
                <c:pt idx="0">
                  <c:v>Average Account Receivables Days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'Change in Account Receivables'!$A$30:$A$34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xVal>
          <c:yVal>
            <c:numRef>
              <c:f>'Change in Account Receivables'!$B$30:$B$34</c:f>
              <c:numCache>
                <c:formatCode>General</c:formatCode>
                <c:ptCount val="5"/>
                <c:pt idx="0">
                  <c:v>1.8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7-7342-AA49-F2A1BDDB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20992"/>
        <c:axId val="1745617664"/>
      </c:scatterChart>
      <c:valAx>
        <c:axId val="14891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745617664"/>
        <c:crosses val="autoZero"/>
        <c:crossBetween val="midCat"/>
      </c:valAx>
      <c:valAx>
        <c:axId val="17456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8912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'Accounts Receivable Turnover'!$A$14</c:f>
              <c:strCache>
                <c:ptCount val="1"/>
                <c:pt idx="0">
                  <c:v>Accounts Receivable Turnover ratio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'Accounts Receivable Turnover'!$B$13:$F$13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'Accounts Receivable Turnover'!$B$14:$F$14</c:f>
              <c:numCache>
                <c:formatCode>General</c:formatCode>
                <c:ptCount val="5"/>
                <c:pt idx="0">
                  <c:v>203.1</c:v>
                </c:pt>
                <c:pt idx="1">
                  <c:v>232.4</c:v>
                </c:pt>
                <c:pt idx="2">
                  <c:v>212.4</c:v>
                </c:pt>
                <c:pt idx="3">
                  <c:v>203.8</c:v>
                </c:pt>
                <c:pt idx="4">
                  <c:v>155.19999999999999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B249-99A2-3758A90315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48703568"/>
        <c:axId val="1448251024"/>
      </c:barChart>
      <c:catAx>
        <c:axId val="14487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48251024"/>
        <c:crosses val="autoZero"/>
        <c:auto val="1"/>
        <c:lblAlgn val="ctr"/>
        <c:lblOffset val="100"/>
        <c:noMultiLvlLbl val="0"/>
      </c:catAx>
      <c:valAx>
        <c:axId val="1448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487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Revenue Contribution by Segment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contribution'!$A$3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contribution'!$B$1:$F$2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'Revenue contribution'!$B$3:$F$3</c:f>
              <c:numCache>
                <c:formatCode>0.00%</c:formatCode>
                <c:ptCount val="5"/>
                <c:pt idx="0">
                  <c:v>0.56699999999999995</c:v>
                </c:pt>
                <c:pt idx="1">
                  <c:v>0.58399999999999996</c:v>
                </c:pt>
                <c:pt idx="2" formatCode="0%">
                  <c:v>0.59</c:v>
                </c:pt>
                <c:pt idx="3">
                  <c:v>0.61199999999999999</c:v>
                </c:pt>
                <c:pt idx="4">
                  <c:v>0.58199999999999996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6-FF4F-AEAE-BE64C48AB212}"/>
            </c:ext>
          </c:extLst>
        </c:ser>
        <c:ser>
          <c:idx val="1"/>
          <c:order val="1"/>
          <c:tx>
            <c:strRef>
              <c:f>'Revenue contribution'!$A$4</c:f>
              <c:strCache>
                <c:ptCount val="1"/>
                <c:pt idx="0">
                  <c:v>Wholesales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contribution'!$B$1:$F$2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'Revenue contribution'!$B$4:$F$4</c:f>
              <c:numCache>
                <c:formatCode>0.00%</c:formatCode>
                <c:ptCount val="5"/>
                <c:pt idx="0">
                  <c:v>0.224</c:v>
                </c:pt>
                <c:pt idx="1">
                  <c:v>0.155</c:v>
                </c:pt>
                <c:pt idx="2">
                  <c:v>0.13400000000000001</c:v>
                </c:pt>
                <c:pt idx="3" formatCode="0%">
                  <c:v>0.12</c:v>
                </c:pt>
                <c:pt idx="4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6-FF4F-AEAE-BE64C48AB212}"/>
            </c:ext>
          </c:extLst>
        </c:ser>
        <c:ser>
          <c:idx val="2"/>
          <c:order val="2"/>
          <c:tx>
            <c:strRef>
              <c:f>'Revenue contribution'!$A$5</c:f>
              <c:strCache>
                <c:ptCount val="1"/>
                <c:pt idx="0">
                  <c:v>24K Gold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contribution'!$B$1:$F$2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'Revenue contribution'!$B$5:$F$5</c:f>
              <c:numCache>
                <c:formatCode>0.00%</c:formatCode>
                <c:ptCount val="5"/>
                <c:pt idx="0">
                  <c:v>0.191</c:v>
                </c:pt>
                <c:pt idx="1">
                  <c:v>0.23899999999999999</c:v>
                </c:pt>
                <c:pt idx="2">
                  <c:v>0.251</c:v>
                </c:pt>
                <c:pt idx="3">
                  <c:v>0.253</c:v>
                </c:pt>
                <c:pt idx="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6-FF4F-AEAE-BE64C48AB212}"/>
            </c:ext>
          </c:extLst>
        </c:ser>
        <c:ser>
          <c:idx val="3"/>
          <c:order val="3"/>
          <c:tx>
            <c:strRef>
              <c:f>'Revenue contribution'!$A$6</c:f>
              <c:strCache>
                <c:ptCount val="1"/>
                <c:pt idx="0">
                  <c:v>Others (Export, B2B, Rendering)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contribution'!$B$1:$F$2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'Revenue contribution'!$B$6:$F$6</c:f>
              <c:numCache>
                <c:formatCode>0.00%</c:formatCode>
                <c:ptCount val="5"/>
                <c:pt idx="0">
                  <c:v>1.8000000000000016E-2</c:v>
                </c:pt>
                <c:pt idx="1">
                  <c:v>2.200000000000002E-2</c:v>
                </c:pt>
                <c:pt idx="2">
                  <c:v>2.5000000000000001E-2</c:v>
                </c:pt>
                <c:pt idx="3">
                  <c:v>1.4999999999999999E-2</c:v>
                </c:pt>
                <c:pt idx="4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46-FF4F-AEAE-BE64C48A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368431"/>
        <c:axId val="560217007"/>
      </c:barChart>
      <c:catAx>
        <c:axId val="2543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60217007"/>
        <c:crosses val="autoZero"/>
        <c:auto val="1"/>
        <c:lblAlgn val="ctr"/>
        <c:lblOffset val="100"/>
        <c:noMultiLvlLbl val="0"/>
      </c:catAx>
      <c:valAx>
        <c:axId val="5602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543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4Y Revenue CAGR by Segment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contribution'!$K$2</c:f>
              <c:strCache>
                <c:ptCount val="1"/>
                <c:pt idx="0">
                  <c:v>4Y Revenue CAGR by Segment (%)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contribution'!$J$3:$J$6</c:f>
              <c:strCache>
                <c:ptCount val="4"/>
                <c:pt idx="0">
                  <c:v>Retail</c:v>
                </c:pt>
                <c:pt idx="1">
                  <c:v>Wholesales</c:v>
                </c:pt>
                <c:pt idx="2">
                  <c:v>24K Gold</c:v>
                </c:pt>
                <c:pt idx="3">
                  <c:v>Others (Export, B2B, Rendering)</c:v>
                </c:pt>
              </c:strCache>
            </c:strRef>
          </c:cat>
          <c:val>
            <c:numRef>
              <c:f>'Revenue contribution'!$K$3:$K$6</c:f>
              <c:numCache>
                <c:formatCode>0.00%</c:formatCode>
                <c:ptCount val="4"/>
                <c:pt idx="0">
                  <c:v>6.5491384320401913E-3</c:v>
                </c:pt>
                <c:pt idx="1">
                  <c:v>-0.21284074099833361</c:v>
                </c:pt>
                <c:pt idx="2">
                  <c:v>0.1332332187949814</c:v>
                </c:pt>
                <c:pt idx="3">
                  <c:v>-1.418799164975193E-2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3048-B9CE-96B9544453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95234800"/>
        <c:axId val="2073968944"/>
      </c:barChart>
      <c:catAx>
        <c:axId val="1795234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073968944"/>
        <c:crosses val="autoZero"/>
        <c:auto val="1"/>
        <c:lblAlgn val="ctr"/>
        <c:lblOffset val="100"/>
        <c:noMultiLvlLbl val="0"/>
      </c:catAx>
      <c:valAx>
        <c:axId val="2073968944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0.00%" sourceLinked="1"/>
        <c:majorTickMark val="none"/>
        <c:minorTickMark val="none"/>
        <c:tickLblPos val="nextTo"/>
        <c:crossAx val="17952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Free Cashflow growth rate vs Net Income growth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cash flow'!$Q$1</c:f>
              <c:strCache>
                <c:ptCount val="1"/>
                <c:pt idx="0">
                  <c:v>Net Income growth rate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'Operating cash flow'!$P$2:$P$6</c:f>
              <c:strCache>
                <c:ptCount val="5"/>
                <c:pt idx="0">
                  <c:v>FY2019</c:v>
                </c:pt>
                <c:pt idx="1">
                  <c:v>FY2020</c:v>
                </c:pt>
                <c:pt idx="2">
                  <c:v>FY2021</c:v>
                </c:pt>
                <c:pt idx="3">
                  <c:v>FY2022</c:v>
                </c:pt>
                <c:pt idx="4">
                  <c:v>FY2023</c:v>
                </c:pt>
              </c:strCache>
            </c:strRef>
          </c:cat>
          <c:val>
            <c:numRef>
              <c:f>'Operating cash flow'!$Q$2:$Q$6</c:f>
              <c:numCache>
                <c:formatCode>General</c:formatCode>
                <c:ptCount val="5"/>
                <c:pt idx="0">
                  <c:v>0.24377114144719308</c:v>
                </c:pt>
                <c:pt idx="1">
                  <c:v>-0.10437410766010145</c:v>
                </c:pt>
                <c:pt idx="2">
                  <c:v>-3.7657868200918196E-2</c:v>
                </c:pt>
                <c:pt idx="3">
                  <c:v>0.75928609421044857</c:v>
                </c:pt>
                <c:pt idx="4">
                  <c:v>8.8776744057971091E-2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3-E44B-A3DD-8C9F62684C09}"/>
            </c:ext>
          </c:extLst>
        </c:ser>
        <c:ser>
          <c:idx val="1"/>
          <c:order val="1"/>
          <c:tx>
            <c:strRef>
              <c:f>'Operating cash flow'!$R$1</c:f>
              <c:strCache>
                <c:ptCount val="1"/>
                <c:pt idx="0">
                  <c:v>Operating cash flow growth rate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'Operating cash flow'!$P$2:$P$6</c:f>
              <c:strCache>
                <c:ptCount val="5"/>
                <c:pt idx="0">
                  <c:v>FY2019</c:v>
                </c:pt>
                <c:pt idx="1">
                  <c:v>FY2020</c:v>
                </c:pt>
                <c:pt idx="2">
                  <c:v>FY2021</c:v>
                </c:pt>
                <c:pt idx="3">
                  <c:v>FY2022</c:v>
                </c:pt>
                <c:pt idx="4">
                  <c:v>FY2023</c:v>
                </c:pt>
              </c:strCache>
            </c:strRef>
          </c:cat>
          <c:val>
            <c:numRef>
              <c:f>'Operating cash flow'!$R$2:$R$6</c:f>
              <c:numCache>
                <c:formatCode>General</c:formatCode>
                <c:ptCount val="5"/>
                <c:pt idx="0">
                  <c:v>1.2384105960264902</c:v>
                </c:pt>
                <c:pt idx="1">
                  <c:v>-3.2130177514792901</c:v>
                </c:pt>
                <c:pt idx="2">
                  <c:v>-1.4792780748663101</c:v>
                </c:pt>
                <c:pt idx="3">
                  <c:v>-1.1297071129707112</c:v>
                </c:pt>
                <c:pt idx="4">
                  <c:v>15.172043010752688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3-E44B-A3DD-8C9F6268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68302432"/>
        <c:axId val="1768884976"/>
      </c:lineChart>
      <c:catAx>
        <c:axId val="17683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768884976"/>
        <c:crosses val="autoZero"/>
        <c:auto val="1"/>
        <c:lblAlgn val="ctr"/>
        <c:lblOffset val="100"/>
        <c:noMultiLvlLbl val="0"/>
      </c:catAx>
      <c:valAx>
        <c:axId val="176888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768302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PNJ EBIDTA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EBIDTA!$B$2</c:f>
              <c:strCache>
                <c:ptCount val="1"/>
                <c:pt idx="0">
                  <c:v>EBIDTA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EBIDTA!$C$1:$G$1</c:f>
              <c:strCache>
                <c:ptCount val="5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</c:strCache>
            </c:strRef>
          </c:cat>
          <c:val>
            <c:numRef>
              <c:f>EBIDTA!$C$2:$G$2</c:f>
              <c:numCache>
                <c:formatCode>0.00%</c:formatCode>
                <c:ptCount val="5"/>
                <c:pt idx="0">
                  <c:v>9.9000000000000005E-2</c:v>
                </c:pt>
                <c:pt idx="1">
                  <c:v>0.09</c:v>
                </c:pt>
                <c:pt idx="2">
                  <c:v>7.5999999999999998E-2</c:v>
                </c:pt>
                <c:pt idx="3">
                  <c:v>7.3999999999999996E-2</c:v>
                </c:pt>
                <c:pt idx="4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4-4344-9563-F4411EFE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68781584"/>
        <c:axId val="333893247"/>
      </c:lineChart>
      <c:catAx>
        <c:axId val="17687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33893247"/>
        <c:crosses val="autoZero"/>
        <c:auto val="1"/>
        <c:lblAlgn val="ctr"/>
        <c:lblOffset val="100"/>
        <c:noMultiLvlLbl val="0"/>
      </c:catAx>
      <c:valAx>
        <c:axId val="333893247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768781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Expenses!$B$1</c:f>
              <c:strCache>
                <c:ptCount val="1"/>
                <c:pt idx="0">
                  <c:v>Cost of goods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Expenses!$A$2:$A$7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Expenses!$B$2:$B$7</c:f>
              <c:numCache>
                <c:formatCode>_("₫"* #,##0_);_("₫"* \(#,##0\);_("₫"* "-"_);_(@_)</c:formatCode>
                <c:ptCount val="6"/>
                <c:pt idx="0">
                  <c:v>11792052183</c:v>
                </c:pt>
                <c:pt idx="1">
                  <c:v>13539967588</c:v>
                </c:pt>
                <c:pt idx="2">
                  <c:v>14076055770</c:v>
                </c:pt>
                <c:pt idx="3">
                  <c:v>15948760134</c:v>
                </c:pt>
                <c:pt idx="4">
                  <c:v>27949660295</c:v>
                </c:pt>
                <c:pt idx="5">
                  <c:v>27078338249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5-A64E-BE6C-693157C1CD5F}"/>
            </c:ext>
          </c:extLst>
        </c:ser>
        <c:ser>
          <c:idx val="1"/>
          <c:order val="1"/>
          <c:tx>
            <c:strRef>
              <c:f>Expenses!$C$1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Expenses!$A$2:$A$7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Expenses!$C$2:$C$7</c:f>
              <c:numCache>
                <c:formatCode>_("₫"* #,##0_);_("₫"* \(#,##0\);_("₫"* "-"_);_(@_)</c:formatCode>
                <c:ptCount val="6"/>
                <c:pt idx="0">
                  <c:v>2779083561459</c:v>
                </c:pt>
                <c:pt idx="1">
                  <c:v>3460713492261</c:v>
                </c:pt>
                <c:pt idx="2">
                  <c:v>3434732880887</c:v>
                </c:pt>
                <c:pt idx="3">
                  <c:v>3598298230376</c:v>
                </c:pt>
                <c:pt idx="4">
                  <c:v>5927106534772</c:v>
                </c:pt>
                <c:pt idx="5">
                  <c:v>6058590947164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5-A64E-BE6C-693157C1C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769362576"/>
        <c:axId val="1804674320"/>
      </c:lineChart>
      <c:catAx>
        <c:axId val="17693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04674320"/>
        <c:crosses val="autoZero"/>
        <c:auto val="1"/>
        <c:lblAlgn val="ctr"/>
        <c:lblOffset val="100"/>
        <c:noMultiLvlLbl val="0"/>
      </c:catAx>
      <c:valAx>
        <c:axId val="18046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₫&quot;* #,##0_);_(&quot;₫&quot;* \(#,##0\);_(&quot;₫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7693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Forecast'!$A$18</c:f>
              <c:strCache>
                <c:ptCount val="1"/>
                <c:pt idx="0">
                  <c:v>Allowances and Provisions</c:v>
                </c:pt>
              </c:strCache>
            </c:strRef>
          </c:tx>
          <c:spPr>
            <a:solidFill>
              <a:srgbClr val="003056">
                <a:alpha val="74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Forecast'!$B$16:$K$16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Forecast'!$B$18:$K$18</c:f>
              <c:numCache>
                <c:formatCode>_(* #,##0_);_(* \(#,##0\);_(* "-"_);_(@_)</c:formatCode>
                <c:ptCount val="10"/>
                <c:pt idx="0">
                  <c:v>-3414.5369999999998</c:v>
                </c:pt>
                <c:pt idx="1">
                  <c:v>-6391.8078459999997</c:v>
                </c:pt>
                <c:pt idx="2">
                  <c:v>-64942.006079999999</c:v>
                </c:pt>
                <c:pt idx="3">
                  <c:v>-2868.2058630000001</c:v>
                </c:pt>
                <c:pt idx="4">
                  <c:v>-2374.7794509999999</c:v>
                </c:pt>
                <c:pt idx="5">
                  <c:v>-2333.9253779999999</c:v>
                </c:pt>
                <c:pt idx="6">
                  <c:v>-2293.7741310000001</c:v>
                </c:pt>
                <c:pt idx="7">
                  <c:v>-2254.313619</c:v>
                </c:pt>
                <c:pt idx="8">
                  <c:v>-2215.5319570000001</c:v>
                </c:pt>
                <c:pt idx="9">
                  <c:v>-2177.417469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6-DF4F-B48C-5CCD7D0D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89264"/>
        <c:axId val="144902048"/>
      </c:barChart>
      <c:catAx>
        <c:axId val="1450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4902048"/>
        <c:crosses val="autoZero"/>
        <c:auto val="1"/>
        <c:lblAlgn val="ctr"/>
        <c:lblOffset val="100"/>
        <c:noMultiLvlLbl val="0"/>
      </c:catAx>
      <c:valAx>
        <c:axId val="1449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50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Forecast'!$A$20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Forecast'!$B$16:$K$16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Forecast'!$B$20:$K$20</c:f>
              <c:numCache>
                <c:formatCode>_(* #,##0_);_(* \(#,##0\);_(* "-"_);_(@_)</c:formatCode>
                <c:ptCount val="10"/>
                <c:pt idx="0">
                  <c:v>-13539.967588</c:v>
                </c:pt>
                <c:pt idx="1">
                  <c:v>-14076.055770000001</c:v>
                </c:pt>
                <c:pt idx="2">
                  <c:v>-15948.760134</c:v>
                </c:pt>
                <c:pt idx="3">
                  <c:v>-27949.660295000001</c:v>
                </c:pt>
                <c:pt idx="4">
                  <c:v>-27078.338249</c:v>
                </c:pt>
                <c:pt idx="5" formatCode="_(* #,##0.00_);_(* \(#,##0.00\);_(* &quot;-&quot;??_);_(@_)">
                  <c:v>-27359.724532248401</c:v>
                </c:pt>
                <c:pt idx="6" formatCode="_(* #,##0.00_);_(* \(#,##0.00\);_(* &quot;-&quot;??_);_(@_)">
                  <c:v>-27644.034859050498</c:v>
                </c:pt>
                <c:pt idx="7" formatCode="_(* #,##0.00_);_(* \(#,##0.00\);_(* &quot;-&quot;??_);_(@_)">
                  <c:v>-27931.299614791802</c:v>
                </c:pt>
                <c:pt idx="8" formatCode="_(* #,##0.00_);_(* \(#,##0.00\);_(* &quot;-&quot;??_);_(@_)">
                  <c:v>-28221.549500609402</c:v>
                </c:pt>
                <c:pt idx="9" formatCode="_(* #,##0.00_);_(* \(#,##0.00\);_(* &quot;-&quot;??_);_(@_)">
                  <c:v>-28514.815536673599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2-F042-84D4-C8A5F6DD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7685072"/>
        <c:axId val="190656656"/>
      </c:barChart>
      <c:catAx>
        <c:axId val="2276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0656656"/>
        <c:crosses val="autoZero"/>
        <c:auto val="1"/>
        <c:lblAlgn val="ctr"/>
        <c:lblOffset val="100"/>
        <c:noMultiLvlLbl val="0"/>
      </c:catAx>
      <c:valAx>
        <c:axId val="1906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276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Forecast'!$A$22</c:f>
              <c:strCache>
                <c:ptCount val="1"/>
                <c:pt idx="0">
                  <c:v>Selling/General/Admin. Expenses,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Forecast'!$B$16:$K$16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Forecast'!$B$22:$K$22</c:f>
              <c:numCache>
                <c:formatCode>_(* #,##0_);_(* \(#,##0\);_(* "-"_);_(@_)</c:formatCode>
                <c:ptCount val="10"/>
                <c:pt idx="0">
                  <c:v>-1800831</c:v>
                </c:pt>
                <c:pt idx="1">
                  <c:v>-1880961</c:v>
                </c:pt>
                <c:pt idx="2">
                  <c:v>-2141966</c:v>
                </c:pt>
                <c:pt idx="3">
                  <c:v>-3451420</c:v>
                </c:pt>
                <c:pt idx="4">
                  <c:v>-3474982</c:v>
                </c:pt>
                <c:pt idx="5">
                  <c:v>-3546150.55602969</c:v>
                </c:pt>
                <c:pt idx="6">
                  <c:v>-3618776.6630243501</c:v>
                </c:pt>
                <c:pt idx="7">
                  <c:v>-3692890.1720155901</c:v>
                </c:pt>
                <c:pt idx="8">
                  <c:v>-3768521.5453920802</c:v>
                </c:pt>
                <c:pt idx="9">
                  <c:v>-3845701.8694203398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B-C74B-A5DF-6C8A8DD4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8781984"/>
        <c:axId val="263263648"/>
      </c:barChart>
      <c:catAx>
        <c:axId val="338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63263648"/>
        <c:crosses val="autoZero"/>
        <c:auto val="1"/>
        <c:lblAlgn val="ctr"/>
        <c:lblOffset val="100"/>
        <c:noMultiLvlLbl val="0"/>
      </c:catAx>
      <c:valAx>
        <c:axId val="2632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387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Forecast'!$A$26</c:f>
              <c:strCache>
                <c:ptCount val="1"/>
                <c:pt idx="0">
                  <c:v>Other Operating Expenses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Forecast'!$B$16:$K$16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Forecast'!$B$26:$K$26</c:f>
              <c:numCache>
                <c:formatCode>_(* #,##0_);_(* \(#,##0\);_(* "-"_);_(@_)</c:formatCode>
                <c:ptCount val="10"/>
                <c:pt idx="0">
                  <c:v>-1167</c:v>
                </c:pt>
                <c:pt idx="1">
                  <c:v>-3437</c:v>
                </c:pt>
                <c:pt idx="2">
                  <c:v>-5208</c:v>
                </c:pt>
                <c:pt idx="3">
                  <c:v>-10500</c:v>
                </c:pt>
                <c:pt idx="4">
                  <c:v>-16106</c:v>
                </c:pt>
                <c:pt idx="5">
                  <c:v>-32212</c:v>
                </c:pt>
                <c:pt idx="6">
                  <c:v>-48318</c:v>
                </c:pt>
                <c:pt idx="7">
                  <c:v>-96636</c:v>
                </c:pt>
                <c:pt idx="8">
                  <c:v>-144954</c:v>
                </c:pt>
                <c:pt idx="9">
                  <c:v>-289908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8-304A-87F5-C0A1EE9DC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532576"/>
        <c:axId val="263628112"/>
      </c:barChart>
      <c:catAx>
        <c:axId val="2085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63628112"/>
        <c:crosses val="autoZero"/>
        <c:auto val="1"/>
        <c:lblAlgn val="ctr"/>
        <c:lblOffset val="100"/>
        <c:noMultiLvlLbl val="0"/>
      </c:catAx>
      <c:valAx>
        <c:axId val="2636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5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Forecast'!$A$24</c:f>
              <c:strCache>
                <c:ptCount val="1"/>
                <c:pt idx="0">
                  <c:v>Interest Expense, Net - Operating</c:v>
                </c:pt>
              </c:strCache>
            </c:strRef>
          </c:tx>
          <c:spPr>
            <a:solidFill>
              <a:srgbClr val="0030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Forecast'!$B$16:$K$16</c:f>
              <c:strCache>
                <c:ptCount val="10"/>
                <c:pt idx="0">
                  <c:v>FY19A</c:v>
                </c:pt>
                <c:pt idx="1">
                  <c:v>FY20A</c:v>
                </c:pt>
                <c:pt idx="2">
                  <c:v>FY21A</c:v>
                </c:pt>
                <c:pt idx="3">
                  <c:v>FY22A</c:v>
                </c:pt>
                <c:pt idx="4">
                  <c:v>FY23A</c:v>
                </c:pt>
                <c:pt idx="5">
                  <c:v>FY24E</c:v>
                </c:pt>
                <c:pt idx="6">
                  <c:v>FY25E</c:v>
                </c:pt>
                <c:pt idx="7">
                  <c:v>FY26E</c:v>
                </c:pt>
                <c:pt idx="8">
                  <c:v>FY27E</c:v>
                </c:pt>
                <c:pt idx="9">
                  <c:v>FY28E</c:v>
                </c:pt>
              </c:strCache>
            </c:strRef>
          </c:cat>
          <c:val>
            <c:numRef>
              <c:f>'Revenue Forecast'!$B$24:$K$24</c:f>
              <c:numCache>
                <c:formatCode>_(* #,##0_);_(* \(#,##0\);_(* "-"_);_(@_)</c:formatCode>
                <c:ptCount val="10"/>
                <c:pt idx="0">
                  <c:v>-115368</c:v>
                </c:pt>
                <c:pt idx="1">
                  <c:v>-154417</c:v>
                </c:pt>
                <c:pt idx="2">
                  <c:v>-104380</c:v>
                </c:pt>
                <c:pt idx="3">
                  <c:v>-94421</c:v>
                </c:pt>
                <c:pt idx="4">
                  <c:v>-118569</c:v>
                </c:pt>
                <c:pt idx="5">
                  <c:v>-128676.935776999</c:v>
                </c:pt>
                <c:pt idx="6">
                  <c:v>-139646.56698595599</c:v>
                </c:pt>
                <c:pt idx="7">
                  <c:v>-151551.35264302001</c:v>
                </c:pt>
                <c:pt idx="8">
                  <c:v>-164471.01410118301</c:v>
                </c:pt>
                <c:pt idx="9">
                  <c:v>-178492.068910726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1-1F43-97FC-FFDF67FB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082960"/>
        <c:axId val="145507488"/>
      </c:barChart>
      <c:catAx>
        <c:axId val="1450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5507488"/>
        <c:crosses val="autoZero"/>
        <c:auto val="1"/>
        <c:lblAlgn val="ctr"/>
        <c:lblOffset val="100"/>
        <c:noMultiLvlLbl val="0"/>
      </c:catAx>
      <c:valAx>
        <c:axId val="1455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508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image" Target="../media/image2.jpeg"/><Relationship Id="rId7" Type="http://schemas.openxmlformats.org/officeDocument/2006/relationships/chart" Target="../charts/chart24.xml"/><Relationship Id="rId2" Type="http://schemas.openxmlformats.org/officeDocument/2006/relationships/chart" Target="../charts/chart22.xml"/><Relationship Id="rId1" Type="http://schemas.openxmlformats.org/officeDocument/2006/relationships/image" Target="../media/image1.png"/><Relationship Id="rId6" Type="http://schemas.openxmlformats.org/officeDocument/2006/relationships/chart" Target="../charts/chart23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682761</xdr:colOff>
      <xdr:row>67</xdr:row>
      <xdr:rowOff>148058</xdr:rowOff>
    </xdr:from>
    <xdr:to>
      <xdr:col>9</xdr:col>
      <xdr:colOff>1488180</xdr:colOff>
      <xdr:row>81</xdr:row>
      <xdr:rowOff>3907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6A3C50-805C-08CA-3674-1C206FEEE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1568450</xdr:colOff>
      <xdr:row>10</xdr:row>
      <xdr:rowOff>101600</xdr:rowOff>
    </xdr:from>
    <xdr:to>
      <xdr:col>6</xdr:col>
      <xdr:colOff>336550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2FFA8-BFDD-0177-C6B0-805F380AF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153942</xdr:colOff>
      <xdr:row>21</xdr:row>
      <xdr:rowOff>69535</xdr:rowOff>
    </xdr:from>
    <xdr:to>
      <xdr:col>9</xdr:col>
      <xdr:colOff>590389</xdr:colOff>
      <xdr:row>34</xdr:row>
      <xdr:rowOff>198944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FFE00-9B73-1176-3FBB-D2BB6779B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510802</xdr:colOff>
      <xdr:row>13</xdr:row>
      <xdr:rowOff>131856</xdr:rowOff>
    </xdr:from>
    <xdr:to>
      <xdr:col>7</xdr:col>
      <xdr:colOff>152214</xdr:colOff>
      <xdr:row>26</xdr:row>
      <xdr:rowOff>204320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F6A78-E18F-4965-8BA0-76D80625C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</xdr:colOff>
      <xdr:row>15</xdr:row>
      <xdr:rowOff>172720</xdr:rowOff>
    </xdr:from>
    <xdr:to>
      <xdr:col>10</xdr:col>
      <xdr:colOff>772160</xdr:colOff>
      <xdr:row>39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A99DF-042C-4146-CE72-F236270E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604520</xdr:colOff>
      <xdr:row>6</xdr:row>
      <xdr:rowOff>182880</xdr:rowOff>
    </xdr:from>
    <xdr:to>
      <xdr:col>10</xdr:col>
      <xdr:colOff>1864360</xdr:colOff>
      <xdr:row>20</xdr:row>
      <xdr:rowOff>81280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E4256-8384-C6CD-6F31-6ACE1B60C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14724</xdr:colOff>
      <xdr:row>7</xdr:row>
      <xdr:rowOff>54850</xdr:rowOff>
    </xdr:from>
    <xdr:to>
      <xdr:col>18</xdr:col>
      <xdr:colOff>607390</xdr:colOff>
      <xdr:row>23</xdr:row>
      <xdr:rowOff>193261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5FCE6-17D6-F0FC-3B38-BF6493EFC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37170</xdr:colOff>
      <xdr:row>4</xdr:row>
      <xdr:rowOff>192668</xdr:rowOff>
    </xdr:from>
    <xdr:to>
      <xdr:col>8</xdr:col>
      <xdr:colOff>466183</xdr:colOff>
      <xdr:row>18</xdr:row>
      <xdr:rowOff>117088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BF477-6773-4AB4-3687-83D1C4038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1469654</xdr:colOff>
      <xdr:row>24</xdr:row>
      <xdr:rowOff>4648</xdr:rowOff>
    </xdr:from>
    <xdr:to>
      <xdr:col>5</xdr:col>
      <xdr:colOff>792575</xdr:colOff>
      <xdr:row>45</xdr:row>
      <xdr:rowOff>111760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E825B-B327-2AB0-B910-EC6C8E0A7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731520</xdr:colOff>
      <xdr:row>0</xdr:row>
      <xdr:rowOff>0</xdr:rowOff>
    </xdr:from>
    <xdr:to>
      <xdr:col>18</xdr:col>
      <xdr:colOff>765387</xdr:colOff>
      <xdr:row>16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66AD74-EC52-DD92-14D4-C1D6F8D3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694266</xdr:colOff>
      <xdr:row>0</xdr:row>
      <xdr:rowOff>0</xdr:rowOff>
    </xdr:from>
    <xdr:to>
      <xdr:col>21</xdr:col>
      <xdr:colOff>719666</xdr:colOff>
      <xdr:row>24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E839D-C6BF-6C9E-AEB7-2BE93E834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745066</xdr:colOff>
      <xdr:row>0</xdr:row>
      <xdr:rowOff>0</xdr:rowOff>
    </xdr:from>
    <xdr:to>
      <xdr:col>18</xdr:col>
      <xdr:colOff>736600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7B329-BAF8-9935-4C7C-B664680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243114</xdr:colOff>
      <xdr:row>0</xdr:row>
      <xdr:rowOff>179615</xdr:rowOff>
    </xdr:from>
    <xdr:to>
      <xdr:col>23</xdr:col>
      <xdr:colOff>332920</xdr:colOff>
      <xdr:row>31</xdr:row>
      <xdr:rowOff>13608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2AE6F9-B7F6-BEF9-1CCB-10281D12F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453117</xdr:colOff>
      <xdr:row>2</xdr:row>
      <xdr:rowOff>907</xdr:rowOff>
    </xdr:from>
    <xdr:to>
      <xdr:col>23</xdr:col>
      <xdr:colOff>131536</xdr:colOff>
      <xdr:row>29</xdr:row>
      <xdr:rowOff>124278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F5E7C-619B-D0A7-FA22-8B080E9CE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279919</xdr:colOff>
      <xdr:row>23</xdr:row>
      <xdr:rowOff>118705</xdr:rowOff>
    </xdr:from>
    <xdr:to>
      <xdr:col>17</xdr:col>
      <xdr:colOff>704980</xdr:colOff>
      <xdr:row>36</xdr:row>
      <xdr:rowOff>166395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C30E38-6F4F-0DBF-727B-BB30F1F49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279918</xdr:colOff>
      <xdr:row>1</xdr:row>
      <xdr:rowOff>144623</xdr:rowOff>
    </xdr:from>
    <xdr:to>
      <xdr:col>23</xdr:col>
      <xdr:colOff>181429</xdr:colOff>
      <xdr:row>25</xdr:row>
      <xdr:rowOff>129591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E3C699-3BCD-D867-4357-84353D05F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140996</xdr:colOff>
      <xdr:row>17</xdr:row>
      <xdr:rowOff>50972</xdr:rowOff>
    </xdr:from>
    <xdr:to>
      <xdr:col>17</xdr:col>
      <xdr:colOff>562601</xdr:colOff>
      <xdr:row>30</xdr:row>
      <xdr:rowOff>98662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2CB93-3969-64B5-8E70-EB511245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626533</xdr:colOff>
      <xdr:row>7</xdr:row>
      <xdr:rowOff>127000</xdr:rowOff>
    </xdr:from>
    <xdr:to>
      <xdr:col>19</xdr:col>
      <xdr:colOff>220133</xdr:colOff>
      <xdr:row>21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E6980F-2975-157F-9272-22402AD13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152399</xdr:colOff>
      <xdr:row>27</xdr:row>
      <xdr:rowOff>160865</xdr:rowOff>
    </xdr:from>
    <xdr:to>
      <xdr:col>24</xdr:col>
      <xdr:colOff>372533</xdr:colOff>
      <xdr:row>53</xdr:row>
      <xdr:rowOff>169332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9F3A67-3031-C866-B026-E832ED306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423333</xdr:colOff>
      <xdr:row>20</xdr:row>
      <xdr:rowOff>143933</xdr:rowOff>
    </xdr:from>
    <xdr:to>
      <xdr:col>19</xdr:col>
      <xdr:colOff>16933</xdr:colOff>
      <xdr:row>34</xdr:row>
      <xdr:rowOff>42333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695C1D-202F-F871-43C6-FF2B038F2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372533</xdr:colOff>
      <xdr:row>23</xdr:row>
      <xdr:rowOff>194734</xdr:rowOff>
    </xdr:from>
    <xdr:to>
      <xdr:col>19</xdr:col>
      <xdr:colOff>795866</xdr:colOff>
      <xdr:row>37</xdr:row>
      <xdr:rowOff>93134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733E0D-508D-9437-142F-EEA9AE4BA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812800</xdr:colOff>
      <xdr:row>29</xdr:row>
      <xdr:rowOff>177799</xdr:rowOff>
    </xdr:from>
    <xdr:to>
      <xdr:col>17</xdr:col>
      <xdr:colOff>406400</xdr:colOff>
      <xdr:row>43</xdr:row>
      <xdr:rowOff>76199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7006D2-C70B-B937-EF21-0EADF803E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668867</xdr:colOff>
      <xdr:row>6</xdr:row>
      <xdr:rowOff>143934</xdr:rowOff>
    </xdr:from>
    <xdr:to>
      <xdr:col>18</xdr:col>
      <xdr:colOff>262467</xdr:colOff>
      <xdr:row>20</xdr:row>
      <xdr:rowOff>42334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1B0CD0-AE49-AF75-42A0-8FD89A4C9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592666</xdr:colOff>
      <xdr:row>15</xdr:row>
      <xdr:rowOff>8466</xdr:rowOff>
    </xdr:from>
    <xdr:to>
      <xdr:col>21</xdr:col>
      <xdr:colOff>372533</xdr:colOff>
      <xdr:row>39</xdr:row>
      <xdr:rowOff>169333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E621FE-7404-94F1-F121-AC7BF4E04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685800</xdr:colOff>
      <xdr:row>14</xdr:row>
      <xdr:rowOff>59267</xdr:rowOff>
    </xdr:from>
    <xdr:to>
      <xdr:col>22</xdr:col>
      <xdr:colOff>355600</xdr:colOff>
      <xdr:row>34</xdr:row>
      <xdr:rowOff>33867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374AB3D-78BD-C44F-6125-DF2B468D0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12</xdr:row>
      <xdr:rowOff>165100</xdr:rowOff>
    </xdr:from>
    <xdr:to>
      <xdr:col>11</xdr:col>
      <xdr:colOff>482600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69324-A184-4AE7-38B5-D4C9BF825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777394</xdr:colOff>
      <xdr:row>5</xdr:row>
      <xdr:rowOff>83127</xdr:rowOff>
    </xdr:from>
    <xdr:to>
      <xdr:col>12</xdr:col>
      <xdr:colOff>407939</xdr:colOff>
      <xdr:row>19</xdr:row>
      <xdr:rowOff>24630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152D2-C735-8E77-4537-2B0239BA9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1060979</xdr:colOff>
      <xdr:row>27</xdr:row>
      <xdr:rowOff>30691</xdr:rowOff>
    </xdr:from>
    <xdr:to>
      <xdr:col>9</xdr:col>
      <xdr:colOff>341312</xdr:colOff>
      <xdr:row>40</xdr:row>
      <xdr:rowOff>136877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18896-1DE3-FFC8-2E3D-B081E5D37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1554868</xdr:colOff>
      <xdr:row>19</xdr:row>
      <xdr:rowOff>39511</xdr:rowOff>
    </xdr:from>
    <xdr:to>
      <xdr:col>4</xdr:col>
      <xdr:colOff>1020410</xdr:colOff>
      <xdr:row>32</xdr:row>
      <xdr:rowOff>145697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D1E04C-DDE7-ECA6-F324-2706F707D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1372973</xdr:colOff>
      <xdr:row>104</xdr:row>
      <xdr:rowOff>137296</xdr:rowOff>
    </xdr:from>
    <xdr:to>
      <xdr:col>7</xdr:col>
      <xdr:colOff>102974</xdr:colOff>
      <xdr:row>144</xdr:row>
      <xdr:rowOff>43565</xdr:rowOff>
    </xdr:to>
    <xdr:pic>
      <xdr:nvPicPr>
        <xdr:cNvPr id="4" name="Picture 3" descr="Vector Logo] PNJ - CTCP Vàng Bạc Đá Quý Phú Nhuận - Download ...">
          <a:extLst>
            <a:ext uri="{FF2B5EF4-FFF2-40B4-BE49-F238E27FC236}">
              <a16:creationId xmlns:a16="http://schemas.microsoft.com/office/drawing/2014/main" id="{670D7593-C584-9A47-40FA-B6C97EAF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973" y="21795945"/>
          <a:ext cx="7242433" cy="947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649449</xdr:colOff>
      <xdr:row>21</xdr:row>
      <xdr:rowOff>30480</xdr:rowOff>
    </xdr:from>
    <xdr:to>
      <xdr:col>12</xdr:col>
      <xdr:colOff>1554480</xdr:colOff>
      <xdr:row>39</xdr:row>
      <xdr:rowOff>126379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1196BB-CB3A-118C-36A2-84C8CB622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897466</xdr:colOff>
      <xdr:row>30</xdr:row>
      <xdr:rowOff>4233</xdr:rowOff>
    </xdr:from>
    <xdr:to>
      <xdr:col>17</xdr:col>
      <xdr:colOff>385480</xdr:colOff>
      <xdr:row>45</xdr:row>
      <xdr:rowOff>125344</xdr:rowOff>
    </xdr:to>
    <xdr:pic>
      <xdr:nvPicPr>
        <xdr:cNvPr id="6" name="Picture 5" descr="Poh Kong - Jewellery Made For You">
          <a:extLst>
            <a:ext uri="{FF2B5EF4-FFF2-40B4-BE49-F238E27FC236}">
              <a16:creationId xmlns:a16="http://schemas.microsoft.com/office/drawing/2014/main" id="{5BF04F02-4647-B694-72AA-5060E9CAC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1633" y="6354233"/>
          <a:ext cx="4004734" cy="3507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402167</xdr:colOff>
      <xdr:row>15</xdr:row>
      <xdr:rowOff>127001</xdr:rowOff>
    </xdr:from>
    <xdr:to>
      <xdr:col>17</xdr:col>
      <xdr:colOff>291685</xdr:colOff>
      <xdr:row>28</xdr:row>
      <xdr:rowOff>55260</xdr:rowOff>
    </xdr:to>
    <xdr:pic>
      <xdr:nvPicPr>
        <xdr:cNvPr id="7" name="Picture 6" descr="The heritage of gold jewellery craftsmanship | Chow Sang Sang Jewellery">
          <a:extLst>
            <a:ext uri="{FF2B5EF4-FFF2-40B4-BE49-F238E27FC236}">
              <a16:creationId xmlns:a16="http://schemas.microsoft.com/office/drawing/2014/main" id="{97FF5C58-9686-4DF4-BB4F-B4C2A7CBB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96667" y="3302001"/>
          <a:ext cx="2585904" cy="2679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48</xdr:row>
      <xdr:rowOff>0</xdr:rowOff>
    </xdr:from>
    <xdr:to>
      <xdr:col>17</xdr:col>
      <xdr:colOff>110314</xdr:colOff>
      <xdr:row>62</xdr:row>
      <xdr:rowOff>50800</xdr:rowOff>
    </xdr:to>
    <xdr:pic>
      <xdr:nvPicPr>
        <xdr:cNvPr id="8" name="Picture 7" descr="Titan Watches Ltd Titan Company Manufacturing Logo, company, company,  triangle, symmetry png | PNGWing">
          <a:extLst>
            <a:ext uri="{FF2B5EF4-FFF2-40B4-BE49-F238E27FC236}">
              <a16:creationId xmlns:a16="http://schemas.microsoft.com/office/drawing/2014/main" id="{F191DF5A-8DC5-457E-729B-815982FB1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19900" y="10007600"/>
          <a:ext cx="280670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626534</xdr:colOff>
      <xdr:row>40</xdr:row>
      <xdr:rowOff>4234</xdr:rowOff>
    </xdr:from>
    <xdr:to>
      <xdr:col>12</xdr:col>
      <xdr:colOff>1545167</xdr:colOff>
      <xdr:row>58</xdr:row>
      <xdr:rowOff>190501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BA73A2-6CCF-08AA-8180-70F79950A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634402</xdr:colOff>
      <xdr:row>59</xdr:row>
      <xdr:rowOff>136039</xdr:rowOff>
    </xdr:from>
    <xdr:to>
      <xdr:col>12</xdr:col>
      <xdr:colOff>1536102</xdr:colOff>
      <xdr:row>78</xdr:row>
      <xdr:rowOff>158077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F9317A-5F70-5C95-0DF7-F400E7D65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635940</xdr:colOff>
      <xdr:row>80</xdr:row>
      <xdr:rowOff>10346</xdr:rowOff>
    </xdr:from>
    <xdr:to>
      <xdr:col>12</xdr:col>
      <xdr:colOff>1528704</xdr:colOff>
      <xdr:row>99</xdr:row>
      <xdr:rowOff>35277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6F4A6E-9847-A843-ACC5-9D37C973C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24</xdr:row>
      <xdr:rowOff>165100</xdr:rowOff>
    </xdr:from>
    <xdr:to>
      <xdr:col>4</xdr:col>
      <xdr:colOff>139700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04CF6-7011-CCB3-9B10-BCD4674E4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577850</xdr:colOff>
      <xdr:row>24</xdr:row>
      <xdr:rowOff>139700</xdr:rowOff>
    </xdr:from>
    <xdr:to>
      <xdr:col>7</xdr:col>
      <xdr:colOff>1739900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C2069-EA1B-F1F0-3CC8-6339CC63F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2310435</xdr:colOff>
      <xdr:row>28</xdr:row>
      <xdr:rowOff>69860</xdr:rowOff>
    </xdr:from>
    <xdr:to>
      <xdr:col>14</xdr:col>
      <xdr:colOff>37372</xdr:colOff>
      <xdr:row>53</xdr:row>
      <xdr:rowOff>17507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0B6112-3E3E-AD7C-3EB7-497691FB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2127982</xdr:colOff>
      <xdr:row>53</xdr:row>
      <xdr:rowOff>113085</xdr:rowOff>
    </xdr:from>
    <xdr:to>
      <xdr:col>13</xdr:col>
      <xdr:colOff>662903</xdr:colOff>
      <xdr:row>78</xdr:row>
      <xdr:rowOff>52900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39FBF3-03A5-7269-CF6E-891A73F9F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2655961</xdr:colOff>
      <xdr:row>77</xdr:row>
      <xdr:rowOff>53280</xdr:rowOff>
    </xdr:from>
    <xdr:to>
      <xdr:col>7</xdr:col>
      <xdr:colOff>1939171</xdr:colOff>
      <xdr:row>101</xdr:row>
      <xdr:rowOff>170367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4AC757-5AD7-0350-6B14-08D4A9D30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1083028</xdr:colOff>
      <xdr:row>72</xdr:row>
      <xdr:rowOff>98308</xdr:rowOff>
    </xdr:from>
    <xdr:to>
      <xdr:col>3</xdr:col>
      <xdr:colOff>2221324</xdr:colOff>
      <xdr:row>86</xdr:row>
      <xdr:rowOff>42804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FCE67B-3989-35D5-DA30-B4488278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109579</xdr:colOff>
      <xdr:row>10</xdr:row>
      <xdr:rowOff>134490</xdr:rowOff>
    </xdr:from>
    <xdr:to>
      <xdr:col>4</xdr:col>
      <xdr:colOff>1705546</xdr:colOff>
      <xdr:row>24</xdr:row>
      <xdr:rowOff>28331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1E011-F947-15BB-1253-0A9455E76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245533</xdr:colOff>
      <xdr:row>25</xdr:row>
      <xdr:rowOff>71966</xdr:rowOff>
    </xdr:from>
    <xdr:to>
      <xdr:col>4</xdr:col>
      <xdr:colOff>1828799</xdr:colOff>
      <xdr:row>38</xdr:row>
      <xdr:rowOff>173566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63711-32B0-5CB0-3DC0-A7912C931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656166</xdr:colOff>
      <xdr:row>42</xdr:row>
      <xdr:rowOff>156633</xdr:rowOff>
    </xdr:from>
    <xdr:to>
      <xdr:col>4</xdr:col>
      <xdr:colOff>664632</xdr:colOff>
      <xdr:row>56</xdr:row>
      <xdr:rowOff>55033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2D744-9EF2-DAE2-D07F-691C70ED4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647700</xdr:colOff>
      <xdr:row>54</xdr:row>
      <xdr:rowOff>12700</xdr:rowOff>
    </xdr:from>
    <xdr:to>
      <xdr:col>4</xdr:col>
      <xdr:colOff>656166</xdr:colOff>
      <xdr:row>67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E8FDB-D76C-6147-39AE-F2D05A362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20</xdr:row>
      <xdr:rowOff>142240</xdr:rowOff>
    </xdr:from>
    <xdr:to>
      <xdr:col>4</xdr:col>
      <xdr:colOff>558800</xdr:colOff>
      <xdr:row>35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3E164-CC3D-8FA5-DF02-4BB6A7CA6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772010</xdr:colOff>
      <xdr:row>0</xdr:row>
      <xdr:rowOff>0</xdr:rowOff>
    </xdr:from>
    <xdr:to>
      <xdr:col>9</xdr:col>
      <xdr:colOff>151755</xdr:colOff>
      <xdr:row>20</xdr:row>
      <xdr:rowOff>179091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99BCD-4E6E-7FDB-9FD6-CD754FC5D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283534</xdr:colOff>
      <xdr:row>44</xdr:row>
      <xdr:rowOff>82993</xdr:rowOff>
    </xdr:from>
    <xdr:to>
      <xdr:col>6</xdr:col>
      <xdr:colOff>513906</xdr:colOff>
      <xdr:row>57</xdr:row>
      <xdr:rowOff>138518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5A53D-80B8-64FC-74FD-6B8E6D4C6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356775</xdr:colOff>
      <xdr:row>2</xdr:row>
      <xdr:rowOff>184701</xdr:rowOff>
    </xdr:from>
    <xdr:to>
      <xdr:col>5</xdr:col>
      <xdr:colOff>817792</xdr:colOff>
      <xdr:row>16</xdr:row>
      <xdr:rowOff>50213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F8C37-F31E-954D-CC59-AE90FEF6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1982F3-1EDE-C54C-B559-FC036824064A}" name="Table313" displayName="Table313" ref="A1:K6" totalsRowShown="0" headerRowDxfId="88" dataDxfId="86" headerRowBorderDxfId="87" tableBorderDxfId="85">
  <autoFilter ref="A1:K6" xr:uid="{061982F3-1EDE-C54C-B559-FC036824064A}"/>
  <tableColumns count="11">
    <tableColumn id="1" xr3:uid="{BCC5C197-7298-184D-98A7-99A978A012D3}" name="PNJ " dataDxfId="84"/>
    <tableColumn id="2" xr3:uid="{151F25C6-09E3-0247-BC00-5AAD9EBE995C}" name="FY19A" dataDxfId="83"/>
    <tableColumn id="3" xr3:uid="{47AE499C-83BA-BE42-8506-34965B090E54}" name="FY20A" dataDxfId="82"/>
    <tableColumn id="4" xr3:uid="{2B910A8A-07B4-4E48-AAB5-D83773420C9B}" name="FY21A" dataDxfId="81"/>
    <tableColumn id="5" xr3:uid="{685008F9-9045-1744-84D9-BE3EC032E3E8}" name="FY22A" dataDxfId="80"/>
    <tableColumn id="6" xr3:uid="{A3E1D2A0-684A-EA4B-8BD8-9D37BBF56E80}" name="FY23A" dataDxfId="79"/>
    <tableColumn id="8" xr3:uid="{C9D2A602-FF72-5542-A400-EB4453B85319}" name="FY24F" dataDxfId="78"/>
    <tableColumn id="9" xr3:uid="{6926D00C-CA4C-5344-9E81-2D356CFC58D2}" name="FY25F" dataDxfId="77"/>
    <tableColumn id="10" xr3:uid="{D87644FB-D08A-5D45-8629-CF0B79716453}" name="FY26F" dataDxfId="76"/>
    <tableColumn id="11" xr3:uid="{7FE7C1EF-0EE8-F744-B77A-68CA4138103E}" name="FY27F" dataDxfId="75"/>
    <tableColumn id="12" xr3:uid="{2E178E28-A9BC-0546-AC9E-3E75E17A1B17}" name="FY28F" dataDxfId="7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5D7CBA9-EFF3-C744-9F23-EA14F947BC15}" name="Table812" displayName="Table812" ref="A51:F55" totalsRowShown="0" headerRowDxfId="8" dataDxfId="7" tableBorderDxfId="6">
  <autoFilter ref="A51:F55" xr:uid="{45D7CBA9-EFF3-C744-9F23-EA14F947BC15}"/>
  <tableColumns count="6">
    <tableColumn id="1" xr3:uid="{B835ECB6-2707-734B-8285-A5FAD3F04BB1}" name="Return on Equity" dataDxfId="5"/>
    <tableColumn id="2" xr3:uid="{4690D1D7-868F-4B44-A33E-AF37A07FF609}" name="FY19" dataDxfId="4" dataCellStyle="Percent"/>
    <tableColumn id="3" xr3:uid="{EA6B3963-EDC7-0D4C-8AFD-B628672A3A91}" name="FY20" dataDxfId="3" dataCellStyle="Percent"/>
    <tableColumn id="4" xr3:uid="{20ECFC11-98D9-E64E-85E3-143DF583411C}" name="FY21" dataDxfId="2" dataCellStyle="Percent"/>
    <tableColumn id="5" xr3:uid="{41449B0F-E09E-A641-8E74-1F15501C61BD}" name="FY22" dataDxfId="1" dataCellStyle="Percent"/>
    <tableColumn id="6" xr3:uid="{E27048C7-25C6-4548-B400-C59A6787D3C7}" name="FY23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071C50-4B0D-C34F-B7F6-8F3D78213E6B}" name="Table3" displayName="Table3" ref="A1:F5" totalsRowShown="0" headerRowDxfId="73" tableBorderDxfId="72">
  <autoFilter ref="A1:F5" xr:uid="{E8071C50-4B0D-C34F-B7F6-8F3D78213E6B}"/>
  <tableColumns count="6">
    <tableColumn id="1" xr3:uid="{AA551885-CB31-A649-97F4-2A2136A305D4}" name="PNJ " dataDxfId="71"/>
    <tableColumn id="2" xr3:uid="{DBC5BA10-5107-2044-B83B-A7E4148EA61D}" name="FY19"/>
    <tableColumn id="3" xr3:uid="{D509E13F-7EF2-AC48-95CA-211E907F324E}" name="FY20"/>
    <tableColumn id="4" xr3:uid="{87668034-FC24-D542-AECF-0BD6EAF3D9D5}" name="FY21"/>
    <tableColumn id="5" xr3:uid="{5AA55ECC-C7D2-B14A-95D9-FD7364D803F1}" name="FY22"/>
    <tableColumn id="6" xr3:uid="{D2B52C96-B4AD-F442-A889-7F9DDAF79B6D}" name="FY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171994-20DB-D245-9757-26031AA80E3A}" name="Table4" displayName="Table4" ref="A8:F12" totalsRowShown="0" headerRowDxfId="70" dataDxfId="69" tableBorderDxfId="68">
  <autoFilter ref="A8:F12" xr:uid="{FD171994-20DB-D245-9757-26031AA80E3A}"/>
  <tableColumns count="6">
    <tableColumn id="1" xr3:uid="{7C56CAEE-70DF-6A46-9F34-F2ED2C96E83D}" name="Poh Kong" dataDxfId="67"/>
    <tableColumn id="2" xr3:uid="{9A77542B-CB33-934A-9CD4-6415BC711E12}" name="FY19" dataDxfId="66"/>
    <tableColumn id="3" xr3:uid="{FD6880C6-5467-3F45-B561-CDFA04515BE8}" name="FY20" dataDxfId="65"/>
    <tableColumn id="4" xr3:uid="{2033E461-7D3C-3544-9079-CF078AA1EF47}" name="FY21" dataDxfId="64"/>
    <tableColumn id="5" xr3:uid="{C865CE76-72EC-D440-B805-040E5907F28E}" name="FY22" dataDxfId="63"/>
    <tableColumn id="6" xr3:uid="{0FD3F75F-57C6-714A-9F2A-82DDAA074750}" name="FY23" dataDxfId="6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38D833-438D-F045-BA99-2060D83BE160}" name="Table5" displayName="Table5" ref="A15:F19" totalsRowShown="0" headerRowDxfId="61" dataDxfId="60" tableBorderDxfId="59">
  <autoFilter ref="A15:F19" xr:uid="{C738D833-438D-F045-BA99-2060D83BE160}"/>
  <tableColumns count="6">
    <tableColumn id="1" xr3:uid="{ADF41F00-55E2-4E42-9494-689DA39DBAC3}" name="Chow Sang Sang " dataDxfId="58"/>
    <tableColumn id="2" xr3:uid="{17321330-742F-0748-8761-E4F780863E8F}" name="FY19" dataDxfId="57"/>
    <tableColumn id="3" xr3:uid="{5888E6B8-D467-004A-A9C6-5BAD9BC83778}" name="FY20" dataDxfId="56"/>
    <tableColumn id="4" xr3:uid="{3D9713D7-22DC-6B4D-BF17-A4A00FD2F17C}" name="FY21" dataDxfId="55"/>
    <tableColumn id="5" xr3:uid="{035121E5-D76D-274C-AA6A-DB7221EC9ABD}" name="FY22" dataDxfId="54"/>
    <tableColumn id="6" xr3:uid="{259E79B2-898C-8440-AEE5-6328DD5CD34E}" name="FY23" dataDxfId="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BD41CD-2D0E-E644-8CD9-6598745AA344}" name="Table6" displayName="Table6" ref="A22:F26" totalsRowShown="0" headerRowDxfId="52" dataDxfId="51" tableBorderDxfId="50">
  <autoFilter ref="A22:F26" xr:uid="{3DBD41CD-2D0E-E644-8CD9-6598745AA344}"/>
  <tableColumns count="6">
    <tableColumn id="1" xr3:uid="{343E37FD-5112-2846-9EA0-C151483DBAF2}" name="Titan Company" dataDxfId="49"/>
    <tableColumn id="2" xr3:uid="{A79B6568-FA51-D649-8C45-C158B1ED9BA7}" name="FY19" dataDxfId="48"/>
    <tableColumn id="3" xr3:uid="{F5604701-D370-374D-AFFA-416B51A90F17}" name="FY20" dataDxfId="47"/>
    <tableColumn id="4" xr3:uid="{2E4F41B7-FC6C-2E4A-A18D-AB639D6CC220}" name="FY21" dataDxfId="46"/>
    <tableColumn id="5" xr3:uid="{086D4A30-B928-5545-9000-7163740351E5}" name="FY22" dataDxfId="45"/>
    <tableColumn id="6" xr3:uid="{5E5C9B5A-1D2C-2F46-B31E-556DCA68F5FA}" name="FY23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8D3F81-1AF2-894E-A709-09156CEDE42C}" name="Table7" displayName="Table7" ref="M138:R142" totalsRowShown="0" headerRowDxfId="43" dataDxfId="42" tableBorderDxfId="41">
  <autoFilter ref="M138:R142" xr:uid="{DD8D3F81-1AF2-894E-A709-09156CEDE42C}"/>
  <tableColumns count="6">
    <tableColumn id="1" xr3:uid="{E215A738-BCA8-FD45-A1E9-5194900E826A}" name="Stock Identifier" dataDxfId="40"/>
    <tableColumn id="2" xr3:uid="{36B2D95B-DBBD-514C-97C3-1175EC842F51}" name="Company Name" dataDxfId="39"/>
    <tableColumn id="3" xr3:uid="{3FB93D5C-5C6C-6244-8561-982B95FF7A6E}" name="Short" dataDxfId="38"/>
    <tableColumn id="4" xr3:uid="{44235108-C70C-A947-AC2D-360F441781C7}" name="Country" dataDxfId="37"/>
    <tableColumn id="5" xr3:uid="{E9E77671-05C4-BC4F-A4E6-B1B5C43459D9}" name="Market Capitalization (VND million)" dataDxfId="36"/>
    <tableColumn id="6" xr3:uid="{632BD615-30C4-534A-A11A-1F840E055121}" name="Business Acitivies" dataDxfId="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A54841-43F1-8947-93FF-EC652A0CDFED}" name="Table8" displayName="Table8" ref="A30:F34" totalsRowShown="0" headerRowDxfId="34" dataDxfId="33" dataCellStyle="Percent">
  <autoFilter ref="A30:F34" xr:uid="{54A54841-43F1-8947-93FF-EC652A0CDFED}"/>
  <tableColumns count="6">
    <tableColumn id="1" xr3:uid="{BEC5103E-B876-8A44-9D01-789C280A525A}" name="Net Profit Margin" dataDxfId="32"/>
    <tableColumn id="2" xr3:uid="{99D3D245-1BDB-BC47-B9AB-DF2F2B8D0FAD}" name="FY19" dataDxfId="31" dataCellStyle="Percent"/>
    <tableColumn id="3" xr3:uid="{CAF0138E-C24B-3647-A26A-99D87B015366}" name="FY20" dataDxfId="30" dataCellStyle="Percent"/>
    <tableColumn id="4" xr3:uid="{E1872E79-80C0-3E4A-B050-2BDC867D4AB3}" name="FY21" dataDxfId="29" dataCellStyle="Percent"/>
    <tableColumn id="5" xr3:uid="{B37769A8-F19B-0844-8BB0-3A5A57A07FAF}" name="FY22" dataDxfId="28" dataCellStyle="Percent"/>
    <tableColumn id="6" xr3:uid="{3AB11F7F-DD9A-414C-B205-8C008EACE586}" name="FY23" dataDxfId="27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36B09F-FF3E-C142-AE55-78F471AB83B9}" name="Table810" displayName="Table810" ref="A37:F41" totalsRowShown="0" headerRowDxfId="26" dataDxfId="25" tableBorderDxfId="24">
  <autoFilter ref="A37:F41" xr:uid="{0C36B09F-FF3E-C142-AE55-78F471AB83B9}"/>
  <tableColumns count="6">
    <tableColumn id="1" xr3:uid="{F984E25C-4F9A-1B46-ADB8-7FADADC79C46}" name="Asset Turnover " dataDxfId="23"/>
    <tableColumn id="2" xr3:uid="{3425C6EF-6A36-374F-B066-56E0D2854CF1}" name="FY19" dataDxfId="22" dataCellStyle="Percent"/>
    <tableColumn id="3" xr3:uid="{3DF39793-AAFA-EB4E-B60B-7F0CC278AA30}" name="FY20" dataDxfId="21" dataCellStyle="Percent"/>
    <tableColumn id="4" xr3:uid="{B19BDA0C-88CD-5145-9955-49A400E3120D}" name="FY21" dataDxfId="20" dataCellStyle="Percent"/>
    <tableColumn id="5" xr3:uid="{A93ED4EF-DB91-EE4C-8BE4-AF4F7612F297}" name="FY22" dataDxfId="19" dataCellStyle="Percent"/>
    <tableColumn id="6" xr3:uid="{CC71DCB4-CAB5-3C49-B746-20DB0EC0A640}" name="FY23" dataDxfId="18" dataCellStyle="Perc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9FEDD4-C9C7-8D4C-B4DD-9742927D81A2}" name="Table811" displayName="Table811" ref="A44:F48" totalsRowShown="0" headerRowDxfId="17" dataDxfId="16" tableBorderDxfId="15">
  <autoFilter ref="A44:F48" xr:uid="{949FEDD4-C9C7-8D4C-B4DD-9742927D81A2}"/>
  <tableColumns count="6">
    <tableColumn id="1" xr3:uid="{1AB6330F-F023-CF49-92BE-140F230EC79C}" name="Financial Leverage" dataDxfId="14"/>
    <tableColumn id="2" xr3:uid="{6E09A866-C050-A540-B665-3B8818E5A236}" name="FY19A" dataDxfId="13"/>
    <tableColumn id="3" xr3:uid="{8C5CEF66-C77A-9743-A78D-926D1D320924}" name="FY20A" dataDxfId="12"/>
    <tableColumn id="4" xr3:uid="{8A08A31B-215E-174D-BB53-BF0101CA82F7}" name="FY21A" dataDxfId="11"/>
    <tableColumn id="5" xr3:uid="{C19933FA-2E08-EF42-8DA3-F1BA4FB3834B}" name="FY22A" dataDxfId="10"/>
    <tableColumn id="6" xr3:uid="{D69C444F-1A83-A948-9430-539D6A202AC8}" name="FY23A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drawing" Target="../drawings/drawing6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drawing" Target="../drawings/drawing11.xm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Y@&amp;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drawing" Target="../drawings/drawing14.xm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Y@&amp;E" TargetMode="External"/><Relationship Id="rId2" Type="http://schemas.openxmlformats.org/officeDocument/2006/relationships/hyperlink" Target="mailto:FY@&amp;E" TargetMode="External"/><Relationship Id="rId1" Type="http://schemas.openxmlformats.org/officeDocument/2006/relationships/hyperlink" Target="mailto:FY@&amp;E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mailto:FY@&amp;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76D0-B8B7-DA44-A0EE-0E5888330B58}">
  <sheetPr codeName="Sheet1"/>
  <dimension ref="A1:G37"/>
  <sheetViews>
    <sheetView workbookViewId="0">
      <selection activeCell="C27" sqref="C27"/>
    </sheetView>
  </sheetViews>
  <sheetFormatPr baseColWidth="10" defaultRowHeight="16" x14ac:dyDescent="0.2"/>
  <cols>
    <col min="1" max="1" width="47.83203125" style="22" customWidth="1"/>
    <col min="2" max="2" width="12" style="22" bestFit="1" customWidth="1"/>
    <col min="3" max="3" width="15.1640625" style="22" bestFit="1" customWidth="1"/>
    <col min="4" max="4" width="15.33203125" style="22" customWidth="1"/>
    <col min="5" max="6" width="17.5" style="22" customWidth="1"/>
    <col min="7" max="7" width="16.83203125" style="22" customWidth="1"/>
    <col min="8" max="16384" width="10.83203125" style="22"/>
  </cols>
  <sheetData>
    <row r="1" spans="1:7" x14ac:dyDescent="0.2">
      <c r="A1" s="170"/>
      <c r="B1" s="171" t="s">
        <v>70</v>
      </c>
      <c r="C1" s="171" t="s">
        <v>254</v>
      </c>
      <c r="D1" s="171" t="s">
        <v>255</v>
      </c>
      <c r="E1" s="171" t="s">
        <v>256</v>
      </c>
      <c r="F1" s="171" t="s">
        <v>257</v>
      </c>
      <c r="G1" s="172" t="s">
        <v>258</v>
      </c>
    </row>
    <row r="2" spans="1:7" x14ac:dyDescent="0.2">
      <c r="A2" s="180" t="s">
        <v>148</v>
      </c>
      <c r="B2" s="122">
        <v>0</v>
      </c>
      <c r="C2" s="122">
        <v>1</v>
      </c>
      <c r="D2" s="122">
        <v>2</v>
      </c>
      <c r="E2" s="122">
        <v>3</v>
      </c>
      <c r="F2" s="122">
        <v>4</v>
      </c>
      <c r="G2" s="181">
        <v>5</v>
      </c>
    </row>
    <row r="3" spans="1:7" x14ac:dyDescent="0.2">
      <c r="A3" s="159" t="s">
        <v>150</v>
      </c>
      <c r="B3" s="182">
        <v>-2.13240547562903E-2</v>
      </c>
      <c r="C3" s="182">
        <v>4.0977735218319933E-2</v>
      </c>
      <c r="D3" s="182">
        <v>4.1332730860819407E-2</v>
      </c>
      <c r="E3" s="182">
        <v>4.182627818425174E-2</v>
      </c>
      <c r="F3" s="182">
        <v>4.1194177083058899E-2</v>
      </c>
      <c r="G3" s="183">
        <v>4.139310646787963E-2</v>
      </c>
    </row>
    <row r="4" spans="1:7" x14ac:dyDescent="0.2">
      <c r="A4" s="184" t="s">
        <v>81</v>
      </c>
      <c r="B4" s="115">
        <v>5.5275818531491806E-2</v>
      </c>
      <c r="C4" s="115">
        <v>6.5859591964891703E-2</v>
      </c>
      <c r="D4" s="115">
        <v>7.5215168502863375E-2</v>
      </c>
      <c r="E4" s="115">
        <v>8.47927036125697E-2</v>
      </c>
      <c r="F4" s="115">
        <v>0.11727391139222157</v>
      </c>
      <c r="G4" s="185">
        <v>0.12858461080522127</v>
      </c>
    </row>
    <row r="5" spans="1:7" x14ac:dyDescent="0.2">
      <c r="A5" s="198"/>
      <c r="B5" s="111"/>
      <c r="C5" s="111"/>
      <c r="D5" s="111"/>
      <c r="E5" s="111"/>
      <c r="F5" s="111"/>
      <c r="G5" s="199"/>
    </row>
    <row r="6" spans="1:7" x14ac:dyDescent="0.2">
      <c r="A6" s="180" t="s">
        <v>149</v>
      </c>
      <c r="B6" s="186">
        <v>33481608.955402501</v>
      </c>
      <c r="C6" s="186">
        <v>34920610.972331055</v>
      </c>
      <c r="D6" s="186">
        <v>36367310.597062543</v>
      </c>
      <c r="E6" s="186">
        <v>37892023.077444345</v>
      </c>
      <c r="F6" s="186">
        <v>39456935.741839647</v>
      </c>
      <c r="G6" s="187">
        <v>41094508.337051973</v>
      </c>
    </row>
    <row r="7" spans="1:7" x14ac:dyDescent="0.2">
      <c r="A7" s="184" t="s">
        <v>177</v>
      </c>
      <c r="B7" s="188">
        <v>1850723.3407611996</v>
      </c>
      <c r="C7" s="188">
        <v>2299857.1898024431</v>
      </c>
      <c r="D7" s="188">
        <v>2735373.3945540278</v>
      </c>
      <c r="E7" s="188">
        <v>3212967.0820863894</v>
      </c>
      <c r="F7" s="188">
        <v>4627269.1859970829</v>
      </c>
      <c r="G7" s="189">
        <v>5284121.3607517481</v>
      </c>
    </row>
    <row r="8" spans="1:7" x14ac:dyDescent="0.2">
      <c r="A8" s="198"/>
      <c r="B8" s="111"/>
      <c r="C8" s="111"/>
      <c r="D8" s="111"/>
      <c r="E8" s="111"/>
      <c r="F8" s="111"/>
      <c r="G8" s="199"/>
    </row>
    <row r="9" spans="1:7" x14ac:dyDescent="0.2">
      <c r="A9" s="180" t="s">
        <v>151</v>
      </c>
      <c r="B9" s="186">
        <v>-164372</v>
      </c>
      <c r="C9" s="186">
        <v>-171151.52830000001</v>
      </c>
      <c r="D9" s="186">
        <v>-177970.02826977</v>
      </c>
      <c r="E9" s="186">
        <v>-182328.35338887799</v>
      </c>
      <c r="F9" s="186">
        <v>-186727.3758280944</v>
      </c>
      <c r="G9" s="187">
        <v>-191167.98685872968</v>
      </c>
    </row>
    <row r="10" spans="1:7" x14ac:dyDescent="0.2">
      <c r="A10" s="184" t="s">
        <v>179</v>
      </c>
      <c r="B10" s="188">
        <v>9932678</v>
      </c>
      <c r="C10" s="188">
        <v>10499913.664554201</v>
      </c>
      <c r="D10" s="188">
        <v>11097973.179217691</v>
      </c>
      <c r="E10" s="188">
        <v>11728463.893625095</v>
      </c>
      <c r="F10" s="188">
        <v>12393055.43100013</v>
      </c>
      <c r="G10" s="189">
        <v>13093512.834401421</v>
      </c>
    </row>
    <row r="11" spans="1:7" x14ac:dyDescent="0.2">
      <c r="A11" s="198"/>
      <c r="B11" s="111"/>
      <c r="C11" s="111"/>
      <c r="D11" s="111"/>
      <c r="E11" s="111"/>
      <c r="F11" s="111"/>
      <c r="G11" s="199"/>
    </row>
    <row r="12" spans="1:7" x14ac:dyDescent="0.2">
      <c r="A12" s="116" t="s">
        <v>152</v>
      </c>
      <c r="B12" s="129">
        <v>678040</v>
      </c>
      <c r="C12" s="129">
        <v>638906.95821759675</v>
      </c>
      <c r="D12" s="129">
        <v>602032.47781673935</v>
      </c>
      <c r="E12" s="129">
        <v>567286.20604993182</v>
      </c>
      <c r="F12" s="129">
        <v>534545.31347142172</v>
      </c>
      <c r="G12" s="130">
        <v>503694.05973024864</v>
      </c>
    </row>
    <row r="13" spans="1:7" x14ac:dyDescent="0.2">
      <c r="A13" s="198"/>
      <c r="B13" s="111"/>
      <c r="C13" s="111"/>
      <c r="D13" s="111"/>
      <c r="E13" s="111"/>
      <c r="F13" s="111"/>
      <c r="G13" s="199"/>
    </row>
    <row r="14" spans="1:7" ht="34" x14ac:dyDescent="0.2">
      <c r="A14" s="190" t="s">
        <v>180</v>
      </c>
      <c r="B14" s="191">
        <f>B7-(B9+B10)+B12</f>
        <v>-7239542.6592388004</v>
      </c>
      <c r="C14" s="191">
        <f>C7-(C9+C10)+C12</f>
        <v>-7389997.9882341605</v>
      </c>
      <c r="D14" s="191">
        <f t="shared" ref="D14:G14" si="0">D7-(D9+D10)+D12</f>
        <v>-7582597.2785771536</v>
      </c>
      <c r="E14" s="191">
        <f t="shared" si="0"/>
        <v>-7765882.2520998958</v>
      </c>
      <c r="F14" s="191">
        <f t="shared" si="0"/>
        <v>-7044513.555703531</v>
      </c>
      <c r="G14" s="192">
        <f t="shared" si="0"/>
        <v>-7114529.4270606954</v>
      </c>
    </row>
    <row r="15" spans="1:7" x14ac:dyDescent="0.2">
      <c r="A15" s="198"/>
      <c r="B15" s="111"/>
      <c r="C15" s="111"/>
      <c r="D15" s="111"/>
      <c r="E15" s="111"/>
      <c r="F15" s="111"/>
      <c r="G15" s="199"/>
    </row>
    <row r="16" spans="1:7" x14ac:dyDescent="0.2">
      <c r="A16" s="116" t="s">
        <v>153</v>
      </c>
      <c r="B16" s="240">
        <f>G14/(7.286%-4.14%)</f>
        <v>-226145245.61540675</v>
      </c>
      <c r="C16" s="240"/>
      <c r="D16" s="240"/>
      <c r="E16" s="240"/>
      <c r="F16" s="240"/>
      <c r="G16" s="241"/>
    </row>
    <row r="17" spans="1:7" x14ac:dyDescent="0.2">
      <c r="A17" s="198"/>
      <c r="B17" s="111"/>
      <c r="C17" s="111"/>
      <c r="D17" s="111"/>
      <c r="E17" s="111"/>
      <c r="F17" s="111"/>
      <c r="G17" s="199"/>
    </row>
    <row r="18" spans="1:7" x14ac:dyDescent="0.2">
      <c r="A18" s="180" t="s">
        <v>181</v>
      </c>
      <c r="B18" s="122"/>
      <c r="C18" s="193">
        <f>C14/(1+7.286%)^C2</f>
        <v>-6888128.9154541697</v>
      </c>
      <c r="D18" s="193">
        <f t="shared" ref="D18:F18" si="1">D14/(1+7.286%)^D2</f>
        <v>-6587670.7259625318</v>
      </c>
      <c r="E18" s="193">
        <f t="shared" si="1"/>
        <v>-6288711.0532426108</v>
      </c>
      <c r="F18" s="193">
        <f t="shared" si="1"/>
        <v>-5317148.5641123643</v>
      </c>
      <c r="G18" s="194">
        <f>G14/(1+7.286%)^G2</f>
        <v>-5005309.2148076519</v>
      </c>
    </row>
    <row r="19" spans="1:7" x14ac:dyDescent="0.2">
      <c r="A19" s="159" t="s">
        <v>154</v>
      </c>
      <c r="B19" s="112"/>
      <c r="C19" s="195">
        <f>SUM(C18:G18)</f>
        <v>-30086968.473579332</v>
      </c>
      <c r="D19" s="112"/>
      <c r="E19" s="112"/>
      <c r="F19" s="112"/>
      <c r="G19" s="160"/>
    </row>
    <row r="20" spans="1:7" x14ac:dyDescent="0.2">
      <c r="A20" s="159" t="s">
        <v>208</v>
      </c>
      <c r="B20" s="112"/>
      <c r="C20" s="195">
        <f>C19/334559621</f>
        <v>-8.9930065031904524E-2</v>
      </c>
      <c r="D20" s="112"/>
      <c r="E20" s="112"/>
      <c r="F20" s="112"/>
      <c r="G20" s="160"/>
    </row>
    <row r="21" spans="1:7" x14ac:dyDescent="0.2">
      <c r="A21" s="184" t="s">
        <v>209</v>
      </c>
      <c r="B21" s="114"/>
      <c r="C21" s="196">
        <f>(C19/334559621)*1000000</f>
        <v>-89930.065031904523</v>
      </c>
      <c r="D21" s="114"/>
      <c r="E21" s="114"/>
      <c r="F21" s="114"/>
      <c r="G21" s="197"/>
    </row>
    <row r="22" spans="1:7" x14ac:dyDescent="0.2">
      <c r="A22" s="100"/>
    </row>
    <row r="23" spans="1:7" x14ac:dyDescent="0.2">
      <c r="A23" s="101"/>
      <c r="B23" s="102"/>
    </row>
    <row r="24" spans="1:7" x14ac:dyDescent="0.2">
      <c r="A24" s="101"/>
      <c r="B24" s="103"/>
    </row>
    <row r="25" spans="1:7" x14ac:dyDescent="0.2">
      <c r="A25" s="101"/>
      <c r="B25" s="81"/>
    </row>
    <row r="26" spans="1:7" x14ac:dyDescent="0.2">
      <c r="A26" s="101"/>
      <c r="B26" s="104"/>
    </row>
    <row r="27" spans="1:7" x14ac:dyDescent="0.2">
      <c r="A27" s="101"/>
      <c r="B27" s="105"/>
    </row>
    <row r="28" spans="1:7" x14ac:dyDescent="0.2">
      <c r="A28" s="101"/>
      <c r="B28" s="105"/>
    </row>
    <row r="29" spans="1:7" x14ac:dyDescent="0.2">
      <c r="A29" s="101"/>
      <c r="B29" s="104"/>
    </row>
    <row r="30" spans="1:7" x14ac:dyDescent="0.2">
      <c r="A30" s="101"/>
      <c r="B30" s="102"/>
    </row>
    <row r="36" spans="2:2" x14ac:dyDescent="0.2">
      <c r="B36" s="36"/>
    </row>
    <row r="37" spans="2:2" x14ac:dyDescent="0.2">
      <c r="B37" s="36"/>
    </row>
  </sheetData>
  <mergeCells count="1">
    <mergeCell ref="B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5A39-4EC8-2746-AAEA-BBCB7DF5B1BB}">
  <sheetPr codeName="Sheet10"/>
  <dimension ref="A1:H72"/>
  <sheetViews>
    <sheetView zoomScale="150" zoomScaleNormal="82" workbookViewId="0">
      <selection activeCell="B20" sqref="B20"/>
    </sheetView>
  </sheetViews>
  <sheetFormatPr baseColWidth="10" defaultRowHeight="16" x14ac:dyDescent="0.2"/>
  <cols>
    <col min="1" max="1" width="44" style="22" customWidth="1"/>
    <col min="2" max="2" width="20.33203125" style="22" customWidth="1"/>
    <col min="3" max="3" width="24.6640625" style="22" customWidth="1"/>
    <col min="4" max="4" width="44.33203125" style="22" customWidth="1"/>
    <col min="5" max="5" width="18.1640625" style="22" bestFit="1" customWidth="1"/>
    <col min="6" max="6" width="19.1640625" style="22" customWidth="1"/>
    <col min="7" max="7" width="21.33203125" style="22" customWidth="1"/>
    <col min="8" max="8" width="39.1640625" style="22" customWidth="1"/>
    <col min="9" max="16384" width="10.83203125" style="22"/>
  </cols>
  <sheetData>
    <row r="1" spans="1:8" x14ac:dyDescent="0.2">
      <c r="A1" s="22" t="s">
        <v>7</v>
      </c>
      <c r="B1" s="22" t="s">
        <v>5</v>
      </c>
      <c r="C1" s="22" t="s">
        <v>6</v>
      </c>
      <c r="D1" s="22" t="s">
        <v>129</v>
      </c>
    </row>
    <row r="2" spans="1:8" x14ac:dyDescent="0.2">
      <c r="A2" s="22">
        <v>2019</v>
      </c>
      <c r="B2" s="23">
        <v>17021086914743</v>
      </c>
      <c r="C2" s="23">
        <v>74094543466</v>
      </c>
      <c r="D2" s="23">
        <v>49069988423</v>
      </c>
      <c r="H2" s="23"/>
    </row>
    <row r="3" spans="1:8" x14ac:dyDescent="0.2">
      <c r="A3" s="22">
        <v>2020</v>
      </c>
      <c r="B3" s="23">
        <v>17487379140948</v>
      </c>
      <c r="C3" s="23">
        <v>153937831108</v>
      </c>
      <c r="D3" s="23">
        <v>40596054121</v>
      </c>
      <c r="H3" s="23"/>
    </row>
    <row r="4" spans="1:8" x14ac:dyDescent="0.2">
      <c r="A4" s="22">
        <v>2021</v>
      </c>
      <c r="B4" s="23">
        <v>19608294312644</v>
      </c>
      <c r="C4" s="23">
        <v>79149769974</v>
      </c>
      <c r="D4" s="23">
        <v>48202054632</v>
      </c>
      <c r="H4" s="23"/>
    </row>
    <row r="5" spans="1:8" x14ac:dyDescent="0.2">
      <c r="A5" s="22">
        <v>2022</v>
      </c>
      <c r="B5" s="23">
        <v>34023892071468</v>
      </c>
      <c r="C5" s="23">
        <v>130958118605</v>
      </c>
      <c r="D5" s="23">
        <v>56278752167</v>
      </c>
      <c r="H5" s="23"/>
    </row>
    <row r="6" spans="1:8" x14ac:dyDescent="0.2">
      <c r="A6" s="22">
        <v>2023</v>
      </c>
      <c r="B6" s="23">
        <v>33348659223161</v>
      </c>
      <c r="C6" s="23">
        <v>71543206509</v>
      </c>
      <c r="D6" s="23">
        <v>61406525733</v>
      </c>
      <c r="H6" s="23"/>
    </row>
    <row r="7" spans="1:8" x14ac:dyDescent="0.2">
      <c r="B7" s="36">
        <f>((B6/B2)^(1/4))-1</f>
        <v>0.18310358985709985</v>
      </c>
      <c r="C7" s="36">
        <f>((C6/C2)^(1/4))-1</f>
        <v>-8.7218267855602161E-3</v>
      </c>
      <c r="D7" s="36">
        <f>((D6/D2)^(1/4))-1</f>
        <v>5.7668676736745805E-2</v>
      </c>
      <c r="H7" s="23"/>
    </row>
    <row r="8" spans="1:8" x14ac:dyDescent="0.2">
      <c r="E8" s="23"/>
    </row>
    <row r="11" spans="1:8" x14ac:dyDescent="0.2">
      <c r="A11" s="22" t="s">
        <v>7</v>
      </c>
      <c r="B11" s="22" t="s">
        <v>61</v>
      </c>
      <c r="C11" s="22" t="s">
        <v>62</v>
      </c>
      <c r="D11" s="22" t="s">
        <v>63</v>
      </c>
      <c r="E11" s="22" t="s">
        <v>64</v>
      </c>
      <c r="F11" s="22" t="s">
        <v>65</v>
      </c>
    </row>
    <row r="12" spans="1:8" x14ac:dyDescent="0.2">
      <c r="A12" s="22" t="s">
        <v>5</v>
      </c>
      <c r="B12" s="23">
        <v>17021086914743</v>
      </c>
      <c r="C12" s="23">
        <v>17487379140948</v>
      </c>
      <c r="D12" s="23">
        <v>19608294312644</v>
      </c>
      <c r="E12" s="23">
        <v>34023892071468</v>
      </c>
      <c r="F12" s="23">
        <v>33348659223161</v>
      </c>
      <c r="G12" s="36">
        <f>((F12/B12)^(1/4))-1</f>
        <v>0.18310358985709985</v>
      </c>
    </row>
    <row r="13" spans="1:8" x14ac:dyDescent="0.2">
      <c r="A13" s="22" t="s">
        <v>6</v>
      </c>
      <c r="B13" s="23">
        <v>74094543466</v>
      </c>
      <c r="C13" s="23">
        <v>153937831108</v>
      </c>
      <c r="D13" s="23">
        <v>79149769974</v>
      </c>
      <c r="E13" s="23">
        <v>130958118605</v>
      </c>
      <c r="F13" s="23">
        <v>71543206509</v>
      </c>
      <c r="G13" s="36">
        <f>((F13/B13)^(1/4))-1</f>
        <v>-8.7218267855602161E-3</v>
      </c>
    </row>
    <row r="14" spans="1:8" x14ac:dyDescent="0.2">
      <c r="A14" s="22" t="s">
        <v>129</v>
      </c>
      <c r="B14" s="23">
        <v>49069988423</v>
      </c>
      <c r="C14" s="23">
        <v>40596054121</v>
      </c>
      <c r="D14" s="23">
        <v>48202054632</v>
      </c>
      <c r="E14" s="23">
        <v>56278752167</v>
      </c>
      <c r="F14" s="23">
        <v>61406525733</v>
      </c>
      <c r="G14" s="36">
        <f>((F14/B14)^(1/4))-1</f>
        <v>5.7668676736745805E-2</v>
      </c>
    </row>
    <row r="15" spans="1:8" x14ac:dyDescent="0.2">
      <c r="B15" s="23">
        <f>SUM(B12:B14)</f>
        <v>17144251446632</v>
      </c>
      <c r="C15" s="23">
        <f t="shared" ref="C15:F15" si="0">SUM(C12:C14)</f>
        <v>17681913026177</v>
      </c>
      <c r="D15" s="23">
        <f t="shared" si="0"/>
        <v>19735646137250</v>
      </c>
      <c r="E15" s="23">
        <f t="shared" si="0"/>
        <v>34211128942240</v>
      </c>
      <c r="F15" s="23">
        <f t="shared" si="0"/>
        <v>33481608955403</v>
      </c>
    </row>
    <row r="18" spans="1:6" x14ac:dyDescent="0.2">
      <c r="A18" s="22" t="s">
        <v>7</v>
      </c>
      <c r="B18" s="22" t="s">
        <v>61</v>
      </c>
      <c r="C18" s="22" t="s">
        <v>62</v>
      </c>
      <c r="D18" s="22" t="s">
        <v>63</v>
      </c>
      <c r="E18" s="22" t="s">
        <v>64</v>
      </c>
      <c r="F18" s="22" t="s">
        <v>65</v>
      </c>
    </row>
    <row r="19" spans="1:6" x14ac:dyDescent="0.2">
      <c r="A19" s="22" t="s">
        <v>145</v>
      </c>
      <c r="B19" s="36">
        <f>B12/B15</f>
        <v>0.992815986613799</v>
      </c>
      <c r="C19" s="36">
        <f t="shared" ref="C19:F19" si="1">C12/C15</f>
        <v>0.98899814262512187</v>
      </c>
      <c r="D19" s="36">
        <f t="shared" si="1"/>
        <v>0.99354711653622374</v>
      </c>
      <c r="E19" s="36">
        <f t="shared" si="1"/>
        <v>0.99452701864682336</v>
      </c>
      <c r="F19" s="36">
        <f t="shared" si="1"/>
        <v>0.99602917134540681</v>
      </c>
    </row>
    <row r="20" spans="1:6" x14ac:dyDescent="0.2">
      <c r="A20" s="22" t="s">
        <v>146</v>
      </c>
      <c r="B20" s="36">
        <f>B13/B15</f>
        <v>4.3218301887747871E-3</v>
      </c>
      <c r="C20" s="36">
        <f t="shared" ref="C20:F20" si="2">C13/C15</f>
        <v>8.7059488913956533E-3</v>
      </c>
      <c r="D20" s="36">
        <f t="shared" si="2"/>
        <v>4.0104980310023365E-3</v>
      </c>
      <c r="E20" s="36">
        <f t="shared" si="2"/>
        <v>3.8279391137925251E-3</v>
      </c>
      <c r="F20" s="36">
        <f t="shared" si="2"/>
        <v>2.1367911740530292E-3</v>
      </c>
    </row>
    <row r="21" spans="1:6" x14ac:dyDescent="0.2">
      <c r="A21" s="22" t="s">
        <v>147</v>
      </c>
      <c r="B21" s="36">
        <f>B14/B15</f>
        <v>2.8621831974262038E-3</v>
      </c>
      <c r="C21" s="36">
        <f t="shared" ref="C21:F21" si="3">C14/C15</f>
        <v>2.2959084834825285E-3</v>
      </c>
      <c r="D21" s="36">
        <f t="shared" si="3"/>
        <v>2.4423854327739057E-3</v>
      </c>
      <c r="E21" s="36">
        <f t="shared" si="3"/>
        <v>1.64504223938408E-3</v>
      </c>
      <c r="F21" s="36">
        <f t="shared" si="3"/>
        <v>1.8340374805402146E-3</v>
      </c>
    </row>
    <row r="57" spans="1:6" x14ac:dyDescent="0.2">
      <c r="A57" s="22" t="s">
        <v>7</v>
      </c>
      <c r="B57" s="22" t="s">
        <v>61</v>
      </c>
      <c r="C57" s="22" t="s">
        <v>62</v>
      </c>
      <c r="D57" s="22" t="s">
        <v>63</v>
      </c>
      <c r="E57" s="22" t="s">
        <v>64</v>
      </c>
      <c r="F57" s="22" t="s">
        <v>65</v>
      </c>
    </row>
    <row r="58" spans="1:6" x14ac:dyDescent="0.2">
      <c r="A58" s="22" t="s">
        <v>5</v>
      </c>
      <c r="B58" s="23">
        <v>17021086914743</v>
      </c>
      <c r="C58" s="23">
        <v>17487379140948</v>
      </c>
      <c r="D58" s="23">
        <v>19608294312644</v>
      </c>
      <c r="E58" s="23">
        <v>34023892071468</v>
      </c>
      <c r="F58" s="23">
        <v>33348659223161</v>
      </c>
    </row>
    <row r="59" spans="1:6" x14ac:dyDescent="0.2">
      <c r="A59" s="22" t="s">
        <v>6</v>
      </c>
      <c r="B59" s="23">
        <v>74094543466</v>
      </c>
      <c r="C59" s="23">
        <v>153937831108</v>
      </c>
      <c r="D59" s="23">
        <v>79149769974</v>
      </c>
      <c r="E59" s="23">
        <v>130958118605</v>
      </c>
      <c r="F59" s="23">
        <v>71543206509</v>
      </c>
    </row>
    <row r="60" spans="1:6" x14ac:dyDescent="0.2">
      <c r="A60" s="22" t="s">
        <v>129</v>
      </c>
      <c r="B60" s="23">
        <v>49069988423</v>
      </c>
      <c r="C60" s="23">
        <v>40596054121</v>
      </c>
      <c r="D60" s="23">
        <v>48202054632</v>
      </c>
      <c r="E60" s="23">
        <v>56278752167</v>
      </c>
      <c r="F60" s="23">
        <v>61406525733</v>
      </c>
    </row>
    <row r="61" spans="1:6" x14ac:dyDescent="0.2">
      <c r="B61" s="23">
        <f>SUM(B58:B60)</f>
        <v>17144251446632</v>
      </c>
      <c r="C61" s="23">
        <f t="shared" ref="C61" si="4">SUM(C58:C60)</f>
        <v>17681913026177</v>
      </c>
      <c r="D61" s="23">
        <f t="shared" ref="D61" si="5">SUM(D58:D60)</f>
        <v>19735646137250</v>
      </c>
      <c r="E61" s="23">
        <f t="shared" ref="E61" si="6">SUM(E58:E60)</f>
        <v>34211128942240</v>
      </c>
      <c r="F61" s="23">
        <f t="shared" ref="F61" si="7">SUM(F58:F60)</f>
        <v>33481608955403</v>
      </c>
    </row>
    <row r="70" spans="1:6" x14ac:dyDescent="0.2">
      <c r="B70" s="22" t="s">
        <v>61</v>
      </c>
      <c r="C70" s="22" t="s">
        <v>62</v>
      </c>
      <c r="D70" s="22" t="s">
        <v>63</v>
      </c>
      <c r="E70" s="22" t="s">
        <v>64</v>
      </c>
      <c r="F70" s="22" t="s">
        <v>65</v>
      </c>
    </row>
    <row r="71" spans="1:6" x14ac:dyDescent="0.2">
      <c r="A71" s="22" t="s">
        <v>7</v>
      </c>
      <c r="B71" s="39">
        <v>17144251446632</v>
      </c>
      <c r="C71" s="39">
        <v>17681913026177</v>
      </c>
      <c r="D71" s="39">
        <v>19735646137250</v>
      </c>
      <c r="E71" s="39">
        <v>34211128942240</v>
      </c>
      <c r="F71" s="39">
        <v>33481608955403</v>
      </c>
    </row>
    <row r="72" spans="1:6" x14ac:dyDescent="0.2">
      <c r="A72" s="22" t="s">
        <v>216</v>
      </c>
      <c r="C72" s="36">
        <f>(C71-B71)/B71</f>
        <v>3.1361041409050494E-2</v>
      </c>
      <c r="D72" s="36">
        <f t="shared" ref="D72:F72" si="8">(D71-C71)/C71</f>
        <v>0.11614880743008818</v>
      </c>
      <c r="E72" s="36">
        <f t="shared" si="8"/>
        <v>0.73346890719064339</v>
      </c>
      <c r="F72" s="36">
        <f t="shared" si="8"/>
        <v>-2.1324054756236704E-2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0419-D9B8-1644-A948-8E793CE5178A}">
  <sheetPr codeName="Sheet11"/>
  <dimension ref="A1:I75"/>
  <sheetViews>
    <sheetView topLeftCell="A51" zoomScale="150" zoomScaleNormal="150" workbookViewId="0">
      <selection activeCell="A60" sqref="A1:XFD1048576"/>
    </sheetView>
  </sheetViews>
  <sheetFormatPr baseColWidth="10" defaultRowHeight="16" x14ac:dyDescent="0.2"/>
  <cols>
    <col min="1" max="1" width="24.5" style="22" customWidth="1"/>
    <col min="2" max="2" width="20.6640625" style="22" customWidth="1"/>
    <col min="3" max="3" width="17" style="22" customWidth="1"/>
    <col min="4" max="4" width="22.1640625" style="22" customWidth="1"/>
    <col min="5" max="5" width="38.6640625" style="22" customWidth="1"/>
    <col min="6" max="6" width="16.33203125" style="22" customWidth="1"/>
    <col min="7" max="8" width="28.1640625" style="22" customWidth="1"/>
    <col min="9" max="9" width="28.33203125" style="22" customWidth="1"/>
    <col min="10" max="16384" width="10.83203125" style="22"/>
  </cols>
  <sheetData>
    <row r="1" spans="1:9" x14ac:dyDescent="0.2">
      <c r="B1" s="22" t="s">
        <v>8</v>
      </c>
      <c r="C1" s="22" t="s">
        <v>9</v>
      </c>
    </row>
    <row r="2" spans="1:9" x14ac:dyDescent="0.2">
      <c r="A2" s="22">
        <v>2018</v>
      </c>
      <c r="C2" s="25">
        <v>0.191</v>
      </c>
    </row>
    <row r="3" spans="1:9" x14ac:dyDescent="0.2">
      <c r="A3" s="22">
        <v>2019</v>
      </c>
      <c r="B3" s="37">
        <v>8.8999999999999996E-2</v>
      </c>
      <c r="C3" s="25">
        <v>0.20399999999999999</v>
      </c>
      <c r="F3" s="98"/>
    </row>
    <row r="4" spans="1:9" x14ac:dyDescent="0.2">
      <c r="A4" s="22">
        <v>2020</v>
      </c>
      <c r="B4" s="37">
        <v>7.6999999999999999E-2</v>
      </c>
      <c r="C4" s="25">
        <v>0.19600000000000001</v>
      </c>
    </row>
    <row r="5" spans="1:9" x14ac:dyDescent="0.2">
      <c r="A5" s="22">
        <v>2021</v>
      </c>
      <c r="B5" s="37">
        <v>7.1999999999999995E-2</v>
      </c>
      <c r="C5" s="25">
        <v>0.184</v>
      </c>
      <c r="D5" s="37"/>
      <c r="F5" s="37"/>
      <c r="G5" s="37"/>
      <c r="H5" s="37"/>
      <c r="I5" s="37"/>
    </row>
    <row r="6" spans="1:9" x14ac:dyDescent="0.2">
      <c r="A6" s="22">
        <v>2022</v>
      </c>
      <c r="B6" s="37">
        <v>7.1999999999999995E-2</v>
      </c>
      <c r="C6" s="25">
        <v>0.17499999999999999</v>
      </c>
      <c r="D6" s="37"/>
      <c r="F6" s="37"/>
      <c r="G6" s="37"/>
      <c r="H6" s="37"/>
      <c r="I6" s="37"/>
    </row>
    <row r="7" spans="1:9" x14ac:dyDescent="0.2">
      <c r="A7" s="22">
        <v>2023</v>
      </c>
      <c r="C7" s="25">
        <v>0.183</v>
      </c>
    </row>
    <row r="8" spans="1:9" x14ac:dyDescent="0.2">
      <c r="A8" s="22">
        <v>2024</v>
      </c>
    </row>
    <row r="9" spans="1:9" x14ac:dyDescent="0.2">
      <c r="C9" s="23">
        <v>1361807553507</v>
      </c>
    </row>
    <row r="10" spans="1:9" x14ac:dyDescent="0.2">
      <c r="C10" s="23">
        <v>1420855653447</v>
      </c>
    </row>
    <row r="11" spans="1:9" x14ac:dyDescent="0.2">
      <c r="C11" s="36">
        <f>(C10-C9)/C9</f>
        <v>4.3360091363817271E-2</v>
      </c>
    </row>
    <row r="15" spans="1:9" x14ac:dyDescent="0.2">
      <c r="A15" s="25"/>
      <c r="B15" s="22" t="s">
        <v>9</v>
      </c>
      <c r="C15" s="25"/>
      <c r="D15" s="25"/>
      <c r="E15" s="25"/>
      <c r="F15" s="25"/>
    </row>
    <row r="16" spans="1:9" x14ac:dyDescent="0.2">
      <c r="A16" s="22" t="s">
        <v>61</v>
      </c>
      <c r="B16" s="25">
        <v>0.20399999999999999</v>
      </c>
    </row>
    <row r="17" spans="1:7" x14ac:dyDescent="0.2">
      <c r="A17" s="22" t="s">
        <v>62</v>
      </c>
      <c r="B17" s="25">
        <v>0.19600000000000001</v>
      </c>
      <c r="C17" s="24"/>
      <c r="D17" s="24"/>
      <c r="E17" s="24"/>
      <c r="F17" s="24"/>
      <c r="G17" s="24"/>
    </row>
    <row r="18" spans="1:7" x14ac:dyDescent="0.2">
      <c r="A18" s="22" t="s">
        <v>63</v>
      </c>
      <c r="B18" s="25">
        <v>0.184</v>
      </c>
    </row>
    <row r="19" spans="1:7" x14ac:dyDescent="0.2">
      <c r="A19" s="22" t="s">
        <v>64</v>
      </c>
      <c r="B19" s="25">
        <v>0.17499999999999999</v>
      </c>
    </row>
    <row r="20" spans="1:7" x14ac:dyDescent="0.2">
      <c r="A20" s="22" t="s">
        <v>65</v>
      </c>
      <c r="B20" s="25">
        <v>0.183</v>
      </c>
    </row>
    <row r="28" spans="1:7" x14ac:dyDescent="0.2">
      <c r="B28" s="22" t="s">
        <v>244</v>
      </c>
    </row>
    <row r="29" spans="1:7" x14ac:dyDescent="0.2">
      <c r="A29" s="22" t="s">
        <v>61</v>
      </c>
      <c r="B29" s="22">
        <v>57.72</v>
      </c>
    </row>
    <row r="30" spans="1:7" x14ac:dyDescent="0.2">
      <c r="A30" s="22" t="s">
        <v>62</v>
      </c>
      <c r="B30" s="22">
        <v>57.74</v>
      </c>
    </row>
    <row r="31" spans="1:7" x14ac:dyDescent="0.2">
      <c r="A31" s="22" t="s">
        <v>63</v>
      </c>
      <c r="B31" s="22">
        <v>64.709999999999994</v>
      </c>
    </row>
    <row r="32" spans="1:7" x14ac:dyDescent="0.2">
      <c r="A32" s="22" t="s">
        <v>64</v>
      </c>
      <c r="B32" s="22">
        <v>120.88</v>
      </c>
    </row>
    <row r="33" spans="1:6" x14ac:dyDescent="0.2">
      <c r="A33" s="22" t="s">
        <v>65</v>
      </c>
      <c r="B33" s="22">
        <v>119.19</v>
      </c>
    </row>
    <row r="44" spans="1:6" x14ac:dyDescent="0.2">
      <c r="B44" s="42"/>
      <c r="C44" s="42"/>
      <c r="D44" s="42"/>
      <c r="E44" s="42"/>
      <c r="F44" s="42"/>
    </row>
    <row r="46" spans="1:6" x14ac:dyDescent="0.2">
      <c r="A46" s="22" t="s">
        <v>121</v>
      </c>
    </row>
    <row r="47" spans="1:6" x14ac:dyDescent="0.2">
      <c r="A47" s="22" t="s">
        <v>61</v>
      </c>
      <c r="B47" s="42">
        <v>0.56999999999999995</v>
      </c>
    </row>
    <row r="48" spans="1:6" x14ac:dyDescent="0.2">
      <c r="A48" s="22" t="s">
        <v>62</v>
      </c>
      <c r="B48" s="42">
        <v>0.35</v>
      </c>
    </row>
    <row r="49" spans="1:2" x14ac:dyDescent="0.2">
      <c r="A49" s="22" t="s">
        <v>63</v>
      </c>
      <c r="B49" s="42">
        <v>0.45</v>
      </c>
    </row>
    <row r="50" spans="1:2" x14ac:dyDescent="0.2">
      <c r="A50" s="22" t="s">
        <v>64</v>
      </c>
      <c r="B50" s="42">
        <v>0.32</v>
      </c>
    </row>
    <row r="51" spans="1:2" x14ac:dyDescent="0.2">
      <c r="A51" s="22" t="s">
        <v>65</v>
      </c>
      <c r="B51" s="42">
        <v>0.24</v>
      </c>
    </row>
    <row r="60" spans="1:2" x14ac:dyDescent="0.2">
      <c r="A60" s="22" t="s">
        <v>75</v>
      </c>
    </row>
    <row r="61" spans="1:2" x14ac:dyDescent="0.2">
      <c r="A61" s="22" t="s">
        <v>61</v>
      </c>
      <c r="B61" s="22">
        <v>0.08</v>
      </c>
    </row>
    <row r="62" spans="1:2" x14ac:dyDescent="0.2">
      <c r="A62" s="22" t="s">
        <v>62</v>
      </c>
      <c r="B62" s="22">
        <v>0.19</v>
      </c>
    </row>
    <row r="63" spans="1:2" x14ac:dyDescent="0.2">
      <c r="A63" s="22" t="s">
        <v>63</v>
      </c>
      <c r="B63" s="22">
        <v>0.12</v>
      </c>
    </row>
    <row r="64" spans="1:2" x14ac:dyDescent="0.2">
      <c r="A64" s="22" t="s">
        <v>64</v>
      </c>
      <c r="B64" s="22">
        <v>0.3</v>
      </c>
    </row>
    <row r="65" spans="1:6" x14ac:dyDescent="0.2">
      <c r="A65" s="22" t="s">
        <v>65</v>
      </c>
      <c r="B65" s="22">
        <v>0.44</v>
      </c>
    </row>
    <row r="70" spans="1:6" x14ac:dyDescent="0.2">
      <c r="A70" s="22" t="s">
        <v>245</v>
      </c>
      <c r="B70" s="24"/>
      <c r="C70" s="24"/>
      <c r="D70" s="24"/>
      <c r="E70" s="24"/>
      <c r="F70" s="24"/>
    </row>
    <row r="71" spans="1:6" x14ac:dyDescent="0.2">
      <c r="A71" s="22" t="s">
        <v>61</v>
      </c>
      <c r="B71" s="22">
        <v>1E-3</v>
      </c>
    </row>
    <row r="72" spans="1:6" x14ac:dyDescent="0.2">
      <c r="A72" s="22" t="s">
        <v>62</v>
      </c>
      <c r="B72" s="22">
        <v>0</v>
      </c>
    </row>
    <row r="73" spans="1:6" x14ac:dyDescent="0.2">
      <c r="A73" s="22" t="s">
        <v>63</v>
      </c>
      <c r="B73" s="22">
        <v>0</v>
      </c>
    </row>
    <row r="74" spans="1:6" x14ac:dyDescent="0.2">
      <c r="A74" s="22" t="s">
        <v>64</v>
      </c>
      <c r="B74" s="22">
        <v>0</v>
      </c>
    </row>
    <row r="75" spans="1:6" x14ac:dyDescent="0.2">
      <c r="A75" s="22" t="s">
        <v>65</v>
      </c>
      <c r="B75" s="22">
        <v>0</v>
      </c>
    </row>
  </sheetData>
  <hyperlinks>
    <hyperlink ref="C2" r:id="rId1" display="javascript:void(0);" xr:uid="{5E6EC0B5-70DF-7540-AAFF-4113CCE026D0}"/>
    <hyperlink ref="C3" r:id="rId2" display="javascript:void(0);" xr:uid="{F0F8C898-E9AF-FA4A-8526-4929434FE263}"/>
    <hyperlink ref="C4" r:id="rId3" display="javascript:void(0);" xr:uid="{7CE87F0C-110B-AE4A-AFD4-2EAE7BA4411E}"/>
    <hyperlink ref="C5" r:id="rId4" display="javascript:void(0);" xr:uid="{7AE3E314-F10A-1B42-B259-8E41F1188DEE}"/>
    <hyperlink ref="C6" r:id="rId5" display="javascript:void(0);" xr:uid="{98C071EA-9E08-C546-85C8-5B020624C931}"/>
    <hyperlink ref="C7" r:id="rId6" display="javascript:void(0);" xr:uid="{B80CA6A3-4287-3445-BC90-E7BC0BDD5086}"/>
    <hyperlink ref="B16" r:id="rId7" display="javascript:void(0);" xr:uid="{5A4A79DF-1C7F-6444-98AC-6B35D3322080}"/>
    <hyperlink ref="B17" r:id="rId8" display="javascript:void(0);" xr:uid="{3177B4E4-172C-5345-8B3A-0B62884E172C}"/>
    <hyperlink ref="B18" r:id="rId9" display="javascript:void(0);" xr:uid="{E7BCEA24-C42A-824A-9D82-81AEBB7D3785}"/>
    <hyperlink ref="B19" r:id="rId10" display="javascript:void(0);" xr:uid="{AABA22B0-80BB-5545-A07C-A495CCFA2515}"/>
    <hyperlink ref="B20" r:id="rId11" display="javascript:void(0);" xr:uid="{E72D5A12-C01B-0241-A388-ECF737DE45DE}"/>
  </hyperlinks>
  <pageMargins left="0.7" right="0.7" top="0.75" bottom="0.75" header="0.3" footer="0.3"/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6D0-8110-0A40-885A-AC9820047C36}">
  <sheetPr codeName="Sheet12"/>
  <dimension ref="A1:F17"/>
  <sheetViews>
    <sheetView zoomScale="125" workbookViewId="0">
      <selection activeCell="D10" sqref="A1:XFD1048576"/>
    </sheetView>
  </sheetViews>
  <sheetFormatPr baseColWidth="10" defaultRowHeight="16" x14ac:dyDescent="0.2"/>
  <cols>
    <col min="1" max="1" width="23" style="22" customWidth="1"/>
    <col min="2" max="2" width="31.1640625" style="22" customWidth="1"/>
    <col min="3" max="3" width="17.5" style="22" customWidth="1"/>
    <col min="4" max="4" width="19.83203125" style="22" customWidth="1"/>
    <col min="5" max="5" width="19.33203125" style="22" customWidth="1"/>
    <col min="6" max="16384" width="10.83203125" style="22"/>
  </cols>
  <sheetData>
    <row r="1" spans="1:6" x14ac:dyDescent="0.2">
      <c r="B1" s="22" t="s">
        <v>10</v>
      </c>
      <c r="C1" s="22" t="s">
        <v>11</v>
      </c>
    </row>
    <row r="2" spans="1:6" x14ac:dyDescent="0.2">
      <c r="A2" s="22">
        <v>2018</v>
      </c>
      <c r="B2" s="22">
        <v>2.8</v>
      </c>
      <c r="C2" s="22">
        <v>2.65</v>
      </c>
      <c r="D2" s="23"/>
    </row>
    <row r="3" spans="1:6" x14ac:dyDescent="0.2">
      <c r="A3" s="22">
        <v>2019</v>
      </c>
      <c r="B3" s="22">
        <v>2.2599999999999998</v>
      </c>
      <c r="C3" s="22">
        <v>2.2599999999999998</v>
      </c>
      <c r="D3" s="23"/>
      <c r="E3" s="36"/>
    </row>
    <row r="4" spans="1:6" x14ac:dyDescent="0.2">
      <c r="A4" s="22">
        <v>2020</v>
      </c>
      <c r="B4" s="22">
        <v>2.0699999999999998</v>
      </c>
      <c r="C4" s="22">
        <v>2.0499999999999998</v>
      </c>
      <c r="D4" s="23"/>
      <c r="E4" s="36"/>
    </row>
    <row r="5" spans="1:6" x14ac:dyDescent="0.2">
      <c r="A5" s="22">
        <v>2021</v>
      </c>
      <c r="B5" s="22">
        <v>2.1</v>
      </c>
      <c r="C5" s="22">
        <v>2.0499999999999998</v>
      </c>
      <c r="D5" s="23"/>
      <c r="E5" s="36"/>
    </row>
    <row r="6" spans="1:6" x14ac:dyDescent="0.2">
      <c r="A6" s="22">
        <v>2022</v>
      </c>
      <c r="B6" s="22">
        <v>2.9</v>
      </c>
      <c r="C6" s="22">
        <v>2.83</v>
      </c>
      <c r="D6" s="23"/>
      <c r="E6" s="36"/>
    </row>
    <row r="7" spans="1:6" x14ac:dyDescent="0.2">
      <c r="A7" s="22">
        <v>2023</v>
      </c>
      <c r="B7" s="22">
        <v>2.5</v>
      </c>
      <c r="C7" s="22">
        <v>2.39</v>
      </c>
      <c r="D7" s="23"/>
      <c r="E7" s="36"/>
    </row>
    <row r="10" spans="1:6" x14ac:dyDescent="0.2">
      <c r="B10" s="22" t="s">
        <v>12</v>
      </c>
    </row>
    <row r="11" spans="1:6" x14ac:dyDescent="0.2">
      <c r="A11" s="22">
        <v>2023</v>
      </c>
      <c r="B11" s="23">
        <v>27078338249235</v>
      </c>
    </row>
    <row r="12" spans="1:6" x14ac:dyDescent="0.2">
      <c r="A12" s="22">
        <v>2022</v>
      </c>
      <c r="B12" s="23">
        <v>27949348024381</v>
      </c>
    </row>
    <row r="15" spans="1:6" x14ac:dyDescent="0.2">
      <c r="B15" s="22" t="s">
        <v>61</v>
      </c>
      <c r="C15" s="22" t="s">
        <v>62</v>
      </c>
      <c r="D15" s="22" t="s">
        <v>63</v>
      </c>
      <c r="E15" s="22" t="s">
        <v>64</v>
      </c>
      <c r="F15" s="22" t="s">
        <v>65</v>
      </c>
    </row>
    <row r="16" spans="1:6" x14ac:dyDescent="0.2">
      <c r="A16" s="22" t="s">
        <v>10</v>
      </c>
      <c r="B16" s="22">
        <v>2.2599999999999998</v>
      </c>
      <c r="C16" s="22">
        <v>2.0699999999999998</v>
      </c>
      <c r="D16" s="22">
        <v>2.1</v>
      </c>
      <c r="E16" s="22">
        <v>2.9</v>
      </c>
      <c r="F16" s="22">
        <v>2.5</v>
      </c>
    </row>
    <row r="17" spans="1:6" x14ac:dyDescent="0.2">
      <c r="A17" s="22" t="s">
        <v>11</v>
      </c>
      <c r="B17" s="22">
        <v>2.2599999999999998</v>
      </c>
      <c r="C17" s="22">
        <v>2.0499999999999998</v>
      </c>
      <c r="D17" s="22">
        <v>2.0499999999999998</v>
      </c>
      <c r="E17" s="22">
        <v>2.83</v>
      </c>
      <c r="F17" s="22">
        <v>2.39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6E18-C643-B847-90FA-360E2795F1FA}">
  <sheetPr codeName="Sheet13"/>
  <dimension ref="A2:I46"/>
  <sheetViews>
    <sheetView zoomScale="150" workbookViewId="0">
      <selection activeCell="A2" sqref="A2:B21"/>
    </sheetView>
  </sheetViews>
  <sheetFormatPr baseColWidth="10" defaultRowHeight="16" x14ac:dyDescent="0.2"/>
  <cols>
    <col min="2" max="2" width="26.6640625" customWidth="1"/>
    <col min="3" max="3" width="24.5" customWidth="1"/>
  </cols>
  <sheetData>
    <row r="2" spans="1:9" x14ac:dyDescent="0.2">
      <c r="A2" s="22" t="s">
        <v>224</v>
      </c>
      <c r="B2" s="23">
        <v>324564003</v>
      </c>
      <c r="C2" s="21"/>
      <c r="D2" s="31"/>
      <c r="E2" s="31"/>
      <c r="F2" s="21"/>
      <c r="G2" s="21"/>
      <c r="H2" s="21"/>
      <c r="I2" s="21"/>
    </row>
    <row r="3" spans="1:9" x14ac:dyDescent="0.2">
      <c r="A3" s="22" t="s">
        <v>225</v>
      </c>
      <c r="B3" s="23">
        <v>34098932</v>
      </c>
    </row>
    <row r="4" spans="1:9" x14ac:dyDescent="0.2">
      <c r="A4" s="22" t="s">
        <v>226</v>
      </c>
      <c r="B4" s="23">
        <v>-924377566</v>
      </c>
    </row>
    <row r="5" spans="1:9" x14ac:dyDescent="0.2">
      <c r="A5" s="22" t="s">
        <v>227</v>
      </c>
      <c r="B5" s="23">
        <v>-2062274428</v>
      </c>
    </row>
    <row r="6" spans="1:9" x14ac:dyDescent="0.2">
      <c r="A6" s="22" t="s">
        <v>228</v>
      </c>
      <c r="B6" s="23">
        <v>441744267</v>
      </c>
    </row>
    <row r="7" spans="1:9" x14ac:dyDescent="0.2">
      <c r="A7" s="22" t="s">
        <v>229</v>
      </c>
      <c r="B7" s="23">
        <v>600443656</v>
      </c>
    </row>
    <row r="8" spans="1:9" x14ac:dyDescent="0.2">
      <c r="A8" s="22" t="s">
        <v>230</v>
      </c>
      <c r="B8" s="23">
        <v>704537725</v>
      </c>
    </row>
    <row r="9" spans="1:9" x14ac:dyDescent="0.2">
      <c r="A9" s="22" t="s">
        <v>231</v>
      </c>
      <c r="B9" s="23">
        <v>484514384</v>
      </c>
    </row>
    <row r="10" spans="1:9" x14ac:dyDescent="0.2">
      <c r="A10" s="22" t="s">
        <v>232</v>
      </c>
      <c r="B10" s="23">
        <v>125170956</v>
      </c>
      <c r="C10" s="1"/>
      <c r="D10" s="1"/>
      <c r="E10" s="1"/>
      <c r="F10" s="1"/>
      <c r="G10" s="1"/>
      <c r="H10" s="1"/>
      <c r="I10" s="1"/>
    </row>
    <row r="11" spans="1:9" x14ac:dyDescent="0.2">
      <c r="A11" s="22" t="s">
        <v>233</v>
      </c>
      <c r="B11" s="23">
        <v>-905212469</v>
      </c>
    </row>
    <row r="12" spans="1:9" x14ac:dyDescent="0.2">
      <c r="A12" s="22" t="s">
        <v>234</v>
      </c>
      <c r="B12" s="23">
        <v>-964041409</v>
      </c>
    </row>
    <row r="13" spans="1:9" x14ac:dyDescent="0.2">
      <c r="A13" s="22" t="s">
        <v>235</v>
      </c>
      <c r="B13" s="23">
        <v>-2208835725</v>
      </c>
    </row>
    <row r="14" spans="1:9" x14ac:dyDescent="0.2">
      <c r="A14" s="22" t="s">
        <v>236</v>
      </c>
      <c r="B14" s="23">
        <v>1306297368</v>
      </c>
    </row>
    <row r="15" spans="1:9" x14ac:dyDescent="0.2">
      <c r="A15" s="22" t="s">
        <v>237</v>
      </c>
      <c r="B15" s="23">
        <v>795402993</v>
      </c>
    </row>
    <row r="16" spans="1:9" x14ac:dyDescent="0.2">
      <c r="A16" s="22" t="s">
        <v>238</v>
      </c>
      <c r="B16" s="23">
        <v>-532165408</v>
      </c>
    </row>
    <row r="17" spans="1:4" x14ac:dyDescent="0.2">
      <c r="A17" s="22" t="s">
        <v>239</v>
      </c>
      <c r="B17" s="23">
        <v>-1753323315</v>
      </c>
    </row>
    <row r="18" spans="1:4" x14ac:dyDescent="0.2">
      <c r="A18" s="22" t="s">
        <v>240</v>
      </c>
      <c r="B18" s="23">
        <v>739075885</v>
      </c>
    </row>
    <row r="19" spans="1:4" x14ac:dyDescent="0.2">
      <c r="A19" s="22" t="s">
        <v>241</v>
      </c>
      <c r="B19" s="23">
        <v>376643598</v>
      </c>
    </row>
    <row r="20" spans="1:4" x14ac:dyDescent="0.2">
      <c r="A20" s="22" t="s">
        <v>242</v>
      </c>
      <c r="B20" s="23">
        <v>796732769</v>
      </c>
    </row>
    <row r="21" spans="1:4" x14ac:dyDescent="0.2">
      <c r="A21" s="22" t="s">
        <v>243</v>
      </c>
      <c r="B21" s="23">
        <v>-436683980</v>
      </c>
    </row>
    <row r="24" spans="1:4" x14ac:dyDescent="0.2">
      <c r="A24" s="1"/>
      <c r="B24" s="1"/>
      <c r="C24" s="1"/>
      <c r="D24" s="1"/>
    </row>
    <row r="41" spans="1:2" x14ac:dyDescent="0.2">
      <c r="B41" t="s">
        <v>79</v>
      </c>
    </row>
    <row r="42" spans="1:2" x14ac:dyDescent="0.2">
      <c r="A42">
        <v>2019</v>
      </c>
      <c r="B42">
        <v>2.83</v>
      </c>
    </row>
    <row r="43" spans="1:2" x14ac:dyDescent="0.2">
      <c r="A43">
        <v>2020</v>
      </c>
      <c r="B43">
        <v>2.58</v>
      </c>
    </row>
    <row r="44" spans="1:2" x14ac:dyDescent="0.2">
      <c r="A44">
        <v>2021</v>
      </c>
      <c r="B44">
        <v>2.56</v>
      </c>
    </row>
    <row r="45" spans="1:2" x14ac:dyDescent="0.2">
      <c r="A45">
        <v>2022</v>
      </c>
      <c r="B45">
        <v>3.52</v>
      </c>
    </row>
    <row r="46" spans="1:2" x14ac:dyDescent="0.2">
      <c r="A46">
        <v>2023</v>
      </c>
      <c r="B46">
        <v>3.09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BF8D-1D72-B746-A921-E685F8C196E3}">
  <sheetPr codeName="Sheet14"/>
  <dimension ref="A2:H9"/>
  <sheetViews>
    <sheetView zoomScale="173" workbookViewId="0">
      <selection activeCell="C1" sqref="C1:C1048576"/>
    </sheetView>
  </sheetViews>
  <sheetFormatPr baseColWidth="10" defaultRowHeight="16" x14ac:dyDescent="0.2"/>
  <sheetData>
    <row r="2" spans="1:8" x14ac:dyDescent="0.2">
      <c r="A2" s="32" t="s">
        <v>80</v>
      </c>
      <c r="B2" s="27"/>
      <c r="C2" s="27"/>
      <c r="D2" s="27"/>
      <c r="E2" s="27"/>
      <c r="F2" s="27"/>
      <c r="G2" s="27"/>
      <c r="H2" s="27"/>
    </row>
    <row r="3" spans="1:8" x14ac:dyDescent="0.2">
      <c r="A3">
        <v>2017</v>
      </c>
      <c r="B3" s="29">
        <v>17.3</v>
      </c>
    </row>
    <row r="4" spans="1:8" x14ac:dyDescent="0.2">
      <c r="A4">
        <v>2018</v>
      </c>
      <c r="B4" s="29">
        <v>20.7</v>
      </c>
    </row>
    <row r="5" spans="1:8" x14ac:dyDescent="0.2">
      <c r="A5">
        <v>2019</v>
      </c>
      <c r="B5" s="29">
        <v>14.1</v>
      </c>
    </row>
    <row r="6" spans="1:8" x14ac:dyDescent="0.2">
      <c r="A6">
        <v>2020</v>
      </c>
      <c r="B6" s="29">
        <v>9.6999999999999993</v>
      </c>
    </row>
    <row r="7" spans="1:8" x14ac:dyDescent="0.2">
      <c r="A7">
        <v>2021</v>
      </c>
      <c r="B7" s="29">
        <v>13.4</v>
      </c>
    </row>
    <row r="8" spans="1:8" x14ac:dyDescent="0.2">
      <c r="A8">
        <v>2022</v>
      </c>
      <c r="B8" s="29">
        <v>25.6</v>
      </c>
    </row>
    <row r="9" spans="1:8" x14ac:dyDescent="0.2">
      <c r="A9">
        <v>2023</v>
      </c>
      <c r="B9" s="29">
        <v>21.2</v>
      </c>
    </row>
  </sheetData>
  <hyperlinks>
    <hyperlink ref="B3" r:id="rId1" display="javascript:void(0);" xr:uid="{4641AEEB-98B5-0F46-92F3-91D6013B0B3B}"/>
    <hyperlink ref="B4" r:id="rId2" display="javascript:void(0);" xr:uid="{B4D9138D-550D-2145-AC3F-3089A779D8DC}"/>
    <hyperlink ref="B5" r:id="rId3" display="javascript:void(0);" xr:uid="{6CFF1264-A993-EF49-8225-37EBE6E29D26}"/>
    <hyperlink ref="B6" r:id="rId4" display="javascript:void(0);" xr:uid="{FA6DF306-F3A7-4841-B5F7-9C405C8CA23F}"/>
    <hyperlink ref="B7" r:id="rId5" display="javascript:void(0);" xr:uid="{B7EBADDA-2F3A-5140-A88F-85EC8AF43390}"/>
    <hyperlink ref="B8" r:id="rId6" display="javascript:void(0);" xr:uid="{0F431358-9428-F444-A072-86AA8BAD4120}"/>
    <hyperlink ref="B9" r:id="rId7" display="javascript:void(0);" xr:uid="{D5415E96-7E1A-674B-9EFD-38E96B835B3C}"/>
  </hyperlinks>
  <pageMargins left="0.7" right="0.7" top="0.75" bottom="0.75" header="0.3" footer="0.3"/>
  <drawing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E36F-1B47-9146-8FDA-71DDA27418E5}">
  <sheetPr codeName="Sheet15"/>
  <dimension ref="A1:F6"/>
  <sheetViews>
    <sheetView workbookViewId="0">
      <selection activeCell="A9" sqref="A9"/>
    </sheetView>
  </sheetViews>
  <sheetFormatPr baseColWidth="10" defaultRowHeight="16" x14ac:dyDescent="0.2"/>
  <cols>
    <col min="1" max="1" width="24.5" customWidth="1"/>
  </cols>
  <sheetData>
    <row r="1" spans="1:6" x14ac:dyDescent="0.2"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">
      <c r="A2" t="s">
        <v>89</v>
      </c>
      <c r="B2" s="33">
        <v>7030</v>
      </c>
      <c r="C2" s="33">
        <v>6546</v>
      </c>
      <c r="D2" s="33">
        <v>8755</v>
      </c>
      <c r="E2" s="33">
        <v>10506</v>
      </c>
      <c r="F2" s="33">
        <v>10941</v>
      </c>
    </row>
    <row r="3" spans="1:6" x14ac:dyDescent="0.2">
      <c r="A3" t="s">
        <v>92</v>
      </c>
      <c r="B3" s="33">
        <v>6256</v>
      </c>
      <c r="C3" s="33">
        <v>5978</v>
      </c>
      <c r="D3" s="33">
        <v>7937</v>
      </c>
      <c r="E3" s="33">
        <v>9255</v>
      </c>
      <c r="F3" s="33">
        <v>9387</v>
      </c>
    </row>
    <row r="4" spans="1:6" x14ac:dyDescent="0.2">
      <c r="A4" s="32" t="s">
        <v>90</v>
      </c>
      <c r="B4" s="27">
        <v>345</v>
      </c>
      <c r="C4" s="27">
        <v>149</v>
      </c>
      <c r="D4" s="27">
        <v>148</v>
      </c>
      <c r="E4" s="27">
        <v>208</v>
      </c>
      <c r="F4" s="27">
        <v>182</v>
      </c>
    </row>
    <row r="5" spans="1:6" x14ac:dyDescent="0.2">
      <c r="A5" s="32" t="s">
        <v>91</v>
      </c>
      <c r="B5" s="27">
        <v>393</v>
      </c>
      <c r="C5" s="27">
        <v>390</v>
      </c>
      <c r="D5" s="27">
        <v>635</v>
      </c>
      <c r="E5" s="27">
        <v>994</v>
      </c>
      <c r="F5" s="33">
        <v>1337</v>
      </c>
    </row>
    <row r="6" spans="1:6" x14ac:dyDescent="0.2">
      <c r="A6" s="32" t="s">
        <v>93</v>
      </c>
      <c r="B6" s="27">
        <v>36</v>
      </c>
      <c r="C6" s="27">
        <v>29</v>
      </c>
      <c r="D6" s="27">
        <v>35</v>
      </c>
      <c r="E6" s="27">
        <v>49</v>
      </c>
      <c r="F6" s="27">
        <v>35</v>
      </c>
    </row>
  </sheetData>
  <hyperlinks>
    <hyperlink ref="B2" r:id="rId1" display="javascript:void(0);" xr:uid="{7E65C547-C46B-1C48-8A87-44C12D928697}"/>
    <hyperlink ref="C2" r:id="rId2" display="javascript:void(0);" xr:uid="{D80851DA-48DE-3F4E-B6D2-6AA0E93D7D75}"/>
    <hyperlink ref="D2" r:id="rId3" display="javascript:void(0);" xr:uid="{D981A084-1D32-E944-9546-FEFA0A357E2C}"/>
    <hyperlink ref="E2" r:id="rId4" display="javascript:void(0);" xr:uid="{0387296C-5859-B945-9406-9BB837256D50}"/>
    <hyperlink ref="F2" r:id="rId5" display="javascript:void(0);" xr:uid="{726DEB6A-3B68-1C4E-A6FC-8761CA2107B5}"/>
    <hyperlink ref="B3" r:id="rId6" display="javascript:void(0);" xr:uid="{E1BBD625-EE0E-2B40-8F25-2043C66CEAA4}"/>
    <hyperlink ref="C3" r:id="rId7" display="javascript:void(0);" xr:uid="{E763D1FD-66E1-0D43-8266-5A1D15C7852E}"/>
    <hyperlink ref="D3" r:id="rId8" display="javascript:void(0);" xr:uid="{A48E2B85-D0A3-224D-9D7B-7C08E988A72F}"/>
    <hyperlink ref="E3" r:id="rId9" display="javascript:void(0);" xr:uid="{9B672DE9-3247-0F49-A219-C31F1CF0F0E1}"/>
    <hyperlink ref="F3" r:id="rId10" display="javascript:void(0);" xr:uid="{66EBC067-54E0-FB45-9BE0-9857311D5799}"/>
    <hyperlink ref="B4" r:id="rId11" display="javascript:void(0);" xr:uid="{EDAEC7F5-9379-DA45-84B6-59137A6EC053}"/>
    <hyperlink ref="C4" r:id="rId12" display="javascript:void(0);" xr:uid="{C2D365D9-1FBE-3F42-B183-78383B8CF049}"/>
    <hyperlink ref="D4" r:id="rId13" display="javascript:void(0);" xr:uid="{83639F43-6D6B-3645-A994-E55CD5775A1F}"/>
    <hyperlink ref="E4" r:id="rId14" display="javascript:void(0);" xr:uid="{63776F41-92A2-5B43-B3A7-C923A38C3AE1}"/>
    <hyperlink ref="F4" r:id="rId15" display="javascript:void(0);" xr:uid="{5405272F-71A2-B845-B764-6D38AF04DF07}"/>
    <hyperlink ref="F5" r:id="rId16" display="javascript:void(0);" xr:uid="{8960DBD7-4615-FC4E-B238-EF28423893A0}"/>
    <hyperlink ref="E5" r:id="rId17" display="javascript:void(0);" xr:uid="{D6DA1389-34BB-5746-9F11-7FD509D936D9}"/>
    <hyperlink ref="D5" r:id="rId18" display="javascript:void(0);" xr:uid="{E0EB71D8-AE63-AA4A-9068-1B716FFC1F3B}"/>
    <hyperlink ref="C5" r:id="rId19" display="javascript:void(0);" xr:uid="{159916E7-9BB7-4F42-89E2-E3A525DF2D4C}"/>
    <hyperlink ref="B5" r:id="rId20" display="javascript:void(0);" xr:uid="{144BCCE6-A869-474F-96F8-B22DC51C9542}"/>
    <hyperlink ref="B6" r:id="rId21" display="javascript:void(0);" xr:uid="{50B00C74-6C47-9341-A1AC-D195EFEA7F37}"/>
    <hyperlink ref="C6" r:id="rId22" display="javascript:void(0);" xr:uid="{A8912853-06E2-9B46-8A16-71FAB58CFC6C}"/>
    <hyperlink ref="D6" r:id="rId23" display="javascript:void(0);" xr:uid="{121A642B-275A-3C4B-B70F-4A7F48D6FBD4}"/>
    <hyperlink ref="E6" r:id="rId24" display="javascript:void(0);" xr:uid="{557DEB6B-8702-D948-A47F-0A6431046E9E}"/>
    <hyperlink ref="F6" r:id="rId25" display="javascript:void(0);" xr:uid="{97D97955-F8EF-2742-B959-8730D9A063D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06B9-27DB-B542-8E78-1847F5C107C5}">
  <sheetPr codeName="Sheet16"/>
  <dimension ref="A1:U34"/>
  <sheetViews>
    <sheetView topLeftCell="A12" zoomScale="110" workbookViewId="0">
      <selection activeCell="B18" sqref="B18"/>
    </sheetView>
  </sheetViews>
  <sheetFormatPr baseColWidth="10" defaultRowHeight="16" x14ac:dyDescent="0.2"/>
  <cols>
    <col min="2" max="2" width="32.83203125" customWidth="1"/>
  </cols>
  <sheetData>
    <row r="1" spans="1:21" x14ac:dyDescent="0.2">
      <c r="B1" s="31"/>
      <c r="C1" s="31"/>
      <c r="D1" s="31"/>
      <c r="E1" s="21"/>
      <c r="F1" s="31"/>
      <c r="G1" s="31"/>
      <c r="H1" s="31"/>
      <c r="I1" s="21"/>
      <c r="J1" s="31"/>
      <c r="K1" s="31"/>
      <c r="L1" s="31"/>
      <c r="M1" s="31"/>
      <c r="N1" s="31"/>
      <c r="O1" s="31"/>
      <c r="P1" s="31"/>
      <c r="Q1" s="31"/>
      <c r="R1" s="21"/>
      <c r="S1" s="21"/>
      <c r="T1" s="31"/>
      <c r="U1" s="21"/>
    </row>
    <row r="2" spans="1:21" x14ac:dyDescent="0.2">
      <c r="A2" t="s">
        <v>224</v>
      </c>
      <c r="B2" s="31">
        <v>-647252572</v>
      </c>
    </row>
    <row r="3" spans="1:21" x14ac:dyDescent="0.2">
      <c r="A3" t="s">
        <v>225</v>
      </c>
      <c r="B3" s="31">
        <v>-66242923</v>
      </c>
    </row>
    <row r="4" spans="1:21" x14ac:dyDescent="0.2">
      <c r="A4" t="s">
        <v>226</v>
      </c>
      <c r="B4" s="31">
        <v>-96334075</v>
      </c>
    </row>
    <row r="5" spans="1:21" x14ac:dyDescent="0.2">
      <c r="A5" t="s">
        <v>227</v>
      </c>
      <c r="B5" s="21">
        <v>12888587</v>
      </c>
    </row>
    <row r="6" spans="1:21" x14ac:dyDescent="0.2">
      <c r="A6" t="s">
        <v>228</v>
      </c>
      <c r="B6" s="31">
        <v>-14843271</v>
      </c>
    </row>
    <row r="7" spans="1:21" x14ac:dyDescent="0.2">
      <c r="A7" t="s">
        <v>229</v>
      </c>
      <c r="B7" s="31">
        <v>-7635365</v>
      </c>
    </row>
    <row r="8" spans="1:21" x14ac:dyDescent="0.2">
      <c r="A8" t="s">
        <v>230</v>
      </c>
      <c r="B8" s="31">
        <v>-30006676</v>
      </c>
    </row>
    <row r="9" spans="1:21" x14ac:dyDescent="0.2">
      <c r="A9" t="s">
        <v>231</v>
      </c>
      <c r="B9" s="21">
        <v>17322808</v>
      </c>
    </row>
    <row r="10" spans="1:21" x14ac:dyDescent="0.2">
      <c r="A10" t="s">
        <v>232</v>
      </c>
      <c r="B10" s="31">
        <v>-21628576</v>
      </c>
    </row>
    <row r="11" spans="1:21" x14ac:dyDescent="0.2">
      <c r="A11" t="s">
        <v>233</v>
      </c>
      <c r="B11" s="31">
        <v>-11029205</v>
      </c>
    </row>
    <row r="12" spans="1:21" x14ac:dyDescent="0.2">
      <c r="A12" t="s">
        <v>234</v>
      </c>
      <c r="B12" s="31">
        <v>-35582762</v>
      </c>
    </row>
    <row r="13" spans="1:21" x14ac:dyDescent="0.2">
      <c r="A13" t="s">
        <v>235</v>
      </c>
      <c r="B13" s="31">
        <v>-23111709</v>
      </c>
    </row>
    <row r="14" spans="1:21" x14ac:dyDescent="0.2">
      <c r="A14" t="s">
        <v>236</v>
      </c>
      <c r="B14" s="31">
        <v>-18838079</v>
      </c>
    </row>
    <row r="15" spans="1:21" x14ac:dyDescent="0.2">
      <c r="A15" t="s">
        <v>237</v>
      </c>
      <c r="B15" s="31">
        <v>-26711636</v>
      </c>
    </row>
    <row r="16" spans="1:21" x14ac:dyDescent="0.2">
      <c r="A16" t="s">
        <v>238</v>
      </c>
      <c r="B16" s="31">
        <v>-106457468</v>
      </c>
    </row>
    <row r="17" spans="1:2" x14ac:dyDescent="0.2">
      <c r="A17" t="s">
        <v>239</v>
      </c>
      <c r="B17" s="31">
        <v>-52151675</v>
      </c>
    </row>
    <row r="18" spans="1:2" x14ac:dyDescent="0.2">
      <c r="A18" t="s">
        <v>240</v>
      </c>
      <c r="B18" s="21">
        <v>20712709</v>
      </c>
    </row>
    <row r="19" spans="1:2" x14ac:dyDescent="0.2">
      <c r="A19" t="s">
        <v>241</v>
      </c>
      <c r="B19" s="21">
        <v>4260896</v>
      </c>
    </row>
    <row r="20" spans="1:2" x14ac:dyDescent="0.2">
      <c r="A20" t="s">
        <v>242</v>
      </c>
      <c r="B20" s="31">
        <v>-20878325</v>
      </c>
    </row>
    <row r="21" spans="1:2" x14ac:dyDescent="0.2">
      <c r="A21" t="s">
        <v>243</v>
      </c>
      <c r="B21" s="21">
        <v>39100712</v>
      </c>
    </row>
    <row r="29" spans="1:2" x14ac:dyDescent="0.2">
      <c r="B29" t="s">
        <v>78</v>
      </c>
    </row>
    <row r="30" spans="1:2" x14ac:dyDescent="0.2">
      <c r="A30">
        <v>2019</v>
      </c>
      <c r="B30">
        <v>1.8</v>
      </c>
    </row>
    <row r="31" spans="1:2" x14ac:dyDescent="0.2">
      <c r="A31">
        <v>2020</v>
      </c>
      <c r="B31">
        <v>1.6</v>
      </c>
    </row>
    <row r="32" spans="1:2" x14ac:dyDescent="0.2">
      <c r="A32">
        <v>2021</v>
      </c>
      <c r="B32">
        <v>1.7</v>
      </c>
    </row>
    <row r="33" spans="1:2" x14ac:dyDescent="0.2">
      <c r="A33">
        <v>2022</v>
      </c>
      <c r="B33">
        <v>1.8</v>
      </c>
    </row>
    <row r="34" spans="1:2" x14ac:dyDescent="0.2">
      <c r="A34">
        <v>2023</v>
      </c>
      <c r="B34">
        <v>2.4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D341-B2E2-3647-9C56-AB9070500207}">
  <sheetPr codeName="Sheet17"/>
  <dimension ref="A1:G14"/>
  <sheetViews>
    <sheetView zoomScale="90" workbookViewId="0">
      <selection activeCell="A13" sqref="A13:F14"/>
    </sheetView>
  </sheetViews>
  <sheetFormatPr baseColWidth="10" defaultRowHeight="16" x14ac:dyDescent="0.2"/>
  <cols>
    <col min="1" max="1" width="34" customWidth="1"/>
  </cols>
  <sheetData>
    <row r="1" spans="1:7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2">
      <c r="A2" t="s">
        <v>75</v>
      </c>
      <c r="B2" s="28">
        <v>0.16</v>
      </c>
      <c r="C2" s="28">
        <v>0.08</v>
      </c>
      <c r="D2" s="28">
        <v>0.19</v>
      </c>
      <c r="E2" s="28">
        <v>0.12</v>
      </c>
      <c r="F2" s="28">
        <v>0.3</v>
      </c>
      <c r="G2" s="28">
        <v>0.44</v>
      </c>
    </row>
    <row r="3" spans="1:7" x14ac:dyDescent="0.2">
      <c r="A3" s="22" t="s">
        <v>76</v>
      </c>
      <c r="B3" s="30">
        <v>179.5</v>
      </c>
      <c r="C3" s="30">
        <v>203.1</v>
      </c>
      <c r="D3" s="30">
        <v>232.4</v>
      </c>
      <c r="E3" s="30">
        <v>212.4</v>
      </c>
      <c r="F3" s="30">
        <v>203.8</v>
      </c>
      <c r="G3" s="30">
        <v>155.19999999999999</v>
      </c>
    </row>
    <row r="4" spans="1:7" x14ac:dyDescent="0.2">
      <c r="A4" t="s">
        <v>77</v>
      </c>
      <c r="B4" s="27">
        <v>2.02</v>
      </c>
      <c r="C4" s="27">
        <v>1.83</v>
      </c>
      <c r="D4" s="27">
        <v>2.21</v>
      </c>
      <c r="E4" s="27">
        <v>2.04</v>
      </c>
      <c r="F4" s="27">
        <v>2.4500000000000002</v>
      </c>
      <c r="G4" s="27">
        <v>2.81</v>
      </c>
    </row>
    <row r="13" spans="1:7" x14ac:dyDescent="0.2">
      <c r="B13" t="s">
        <v>61</v>
      </c>
      <c r="C13" t="s">
        <v>62</v>
      </c>
      <c r="D13" t="s">
        <v>63</v>
      </c>
      <c r="E13" t="s">
        <v>64</v>
      </c>
      <c r="F13" t="s">
        <v>65</v>
      </c>
    </row>
    <row r="14" spans="1:7" x14ac:dyDescent="0.2">
      <c r="A14" s="22" t="s">
        <v>76</v>
      </c>
      <c r="B14" s="30">
        <v>203.1</v>
      </c>
      <c r="C14" s="30">
        <v>232.4</v>
      </c>
      <c r="D14" s="30">
        <v>212.4</v>
      </c>
      <c r="E14" s="30">
        <v>203.8</v>
      </c>
      <c r="F14" s="30">
        <v>155.19999999999999</v>
      </c>
    </row>
  </sheetData>
  <hyperlinks>
    <hyperlink ref="C2" r:id="rId1" display="javascript:void(0);" xr:uid="{A53635C9-5B30-8842-BD0E-7C611B4F3931}"/>
    <hyperlink ref="D2" r:id="rId2" display="javascript:void(0);" xr:uid="{282F1190-7CE3-864E-AB61-11CFB583CE67}"/>
    <hyperlink ref="E2" r:id="rId3" display="javascript:void(0);" xr:uid="{E2053EFF-5AE5-C644-B7F8-3DBA5ED5EC0C}"/>
    <hyperlink ref="F2" r:id="rId4" display="javascript:void(0);" xr:uid="{CE981ABE-F1A7-E748-A641-78E16C0F53B0}"/>
    <hyperlink ref="G2" r:id="rId5" display="javascript:void(0);" xr:uid="{72117051-F9D8-0C48-99E7-E512737D7B93}"/>
    <hyperlink ref="B2" r:id="rId6" display="javascript:void(0);" xr:uid="{6D2BA47A-BC75-9144-95A1-673EA0912A4D}"/>
    <hyperlink ref="B3" r:id="rId7" display="javascript:void(0);" xr:uid="{D35F6495-D8BB-8646-826E-A0C807C3E3E3}"/>
    <hyperlink ref="C3" r:id="rId8" display="javascript:void(0);" xr:uid="{BE3E51E5-108D-7C41-9E80-4D0C77069493}"/>
    <hyperlink ref="D3" r:id="rId9" display="javascript:void(0);" xr:uid="{E9A20F34-9C58-0045-A5CB-884F2C60091B}"/>
    <hyperlink ref="E3" r:id="rId10" display="javascript:void(0);" xr:uid="{F790ACBC-368A-2F43-B665-84BED27C0EA7}"/>
    <hyperlink ref="F3" r:id="rId11" display="javascript:void(0);" xr:uid="{28458CA4-63FA-F54D-A269-833BAC82F9B9}"/>
    <hyperlink ref="G3" r:id="rId12" display="javascript:void(0);" xr:uid="{F6576E55-1A3F-5449-997F-A90A03E40578}"/>
    <hyperlink ref="B4" r:id="rId13" display="javascript:void(0);" xr:uid="{40F8227E-5252-C544-8D5C-436C7897901E}"/>
    <hyperlink ref="C4" r:id="rId14" display="javascript:void(0);" xr:uid="{AC2E3BA7-0251-E947-B559-BED02FFFF0FF}"/>
    <hyperlink ref="D4" r:id="rId15" display="javascript:void(0);" xr:uid="{54AE6F3B-418F-8E40-A5FE-C3205D71AD98}"/>
    <hyperlink ref="E4" r:id="rId16" display="javascript:void(0);" xr:uid="{7F6FF87D-044F-E14B-A8F1-699E4B56CEAD}"/>
    <hyperlink ref="F4" r:id="rId17" display="javascript:void(0);" xr:uid="{4F07F40C-CF0A-8743-9131-CECD8CCA58E2}"/>
    <hyperlink ref="G4" r:id="rId18" display="javascript:void(0);" xr:uid="{C522FCC3-8477-DA42-A6D4-421ADC20550B}"/>
    <hyperlink ref="B14" r:id="rId19" display="javascript:void(0);" xr:uid="{B836DF63-2835-EA46-A175-3A58CCF7C6A8}"/>
    <hyperlink ref="C14" r:id="rId20" display="javascript:void(0);" xr:uid="{8C2A7C82-21D6-AB4F-B824-428CDCA74E81}"/>
    <hyperlink ref="D14" r:id="rId21" display="javascript:void(0);" xr:uid="{12D6ED45-3793-7045-96B5-771E2DAEB35D}"/>
    <hyperlink ref="E14" r:id="rId22" display="javascript:void(0);" xr:uid="{A07FC035-84EE-E240-8519-CD462195E87E}"/>
    <hyperlink ref="F14" r:id="rId23" display="javascript:void(0);" xr:uid="{34744465-DC54-E34D-A499-3152F6AC3814}"/>
  </hyperlinks>
  <pageMargins left="0.7" right="0.7" top="0.75" bottom="0.75" header="0.3" footer="0.3"/>
  <drawing r:id="rId2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DD0B-8976-A24E-A3F7-5665F96CCF1E}">
  <sheetPr codeName="Sheet19"/>
  <dimension ref="A1:K15"/>
  <sheetViews>
    <sheetView zoomScale="125" workbookViewId="0">
      <selection activeCell="K3" sqref="K3"/>
    </sheetView>
  </sheetViews>
  <sheetFormatPr baseColWidth="10" defaultRowHeight="16" x14ac:dyDescent="0.2"/>
  <cols>
    <col min="1" max="1" width="28.33203125" customWidth="1"/>
    <col min="7" max="7" width="17.6640625" customWidth="1"/>
    <col min="10" max="10" width="32.6640625" customWidth="1"/>
    <col min="11" max="11" width="29.1640625" customWidth="1"/>
  </cols>
  <sheetData>
    <row r="1" spans="1:11" x14ac:dyDescent="0.2">
      <c r="A1" t="s">
        <v>14</v>
      </c>
    </row>
    <row r="2" spans="1:11" x14ac:dyDescent="0.2">
      <c r="B2">
        <v>2019</v>
      </c>
      <c r="C2">
        <v>2020</v>
      </c>
      <c r="D2">
        <v>2021</v>
      </c>
      <c r="E2">
        <v>2022</v>
      </c>
      <c r="F2">
        <v>2023</v>
      </c>
      <c r="K2" t="s">
        <v>71</v>
      </c>
    </row>
    <row r="3" spans="1:11" x14ac:dyDescent="0.2">
      <c r="A3" t="s">
        <v>15</v>
      </c>
      <c r="B3" s="3">
        <v>0.56699999999999995</v>
      </c>
      <c r="C3" s="3">
        <v>0.58399999999999996</v>
      </c>
      <c r="D3" s="4">
        <v>0.59</v>
      </c>
      <c r="E3" s="3">
        <v>0.61199999999999999</v>
      </c>
      <c r="F3" s="3">
        <v>0.58199999999999996</v>
      </c>
      <c r="J3" t="s">
        <v>15</v>
      </c>
      <c r="K3" s="2">
        <f>((F3/B3)^(1/4))-1</f>
        <v>6.5491384320401913E-3</v>
      </c>
    </row>
    <row r="4" spans="1:11" x14ac:dyDescent="0.2">
      <c r="A4" t="s">
        <v>16</v>
      </c>
      <c r="B4" s="3">
        <v>0.224</v>
      </c>
      <c r="C4" s="3">
        <v>0.155</v>
      </c>
      <c r="D4" s="3">
        <v>0.13400000000000001</v>
      </c>
      <c r="E4" s="4">
        <v>0.12</v>
      </c>
      <c r="F4" s="3">
        <v>8.5999999999999993E-2</v>
      </c>
      <c r="J4" t="s">
        <v>16</v>
      </c>
      <c r="K4" s="2">
        <f>((F4/B4)^(1/4))-1</f>
        <v>-0.21284074099833361</v>
      </c>
    </row>
    <row r="5" spans="1:11" x14ac:dyDescent="0.2">
      <c r="A5" t="s">
        <v>17</v>
      </c>
      <c r="B5" s="3">
        <v>0.191</v>
      </c>
      <c r="C5" s="3">
        <v>0.23899999999999999</v>
      </c>
      <c r="D5" s="3">
        <v>0.251</v>
      </c>
      <c r="E5" s="3">
        <v>0.253</v>
      </c>
      <c r="F5" s="3">
        <v>0.315</v>
      </c>
      <c r="J5" t="s">
        <v>17</v>
      </c>
      <c r="K5" s="2">
        <f>((F5/B5)^(1/4))-1</f>
        <v>0.1332332187949814</v>
      </c>
    </row>
    <row r="6" spans="1:11" x14ac:dyDescent="0.2">
      <c r="A6" t="s">
        <v>19</v>
      </c>
      <c r="B6" s="3">
        <f>1-SUM(B3:B5)</f>
        <v>1.8000000000000016E-2</v>
      </c>
      <c r="C6" s="3">
        <f>1-SUM(C3:C5)</f>
        <v>2.200000000000002E-2</v>
      </c>
      <c r="D6" s="3">
        <v>2.5000000000000001E-2</v>
      </c>
      <c r="E6" s="3">
        <v>1.4999999999999999E-2</v>
      </c>
      <c r="F6" s="3">
        <v>1.7000000000000001E-2</v>
      </c>
      <c r="J6" t="s">
        <v>19</v>
      </c>
      <c r="K6" s="2">
        <f>((F6/B6)^(1/4))-1</f>
        <v>-1.418799164975193E-2</v>
      </c>
    </row>
    <row r="7" spans="1:11" x14ac:dyDescent="0.2">
      <c r="B7" s="3"/>
    </row>
    <row r="10" spans="1:11" x14ac:dyDescent="0.2">
      <c r="A10" t="s">
        <v>18</v>
      </c>
    </row>
    <row r="11" spans="1:11" x14ac:dyDescent="0.2">
      <c r="B11">
        <v>2023</v>
      </c>
      <c r="C11">
        <v>2022</v>
      </c>
      <c r="D11">
        <v>2021</v>
      </c>
      <c r="E11">
        <v>2020</v>
      </c>
      <c r="F11">
        <v>2019</v>
      </c>
    </row>
    <row r="12" spans="1:11" x14ac:dyDescent="0.2">
      <c r="A12" t="s">
        <v>15</v>
      </c>
      <c r="B12">
        <f>C12-C12*0.2%</f>
        <v>5489</v>
      </c>
      <c r="C12">
        <v>5500</v>
      </c>
      <c r="D12">
        <f>C12-C12*79.7%</f>
        <v>1116.5</v>
      </c>
      <c r="E12">
        <f>D12-D12*10.5%</f>
        <v>999.26750000000004</v>
      </c>
    </row>
    <row r="13" spans="1:11" x14ac:dyDescent="0.2">
      <c r="A13" t="s">
        <v>16</v>
      </c>
      <c r="B13">
        <f>C13-C13*25.1%</f>
        <v>711.55</v>
      </c>
      <c r="C13">
        <v>950</v>
      </c>
      <c r="D13">
        <f>C13-C13*56.1%</f>
        <v>417.04999999999995</v>
      </c>
    </row>
    <row r="14" spans="1:11" x14ac:dyDescent="0.2">
      <c r="A14" t="s">
        <v>17</v>
      </c>
      <c r="B14">
        <f>C14+C14*75.2%</f>
        <v>3416.4</v>
      </c>
      <c r="C14">
        <v>1950</v>
      </c>
      <c r="D14">
        <f>C14-C14*74.6%</f>
        <v>495.29999999999995</v>
      </c>
    </row>
    <row r="15" spans="1:11" x14ac:dyDescent="0.2">
      <c r="A15" t="s">
        <v>19</v>
      </c>
      <c r="B15">
        <f>C15-C15*22.7%</f>
        <v>162.33000000000001</v>
      </c>
      <c r="C15">
        <v>210</v>
      </c>
      <c r="D15">
        <f>C15-C15*5.5%</f>
        <v>198.45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625F-96C6-5D48-930C-FD306D8B45D6}">
  <sheetPr codeName="Sheet21"/>
  <dimension ref="A1:E121"/>
  <sheetViews>
    <sheetView zoomScale="150" workbookViewId="0">
      <selection activeCell="A121" sqref="A121"/>
    </sheetView>
  </sheetViews>
  <sheetFormatPr baseColWidth="10" defaultRowHeight="16" x14ac:dyDescent="0.2"/>
  <sheetData>
    <row r="1" spans="1:5" x14ac:dyDescent="0.2">
      <c r="A1" s="5" t="s">
        <v>20</v>
      </c>
      <c r="B1" s="5" t="s">
        <v>21</v>
      </c>
      <c r="C1" s="5" t="s">
        <v>22</v>
      </c>
      <c r="D1" s="6" t="s">
        <v>23</v>
      </c>
      <c r="E1" s="6" t="s">
        <v>24</v>
      </c>
    </row>
    <row r="2" spans="1:5" x14ac:dyDescent="0.2">
      <c r="A2" s="7">
        <v>45351</v>
      </c>
      <c r="B2" s="8">
        <v>89862</v>
      </c>
      <c r="C2" s="9">
        <v>1252.73</v>
      </c>
      <c r="D2" s="10">
        <v>-1.2E-2</v>
      </c>
      <c r="E2" s="10">
        <v>7.5899999999999995E-2</v>
      </c>
    </row>
    <row r="3" spans="1:5" x14ac:dyDescent="0.2">
      <c r="A3" s="7">
        <v>45322</v>
      </c>
      <c r="B3" s="8">
        <v>90956</v>
      </c>
      <c r="C3" s="9">
        <v>1164.31</v>
      </c>
      <c r="D3" s="10">
        <v>6.4000000000000001E-2</v>
      </c>
      <c r="E3" s="10">
        <v>3.04E-2</v>
      </c>
    </row>
    <row r="4" spans="1:5" x14ac:dyDescent="0.2">
      <c r="A4" s="7">
        <v>45291</v>
      </c>
      <c r="B4" s="8">
        <v>85489</v>
      </c>
      <c r="C4" s="9">
        <v>1129.93</v>
      </c>
      <c r="D4" s="10">
        <v>6.83E-2</v>
      </c>
      <c r="E4" s="10">
        <v>3.27E-2</v>
      </c>
    </row>
    <row r="5" spans="1:5" x14ac:dyDescent="0.2">
      <c r="A5" s="7">
        <v>45260</v>
      </c>
      <c r="B5" s="8">
        <v>80021</v>
      </c>
      <c r="C5" s="9">
        <v>1094.1300000000001</v>
      </c>
      <c r="D5" s="10">
        <v>0.1181</v>
      </c>
      <c r="E5" s="10">
        <v>6.4100000000000004E-2</v>
      </c>
    </row>
    <row r="6" spans="1:5" x14ac:dyDescent="0.2">
      <c r="A6" s="7">
        <v>45230</v>
      </c>
      <c r="B6" s="8">
        <v>71572</v>
      </c>
      <c r="C6" s="9">
        <v>1028.19</v>
      </c>
      <c r="D6" s="10">
        <v>-7.6600000000000001E-2</v>
      </c>
      <c r="E6" s="10">
        <v>-0.1091</v>
      </c>
    </row>
    <row r="7" spans="1:5" x14ac:dyDescent="0.2">
      <c r="A7" s="7">
        <v>45199</v>
      </c>
      <c r="B7" s="8">
        <v>77506</v>
      </c>
      <c r="C7" s="9">
        <v>1154.1500000000001</v>
      </c>
      <c r="D7" s="10">
        <v>-2.1100000000000001E-2</v>
      </c>
      <c r="E7" s="10">
        <v>-5.7099999999999998E-2</v>
      </c>
    </row>
    <row r="8" spans="1:5" x14ac:dyDescent="0.2">
      <c r="A8" s="7">
        <v>45169</v>
      </c>
      <c r="B8" s="8">
        <v>79178</v>
      </c>
      <c r="C8" s="9">
        <v>1224.05</v>
      </c>
      <c r="D8" s="10">
        <v>-3.0099999999999998E-2</v>
      </c>
      <c r="E8" s="10">
        <v>8.9999999999999998E-4</v>
      </c>
    </row>
    <row r="9" spans="1:5" x14ac:dyDescent="0.2">
      <c r="A9" s="7">
        <v>45138</v>
      </c>
      <c r="B9" s="8">
        <v>81637</v>
      </c>
      <c r="C9" s="9">
        <v>1222.9000000000001</v>
      </c>
      <c r="D9" s="10">
        <v>0.1067</v>
      </c>
      <c r="E9" s="10">
        <v>9.1700000000000004E-2</v>
      </c>
    </row>
    <row r="10" spans="1:5" x14ac:dyDescent="0.2">
      <c r="A10" s="7">
        <v>45107</v>
      </c>
      <c r="B10" s="8">
        <v>73768</v>
      </c>
      <c r="C10" s="9">
        <v>1120.18</v>
      </c>
      <c r="D10" s="10">
        <v>6.6699999999999995E-2</v>
      </c>
      <c r="E10" s="10">
        <v>4.19E-2</v>
      </c>
    </row>
    <row r="11" spans="1:5" x14ac:dyDescent="0.2">
      <c r="A11" s="7">
        <v>45077</v>
      </c>
      <c r="B11" s="8">
        <v>69156</v>
      </c>
      <c r="C11" s="9">
        <v>1075.17</v>
      </c>
      <c r="D11" s="10">
        <v>-7.9200000000000007E-2</v>
      </c>
      <c r="E11" s="10">
        <v>2.4799999999999999E-2</v>
      </c>
    </row>
    <row r="12" spans="1:5" x14ac:dyDescent="0.2">
      <c r="A12" s="7">
        <v>45046</v>
      </c>
      <c r="B12" s="8">
        <v>75106</v>
      </c>
      <c r="C12" s="9">
        <v>1049.1199999999999</v>
      </c>
      <c r="D12" s="10">
        <v>-8.9999999999999993E-3</v>
      </c>
      <c r="E12" s="10">
        <v>-1.46E-2</v>
      </c>
    </row>
    <row r="13" spans="1:5" x14ac:dyDescent="0.2">
      <c r="A13" s="7">
        <v>45016</v>
      </c>
      <c r="B13" s="8">
        <v>75789</v>
      </c>
      <c r="C13" s="9">
        <v>1064.6400000000001</v>
      </c>
      <c r="D13" s="10">
        <v>1.04E-2</v>
      </c>
      <c r="E13" s="10">
        <v>3.9E-2</v>
      </c>
    </row>
    <row r="14" spans="1:5" x14ac:dyDescent="0.2">
      <c r="A14" s="7">
        <v>44985</v>
      </c>
      <c r="B14" s="8">
        <v>75009</v>
      </c>
      <c r="C14" s="9">
        <v>1024.68</v>
      </c>
      <c r="D14" s="10">
        <v>-0.14749999999999999</v>
      </c>
      <c r="E14" s="10">
        <v>-7.7799999999999994E-2</v>
      </c>
    </row>
    <row r="15" spans="1:5" x14ac:dyDescent="0.2">
      <c r="A15" s="7">
        <v>44957</v>
      </c>
      <c r="B15" s="8">
        <v>87981</v>
      </c>
      <c r="C15" s="9">
        <v>1111.18</v>
      </c>
      <c r="D15" s="10">
        <v>1.01E-2</v>
      </c>
      <c r="E15" s="10">
        <v>0.10340000000000001</v>
      </c>
    </row>
    <row r="16" spans="1:5" x14ac:dyDescent="0.2">
      <c r="A16" s="7">
        <v>44926</v>
      </c>
      <c r="B16" s="8">
        <v>87101</v>
      </c>
      <c r="C16" s="9">
        <v>1007.09</v>
      </c>
      <c r="D16" s="10">
        <v>5.6099999999999997E-2</v>
      </c>
      <c r="E16" s="10">
        <v>-3.9399999999999998E-2</v>
      </c>
    </row>
    <row r="17" spans="1:5" x14ac:dyDescent="0.2">
      <c r="A17" s="7">
        <v>44895</v>
      </c>
      <c r="B17" s="8">
        <v>82475</v>
      </c>
      <c r="C17" s="9">
        <v>1048.42</v>
      </c>
      <c r="D17" s="10">
        <v>9.8699999999999996E-2</v>
      </c>
      <c r="E17" s="10">
        <v>1.9900000000000001E-2</v>
      </c>
    </row>
    <row r="18" spans="1:5" x14ac:dyDescent="0.2">
      <c r="A18" s="7">
        <v>44865</v>
      </c>
      <c r="B18" s="8">
        <v>75063</v>
      </c>
      <c r="C18" s="9">
        <v>1027.94</v>
      </c>
      <c r="D18" s="10">
        <v>-2.7099999999999999E-2</v>
      </c>
      <c r="E18" s="10">
        <v>-9.1999999999999998E-2</v>
      </c>
    </row>
    <row r="19" spans="1:5" x14ac:dyDescent="0.2">
      <c r="A19" s="7">
        <v>44834</v>
      </c>
      <c r="B19" s="8">
        <v>77151</v>
      </c>
      <c r="C19" s="9">
        <v>1132.1099999999999</v>
      </c>
      <c r="D19" s="10">
        <v>-6.7900000000000002E-2</v>
      </c>
      <c r="E19" s="10">
        <v>-0.1159</v>
      </c>
    </row>
    <row r="20" spans="1:5" x14ac:dyDescent="0.2">
      <c r="A20" s="7">
        <v>44804</v>
      </c>
      <c r="B20" s="8">
        <v>82775</v>
      </c>
      <c r="C20" s="9">
        <v>1280.51</v>
      </c>
      <c r="D20" s="10">
        <v>7.0000000000000001E-3</v>
      </c>
      <c r="E20" s="10">
        <v>6.1499999999999999E-2</v>
      </c>
    </row>
    <row r="21" spans="1:5" x14ac:dyDescent="0.2">
      <c r="A21" s="7">
        <v>44773</v>
      </c>
      <c r="B21" s="8">
        <v>82198</v>
      </c>
      <c r="C21" s="9">
        <v>1206.33</v>
      </c>
      <c r="D21" s="10">
        <v>-0.1128</v>
      </c>
      <c r="E21" s="10">
        <v>7.3000000000000001E-3</v>
      </c>
    </row>
    <row r="22" spans="1:5" x14ac:dyDescent="0.2">
      <c r="A22" s="7">
        <v>44742</v>
      </c>
      <c r="B22" s="8">
        <v>92653</v>
      </c>
      <c r="C22" s="9">
        <v>1197.5999999999999</v>
      </c>
      <c r="D22" s="10">
        <v>0.1242</v>
      </c>
      <c r="E22" s="10">
        <v>-7.3599999999999999E-2</v>
      </c>
    </row>
    <row r="23" spans="1:5" x14ac:dyDescent="0.2">
      <c r="A23" s="7">
        <v>44712</v>
      </c>
      <c r="B23" s="8">
        <v>82419</v>
      </c>
      <c r="C23" s="9">
        <v>1292.68</v>
      </c>
      <c r="D23" s="10">
        <v>6.3899999999999998E-2</v>
      </c>
      <c r="E23" s="10">
        <v>-5.4199999999999998E-2</v>
      </c>
    </row>
    <row r="24" spans="1:5" x14ac:dyDescent="0.2">
      <c r="A24" s="7">
        <v>44681</v>
      </c>
      <c r="B24" s="8">
        <v>77469</v>
      </c>
      <c r="C24" s="9">
        <v>1366.8</v>
      </c>
      <c r="D24" s="10">
        <v>-2.2599999999999999E-2</v>
      </c>
      <c r="E24" s="10">
        <v>-8.4000000000000005E-2</v>
      </c>
    </row>
    <row r="25" spans="1:5" x14ac:dyDescent="0.2">
      <c r="A25" s="7">
        <v>44651</v>
      </c>
      <c r="B25" s="8">
        <v>79262</v>
      </c>
      <c r="C25" s="9">
        <v>1492.15</v>
      </c>
      <c r="D25" s="10">
        <v>7.8899999999999998E-2</v>
      </c>
      <c r="E25" s="10">
        <v>1.4E-3</v>
      </c>
    </row>
    <row r="26" spans="1:5" x14ac:dyDescent="0.2">
      <c r="A26" s="7">
        <v>44620</v>
      </c>
      <c r="B26" s="8">
        <v>73465</v>
      </c>
      <c r="C26" s="9">
        <v>1490.13</v>
      </c>
      <c r="D26" s="10">
        <v>-9.5999999999999992E-3</v>
      </c>
      <c r="E26" s="10">
        <v>7.6E-3</v>
      </c>
    </row>
    <row r="27" spans="1:5" x14ac:dyDescent="0.2">
      <c r="A27" s="7">
        <v>44592</v>
      </c>
      <c r="B27" s="8">
        <v>74179</v>
      </c>
      <c r="C27" s="9">
        <v>1478.96</v>
      </c>
      <c r="D27" s="10">
        <v>8.1100000000000005E-2</v>
      </c>
      <c r="E27" s="10">
        <v>-1.29E-2</v>
      </c>
    </row>
    <row r="28" spans="1:5" x14ac:dyDescent="0.2">
      <c r="A28" s="7">
        <v>44561</v>
      </c>
      <c r="B28" s="8">
        <v>68615</v>
      </c>
      <c r="C28" s="9">
        <v>1498.28</v>
      </c>
      <c r="D28" s="10">
        <v>-1.12E-2</v>
      </c>
      <c r="E28" s="10">
        <v>1.34E-2</v>
      </c>
    </row>
    <row r="29" spans="1:5" x14ac:dyDescent="0.2">
      <c r="A29" s="7">
        <v>44530</v>
      </c>
      <c r="B29" s="8">
        <v>69394</v>
      </c>
      <c r="C29" s="9">
        <v>1478.44</v>
      </c>
      <c r="D29" s="10">
        <v>-5.8700000000000002E-2</v>
      </c>
      <c r="E29" s="10">
        <v>2.3699999999999999E-2</v>
      </c>
    </row>
    <row r="30" spans="1:5" x14ac:dyDescent="0.2">
      <c r="A30" s="7">
        <v>44500</v>
      </c>
      <c r="B30" s="8">
        <v>73718</v>
      </c>
      <c r="C30" s="9">
        <v>1444.27</v>
      </c>
      <c r="D30" s="10">
        <v>5.3699999999999998E-2</v>
      </c>
      <c r="E30" s="10">
        <v>7.6200000000000004E-2</v>
      </c>
    </row>
    <row r="31" spans="1:5" x14ac:dyDescent="0.2">
      <c r="A31" s="7">
        <v>44469</v>
      </c>
      <c r="B31" s="8">
        <v>69961</v>
      </c>
      <c r="C31" s="9">
        <v>1342.06</v>
      </c>
      <c r="D31" s="10">
        <v>0.1477</v>
      </c>
      <c r="E31" s="10">
        <v>8.0000000000000002E-3</v>
      </c>
    </row>
    <row r="32" spans="1:5" x14ac:dyDescent="0.2">
      <c r="A32" s="7">
        <v>44439</v>
      </c>
      <c r="B32" s="8">
        <v>60959</v>
      </c>
      <c r="C32" s="9">
        <v>1331.47</v>
      </c>
      <c r="D32" s="10">
        <v>-0.1023</v>
      </c>
      <c r="E32" s="10">
        <v>1.6400000000000001E-2</v>
      </c>
    </row>
    <row r="33" spans="1:5" x14ac:dyDescent="0.2">
      <c r="A33" s="7">
        <v>44408</v>
      </c>
      <c r="B33" s="8">
        <v>67905</v>
      </c>
      <c r="C33" s="9">
        <v>1310.05</v>
      </c>
      <c r="D33" s="10">
        <v>-4.2999999999999997E-2</v>
      </c>
      <c r="E33" s="10">
        <v>-6.9900000000000004E-2</v>
      </c>
    </row>
    <row r="34" spans="1:5" x14ac:dyDescent="0.2">
      <c r="A34" s="7">
        <v>44377</v>
      </c>
      <c r="B34" s="8">
        <v>70953</v>
      </c>
      <c r="C34" s="9">
        <v>1408.55</v>
      </c>
      <c r="D34" s="10">
        <v>-7.9000000000000008E-3</v>
      </c>
      <c r="E34" s="10">
        <v>6.0600000000000001E-2</v>
      </c>
    </row>
    <row r="35" spans="1:5" x14ac:dyDescent="0.2">
      <c r="A35" s="7">
        <v>44347</v>
      </c>
      <c r="B35" s="8">
        <v>71520</v>
      </c>
      <c r="C35" s="9">
        <v>1328.05</v>
      </c>
      <c r="D35" s="10">
        <v>2.9600000000000001E-2</v>
      </c>
      <c r="E35" s="10">
        <v>7.1499999999999994E-2</v>
      </c>
    </row>
    <row r="36" spans="1:5" x14ac:dyDescent="0.2">
      <c r="A36" s="7">
        <v>44316</v>
      </c>
      <c r="B36" s="8">
        <v>69465</v>
      </c>
      <c r="C36" s="9">
        <v>1239.3900000000001</v>
      </c>
      <c r="D36" s="10">
        <v>0.1598</v>
      </c>
      <c r="E36" s="10">
        <v>4.02E-2</v>
      </c>
    </row>
    <row r="37" spans="1:5" x14ac:dyDescent="0.2">
      <c r="A37" s="7">
        <v>44286</v>
      </c>
      <c r="B37" s="8">
        <v>59896</v>
      </c>
      <c r="C37" s="9">
        <v>1191.44</v>
      </c>
      <c r="D37" s="10">
        <v>4.8999999999999998E-3</v>
      </c>
      <c r="E37" s="10">
        <v>1.9699999999999999E-2</v>
      </c>
    </row>
    <row r="38" spans="1:5" x14ac:dyDescent="0.2">
      <c r="A38" s="7">
        <v>44255</v>
      </c>
      <c r="B38" s="8">
        <v>59603</v>
      </c>
      <c r="C38" s="9">
        <v>1168.47</v>
      </c>
      <c r="D38" s="10">
        <v>2.1700000000000001E-2</v>
      </c>
      <c r="E38" s="10">
        <v>0.10589999999999999</v>
      </c>
    </row>
    <row r="39" spans="1:5" x14ac:dyDescent="0.2">
      <c r="A39" s="7">
        <v>44227</v>
      </c>
      <c r="B39" s="8">
        <v>58340</v>
      </c>
      <c r="C39" s="9">
        <v>1056.6099999999999</v>
      </c>
      <c r="D39" s="10">
        <v>2.5899999999999999E-2</v>
      </c>
      <c r="E39" s="10">
        <v>-4.2799999999999998E-2</v>
      </c>
    </row>
    <row r="40" spans="1:5" x14ac:dyDescent="0.2">
      <c r="A40" s="7">
        <v>44196</v>
      </c>
      <c r="B40" s="8">
        <v>56865</v>
      </c>
      <c r="C40" s="9">
        <v>1103.8699999999999</v>
      </c>
      <c r="D40" s="10">
        <v>4.7800000000000002E-2</v>
      </c>
      <c r="E40" s="10">
        <v>0.10050000000000001</v>
      </c>
    </row>
    <row r="41" spans="1:5" x14ac:dyDescent="0.2">
      <c r="A41" s="7">
        <v>44165</v>
      </c>
      <c r="B41" s="8">
        <v>54271</v>
      </c>
      <c r="C41" s="9">
        <v>1003.08</v>
      </c>
      <c r="D41" s="10">
        <v>0.12089999999999999</v>
      </c>
      <c r="E41" s="10">
        <v>8.3900000000000002E-2</v>
      </c>
    </row>
    <row r="42" spans="1:5" x14ac:dyDescent="0.2">
      <c r="A42" s="7">
        <v>44135</v>
      </c>
      <c r="B42" s="8">
        <v>48419</v>
      </c>
      <c r="C42" s="11">
        <v>925.47</v>
      </c>
      <c r="D42" s="10">
        <v>0.14119999999999999</v>
      </c>
      <c r="E42" s="10">
        <v>2.24E-2</v>
      </c>
    </row>
    <row r="43" spans="1:5" x14ac:dyDescent="0.2">
      <c r="A43" s="7">
        <v>44104</v>
      </c>
      <c r="B43" s="8">
        <v>42428</v>
      </c>
      <c r="C43" s="11">
        <v>905.21</v>
      </c>
      <c r="D43" s="10">
        <v>1.4999999999999999E-2</v>
      </c>
      <c r="E43" s="10">
        <v>2.6700000000000002E-2</v>
      </c>
    </row>
    <row r="44" spans="1:5" x14ac:dyDescent="0.2">
      <c r="A44" s="7">
        <v>44074</v>
      </c>
      <c r="B44" s="8">
        <v>41801</v>
      </c>
      <c r="C44" s="11">
        <v>881.65</v>
      </c>
      <c r="D44" s="10">
        <v>0.1628</v>
      </c>
      <c r="E44" s="10">
        <v>0.1043</v>
      </c>
    </row>
    <row r="45" spans="1:5" x14ac:dyDescent="0.2">
      <c r="A45" s="7">
        <v>44043</v>
      </c>
      <c r="B45" s="8">
        <v>35949</v>
      </c>
      <c r="C45" s="11">
        <v>798.39</v>
      </c>
      <c r="D45" s="10">
        <v>-0.10100000000000001</v>
      </c>
      <c r="E45" s="10">
        <v>-3.2399999999999998E-2</v>
      </c>
    </row>
    <row r="46" spans="1:5" x14ac:dyDescent="0.2">
      <c r="A46" s="7">
        <v>44012</v>
      </c>
      <c r="B46" s="8">
        <v>39989</v>
      </c>
      <c r="C46" s="11">
        <v>825.11</v>
      </c>
      <c r="D46" s="10">
        <v>-9.0300000000000005E-2</v>
      </c>
      <c r="E46" s="10">
        <v>-4.5499999999999999E-2</v>
      </c>
    </row>
    <row r="47" spans="1:5" x14ac:dyDescent="0.2">
      <c r="A47" s="7">
        <v>43982</v>
      </c>
      <c r="B47" s="8">
        <v>43960</v>
      </c>
      <c r="C47" s="11">
        <v>864.47</v>
      </c>
      <c r="D47" s="10">
        <v>0.109</v>
      </c>
      <c r="E47" s="10">
        <v>0.124</v>
      </c>
    </row>
    <row r="48" spans="1:5" x14ac:dyDescent="0.2">
      <c r="A48" s="7">
        <v>43951</v>
      </c>
      <c r="B48" s="8">
        <v>39641</v>
      </c>
      <c r="C48" s="11">
        <v>769.11</v>
      </c>
      <c r="D48" s="10">
        <v>0.2397</v>
      </c>
      <c r="E48" s="10">
        <v>0.16089999999999999</v>
      </c>
    </row>
    <row r="49" spans="1:5" x14ac:dyDescent="0.2">
      <c r="A49" s="7">
        <v>43921</v>
      </c>
      <c r="B49" s="8">
        <v>31977</v>
      </c>
      <c r="C49" s="11">
        <v>662.53</v>
      </c>
      <c r="D49" s="10">
        <v>-0.4259</v>
      </c>
      <c r="E49" s="10">
        <v>-0.249</v>
      </c>
    </row>
    <row r="50" spans="1:5" x14ac:dyDescent="0.2">
      <c r="A50" s="7">
        <v>43890</v>
      </c>
      <c r="B50" s="8">
        <v>55705</v>
      </c>
      <c r="C50" s="11">
        <v>882.19</v>
      </c>
      <c r="D50" s="10">
        <v>-3.0800000000000001E-2</v>
      </c>
      <c r="E50" s="10">
        <v>-5.8099999999999999E-2</v>
      </c>
    </row>
    <row r="51" spans="1:5" x14ac:dyDescent="0.2">
      <c r="A51" s="7">
        <v>43861</v>
      </c>
      <c r="B51" s="8">
        <v>57478</v>
      </c>
      <c r="C51" s="11">
        <v>936.62</v>
      </c>
      <c r="D51" s="10">
        <v>-1.9800000000000002E-2</v>
      </c>
      <c r="E51" s="10">
        <v>-2.5399999999999999E-2</v>
      </c>
    </row>
    <row r="52" spans="1:5" x14ac:dyDescent="0.2">
      <c r="A52" s="7">
        <v>43830</v>
      </c>
      <c r="B52" s="8">
        <v>58637</v>
      </c>
      <c r="C52" s="11">
        <v>960.99</v>
      </c>
      <c r="D52" s="10">
        <v>5.91E-2</v>
      </c>
      <c r="E52" s="10">
        <v>-1.01E-2</v>
      </c>
    </row>
    <row r="53" spans="1:5" x14ac:dyDescent="0.2">
      <c r="A53" s="7">
        <v>43799</v>
      </c>
      <c r="B53" s="8">
        <v>55364</v>
      </c>
      <c r="C53" s="11">
        <v>970.75</v>
      </c>
      <c r="D53" s="10">
        <v>-2.52E-2</v>
      </c>
      <c r="E53" s="10">
        <v>-2.81E-2</v>
      </c>
    </row>
    <row r="54" spans="1:5" x14ac:dyDescent="0.2">
      <c r="A54" s="7">
        <v>43769</v>
      </c>
      <c r="B54" s="8">
        <v>56796</v>
      </c>
      <c r="C54" s="11">
        <v>998.82</v>
      </c>
      <c r="D54" s="10">
        <v>3.61E-2</v>
      </c>
      <c r="E54" s="10">
        <v>2.3E-3</v>
      </c>
    </row>
    <row r="55" spans="1:5" x14ac:dyDescent="0.2">
      <c r="A55" s="7">
        <v>43738</v>
      </c>
      <c r="B55" s="8">
        <v>54818</v>
      </c>
      <c r="C55" s="11">
        <v>996.56</v>
      </c>
      <c r="D55" s="10">
        <v>-2.1899999999999999E-2</v>
      </c>
      <c r="E55" s="10">
        <v>1.2699999999999999E-2</v>
      </c>
    </row>
    <row r="56" spans="1:5" x14ac:dyDescent="0.2">
      <c r="A56" s="7">
        <v>43708</v>
      </c>
      <c r="B56" s="8">
        <v>56046</v>
      </c>
      <c r="C56" s="11">
        <v>984.06</v>
      </c>
      <c r="D56" s="10">
        <v>7.0300000000000001E-2</v>
      </c>
      <c r="E56" s="10">
        <v>-7.7000000000000002E-3</v>
      </c>
    </row>
    <row r="57" spans="1:5" x14ac:dyDescent="0.2">
      <c r="A57" s="7">
        <v>43677</v>
      </c>
      <c r="B57" s="8">
        <v>52364</v>
      </c>
      <c r="C57" s="11">
        <v>991.66</v>
      </c>
      <c r="D57" s="10">
        <v>6.3100000000000003E-2</v>
      </c>
      <c r="E57" s="10">
        <v>4.3900000000000002E-2</v>
      </c>
    </row>
    <row r="58" spans="1:5" x14ac:dyDescent="0.2">
      <c r="A58" s="7">
        <v>43646</v>
      </c>
      <c r="B58" s="8">
        <v>49256</v>
      </c>
      <c r="C58" s="11">
        <v>949.94</v>
      </c>
      <c r="D58" s="10">
        <v>-5.5899999999999998E-2</v>
      </c>
      <c r="E58" s="10">
        <v>-1.04E-2</v>
      </c>
    </row>
    <row r="59" spans="1:5" x14ac:dyDescent="0.2">
      <c r="A59" s="7">
        <v>43616</v>
      </c>
      <c r="B59" s="8">
        <v>52174</v>
      </c>
      <c r="C59" s="11">
        <v>959.88</v>
      </c>
      <c r="D59" s="10">
        <v>3.1899999999999998E-2</v>
      </c>
      <c r="E59" s="10">
        <v>-2.0199999999999999E-2</v>
      </c>
    </row>
    <row r="60" spans="1:5" x14ac:dyDescent="0.2">
      <c r="A60" s="7">
        <v>43585</v>
      </c>
      <c r="B60" s="8">
        <v>50562</v>
      </c>
      <c r="C60" s="11">
        <v>979.64</v>
      </c>
      <c r="D60" s="10">
        <v>6.0000000000000001E-3</v>
      </c>
      <c r="E60" s="10">
        <v>-1.1000000000000001E-3</v>
      </c>
    </row>
    <row r="61" spans="1:5" x14ac:dyDescent="0.2">
      <c r="A61" s="7">
        <v>43555</v>
      </c>
      <c r="B61" s="8">
        <v>50259</v>
      </c>
      <c r="C61" s="11">
        <v>980.76</v>
      </c>
      <c r="D61" s="10">
        <v>3.2199999999999999E-2</v>
      </c>
      <c r="E61" s="10">
        <v>1.5800000000000002E-2</v>
      </c>
    </row>
    <row r="62" spans="1:5" x14ac:dyDescent="0.2">
      <c r="A62" s="7">
        <v>43524</v>
      </c>
      <c r="B62" s="8">
        <v>48693</v>
      </c>
      <c r="C62" s="11">
        <v>965.47</v>
      </c>
      <c r="D62" s="10">
        <v>1.47E-2</v>
      </c>
      <c r="E62" s="10">
        <v>6.0199999999999997E-2</v>
      </c>
    </row>
    <row r="63" spans="1:5" x14ac:dyDescent="0.2">
      <c r="A63" s="7">
        <v>43496</v>
      </c>
      <c r="B63" s="8">
        <v>47986</v>
      </c>
      <c r="C63" s="11">
        <v>910.65</v>
      </c>
      <c r="D63" s="10">
        <v>1.9300000000000001E-2</v>
      </c>
      <c r="E63" s="10">
        <v>2.0299999999999999E-2</v>
      </c>
    </row>
    <row r="64" spans="1:5" x14ac:dyDescent="0.2">
      <c r="A64" s="7">
        <v>43465</v>
      </c>
      <c r="B64" s="8">
        <v>47077</v>
      </c>
      <c r="C64" s="11">
        <v>892.54</v>
      </c>
      <c r="D64" s="10">
        <v>2.06E-2</v>
      </c>
      <c r="E64" s="10">
        <v>-3.6700000000000003E-2</v>
      </c>
    </row>
    <row r="65" spans="1:5" x14ac:dyDescent="0.2">
      <c r="A65" s="7">
        <v>43434</v>
      </c>
      <c r="B65" s="8">
        <v>46129</v>
      </c>
      <c r="C65" s="11">
        <v>926.54</v>
      </c>
      <c r="D65" s="10">
        <v>-5.0500000000000003E-2</v>
      </c>
      <c r="E65" s="10">
        <v>1.29E-2</v>
      </c>
    </row>
    <row r="66" spans="1:5" x14ac:dyDescent="0.2">
      <c r="A66" s="7">
        <v>43404</v>
      </c>
      <c r="B66" s="8">
        <v>48583</v>
      </c>
      <c r="C66" s="11">
        <v>914.76</v>
      </c>
      <c r="D66" s="10">
        <v>-8.0600000000000005E-2</v>
      </c>
      <c r="E66" s="10">
        <v>-0.10059999999999999</v>
      </c>
    </row>
    <row r="67" spans="1:5" x14ac:dyDescent="0.2">
      <c r="A67" s="7">
        <v>43373</v>
      </c>
      <c r="B67" s="8">
        <v>52840</v>
      </c>
      <c r="C67" s="9">
        <v>1017.13</v>
      </c>
      <c r="D67" s="10">
        <v>2.3300000000000001E-2</v>
      </c>
      <c r="E67" s="10">
        <v>2.7900000000000001E-2</v>
      </c>
    </row>
    <row r="68" spans="1:5" x14ac:dyDescent="0.2">
      <c r="A68" s="7">
        <v>43343</v>
      </c>
      <c r="B68" s="8">
        <v>51638</v>
      </c>
      <c r="C68" s="11">
        <v>989.54</v>
      </c>
      <c r="D68" s="10">
        <v>8.0100000000000005E-2</v>
      </c>
      <c r="E68" s="10">
        <v>3.4700000000000002E-2</v>
      </c>
    </row>
    <row r="69" spans="1:5" x14ac:dyDescent="0.2">
      <c r="A69" s="7">
        <v>43312</v>
      </c>
      <c r="B69" s="8">
        <v>47808</v>
      </c>
      <c r="C69" s="11">
        <v>956.39</v>
      </c>
      <c r="D69" s="10">
        <v>0.10920000000000001</v>
      </c>
      <c r="E69" s="10">
        <v>-4.5999999999999999E-3</v>
      </c>
    </row>
    <row r="70" spans="1:5" x14ac:dyDescent="0.2">
      <c r="A70" s="7">
        <v>43281</v>
      </c>
      <c r="B70" s="8">
        <v>43101</v>
      </c>
      <c r="C70" s="11">
        <v>960.78</v>
      </c>
      <c r="D70" s="10">
        <v>-0.21859999999999999</v>
      </c>
      <c r="E70" s="10">
        <v>-1.0800000000000001E-2</v>
      </c>
    </row>
    <row r="71" spans="1:5" x14ac:dyDescent="0.2">
      <c r="A71" s="7">
        <v>43251</v>
      </c>
      <c r="B71" s="8">
        <v>55156</v>
      </c>
      <c r="C71" s="11">
        <v>971.25</v>
      </c>
      <c r="D71" s="10">
        <v>-2.23E-2</v>
      </c>
      <c r="E71" s="10">
        <v>-7.5200000000000003E-2</v>
      </c>
    </row>
    <row r="72" spans="1:5" x14ac:dyDescent="0.2">
      <c r="A72" s="7">
        <v>43220</v>
      </c>
      <c r="B72" s="8">
        <v>56416</v>
      </c>
      <c r="C72" s="9">
        <v>1050.26</v>
      </c>
      <c r="D72" s="10">
        <v>-0.1699</v>
      </c>
      <c r="E72" s="10">
        <v>-0.10580000000000001</v>
      </c>
    </row>
    <row r="73" spans="1:5" x14ac:dyDescent="0.2">
      <c r="A73" s="7">
        <v>43190</v>
      </c>
      <c r="B73" s="8">
        <v>67963</v>
      </c>
      <c r="C73" s="9">
        <v>1174.46</v>
      </c>
      <c r="D73" s="10">
        <v>0.23580000000000001</v>
      </c>
      <c r="E73" s="10">
        <v>4.7199999999999999E-2</v>
      </c>
    </row>
    <row r="74" spans="1:5" x14ac:dyDescent="0.2">
      <c r="A74" s="7">
        <v>43159</v>
      </c>
      <c r="B74" s="8">
        <v>54997</v>
      </c>
      <c r="C74" s="9">
        <v>1121.54</v>
      </c>
      <c r="D74" s="10">
        <v>0.1188</v>
      </c>
      <c r="E74" s="10">
        <v>1.01E-2</v>
      </c>
    </row>
    <row r="75" spans="1:5" x14ac:dyDescent="0.2">
      <c r="A75" s="7">
        <v>43131</v>
      </c>
      <c r="B75" s="8">
        <v>49157</v>
      </c>
      <c r="C75" s="9">
        <v>1110.3599999999999</v>
      </c>
      <c r="D75" s="10">
        <v>8.7599999999999997E-2</v>
      </c>
      <c r="E75" s="10">
        <v>0.12809999999999999</v>
      </c>
    </row>
    <row r="76" spans="1:5" x14ac:dyDescent="0.2">
      <c r="A76" s="7">
        <v>43100</v>
      </c>
      <c r="B76" s="8">
        <v>45198</v>
      </c>
      <c r="C76" s="11">
        <v>984.24</v>
      </c>
      <c r="D76" s="10">
        <v>0.10630000000000001</v>
      </c>
      <c r="E76" s="10">
        <v>3.61E-2</v>
      </c>
    </row>
    <row r="77" spans="1:5" x14ac:dyDescent="0.2">
      <c r="A77" s="7">
        <v>43069</v>
      </c>
      <c r="B77" s="8">
        <v>40856</v>
      </c>
      <c r="C77" s="11">
        <v>949.93</v>
      </c>
      <c r="D77" s="10">
        <v>0.158</v>
      </c>
      <c r="E77" s="10">
        <v>0.13450000000000001</v>
      </c>
    </row>
    <row r="78" spans="1:5" x14ac:dyDescent="0.2">
      <c r="A78" s="7">
        <v>43039</v>
      </c>
      <c r="B78" s="8">
        <v>35282</v>
      </c>
      <c r="C78" s="11">
        <v>837.28</v>
      </c>
      <c r="D78" s="10">
        <v>-5.45E-2</v>
      </c>
      <c r="E78" s="10">
        <v>4.0800000000000003E-2</v>
      </c>
    </row>
    <row r="79" spans="1:5" x14ac:dyDescent="0.2">
      <c r="A79" s="7">
        <v>43008</v>
      </c>
      <c r="B79" s="8">
        <v>37315</v>
      </c>
      <c r="C79" s="11">
        <v>804.42</v>
      </c>
      <c r="D79" s="10">
        <v>5.8599999999999999E-2</v>
      </c>
      <c r="E79" s="10">
        <v>2.7699999999999999E-2</v>
      </c>
    </row>
    <row r="80" spans="1:5" x14ac:dyDescent="0.2">
      <c r="A80" s="7">
        <v>42978</v>
      </c>
      <c r="B80" s="8">
        <v>35249</v>
      </c>
      <c r="C80" s="11">
        <v>782.76</v>
      </c>
      <c r="D80" s="10">
        <v>4.4499999999999998E-2</v>
      </c>
      <c r="E80" s="10">
        <v>-1E-3</v>
      </c>
    </row>
    <row r="81" spans="1:5" x14ac:dyDescent="0.2">
      <c r="A81" s="7">
        <v>42947</v>
      </c>
      <c r="B81" s="8">
        <v>33749</v>
      </c>
      <c r="C81" s="11">
        <v>783.55</v>
      </c>
      <c r="D81" s="10">
        <v>2.06E-2</v>
      </c>
      <c r="E81" s="10">
        <v>9.1000000000000004E-3</v>
      </c>
    </row>
    <row r="82" spans="1:5" x14ac:dyDescent="0.2">
      <c r="A82" s="7">
        <v>42916</v>
      </c>
      <c r="B82" s="8">
        <v>33067</v>
      </c>
      <c r="C82" s="11">
        <v>776.47</v>
      </c>
      <c r="D82" s="10">
        <v>6.8199999999999997E-2</v>
      </c>
      <c r="E82" s="10">
        <v>5.2400000000000002E-2</v>
      </c>
    </row>
    <row r="83" spans="1:5" x14ac:dyDescent="0.2">
      <c r="A83" s="7">
        <v>42886</v>
      </c>
      <c r="B83" s="8">
        <v>30955</v>
      </c>
      <c r="C83" s="11">
        <v>737.82</v>
      </c>
      <c r="D83" s="10">
        <v>9.3899999999999997E-2</v>
      </c>
      <c r="E83" s="10">
        <v>2.8000000000000001E-2</v>
      </c>
    </row>
    <row r="84" spans="1:5" x14ac:dyDescent="0.2">
      <c r="A84" s="7">
        <v>42855</v>
      </c>
      <c r="B84" s="8">
        <v>28299</v>
      </c>
      <c r="C84" s="11">
        <v>717.73</v>
      </c>
      <c r="D84" s="10">
        <v>0.15959999999999999</v>
      </c>
      <c r="E84" s="10">
        <v>-6.3E-3</v>
      </c>
    </row>
    <row r="85" spans="1:5" x14ac:dyDescent="0.2">
      <c r="A85" s="7">
        <v>42825</v>
      </c>
      <c r="B85" s="8">
        <v>24404</v>
      </c>
      <c r="C85" s="11">
        <v>722.31</v>
      </c>
      <c r="D85" s="10">
        <v>1.0699999999999999E-2</v>
      </c>
      <c r="E85" s="10">
        <v>1.6199999999999999E-2</v>
      </c>
    </row>
    <row r="86" spans="1:5" x14ac:dyDescent="0.2">
      <c r="A86" s="7">
        <v>42794</v>
      </c>
      <c r="B86" s="8">
        <v>24146</v>
      </c>
      <c r="C86" s="11">
        <v>710.79</v>
      </c>
      <c r="D86" s="10">
        <v>8.6999999999999994E-2</v>
      </c>
      <c r="E86" s="10">
        <v>1.9400000000000001E-2</v>
      </c>
    </row>
    <row r="87" spans="1:5" x14ac:dyDescent="0.2">
      <c r="A87" s="7">
        <v>42766</v>
      </c>
      <c r="B87" s="8">
        <v>22214</v>
      </c>
      <c r="C87" s="11">
        <v>697.28</v>
      </c>
      <c r="D87" s="10">
        <v>3.7600000000000001E-2</v>
      </c>
      <c r="E87" s="10">
        <v>4.87E-2</v>
      </c>
    </row>
    <row r="88" spans="1:5" x14ac:dyDescent="0.2">
      <c r="A88" s="7">
        <v>42735</v>
      </c>
      <c r="B88" s="8">
        <v>21410</v>
      </c>
      <c r="C88" s="11">
        <v>664.87</v>
      </c>
      <c r="D88" s="10">
        <v>-3.4799999999999998E-2</v>
      </c>
      <c r="E88" s="10">
        <v>-2.9999999999999997E-4</v>
      </c>
    </row>
    <row r="89" spans="1:5" x14ac:dyDescent="0.2">
      <c r="A89" s="7">
        <v>42704</v>
      </c>
      <c r="B89" s="8">
        <v>22182</v>
      </c>
      <c r="C89" s="11">
        <v>665.07</v>
      </c>
      <c r="D89" s="10">
        <v>2.8000000000000001E-2</v>
      </c>
      <c r="E89" s="10">
        <v>-1.5900000000000001E-2</v>
      </c>
    </row>
    <row r="90" spans="1:5" x14ac:dyDescent="0.2">
      <c r="A90" s="7">
        <v>42674</v>
      </c>
      <c r="B90" s="8">
        <v>21578</v>
      </c>
      <c r="C90" s="11">
        <v>675.8</v>
      </c>
      <c r="D90" s="10">
        <v>-9.3299999999999994E-2</v>
      </c>
      <c r="E90" s="10">
        <v>-1.4500000000000001E-2</v>
      </c>
    </row>
    <row r="91" spans="1:5" x14ac:dyDescent="0.2">
      <c r="A91" s="7">
        <v>42643</v>
      </c>
      <c r="B91" s="8">
        <v>23799</v>
      </c>
      <c r="C91" s="11">
        <v>685.73</v>
      </c>
      <c r="D91" s="10">
        <v>6.3799999999999996E-2</v>
      </c>
      <c r="E91" s="10">
        <v>1.6500000000000001E-2</v>
      </c>
    </row>
    <row r="92" spans="1:5" x14ac:dyDescent="0.2">
      <c r="A92" s="7">
        <v>42613</v>
      </c>
      <c r="B92" s="8">
        <v>22371</v>
      </c>
      <c r="C92" s="11">
        <v>674.63</v>
      </c>
      <c r="D92" s="10">
        <v>0.1016</v>
      </c>
      <c r="E92" s="10">
        <v>3.4299999999999997E-2</v>
      </c>
    </row>
    <row r="93" spans="1:5" x14ac:dyDescent="0.2">
      <c r="A93" s="7">
        <v>42582</v>
      </c>
      <c r="B93" s="8">
        <v>20309</v>
      </c>
      <c r="C93" s="11">
        <v>652.23</v>
      </c>
      <c r="D93" s="10">
        <v>-0.16880000000000001</v>
      </c>
      <c r="E93" s="10">
        <v>3.1600000000000003E-2</v>
      </c>
    </row>
    <row r="94" spans="1:5" x14ac:dyDescent="0.2">
      <c r="A94" s="7">
        <v>42551</v>
      </c>
      <c r="B94" s="8">
        <v>24434</v>
      </c>
      <c r="C94" s="11">
        <v>632.26</v>
      </c>
      <c r="D94" s="10">
        <v>0.2031</v>
      </c>
      <c r="E94" s="10">
        <v>2.23E-2</v>
      </c>
    </row>
    <row r="95" spans="1:5" x14ac:dyDescent="0.2">
      <c r="A95" s="7">
        <v>42521</v>
      </c>
      <c r="B95" s="8">
        <v>20309</v>
      </c>
      <c r="C95" s="11">
        <v>618.44000000000005</v>
      </c>
      <c r="D95" s="10">
        <v>0.13039999999999999</v>
      </c>
      <c r="E95" s="10">
        <v>3.3500000000000002E-2</v>
      </c>
    </row>
    <row r="96" spans="1:5" x14ac:dyDescent="0.2">
      <c r="A96" s="7">
        <v>42490</v>
      </c>
      <c r="B96" s="8">
        <v>17965</v>
      </c>
      <c r="C96" s="11">
        <v>598.37</v>
      </c>
      <c r="D96" s="10">
        <v>0.19789999999999999</v>
      </c>
      <c r="E96" s="10">
        <v>6.6199999999999995E-2</v>
      </c>
    </row>
    <row r="97" spans="1:5" x14ac:dyDescent="0.2">
      <c r="A97" s="7">
        <v>42460</v>
      </c>
      <c r="B97" s="8">
        <v>14997</v>
      </c>
      <c r="C97" s="11">
        <v>561.22</v>
      </c>
      <c r="D97" s="10">
        <v>6.1899999999999997E-2</v>
      </c>
      <c r="E97" s="10">
        <v>3.3E-3</v>
      </c>
    </row>
    <row r="98" spans="1:5" x14ac:dyDescent="0.2">
      <c r="A98" s="7">
        <v>42429</v>
      </c>
      <c r="B98" s="8">
        <v>14122</v>
      </c>
      <c r="C98" s="11">
        <v>559.37</v>
      </c>
      <c r="D98" s="10">
        <v>6.7000000000000002E-3</v>
      </c>
      <c r="E98" s="10">
        <v>2.5899999999999999E-2</v>
      </c>
    </row>
    <row r="99" spans="1:5" x14ac:dyDescent="0.2">
      <c r="A99" s="7">
        <v>42400</v>
      </c>
      <c r="B99" s="8">
        <v>14029</v>
      </c>
      <c r="C99" s="11">
        <v>545.25</v>
      </c>
      <c r="D99" s="10">
        <v>4.6600000000000003E-2</v>
      </c>
      <c r="E99" s="10">
        <v>-5.8299999999999998E-2</v>
      </c>
    </row>
    <row r="100" spans="1:5" x14ac:dyDescent="0.2">
      <c r="A100" s="7">
        <v>42369</v>
      </c>
      <c r="B100" s="8">
        <v>13404</v>
      </c>
      <c r="C100" s="11">
        <v>579.03</v>
      </c>
      <c r="D100" s="10">
        <v>0.1157</v>
      </c>
      <c r="E100" s="10">
        <v>1.0200000000000001E-2</v>
      </c>
    </row>
    <row r="101" spans="1:5" x14ac:dyDescent="0.2">
      <c r="A101" s="7">
        <v>42338</v>
      </c>
      <c r="B101" s="8">
        <v>12014</v>
      </c>
      <c r="C101" s="11">
        <v>573.20000000000005</v>
      </c>
      <c r="D101" s="10">
        <v>0.21560000000000001</v>
      </c>
      <c r="E101" s="10">
        <v>-5.6300000000000003E-2</v>
      </c>
    </row>
    <row r="102" spans="1:5" x14ac:dyDescent="0.2">
      <c r="A102" s="7">
        <v>42308</v>
      </c>
      <c r="B102" s="8">
        <v>9883</v>
      </c>
      <c r="C102" s="11">
        <v>607.37</v>
      </c>
      <c r="D102" s="10">
        <v>-3.0300000000000001E-2</v>
      </c>
      <c r="E102" s="10">
        <v>7.9500000000000001E-2</v>
      </c>
    </row>
    <row r="103" spans="1:5" x14ac:dyDescent="0.2">
      <c r="A103" s="7">
        <v>42277</v>
      </c>
      <c r="B103" s="8">
        <v>10191</v>
      </c>
      <c r="C103" s="11">
        <v>562.64</v>
      </c>
      <c r="D103" s="10">
        <v>1.54E-2</v>
      </c>
      <c r="E103" s="10">
        <v>-3.7000000000000002E-3</v>
      </c>
    </row>
    <row r="104" spans="1:5" x14ac:dyDescent="0.2">
      <c r="A104" s="7">
        <v>42247</v>
      </c>
      <c r="B104" s="8">
        <v>10037</v>
      </c>
      <c r="C104" s="11">
        <v>564.75</v>
      </c>
      <c r="D104" s="10">
        <v>-0.1144</v>
      </c>
      <c r="E104" s="10">
        <v>-9.0700000000000003E-2</v>
      </c>
    </row>
    <row r="105" spans="1:5" x14ac:dyDescent="0.2">
      <c r="A105" s="7">
        <v>42216</v>
      </c>
      <c r="B105" s="8">
        <v>11334</v>
      </c>
      <c r="C105" s="11">
        <v>621.05999999999995</v>
      </c>
      <c r="D105" s="10">
        <v>-7.0900000000000005E-2</v>
      </c>
      <c r="E105" s="10">
        <v>4.7199999999999999E-2</v>
      </c>
    </row>
    <row r="106" spans="1:5" x14ac:dyDescent="0.2">
      <c r="A106" s="7">
        <v>42185</v>
      </c>
      <c r="B106" s="8">
        <v>12199</v>
      </c>
      <c r="C106" s="11">
        <v>593.04999999999995</v>
      </c>
      <c r="D106" s="10">
        <v>1.2800000000000001E-2</v>
      </c>
      <c r="E106" s="10">
        <v>4.1200000000000001E-2</v>
      </c>
    </row>
    <row r="107" spans="1:5" x14ac:dyDescent="0.2">
      <c r="A107" s="7">
        <v>42155</v>
      </c>
      <c r="B107" s="8">
        <v>12045</v>
      </c>
      <c r="C107" s="11">
        <v>569.55999999999995</v>
      </c>
      <c r="D107" s="10">
        <v>5.1499999999999997E-2</v>
      </c>
      <c r="E107" s="10">
        <v>1.2699999999999999E-2</v>
      </c>
    </row>
    <row r="108" spans="1:5" x14ac:dyDescent="0.2">
      <c r="A108" s="7">
        <v>42124</v>
      </c>
      <c r="B108" s="8">
        <v>11455</v>
      </c>
      <c r="C108" s="11">
        <v>562.4</v>
      </c>
      <c r="D108" s="10">
        <v>0.10730000000000001</v>
      </c>
      <c r="E108" s="10">
        <v>2.0400000000000001E-2</v>
      </c>
    </row>
    <row r="109" spans="1:5" x14ac:dyDescent="0.2">
      <c r="A109" s="7">
        <v>42094</v>
      </c>
      <c r="B109" s="8">
        <v>10345</v>
      </c>
      <c r="C109" s="11">
        <v>551.13</v>
      </c>
      <c r="D109" s="10">
        <v>0.1774</v>
      </c>
      <c r="E109" s="10">
        <v>-6.9900000000000004E-2</v>
      </c>
    </row>
    <row r="110" spans="1:5" x14ac:dyDescent="0.2">
      <c r="A110" s="7">
        <v>42063</v>
      </c>
      <c r="B110" s="8">
        <v>8786</v>
      </c>
      <c r="C110" s="11">
        <v>592.57000000000005</v>
      </c>
      <c r="D110" s="10">
        <v>-1.06E-2</v>
      </c>
      <c r="E110" s="10">
        <v>2.86E-2</v>
      </c>
    </row>
    <row r="111" spans="1:5" x14ac:dyDescent="0.2">
      <c r="A111" s="7">
        <v>42035</v>
      </c>
      <c r="B111" s="8">
        <v>8880</v>
      </c>
      <c r="C111" s="11">
        <v>576.07000000000005</v>
      </c>
      <c r="D111" s="10">
        <v>-5.7599999999999998E-2</v>
      </c>
      <c r="E111" s="10">
        <v>5.5800000000000002E-2</v>
      </c>
    </row>
    <row r="112" spans="1:5" x14ac:dyDescent="0.2">
      <c r="A112" s="7">
        <v>42004</v>
      </c>
      <c r="B112" s="8">
        <v>9424</v>
      </c>
      <c r="C112" s="11">
        <v>545.63</v>
      </c>
      <c r="D112" s="10">
        <v>-2.4400000000000002E-2</v>
      </c>
      <c r="E112" s="10">
        <v>-3.6999999999999998E-2</v>
      </c>
    </row>
    <row r="113" spans="1:5" x14ac:dyDescent="0.2">
      <c r="A113" s="7">
        <v>41973</v>
      </c>
      <c r="B113" s="8">
        <v>9660</v>
      </c>
      <c r="C113" s="11">
        <v>566.58000000000004</v>
      </c>
      <c r="D113" s="10">
        <v>8.4900000000000003E-2</v>
      </c>
      <c r="E113" s="10">
        <v>-5.7000000000000002E-2</v>
      </c>
    </row>
    <row r="114" spans="1:5" x14ac:dyDescent="0.2">
      <c r="A114" s="7">
        <v>41943</v>
      </c>
      <c r="B114" s="8">
        <v>8904</v>
      </c>
      <c r="C114" s="11">
        <v>600.84</v>
      </c>
      <c r="D114" s="10">
        <v>8.6999999999999994E-2</v>
      </c>
      <c r="E114" s="10">
        <v>3.3999999999999998E-3</v>
      </c>
    </row>
    <row r="115" spans="1:5" x14ac:dyDescent="0.2">
      <c r="A115" s="7">
        <v>41912</v>
      </c>
      <c r="B115" s="8">
        <v>8191</v>
      </c>
      <c r="C115" s="11">
        <v>598.79999999999995</v>
      </c>
      <c r="D115" s="10">
        <v>0.1258</v>
      </c>
      <c r="E115" s="10">
        <v>-5.9499999999999997E-2</v>
      </c>
    </row>
    <row r="116" spans="1:5" x14ac:dyDescent="0.2">
      <c r="A116" s="7">
        <v>41882</v>
      </c>
      <c r="B116" s="8">
        <v>7276</v>
      </c>
      <c r="C116" s="11">
        <v>636.65</v>
      </c>
      <c r="D116" s="10">
        <v>4.2599999999999999E-2</v>
      </c>
      <c r="E116" s="10">
        <v>6.8099999999999994E-2</v>
      </c>
    </row>
    <row r="117" spans="1:5" x14ac:dyDescent="0.2">
      <c r="A117" s="7">
        <v>41851</v>
      </c>
      <c r="B117" s="8">
        <v>6978</v>
      </c>
      <c r="C117" s="11">
        <v>596.07000000000005</v>
      </c>
      <c r="D117" s="10">
        <v>1.67E-2</v>
      </c>
      <c r="E117" s="10">
        <v>3.1E-2</v>
      </c>
    </row>
    <row r="118" spans="1:5" x14ac:dyDescent="0.2">
      <c r="A118" s="7">
        <v>41820</v>
      </c>
      <c r="B118" s="8">
        <v>6864</v>
      </c>
      <c r="C118" s="11">
        <v>578.13</v>
      </c>
      <c r="D118" s="10">
        <v>-3.2300000000000002E-2</v>
      </c>
      <c r="E118" s="10">
        <v>2.87E-2</v>
      </c>
    </row>
    <row r="119" spans="1:5" x14ac:dyDescent="0.2">
      <c r="A119" s="7">
        <v>41790</v>
      </c>
      <c r="B119" s="8">
        <v>7093</v>
      </c>
      <c r="C119" s="11">
        <v>562.02</v>
      </c>
      <c r="D119" s="10">
        <v>0</v>
      </c>
      <c r="E119" s="10">
        <v>-2.76E-2</v>
      </c>
    </row>
    <row r="120" spans="1:5" x14ac:dyDescent="0.2">
      <c r="A120" s="7">
        <v>41759</v>
      </c>
      <c r="B120" s="8">
        <v>7093</v>
      </c>
      <c r="C120" s="11">
        <v>578</v>
      </c>
      <c r="D120" s="10">
        <v>4.2099999999999999E-2</v>
      </c>
      <c r="E120" s="10">
        <v>-2.29E-2</v>
      </c>
    </row>
    <row r="121" spans="1:5" x14ac:dyDescent="0.2">
      <c r="A121" s="7">
        <v>41729</v>
      </c>
      <c r="B121" s="8">
        <v>6807</v>
      </c>
      <c r="C121" s="11">
        <v>591.57000000000005</v>
      </c>
      <c r="D121" s="12"/>
      <c r="E12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7C4-A1B9-CC41-AD55-34466E61147C}">
  <sheetPr codeName="Sheet2"/>
  <dimension ref="A1:K84"/>
  <sheetViews>
    <sheetView topLeftCell="A41" zoomScale="117" zoomScaleNormal="88" workbookViewId="0">
      <selection activeCell="H65" sqref="H65"/>
    </sheetView>
  </sheetViews>
  <sheetFormatPr baseColWidth="10" defaultRowHeight="16" x14ac:dyDescent="0.2"/>
  <cols>
    <col min="1" max="1" width="54" style="22" customWidth="1"/>
    <col min="2" max="2" width="22" style="22" customWidth="1"/>
    <col min="3" max="3" width="20.5" style="22" customWidth="1"/>
    <col min="4" max="4" width="20.83203125" style="22" customWidth="1"/>
    <col min="5" max="5" width="21.6640625" style="22" customWidth="1"/>
    <col min="6" max="6" width="20.5" style="22" customWidth="1"/>
    <col min="7" max="7" width="22" bestFit="1" customWidth="1"/>
    <col min="8" max="8" width="23" style="22" customWidth="1"/>
    <col min="9" max="9" width="26.5" style="22" customWidth="1"/>
    <col min="10" max="10" width="23.83203125" style="22" customWidth="1"/>
    <col min="11" max="11" width="22.1640625" style="22" customWidth="1"/>
    <col min="12" max="16384" width="10.83203125" style="22"/>
  </cols>
  <sheetData>
    <row r="1" spans="1:11" x14ac:dyDescent="0.2">
      <c r="B1" s="22" t="s">
        <v>61</v>
      </c>
      <c r="C1" s="22" t="s">
        <v>62</v>
      </c>
      <c r="D1" s="22" t="s">
        <v>63</v>
      </c>
      <c r="E1" s="22" t="s">
        <v>64</v>
      </c>
      <c r="F1" s="22" t="s">
        <v>65</v>
      </c>
      <c r="G1" s="22" t="s">
        <v>217</v>
      </c>
      <c r="H1" s="22" t="s">
        <v>218</v>
      </c>
      <c r="I1" s="22" t="s">
        <v>219</v>
      </c>
      <c r="J1" s="22" t="s">
        <v>220</v>
      </c>
      <c r="K1" s="22" t="s">
        <v>221</v>
      </c>
    </row>
    <row r="2" spans="1:11" x14ac:dyDescent="0.2">
      <c r="A2" s="22" t="s">
        <v>133</v>
      </c>
      <c r="B2" s="34">
        <f>SUM(B4:B8)</f>
        <v>17144251446632</v>
      </c>
      <c r="C2" s="34">
        <f t="shared" ref="C2:F2" si="0">SUM(C4:C8)</f>
        <v>17681913026178.105</v>
      </c>
      <c r="D2" s="34">
        <f t="shared" si="0"/>
        <v>19735646137249.637</v>
      </c>
      <c r="E2" s="34">
        <f t="shared" si="0"/>
        <v>34211128942241.391</v>
      </c>
      <c r="F2" s="34">
        <f t="shared" si="0"/>
        <v>33481608955402.527</v>
      </c>
      <c r="G2" s="22"/>
    </row>
    <row r="3" spans="1:11" x14ac:dyDescent="0.2">
      <c r="A3" s="22" t="s">
        <v>132</v>
      </c>
      <c r="B3" s="34"/>
      <c r="C3" s="36">
        <f>(C2-B2)/B2</f>
        <v>3.1361041409114977E-2</v>
      </c>
      <c r="D3" s="36">
        <f t="shared" ref="D3:F3" si="1">(D2-C2)/C2</f>
        <v>0.11614880742999785</v>
      </c>
      <c r="E3" s="36">
        <f t="shared" si="1"/>
        <v>0.73346890719074576</v>
      </c>
      <c r="F3" s="36">
        <f t="shared" si="1"/>
        <v>-2.13240547562903E-2</v>
      </c>
      <c r="G3" s="22"/>
    </row>
    <row r="4" spans="1:11" x14ac:dyDescent="0.2">
      <c r="A4" s="22" t="s">
        <v>134</v>
      </c>
      <c r="B4" s="34">
        <v>17021086914743</v>
      </c>
      <c r="C4" s="34">
        <v>17487379140948</v>
      </c>
      <c r="D4" s="34">
        <v>19608294312644</v>
      </c>
      <c r="E4" s="34">
        <v>34023892071468</v>
      </c>
      <c r="F4" s="34">
        <v>33348659223161</v>
      </c>
      <c r="G4" s="97">
        <f>F4+F4*G5</f>
        <v>34682605592087.441</v>
      </c>
      <c r="H4" s="97">
        <f t="shared" ref="H4:K4" si="2">G4+G4*H5</f>
        <v>36069909815770.938</v>
      </c>
      <c r="I4" s="97">
        <f t="shared" si="2"/>
        <v>37512706208401.773</v>
      </c>
      <c r="J4" s="97">
        <f t="shared" si="2"/>
        <v>39013214456737.844</v>
      </c>
      <c r="K4" s="97">
        <f t="shared" si="2"/>
        <v>40573743035007.359</v>
      </c>
    </row>
    <row r="5" spans="1:11" x14ac:dyDescent="0.2">
      <c r="A5" s="22" t="s">
        <v>157</v>
      </c>
      <c r="B5" s="34"/>
      <c r="C5" s="36">
        <f>(C4-B4)/B4</f>
        <v>2.7394973572522911E-2</v>
      </c>
      <c r="D5" s="36">
        <f t="shared" ref="D5:F5" si="3">(D4-C4)/C4</f>
        <v>0.12128262071757336</v>
      </c>
      <c r="E5" s="36">
        <f t="shared" si="3"/>
        <v>0.73517856928169434</v>
      </c>
      <c r="F5" s="36">
        <f t="shared" si="3"/>
        <v>-1.9845843823177466E-2</v>
      </c>
      <c r="G5" s="36">
        <v>0.04</v>
      </c>
      <c r="H5" s="36">
        <v>0.04</v>
      </c>
      <c r="I5" s="36">
        <v>0.04</v>
      </c>
      <c r="J5" s="36">
        <v>0.04</v>
      </c>
      <c r="K5" s="36">
        <v>0.04</v>
      </c>
    </row>
    <row r="6" spans="1:11" x14ac:dyDescent="0.2">
      <c r="A6" s="22" t="s">
        <v>135</v>
      </c>
      <c r="B6" s="34">
        <v>74094543466</v>
      </c>
      <c r="C6" s="34">
        <v>153937831108</v>
      </c>
      <c r="D6" s="34">
        <v>79149769974</v>
      </c>
      <c r="E6" s="34">
        <v>130958118605</v>
      </c>
      <c r="F6" s="34">
        <v>71543206509</v>
      </c>
      <c r="G6" s="97">
        <f>F6+F6*G7</f>
        <v>104002359302.1333</v>
      </c>
      <c r="H6" s="97">
        <f t="shared" ref="H6" si="4">G6+G6*H7</f>
        <v>151188229717.51117</v>
      </c>
      <c r="I6" s="97">
        <f t="shared" ref="I6" si="5">H6+H6*I7</f>
        <v>219782329540.34598</v>
      </c>
      <c r="J6" s="97">
        <f t="shared" ref="J6" si="6">I6+I6*J7</f>
        <v>269650940113.05048</v>
      </c>
      <c r="K6" s="97">
        <f t="shared" ref="K6" si="7">J6+J6*K7</f>
        <v>330834738424.70166</v>
      </c>
    </row>
    <row r="7" spans="1:11" x14ac:dyDescent="0.2">
      <c r="A7" s="22" t="s">
        <v>157</v>
      </c>
      <c r="B7" s="34"/>
      <c r="C7" s="36">
        <f>(C6-B6)/B6</f>
        <v>1.0775866063421788</v>
      </c>
      <c r="D7" s="36">
        <f t="shared" ref="D7:F7" si="8">(D6-C6)/C6</f>
        <v>-0.48583288848294898</v>
      </c>
      <c r="E7" s="36">
        <f t="shared" si="8"/>
        <v>0.65456095005732273</v>
      </c>
      <c r="F7" s="36">
        <f t="shared" si="8"/>
        <v>-0.45369399567512975</v>
      </c>
      <c r="G7" s="36">
        <v>0.45369999999999999</v>
      </c>
      <c r="H7" s="36">
        <v>0.45369999999999999</v>
      </c>
      <c r="I7" s="36">
        <v>0.45369999999999999</v>
      </c>
      <c r="J7" s="36">
        <v>0.22689999999999999</v>
      </c>
      <c r="K7" s="36">
        <v>0.22689999999999999</v>
      </c>
    </row>
    <row r="8" spans="1:11" x14ac:dyDescent="0.2">
      <c r="A8" s="22" t="s">
        <v>136</v>
      </c>
      <c r="B8" s="34">
        <v>49069988423</v>
      </c>
      <c r="C8" s="34">
        <v>40596054121</v>
      </c>
      <c r="D8" s="34">
        <v>48202054632</v>
      </c>
      <c r="E8" s="34">
        <v>56278752167</v>
      </c>
      <c r="F8" s="34">
        <v>61406525733</v>
      </c>
      <c r="G8" s="97">
        <f>F8+F8*G9</f>
        <v>67001510470.742828</v>
      </c>
      <c r="H8" s="96">
        <f>G8+G8*H9</f>
        <v>73106275787.046417</v>
      </c>
      <c r="I8" s="96">
        <f t="shared" ref="I8:K8" si="9">H8+H8*I9</f>
        <v>79767269751.111862</v>
      </c>
      <c r="J8" s="96">
        <f t="shared" si="9"/>
        <v>87035172494.371048</v>
      </c>
      <c r="K8" s="96">
        <f t="shared" si="9"/>
        <v>94965281809.953552</v>
      </c>
    </row>
    <row r="9" spans="1:11" x14ac:dyDescent="0.2">
      <c r="A9" s="22" t="s">
        <v>157</v>
      </c>
      <c r="B9" s="34"/>
      <c r="C9" s="36">
        <f>(C8-B8)/B8</f>
        <v>-0.17269077442920513</v>
      </c>
      <c r="D9" s="36">
        <f t="shared" ref="D9:F9" si="10">(D8-C8)/C8</f>
        <v>0.18735812323852133</v>
      </c>
      <c r="E9" s="36">
        <f t="shared" si="10"/>
        <v>0.16755919631770438</v>
      </c>
      <c r="F9" s="36">
        <f t="shared" si="10"/>
        <v>9.1113846141861632E-2</v>
      </c>
      <c r="G9" s="37">
        <v>9.1113846141861632E-2</v>
      </c>
      <c r="H9" s="37">
        <v>9.1113846141861632E-2</v>
      </c>
      <c r="I9" s="37">
        <v>9.1113846141861632E-2</v>
      </c>
      <c r="J9" s="37">
        <v>9.1113846141861632E-2</v>
      </c>
      <c r="K9" s="37">
        <v>9.1113846141861632E-2</v>
      </c>
    </row>
    <row r="10" spans="1:11" x14ac:dyDescent="0.2">
      <c r="A10" s="22" t="s">
        <v>158</v>
      </c>
      <c r="B10" s="34">
        <v>3414537000</v>
      </c>
      <c r="C10" s="34">
        <v>6391807846</v>
      </c>
      <c r="D10" s="34">
        <v>64942006080</v>
      </c>
      <c r="E10" s="34">
        <v>2868205863</v>
      </c>
      <c r="F10" s="23">
        <v>2374779451</v>
      </c>
      <c r="G10" s="34">
        <f>F10+F10*G11</f>
        <v>2333925378.4623809</v>
      </c>
      <c r="H10" s="34">
        <f t="shared" ref="H10:K10" si="11">G10+G10*H11</f>
        <v>2293774131.2933269</v>
      </c>
      <c r="I10" s="34">
        <f t="shared" si="11"/>
        <v>2254313618.5685301</v>
      </c>
      <c r="J10" s="34">
        <f t="shared" si="11"/>
        <v>2215531957.36763</v>
      </c>
      <c r="K10" s="34">
        <f t="shared" si="11"/>
        <v>2177417469.1958566</v>
      </c>
    </row>
    <row r="11" spans="1:11" x14ac:dyDescent="0.2">
      <c r="A11" s="22" t="s">
        <v>157</v>
      </c>
      <c r="B11" s="34"/>
      <c r="C11" s="36">
        <f>(C10-B10)/B10</f>
        <v>0.87193984015988113</v>
      </c>
      <c r="D11" s="36">
        <f t="shared" ref="D11:F11" si="12">(D10-C10)/C10</f>
        <v>9.1601937424700228</v>
      </c>
      <c r="E11" s="36">
        <f t="shared" si="12"/>
        <v>-0.95583435073645939</v>
      </c>
      <c r="F11" s="36">
        <f t="shared" si="12"/>
        <v>-0.17203312299344534</v>
      </c>
      <c r="G11" s="36">
        <f>$F$11/10</f>
        <v>-1.7203312299344534E-2</v>
      </c>
      <c r="H11" s="36">
        <f>$F$11/10</f>
        <v>-1.7203312299344534E-2</v>
      </c>
      <c r="I11" s="36">
        <f>$F$11/10</f>
        <v>-1.7203312299344534E-2</v>
      </c>
      <c r="J11" s="36">
        <f>$F$11/10</f>
        <v>-1.7203312299344534E-2</v>
      </c>
      <c r="K11" s="36">
        <f>$F$11/10</f>
        <v>-1.7203312299344534E-2</v>
      </c>
    </row>
    <row r="12" spans="1:11" x14ac:dyDescent="0.2">
      <c r="A12" s="22" t="s">
        <v>137</v>
      </c>
      <c r="B12" s="34">
        <v>13539967588</v>
      </c>
      <c r="C12" s="34">
        <v>14076055770</v>
      </c>
      <c r="D12" s="34">
        <v>15948760134</v>
      </c>
      <c r="E12" s="34">
        <v>27949660295</v>
      </c>
      <c r="F12" s="34">
        <v>27078338249</v>
      </c>
      <c r="G12" s="97">
        <f>F12+F12*G13</f>
        <v>27359724532.248428</v>
      </c>
      <c r="H12" s="97">
        <f t="shared" ref="H12:K12" si="13">G12+G12*H13</f>
        <v>27644034859.050503</v>
      </c>
      <c r="I12" s="97">
        <f t="shared" si="13"/>
        <v>27931299614.791763</v>
      </c>
      <c r="J12" s="97">
        <f t="shared" si="13"/>
        <v>28221549500.609436</v>
      </c>
      <c r="K12" s="97">
        <f t="shared" si="13"/>
        <v>28514815536.673569</v>
      </c>
    </row>
    <row r="13" spans="1:11" x14ac:dyDescent="0.2">
      <c r="A13" s="22" t="s">
        <v>157</v>
      </c>
      <c r="B13" s="34"/>
      <c r="C13" s="36">
        <f>(C12-B12)/B12</f>
        <v>3.959301811587173E-2</v>
      </c>
      <c r="D13" s="36">
        <f>(D12-C12)/C12</f>
        <v>0.13304184031376567</v>
      </c>
      <c r="E13" s="36">
        <f>(E12-D12)/D12</f>
        <v>0.75246602620953307</v>
      </c>
      <c r="F13" s="36">
        <f>(F12-E12)/E12</f>
        <v>-3.1174691813906356E-2</v>
      </c>
      <c r="G13" s="36">
        <f>-$F$13/3</f>
        <v>1.0391563937968785E-2</v>
      </c>
      <c r="H13" s="36">
        <f t="shared" ref="H13:K13" si="14">-$F$13/3</f>
        <v>1.0391563937968785E-2</v>
      </c>
      <c r="I13" s="36">
        <f t="shared" si="14"/>
        <v>1.0391563937968785E-2</v>
      </c>
      <c r="J13" s="36">
        <f t="shared" si="14"/>
        <v>1.0391563937968785E-2</v>
      </c>
      <c r="K13" s="36">
        <f t="shared" si="14"/>
        <v>1.0391563937968785E-2</v>
      </c>
    </row>
    <row r="14" spans="1:11" x14ac:dyDescent="0.2">
      <c r="A14" s="22" t="s">
        <v>130</v>
      </c>
      <c r="B14" s="41">
        <v>1800831</v>
      </c>
      <c r="C14" s="41">
        <v>1880961</v>
      </c>
      <c r="D14" s="41">
        <v>2141966</v>
      </c>
      <c r="E14" s="41">
        <v>3451420</v>
      </c>
      <c r="F14" s="41">
        <v>3474982</v>
      </c>
      <c r="G14" s="97">
        <f>F14+F14*G15</f>
        <v>3546150.5560296923</v>
      </c>
      <c r="H14" s="97">
        <f t="shared" ref="H14:K14" si="15">G14+G14*H15</f>
        <v>3618776.6630243538</v>
      </c>
      <c r="I14" s="97">
        <f t="shared" si="15"/>
        <v>3692890.172015592</v>
      </c>
      <c r="J14" s="97">
        <f t="shared" si="15"/>
        <v>3768521.5453920844</v>
      </c>
      <c r="K14" s="97">
        <f t="shared" si="15"/>
        <v>3845701.8694203352</v>
      </c>
    </row>
    <row r="15" spans="1:11" x14ac:dyDescent="0.2">
      <c r="A15" s="22" t="s">
        <v>157</v>
      </c>
      <c r="B15" s="41"/>
      <c r="C15" s="44">
        <f>(C14-B14)/B14</f>
        <v>4.4496124289286447E-2</v>
      </c>
      <c r="D15" s="44">
        <f t="shared" ref="D15:F15" si="16">(D14-C14)/C14</f>
        <v>0.13876151605482517</v>
      </c>
      <c r="E15" s="44">
        <f t="shared" si="16"/>
        <v>0.6113327662530591</v>
      </c>
      <c r="F15" s="44">
        <f t="shared" si="16"/>
        <v>6.8267553644586866E-3</v>
      </c>
      <c r="G15" s="36">
        <f>$F$15*3</f>
        <v>2.0480266093376061E-2</v>
      </c>
      <c r="H15" s="36">
        <f t="shared" ref="H15:K15" si="17">$F$15*3</f>
        <v>2.0480266093376061E-2</v>
      </c>
      <c r="I15" s="36">
        <f t="shared" si="17"/>
        <v>2.0480266093376061E-2</v>
      </c>
      <c r="J15" s="36">
        <f t="shared" si="17"/>
        <v>2.0480266093376061E-2</v>
      </c>
      <c r="K15" s="36">
        <f t="shared" si="17"/>
        <v>2.0480266093376061E-2</v>
      </c>
    </row>
    <row r="16" spans="1:11" x14ac:dyDescent="0.2">
      <c r="A16" s="22" t="s">
        <v>131</v>
      </c>
      <c r="B16" s="41">
        <v>815250</v>
      </c>
      <c r="C16" s="41">
        <v>682859</v>
      </c>
      <c r="D16" s="41">
        <v>752745</v>
      </c>
      <c r="E16" s="41">
        <v>980561</v>
      </c>
      <c r="F16" s="41">
        <v>1191123</v>
      </c>
      <c r="G16" s="22"/>
      <c r="H16" s="35"/>
    </row>
    <row r="17" spans="1:11" x14ac:dyDescent="0.2">
      <c r="A17" s="22" t="s">
        <v>157</v>
      </c>
      <c r="B17" s="41"/>
      <c r="C17" s="44">
        <f>(C16-B16)/B16</f>
        <v>-0.16239313094142901</v>
      </c>
      <c r="D17" s="44">
        <f t="shared" ref="D17:F17" si="18">(D16-C16)/C16</f>
        <v>0.10234323630500587</v>
      </c>
      <c r="E17" s="44">
        <f t="shared" si="18"/>
        <v>0.30264697872453489</v>
      </c>
      <c r="F17" s="44">
        <f t="shared" si="18"/>
        <v>0.21473625812162631</v>
      </c>
      <c r="G17" s="22"/>
      <c r="H17" s="35"/>
    </row>
    <row r="18" spans="1:11" x14ac:dyDescent="0.2">
      <c r="A18" s="22" t="s">
        <v>108</v>
      </c>
      <c r="B18" s="34">
        <v>985581</v>
      </c>
      <c r="C18" s="41">
        <v>1052061</v>
      </c>
      <c r="D18" s="41">
        <v>1262749</v>
      </c>
      <c r="E18" s="41">
        <v>2237242</v>
      </c>
      <c r="F18" s="41">
        <v>2027176</v>
      </c>
      <c r="G18" s="22"/>
    </row>
    <row r="19" spans="1:11" x14ac:dyDescent="0.2">
      <c r="A19" s="22" t="s">
        <v>157</v>
      </c>
      <c r="B19" s="34"/>
      <c r="C19" s="44">
        <f>(C18-B18)/B18</f>
        <v>6.7452599025346477E-2</v>
      </c>
      <c r="D19" s="44">
        <f t="shared" ref="D19:F19" si="19">(D18-C18)/C18</f>
        <v>0.20026215209954557</v>
      </c>
      <c r="E19" s="44">
        <f t="shared" si="19"/>
        <v>0.77172343830800894</v>
      </c>
      <c r="F19" s="44">
        <f t="shared" si="19"/>
        <v>-9.3895072593845455E-2</v>
      </c>
      <c r="G19" s="22"/>
    </row>
    <row r="20" spans="1:11" x14ac:dyDescent="0.2">
      <c r="A20" s="22" t="s">
        <v>109</v>
      </c>
      <c r="B20" s="34">
        <v>132569</v>
      </c>
      <c r="C20" s="41">
        <v>146041</v>
      </c>
      <c r="D20" s="41">
        <v>126473</v>
      </c>
      <c r="E20" s="41">
        <v>233616</v>
      </c>
      <c r="F20" s="41">
        <v>256683</v>
      </c>
      <c r="G20" s="22"/>
      <c r="H20" s="36"/>
    </row>
    <row r="21" spans="1:11" x14ac:dyDescent="0.2">
      <c r="A21" s="22" t="s">
        <v>157</v>
      </c>
      <c r="B21" s="34"/>
      <c r="C21" s="44">
        <f>(C20-B20)/B20</f>
        <v>0.10162255127518499</v>
      </c>
      <c r="D21" s="44">
        <f t="shared" ref="D21:F21" si="20">(D20-C20)/C20</f>
        <v>-0.13398976999609699</v>
      </c>
      <c r="E21" s="44">
        <f t="shared" si="20"/>
        <v>0.84716105413803733</v>
      </c>
      <c r="F21" s="44">
        <f t="shared" si="20"/>
        <v>9.8738956235874253E-2</v>
      </c>
      <c r="G21" s="22"/>
      <c r="H21" s="36"/>
    </row>
    <row r="22" spans="1:11" x14ac:dyDescent="0.2">
      <c r="A22" s="22" t="s">
        <v>111</v>
      </c>
      <c r="B22" s="41">
        <v>115368</v>
      </c>
      <c r="C22" s="41">
        <v>154417</v>
      </c>
      <c r="D22" s="41">
        <v>104380</v>
      </c>
      <c r="E22" s="41">
        <v>94421</v>
      </c>
      <c r="F22" s="41">
        <v>118569</v>
      </c>
      <c r="G22" s="97">
        <f>F22+F22*G23</f>
        <v>128676.93577699875</v>
      </c>
      <c r="H22" s="97">
        <f t="shared" ref="H22:K22" si="21">G22+G22*H23</f>
        <v>139646.56698595639</v>
      </c>
      <c r="I22" s="97">
        <f t="shared" si="21"/>
        <v>151551.35264302025</v>
      </c>
      <c r="J22" s="97">
        <f t="shared" si="21"/>
        <v>164471.01410118333</v>
      </c>
      <c r="K22" s="97">
        <f t="shared" si="21"/>
        <v>178492.06891072562</v>
      </c>
    </row>
    <row r="23" spans="1:11" x14ac:dyDescent="0.2">
      <c r="A23" s="22" t="s">
        <v>157</v>
      </c>
      <c r="B23" s="41"/>
      <c r="C23" s="44">
        <f>(C22-B22)/B22</f>
        <v>0.33847340683725124</v>
      </c>
      <c r="D23" s="44">
        <f t="shared" ref="D23:F23" si="22">(D22-C22)/C22</f>
        <v>-0.32403815642060135</v>
      </c>
      <c r="E23" s="44">
        <f t="shared" si="22"/>
        <v>-9.5410998275531705E-2</v>
      </c>
      <c r="F23" s="44">
        <f t="shared" si="22"/>
        <v>0.2557481916099173</v>
      </c>
      <c r="G23" s="36">
        <f>$F$23/3</f>
        <v>8.5249397203305766E-2</v>
      </c>
      <c r="H23" s="36">
        <f t="shared" ref="H23:J23" si="23">$F$23/3</f>
        <v>8.5249397203305766E-2</v>
      </c>
      <c r="I23" s="36">
        <f t="shared" si="23"/>
        <v>8.5249397203305766E-2</v>
      </c>
      <c r="J23" s="36">
        <f t="shared" si="23"/>
        <v>8.5249397203305766E-2</v>
      </c>
      <c r="K23" s="36">
        <f>$F$23/3</f>
        <v>8.5249397203305766E-2</v>
      </c>
    </row>
    <row r="24" spans="1:11" s="106" customFormat="1" x14ac:dyDescent="0.2">
      <c r="A24" s="106" t="s">
        <v>112</v>
      </c>
      <c r="B24" s="107">
        <v>324</v>
      </c>
      <c r="C24" s="108">
        <v>1319</v>
      </c>
      <c r="D24" s="108">
        <v>-7661</v>
      </c>
      <c r="E24" s="108">
        <v>-17487</v>
      </c>
      <c r="F24" s="108">
        <v>-89920</v>
      </c>
      <c r="G24" s="109">
        <f>F24+F24*G25</f>
        <v>-108542.90661634356</v>
      </c>
      <c r="H24" s="109">
        <f t="shared" ref="H24:I24" si="24">G24+G24*H25</f>
        <v>-131022.71548848176</v>
      </c>
      <c r="I24" s="109">
        <f t="shared" si="24"/>
        <v>-158158.21143111686</v>
      </c>
      <c r="J24" s="109">
        <f t="shared" ref="J24" si="25">I24+I24*J25</f>
        <v>-190913.6118102273</v>
      </c>
      <c r="K24" s="109">
        <f t="shared" ref="K24" si="26">J24+J24*K25</f>
        <v>-230452.8284976242</v>
      </c>
    </row>
    <row r="25" spans="1:11" x14ac:dyDescent="0.2">
      <c r="A25" s="22" t="s">
        <v>157</v>
      </c>
      <c r="B25" s="41"/>
      <c r="C25" s="43">
        <f>(C24-B24)/B24</f>
        <v>3.0709876543209877</v>
      </c>
      <c r="D25" s="43">
        <f t="shared" ref="D25" si="27">(D24-C24)/C24</f>
        <v>-6.8081880212282035</v>
      </c>
      <c r="E25" s="43">
        <f t="shared" ref="E25" si="28">(E24-D24)/D24</f>
        <v>1.2826001827437672</v>
      </c>
      <c r="F25" s="43">
        <f t="shared" ref="F25" si="29">(F24-E24)/E24</f>
        <v>4.142105564133356</v>
      </c>
      <c r="G25" s="98">
        <f>$F$25/20</f>
        <v>0.2071052782066678</v>
      </c>
      <c r="H25" s="98">
        <f t="shared" ref="H25:K25" si="30">$F$25/20</f>
        <v>0.2071052782066678</v>
      </c>
      <c r="I25" s="98">
        <f t="shared" si="30"/>
        <v>0.2071052782066678</v>
      </c>
      <c r="J25" s="98">
        <f t="shared" si="30"/>
        <v>0.2071052782066678</v>
      </c>
      <c r="K25" s="98">
        <f t="shared" si="30"/>
        <v>0.2071052782066678</v>
      </c>
    </row>
    <row r="26" spans="1:11" x14ac:dyDescent="0.2">
      <c r="A26" s="22" t="s">
        <v>166</v>
      </c>
      <c r="B26" s="41">
        <v>1167</v>
      </c>
      <c r="C26" s="41">
        <v>3437</v>
      </c>
      <c r="D26" s="41">
        <v>5208</v>
      </c>
      <c r="E26" s="41">
        <v>10500</v>
      </c>
      <c r="F26" s="41">
        <v>16106</v>
      </c>
      <c r="G26" s="34">
        <f>F26+F26*G27</f>
        <v>32212</v>
      </c>
      <c r="H26" s="34">
        <f t="shared" ref="H26:K26" si="31">G26+G26*H27</f>
        <v>48318</v>
      </c>
      <c r="I26" s="34">
        <f t="shared" si="31"/>
        <v>96636</v>
      </c>
      <c r="J26" s="34">
        <f t="shared" si="31"/>
        <v>144954</v>
      </c>
      <c r="K26" s="34">
        <f t="shared" si="31"/>
        <v>289908</v>
      </c>
    </row>
    <row r="27" spans="1:11" x14ac:dyDescent="0.2">
      <c r="A27" s="22" t="s">
        <v>157</v>
      </c>
      <c r="B27" s="41"/>
      <c r="C27" s="43">
        <f>(C26-B26)/B26</f>
        <v>1.9451585261353899</v>
      </c>
      <c r="D27" s="43">
        <f t="shared" ref="D27:F27" si="32">(D26-C26)/C26</f>
        <v>0.51527494908350302</v>
      </c>
      <c r="E27" s="43">
        <f t="shared" si="32"/>
        <v>1.0161290322580645</v>
      </c>
      <c r="F27" s="43">
        <f t="shared" si="32"/>
        <v>0.53390476190476188</v>
      </c>
      <c r="G27" s="98">
        <v>1</v>
      </c>
      <c r="H27" s="98">
        <v>0.5</v>
      </c>
      <c r="I27" s="98">
        <v>1</v>
      </c>
      <c r="J27" s="98">
        <v>0.5</v>
      </c>
      <c r="K27" s="98">
        <v>1</v>
      </c>
    </row>
    <row r="28" spans="1:11" x14ac:dyDescent="0.2">
      <c r="A28" s="22" t="s">
        <v>168</v>
      </c>
      <c r="B28" s="41">
        <v>1506216</v>
      </c>
      <c r="C28" s="41">
        <v>1349132</v>
      </c>
      <c r="D28" s="41">
        <v>1306897</v>
      </c>
      <c r="E28" s="41">
        <v>2337154</v>
      </c>
      <c r="F28" s="41">
        <v>2484131</v>
      </c>
      <c r="G28" s="34">
        <f>F28+F28*G29</f>
        <v>2640382.8399</v>
      </c>
      <c r="H28" s="34">
        <f t="shared" ref="H28:K28" si="33">G28+G28*H29</f>
        <v>2806462.9205297101</v>
      </c>
      <c r="I28" s="34">
        <f t="shared" si="33"/>
        <v>2982989.4382310291</v>
      </c>
      <c r="J28" s="34">
        <f t="shared" si="33"/>
        <v>3170619.4738957607</v>
      </c>
      <c r="K28" s="34">
        <f t="shared" si="33"/>
        <v>3370051.4388038041</v>
      </c>
    </row>
    <row r="29" spans="1:11" x14ac:dyDescent="0.2">
      <c r="B29" s="41"/>
      <c r="C29" s="44">
        <f>(C28-B28)/B28</f>
        <v>-0.10429048688899865</v>
      </c>
      <c r="D29" s="44">
        <f t="shared" ref="D29:F29" si="34">(D28-C28)/C28</f>
        <v>-3.1305313342208173E-2</v>
      </c>
      <c r="E29" s="44">
        <f t="shared" si="34"/>
        <v>0.78832302775199581</v>
      </c>
      <c r="F29" s="44">
        <f t="shared" si="34"/>
        <v>6.2887169608849047E-2</v>
      </c>
      <c r="G29" s="37">
        <v>6.2899999999999998E-2</v>
      </c>
      <c r="H29" s="37">
        <v>6.2899999999999998E-2</v>
      </c>
      <c r="I29" s="37">
        <v>6.2899999999999998E-2</v>
      </c>
      <c r="J29" s="37">
        <v>6.2899999999999998E-2</v>
      </c>
      <c r="K29" s="37">
        <v>6.2899999999999998E-2</v>
      </c>
    </row>
    <row r="30" spans="1:11" x14ac:dyDescent="0.2">
      <c r="A30" s="22" t="s">
        <v>163</v>
      </c>
      <c r="B30" s="41">
        <v>496</v>
      </c>
      <c r="C30" s="41">
        <v>-3152</v>
      </c>
      <c r="D30" s="41">
        <v>-27667</v>
      </c>
      <c r="E30" s="41">
        <v>-25139</v>
      </c>
      <c r="F30" s="41">
        <v>4629</v>
      </c>
      <c r="G30" s="34">
        <f>F30+F30*G31</f>
        <v>4860.45</v>
      </c>
      <c r="H30" s="34">
        <f t="shared" ref="H30:K30" si="35">G30+G30*H31</f>
        <v>5103.4724999999999</v>
      </c>
      <c r="I30" s="34">
        <f t="shared" si="35"/>
        <v>5358.6461250000002</v>
      </c>
      <c r="J30" s="34">
        <f t="shared" si="35"/>
        <v>5626.57843125</v>
      </c>
      <c r="K30" s="34">
        <f t="shared" si="35"/>
        <v>5907.9073528125</v>
      </c>
    </row>
    <row r="31" spans="1:11" x14ac:dyDescent="0.2">
      <c r="B31" s="41"/>
      <c r="C31" s="44">
        <f>(C30-B30)/B30</f>
        <v>-7.354838709677419</v>
      </c>
      <c r="D31" s="44">
        <f t="shared" ref="D31:E31" si="36">(D30-C30)/C30</f>
        <v>7.7776015228426392</v>
      </c>
      <c r="E31" s="44">
        <f t="shared" si="36"/>
        <v>-9.1372393103697547E-2</v>
      </c>
      <c r="F31" s="44">
        <f>(F30-E30)/E30</f>
        <v>-1.1841362027129161</v>
      </c>
      <c r="G31" s="98">
        <v>0.05</v>
      </c>
      <c r="H31" s="98">
        <v>0.05</v>
      </c>
      <c r="I31" s="98">
        <v>0.05</v>
      </c>
      <c r="J31" s="98">
        <v>0.05</v>
      </c>
      <c r="K31" s="98">
        <v>0.05</v>
      </c>
    </row>
    <row r="32" spans="1:11" x14ac:dyDescent="0.2">
      <c r="A32" s="22" t="s">
        <v>165</v>
      </c>
      <c r="B32" s="41">
        <v>312787</v>
      </c>
      <c r="C32" s="41">
        <v>276670</v>
      </c>
      <c r="D32" s="41">
        <v>250188</v>
      </c>
      <c r="E32" s="41">
        <v>501636</v>
      </c>
      <c r="F32" s="41">
        <v>517661</v>
      </c>
      <c r="G32" s="34">
        <f>F32+F32*G33</f>
        <v>534174.38589999999</v>
      </c>
      <c r="H32" s="34">
        <f t="shared" ref="H32:K32" si="37">G32+G32*H33</f>
        <v>551214.54881020996</v>
      </c>
      <c r="I32" s="34">
        <f t="shared" si="37"/>
        <v>568798.29291725566</v>
      </c>
      <c r="J32" s="34">
        <f t="shared" si="37"/>
        <v>586942.95846131607</v>
      </c>
      <c r="K32" s="34">
        <f t="shared" si="37"/>
        <v>605666.43883623206</v>
      </c>
    </row>
    <row r="33" spans="1:11" x14ac:dyDescent="0.2">
      <c r="B33" s="41"/>
      <c r="C33" s="44">
        <f>(C32-B32)/B32</f>
        <v>-0.11546835386381148</v>
      </c>
      <c r="D33" s="44">
        <f t="shared" ref="D33:F33" si="38">(D32-C32)/C32</f>
        <v>-9.5716919073264184E-2</v>
      </c>
      <c r="E33" s="44">
        <f t="shared" si="38"/>
        <v>1.0050362127679984</v>
      </c>
      <c r="F33" s="44">
        <f t="shared" si="38"/>
        <v>3.194547440773788E-2</v>
      </c>
      <c r="G33" s="37">
        <v>3.1899999999999998E-2</v>
      </c>
      <c r="H33" s="37">
        <v>3.1899999999999998E-2</v>
      </c>
      <c r="I33" s="37">
        <v>3.1899999999999998E-2</v>
      </c>
      <c r="J33" s="37">
        <v>3.1899999999999998E-2</v>
      </c>
      <c r="K33" s="37">
        <v>3.1899999999999998E-2</v>
      </c>
    </row>
    <row r="34" spans="1:11" x14ac:dyDescent="0.2">
      <c r="A34" s="22" t="s">
        <v>169</v>
      </c>
      <c r="B34" s="41">
        <v>1193925</v>
      </c>
      <c r="C34" s="41">
        <v>1069310</v>
      </c>
      <c r="D34" s="41">
        <v>1029042</v>
      </c>
      <c r="E34" s="41">
        <v>1810380</v>
      </c>
      <c r="F34" s="41">
        <v>1971099</v>
      </c>
      <c r="G34" s="34">
        <f>F34+F34*G35</f>
        <v>2168208.9</v>
      </c>
      <c r="H34" s="34">
        <f t="shared" ref="H34:K34" si="39">G34+G34*H35</f>
        <v>2385029.79</v>
      </c>
      <c r="I34" s="34">
        <f t="shared" si="39"/>
        <v>2623532.7689999999</v>
      </c>
      <c r="J34" s="34">
        <f t="shared" si="39"/>
        <v>2885886.0458999998</v>
      </c>
      <c r="K34" s="34">
        <f t="shared" si="39"/>
        <v>3174474.6504899999</v>
      </c>
    </row>
    <row r="35" spans="1:11" x14ac:dyDescent="0.2">
      <c r="B35" s="41"/>
      <c r="C35" s="44">
        <f>(C34-B34)/B34</f>
        <v>-0.10437422786188412</v>
      </c>
      <c r="D35" s="44">
        <f t="shared" ref="D35:F35" si="40">(D34-C34)/C34</f>
        <v>-3.7657928944833587E-2</v>
      </c>
      <c r="E35" s="44">
        <f t="shared" si="40"/>
        <v>0.75928679295888801</v>
      </c>
      <c r="F35" s="44">
        <f t="shared" si="40"/>
        <v>8.8776389487289956E-2</v>
      </c>
      <c r="G35" s="37">
        <v>0.1</v>
      </c>
      <c r="H35" s="37">
        <v>0.1</v>
      </c>
      <c r="I35" s="37">
        <v>0.1</v>
      </c>
      <c r="J35" s="37">
        <v>0.1</v>
      </c>
      <c r="K35" s="37">
        <v>0.1</v>
      </c>
    </row>
    <row r="36" spans="1:11" x14ac:dyDescent="0.2">
      <c r="A36" s="22" t="s">
        <v>115</v>
      </c>
      <c r="B36" s="41">
        <v>-223766</v>
      </c>
      <c r="C36" s="41">
        <v>-85434</v>
      </c>
      <c r="D36" s="41">
        <v>-61304</v>
      </c>
      <c r="E36" s="41">
        <v>-52385</v>
      </c>
      <c r="F36" s="41">
        <v>-83115</v>
      </c>
      <c r="G36" s="41">
        <v>-88115</v>
      </c>
      <c r="H36" s="41">
        <v>-93115</v>
      </c>
      <c r="I36" s="41">
        <f>H36+-2500</f>
        <v>-95615</v>
      </c>
      <c r="J36" s="41">
        <f>I36+-2500</f>
        <v>-98115</v>
      </c>
      <c r="K36" s="41">
        <f>J36+-2500</f>
        <v>-100615</v>
      </c>
    </row>
    <row r="37" spans="1:11" x14ac:dyDescent="0.2">
      <c r="A37" s="22" t="s">
        <v>157</v>
      </c>
      <c r="B37" s="41"/>
      <c r="C37" s="44">
        <f t="shared" ref="C37:K37" si="41">(C36-B36)/B36</f>
        <v>-0.61819936898367045</v>
      </c>
      <c r="D37" s="44">
        <f t="shared" si="41"/>
        <v>-0.282440246271976</v>
      </c>
      <c r="E37" s="44">
        <f t="shared" si="41"/>
        <v>-0.14548805950672061</v>
      </c>
      <c r="F37" s="44">
        <f t="shared" si="41"/>
        <v>0.58661830676720439</v>
      </c>
      <c r="G37" s="36">
        <f t="shared" si="41"/>
        <v>6.0157612945918308E-2</v>
      </c>
      <c r="H37" s="36">
        <f t="shared" si="41"/>
        <v>5.6744027691085511E-2</v>
      </c>
      <c r="I37" s="36">
        <f t="shared" si="41"/>
        <v>2.6848520646512376E-2</v>
      </c>
      <c r="J37" s="36">
        <f t="shared" si="41"/>
        <v>2.6146525126810646E-2</v>
      </c>
      <c r="K37" s="36">
        <f t="shared" si="41"/>
        <v>2.5480303725220404E-2</v>
      </c>
    </row>
    <row r="38" spans="1:11" x14ac:dyDescent="0.2">
      <c r="A38" s="22" t="s">
        <v>110</v>
      </c>
      <c r="B38" s="41">
        <v>36808</v>
      </c>
      <c r="C38" s="41">
        <v>45467</v>
      </c>
      <c r="D38" s="41">
        <v>47508</v>
      </c>
      <c r="E38" s="41">
        <v>50786</v>
      </c>
      <c r="F38" s="41">
        <v>54723</v>
      </c>
      <c r="G38" s="97">
        <f>F38+F38*G39</f>
        <v>58964.032500000001</v>
      </c>
      <c r="H38" s="97">
        <f t="shared" ref="H38:K38" si="42">G38+G38*H39</f>
        <v>63533.74501875</v>
      </c>
      <c r="I38" s="97">
        <f t="shared" si="42"/>
        <v>68457.610257703127</v>
      </c>
      <c r="J38" s="97">
        <f t="shared" si="42"/>
        <v>73763.075052675122</v>
      </c>
      <c r="K38" s="97">
        <f t="shared" si="42"/>
        <v>79479.713369257443</v>
      </c>
    </row>
    <row r="39" spans="1:11" x14ac:dyDescent="0.2">
      <c r="A39" s="22" t="s">
        <v>157</v>
      </c>
      <c r="B39" s="41"/>
      <c r="C39" s="44">
        <f>(C38-B38)/B38</f>
        <v>0.23524777222342969</v>
      </c>
      <c r="D39" s="44">
        <f t="shared" ref="D39:F39" si="43">(D38-C38)/C38</f>
        <v>4.4889700222139131E-2</v>
      </c>
      <c r="E39" s="44">
        <f t="shared" si="43"/>
        <v>6.8998905447503575E-2</v>
      </c>
      <c r="F39" s="44">
        <f t="shared" si="43"/>
        <v>7.7521364155475919E-2</v>
      </c>
      <c r="G39" s="37">
        <v>7.7499999999999999E-2</v>
      </c>
      <c r="H39" s="37">
        <v>7.7499999999999999E-2</v>
      </c>
      <c r="I39" s="37">
        <v>7.7499999999999999E-2</v>
      </c>
      <c r="J39" s="37">
        <v>7.7499999999999999E-2</v>
      </c>
      <c r="K39" s="37">
        <v>7.7499999999999999E-2</v>
      </c>
    </row>
    <row r="40" spans="1:11" x14ac:dyDescent="0.2">
      <c r="A40" s="22" t="s">
        <v>117</v>
      </c>
      <c r="B40" s="41">
        <v>312787</v>
      </c>
      <c r="C40" s="41">
        <v>276670</v>
      </c>
      <c r="D40" s="41">
        <v>250188</v>
      </c>
      <c r="E40" s="41">
        <v>501636</v>
      </c>
      <c r="F40" s="41">
        <v>517661</v>
      </c>
      <c r="G40" s="22"/>
    </row>
    <row r="41" spans="1:11" x14ac:dyDescent="0.2">
      <c r="A41" s="22" t="s">
        <v>157</v>
      </c>
      <c r="B41" s="41"/>
      <c r="C41" s="44">
        <f>(C40-B40)/B40</f>
        <v>-0.11546835386381148</v>
      </c>
      <c r="D41" s="44">
        <f t="shared" ref="D41:F41" si="44">(D40-C40)/C40</f>
        <v>-9.5716919073264184E-2</v>
      </c>
      <c r="E41" s="44">
        <f t="shared" si="44"/>
        <v>1.0050362127679984</v>
      </c>
      <c r="F41" s="44">
        <f t="shared" si="44"/>
        <v>3.194547440773788E-2</v>
      </c>
      <c r="G41" s="98">
        <v>0.2</v>
      </c>
    </row>
    <row r="42" spans="1:11" x14ac:dyDescent="0.2">
      <c r="A42" s="22" t="s">
        <v>116</v>
      </c>
      <c r="B42" s="41">
        <v>-2338124</v>
      </c>
      <c r="C42" s="41">
        <v>-83447</v>
      </c>
      <c r="D42" s="41">
        <v>-2245317</v>
      </c>
      <c r="E42" s="41">
        <v>-2358984</v>
      </c>
      <c r="F42" s="41">
        <v>-1102046</v>
      </c>
      <c r="G42" s="22"/>
    </row>
    <row r="43" spans="1:11" x14ac:dyDescent="0.2">
      <c r="A43" s="22" t="s">
        <v>157</v>
      </c>
      <c r="B43" s="41"/>
      <c r="C43" s="43">
        <f>(C42-B42)/B42</f>
        <v>-0.96431027610169517</v>
      </c>
      <c r="D43" s="43">
        <f>(D42-C42)/C42</f>
        <v>25.907102711900968</v>
      </c>
      <c r="E43" s="44">
        <f t="shared" ref="E43" si="45">(E42-D42)/D42</f>
        <v>5.062403215225289E-2</v>
      </c>
      <c r="F43" s="44">
        <f>(F42-E42)/E42</f>
        <v>-0.53283023538947272</v>
      </c>
      <c r="G43" s="22"/>
    </row>
    <row r="44" spans="1:11" x14ac:dyDescent="0.2">
      <c r="A44" s="22" t="s">
        <v>118</v>
      </c>
      <c r="B44" s="41">
        <v>7030420</v>
      </c>
      <c r="C44" s="41">
        <v>6545906</v>
      </c>
      <c r="D44" s="41">
        <v>8754742</v>
      </c>
      <c r="E44" s="41">
        <v>10506055</v>
      </c>
      <c r="F44" s="41">
        <v>10940938</v>
      </c>
      <c r="G44" s="97">
        <f>F44+F44*G45</f>
        <v>11597394.279999999</v>
      </c>
      <c r="H44" s="97">
        <f t="shared" ref="H44:I44" si="46">G44+G44*H45</f>
        <v>12293237.936799999</v>
      </c>
      <c r="I44" s="97">
        <f t="shared" si="46"/>
        <v>13030832.213008</v>
      </c>
      <c r="J44" s="97">
        <f>I44+I44*J45</f>
        <v>13812682.14578848</v>
      </c>
      <c r="K44" s="97">
        <f t="shared" ref="K44" si="47">J44+J44*K45</f>
        <v>14641443.074535789</v>
      </c>
    </row>
    <row r="45" spans="1:11" x14ac:dyDescent="0.2">
      <c r="A45" s="22" t="s">
        <v>157</v>
      </c>
      <c r="B45" s="41"/>
      <c r="C45" s="44">
        <f>(C44-B44)/B44</f>
        <v>-6.8916793022322995E-2</v>
      </c>
      <c r="D45" s="44">
        <f t="shared" ref="D45:F45" si="48">(D44-C44)/C44</f>
        <v>0.33743778172188849</v>
      </c>
      <c r="E45" s="44">
        <f t="shared" si="48"/>
        <v>0.20004164600167543</v>
      </c>
      <c r="F45" s="44">
        <f t="shared" si="48"/>
        <v>4.1393558286150225E-2</v>
      </c>
      <c r="G45" s="98">
        <v>0.06</v>
      </c>
      <c r="H45" s="98">
        <v>0.06</v>
      </c>
      <c r="I45" s="98">
        <v>0.06</v>
      </c>
      <c r="J45" s="98">
        <v>0.06</v>
      </c>
      <c r="K45" s="98">
        <v>0.06</v>
      </c>
    </row>
    <row r="46" spans="1:11" x14ac:dyDescent="0.2">
      <c r="A46" s="22" t="s">
        <v>119</v>
      </c>
      <c r="B46" s="41">
        <v>48293</v>
      </c>
      <c r="C46" s="41">
        <v>66389</v>
      </c>
      <c r="D46" s="41">
        <v>57926</v>
      </c>
      <c r="E46" s="41">
        <v>53670</v>
      </c>
      <c r="F46" s="41">
        <v>64228</v>
      </c>
      <c r="G46" s="97">
        <f>F46+F46*G47</f>
        <v>76861.647599999997</v>
      </c>
      <c r="H46" s="97">
        <f t="shared" ref="H46:K46" si="49">G46+G46*H47</f>
        <v>91980.333682919998</v>
      </c>
      <c r="I46" s="97">
        <f t="shared" si="49"/>
        <v>110072.86531835036</v>
      </c>
      <c r="J46" s="97">
        <f t="shared" si="49"/>
        <v>131724.19792646987</v>
      </c>
      <c r="K46" s="97">
        <f t="shared" si="49"/>
        <v>157634.34765860651</v>
      </c>
    </row>
    <row r="47" spans="1:11" x14ac:dyDescent="0.2">
      <c r="A47" s="22" t="s">
        <v>157</v>
      </c>
      <c r="B47" s="41"/>
      <c r="C47" s="44">
        <f>(C46-B46)/B46</f>
        <v>0.37471269128030976</v>
      </c>
      <c r="D47" s="44">
        <f t="shared" ref="D47:F47" si="50">(D46-C46)/C46</f>
        <v>-0.12747593727876605</v>
      </c>
      <c r="E47" s="44">
        <f t="shared" si="50"/>
        <v>-7.3473051824741911E-2</v>
      </c>
      <c r="F47" s="44">
        <f t="shared" si="50"/>
        <v>0.19672070057760388</v>
      </c>
      <c r="G47" s="37">
        <v>0.19670000000000001</v>
      </c>
      <c r="H47" s="37">
        <v>0.19670000000000001</v>
      </c>
      <c r="I47" s="37">
        <v>0.19670000000000001</v>
      </c>
      <c r="J47" s="37">
        <v>0.19670000000000001</v>
      </c>
      <c r="K47" s="37">
        <v>0.19670000000000001</v>
      </c>
    </row>
    <row r="48" spans="1:11" x14ac:dyDescent="0.2">
      <c r="A48" s="22" t="s">
        <v>114</v>
      </c>
      <c r="B48" s="41">
        <v>690808</v>
      </c>
      <c r="C48" s="41">
        <v>481588</v>
      </c>
      <c r="D48" s="41">
        <v>680447</v>
      </c>
      <c r="E48" s="41">
        <v>277213</v>
      </c>
      <c r="F48" s="41">
        <v>257305</v>
      </c>
      <c r="G48" s="97">
        <f>F48+F48*G49</f>
        <v>266542.24949999998</v>
      </c>
      <c r="H48" s="97">
        <f t="shared" ref="H48:K48" si="51">G48+G48*H49</f>
        <v>276111.11625704996</v>
      </c>
      <c r="I48" s="97">
        <f t="shared" si="51"/>
        <v>286023.50533067808</v>
      </c>
      <c r="J48" s="97">
        <f t="shared" si="51"/>
        <v>296291.7491720494</v>
      </c>
      <c r="K48" s="97">
        <f t="shared" si="51"/>
        <v>306928.62296732597</v>
      </c>
    </row>
    <row r="49" spans="1:11" x14ac:dyDescent="0.2">
      <c r="A49" s="22" t="s">
        <v>157</v>
      </c>
      <c r="B49" s="41"/>
      <c r="C49" s="44">
        <f>(C48-B48)/B48</f>
        <v>-0.30286273465275443</v>
      </c>
      <c r="D49" s="44">
        <f t="shared" ref="D49:F49" si="52">(D48-C48)/C48</f>
        <v>0.41292349477146439</v>
      </c>
      <c r="E49" s="44">
        <f t="shared" si="52"/>
        <v>-0.59260162804744532</v>
      </c>
      <c r="F49" s="44">
        <f t="shared" si="52"/>
        <v>-7.1814813879579956E-2</v>
      </c>
      <c r="G49" s="36">
        <v>3.5900000000000001E-2</v>
      </c>
      <c r="H49" s="36">
        <v>3.5900000000000001E-2</v>
      </c>
      <c r="I49" s="36">
        <v>3.5900000000000001E-2</v>
      </c>
      <c r="J49" s="36">
        <v>3.5900000000000001E-2</v>
      </c>
      <c r="K49" s="36">
        <v>3.5900000000000001E-2</v>
      </c>
    </row>
    <row r="50" spans="1:11" x14ac:dyDescent="0.2">
      <c r="A50" s="22" t="s">
        <v>113</v>
      </c>
      <c r="B50" s="41">
        <v>146501</v>
      </c>
      <c r="C50" s="41">
        <v>86332</v>
      </c>
      <c r="D50" s="41">
        <v>87376</v>
      </c>
      <c r="E50" s="41">
        <v>142910</v>
      </c>
      <c r="F50" s="41">
        <v>121827</v>
      </c>
      <c r="G50" s="97">
        <f>F50+F50*G51</f>
        <v>139796.48249999998</v>
      </c>
      <c r="H50" s="97">
        <f t="shared" ref="H50:K50" si="53">G50+G50*H51</f>
        <v>160416.46366874999</v>
      </c>
      <c r="I50" s="97">
        <f t="shared" si="53"/>
        <v>184077.89205989061</v>
      </c>
      <c r="J50" s="97">
        <f t="shared" si="53"/>
        <v>211229.38113872448</v>
      </c>
      <c r="K50" s="97">
        <f t="shared" si="53"/>
        <v>242385.71485668633</v>
      </c>
    </row>
    <row r="51" spans="1:11" x14ac:dyDescent="0.2">
      <c r="A51" s="22" t="s">
        <v>157</v>
      </c>
      <c r="B51" s="41"/>
      <c r="C51" s="44">
        <f>(C50-B50)/B50</f>
        <v>-0.410707094149528</v>
      </c>
      <c r="D51" s="44">
        <f t="shared" ref="D51:F51" si="54">(D50-C50)/C50</f>
        <v>1.2092850854839457E-2</v>
      </c>
      <c r="E51" s="44">
        <f t="shared" si="54"/>
        <v>0.63557498626625164</v>
      </c>
      <c r="F51" s="44">
        <f t="shared" si="54"/>
        <v>-0.14752641522636625</v>
      </c>
      <c r="G51" s="37">
        <v>0.14749999999999999</v>
      </c>
      <c r="H51" s="37">
        <v>0.14749999999999999</v>
      </c>
      <c r="I51" s="37">
        <v>0.14749999999999999</v>
      </c>
      <c r="J51" s="37">
        <v>0.14749999999999999</v>
      </c>
      <c r="K51" s="37">
        <v>0.14749999999999999</v>
      </c>
    </row>
    <row r="52" spans="1:11" x14ac:dyDescent="0.2">
      <c r="A52" s="22" t="s">
        <v>120</v>
      </c>
      <c r="B52" s="41">
        <v>2519378</v>
      </c>
      <c r="C52" s="41">
        <v>1417040</v>
      </c>
      <c r="D52" s="41">
        <v>2366476</v>
      </c>
      <c r="E52" s="41">
        <v>1603498</v>
      </c>
      <c r="F52" s="41">
        <v>678040</v>
      </c>
      <c r="G52" s="97">
        <f>F52+F52*G53</f>
        <v>638906.95821759675</v>
      </c>
      <c r="H52" s="97">
        <f t="shared" ref="H52:K52" si="55">G52+G52*H53</f>
        <v>602032.47781673935</v>
      </c>
      <c r="I52" s="97">
        <f t="shared" si="55"/>
        <v>567286.20604993182</v>
      </c>
      <c r="J52" s="97">
        <f t="shared" si="55"/>
        <v>534545.31347142172</v>
      </c>
      <c r="K52" s="97">
        <f t="shared" si="55"/>
        <v>503694.05973024864</v>
      </c>
    </row>
    <row r="53" spans="1:11" x14ac:dyDescent="0.2">
      <c r="A53" s="22" t="s">
        <v>157</v>
      </c>
      <c r="B53" s="41"/>
      <c r="C53" s="43">
        <f>(C52-B52)/B52</f>
        <v>-0.43754371118585617</v>
      </c>
      <c r="D53" s="43">
        <f t="shared" ref="D53:F53" si="56">(D52-C52)/C52</f>
        <v>0.67001354937051882</v>
      </c>
      <c r="E53" s="43">
        <f t="shared" si="56"/>
        <v>-0.32241104494615624</v>
      </c>
      <c r="F53" s="43">
        <f t="shared" si="56"/>
        <v>-0.5771494569996346</v>
      </c>
      <c r="G53" s="36">
        <f>$F$53/10</f>
        <v>-5.7714945699963459E-2</v>
      </c>
      <c r="H53" s="36">
        <f t="shared" ref="H53:K53" si="57">$F$53/10</f>
        <v>-5.7714945699963459E-2</v>
      </c>
      <c r="I53" s="36">
        <f t="shared" si="57"/>
        <v>-5.7714945699963459E-2</v>
      </c>
      <c r="J53" s="36">
        <f t="shared" si="57"/>
        <v>-5.7714945699963459E-2</v>
      </c>
      <c r="K53" s="36">
        <f t="shared" si="57"/>
        <v>-5.7714945699963459E-2</v>
      </c>
    </row>
    <row r="54" spans="1:11" x14ac:dyDescent="0.2">
      <c r="A54" s="22" t="s">
        <v>173</v>
      </c>
      <c r="B54" s="41">
        <v>-425882</v>
      </c>
      <c r="C54" s="41">
        <v>-443170</v>
      </c>
      <c r="D54" s="41">
        <v>-382429</v>
      </c>
      <c r="E54" s="41">
        <v>-570512</v>
      </c>
      <c r="F54" s="41">
        <v>-693356</v>
      </c>
      <c r="G54" s="34">
        <f>F54+F54*G55</f>
        <v>-768003.53104579751</v>
      </c>
      <c r="H54" s="34">
        <f t="shared" ref="H54:K54" si="58">G54+G54*H55</f>
        <v>-850717.51133942988</v>
      </c>
      <c r="I54" s="34">
        <f t="shared" si="58"/>
        <v>-942339.78731068643</v>
      </c>
      <c r="J54" s="34">
        <f t="shared" si="58"/>
        <v>-1043829.7824040473</v>
      </c>
      <c r="K54" s="34">
        <f t="shared" si="58"/>
        <v>-1156250.2499689632</v>
      </c>
    </row>
    <row r="55" spans="1:11" x14ac:dyDescent="0.2">
      <c r="B55" s="41"/>
      <c r="C55" s="44">
        <f>(C54-B54)/B54</f>
        <v>4.0593403806688237E-2</v>
      </c>
      <c r="D55" s="44">
        <f t="shared" ref="D55:F55" si="59">(D54-C54)/C54</f>
        <v>-0.13706027032515739</v>
      </c>
      <c r="E55" s="44">
        <f t="shared" si="59"/>
        <v>0.49181155194820475</v>
      </c>
      <c r="F55" s="44">
        <f t="shared" si="59"/>
        <v>0.21532237709285695</v>
      </c>
      <c r="G55" s="36">
        <f>F55/2</f>
        <v>0.10766118854642848</v>
      </c>
      <c r="H55" s="36">
        <v>0.1077</v>
      </c>
      <c r="I55" s="36">
        <v>0.1077</v>
      </c>
      <c r="J55" s="36">
        <v>0.1077</v>
      </c>
      <c r="K55" s="36">
        <v>0.1077</v>
      </c>
    </row>
    <row r="56" spans="1:11" x14ac:dyDescent="0.2">
      <c r="A56" s="22" t="s">
        <v>121</v>
      </c>
      <c r="B56" s="42">
        <v>0.56999999999999995</v>
      </c>
      <c r="C56" s="42">
        <v>0.35</v>
      </c>
      <c r="D56" s="42">
        <v>0.45</v>
      </c>
      <c r="E56" s="42">
        <v>0.32</v>
      </c>
      <c r="F56" s="42">
        <v>0.24</v>
      </c>
      <c r="G56" s="22"/>
    </row>
    <row r="57" spans="1:11" x14ac:dyDescent="0.2">
      <c r="A57" s="22" t="s">
        <v>157</v>
      </c>
      <c r="C57" s="36">
        <f>(C56-B56)/B56</f>
        <v>-0.38596491228070173</v>
      </c>
      <c r="D57" s="36">
        <f t="shared" ref="D57:F57" si="60">(D56-C56)/C56</f>
        <v>0.28571428571428581</v>
      </c>
      <c r="E57" s="36">
        <f t="shared" si="60"/>
        <v>-0.28888888888888892</v>
      </c>
      <c r="F57" s="36">
        <f t="shared" si="60"/>
        <v>-0.25000000000000006</v>
      </c>
      <c r="G57" s="22"/>
    </row>
    <row r="58" spans="1:11" x14ac:dyDescent="0.2">
      <c r="A58" s="22" t="s">
        <v>122</v>
      </c>
      <c r="B58" s="41">
        <v>-884858</v>
      </c>
      <c r="C58" s="41">
        <v>1411478</v>
      </c>
      <c r="D58" s="41">
        <v>-783671</v>
      </c>
      <c r="E58" s="41">
        <v>48197</v>
      </c>
      <c r="F58" s="41">
        <v>1424626</v>
      </c>
      <c r="G58" s="22"/>
    </row>
    <row r="59" spans="1:11" x14ac:dyDescent="0.2">
      <c r="A59" s="22" t="s">
        <v>157</v>
      </c>
      <c r="B59" s="41"/>
      <c r="C59" s="43">
        <f>(C58-B58)/B58</f>
        <v>-2.5951463398647014</v>
      </c>
      <c r="D59" s="43">
        <f t="shared" ref="D59:F59" si="61">(D58-C58)/C58</f>
        <v>-1.5552130461827955</v>
      </c>
      <c r="E59" s="44">
        <f>(E58-D58)/D58</f>
        <v>-1.0615015740023557</v>
      </c>
      <c r="F59" s="43">
        <f t="shared" si="61"/>
        <v>28.558395750772871</v>
      </c>
      <c r="G59" s="22"/>
    </row>
    <row r="60" spans="1:11" x14ac:dyDescent="0.2">
      <c r="A60" s="22" t="s">
        <v>174</v>
      </c>
      <c r="B60" s="23">
        <v>61066</v>
      </c>
      <c r="C60" s="23">
        <v>72155</v>
      </c>
      <c r="D60" s="23">
        <v>75118</v>
      </c>
      <c r="E60" s="23">
        <v>79516</v>
      </c>
      <c r="F60" s="23">
        <v>81257</v>
      </c>
      <c r="G60" s="34">
        <f>F60+F60*G61</f>
        <v>83036.528300000005</v>
      </c>
      <c r="H60" s="34">
        <f t="shared" ref="H60:K60" si="62">G60+G60*H61</f>
        <v>84855.028269770002</v>
      </c>
      <c r="I60" s="34">
        <f t="shared" si="62"/>
        <v>86713.353388877964</v>
      </c>
      <c r="J60" s="34">
        <f t="shared" si="62"/>
        <v>88612.375828094388</v>
      </c>
      <c r="K60" s="34">
        <f t="shared" si="62"/>
        <v>90552.986858729651</v>
      </c>
    </row>
    <row r="61" spans="1:11" x14ac:dyDescent="0.2">
      <c r="A61" s="22" t="s">
        <v>157</v>
      </c>
      <c r="C61" s="36">
        <f>(C60-B60)/B60</f>
        <v>0.18159041037565912</v>
      </c>
      <c r="D61" s="36">
        <f t="shared" ref="D61:F61" si="63">(D60-C60)/C60</f>
        <v>4.106437530316679E-2</v>
      </c>
      <c r="E61" s="36">
        <f t="shared" si="63"/>
        <v>5.854788466146596E-2</v>
      </c>
      <c r="F61" s="36">
        <f t="shared" si="63"/>
        <v>2.1894964535439407E-2</v>
      </c>
      <c r="G61" s="36">
        <v>2.1899999999999999E-2</v>
      </c>
      <c r="H61" s="36">
        <v>2.1899999999999999E-2</v>
      </c>
      <c r="I61" s="36">
        <v>2.1899999999999999E-2</v>
      </c>
      <c r="J61" s="36">
        <v>2.1899999999999999E-2</v>
      </c>
      <c r="K61" s="36">
        <v>2.1899999999999999E-2</v>
      </c>
    </row>
    <row r="62" spans="1:11" x14ac:dyDescent="0.2">
      <c r="A62" s="22" t="s">
        <v>207</v>
      </c>
      <c r="B62" s="23">
        <v>15494465</v>
      </c>
      <c r="C62" s="23">
        <v>16161656</v>
      </c>
      <c r="D62" s="23">
        <v>18240161</v>
      </c>
      <c r="E62" s="23">
        <v>31539300</v>
      </c>
      <c r="F62" s="23">
        <v>30652798</v>
      </c>
      <c r="G62" s="40">
        <f>F62+F62*G63</f>
        <v>31514141.623799998</v>
      </c>
      <c r="H62" s="40">
        <f t="shared" ref="H62:K62" si="64">G62+G62*H63</f>
        <v>32399689.00342878</v>
      </c>
      <c r="I62" s="40">
        <f t="shared" si="64"/>
        <v>33310120.264425129</v>
      </c>
      <c r="J62" s="40">
        <f t="shared" si="64"/>
        <v>34246134.643855475</v>
      </c>
      <c r="K62" s="40">
        <f t="shared" si="64"/>
        <v>35208451.027347811</v>
      </c>
    </row>
    <row r="63" spans="1:11" x14ac:dyDescent="0.2">
      <c r="B63" s="38"/>
      <c r="C63" s="36">
        <f>(C62-B62)/B62</f>
        <v>4.3059957216980388E-2</v>
      </c>
      <c r="D63" s="36">
        <f t="shared" ref="D63:F63" si="65">(D62-C62)/C62</f>
        <v>0.12860717985830164</v>
      </c>
      <c r="E63" s="36">
        <f t="shared" si="65"/>
        <v>0.72911302701768921</v>
      </c>
      <c r="F63" s="36">
        <f t="shared" si="65"/>
        <v>-2.8107852742451481E-2</v>
      </c>
      <c r="G63" s="36">
        <f>2.81%</f>
        <v>2.81E-2</v>
      </c>
      <c r="H63" s="36">
        <f t="shared" ref="H63:K63" si="66">2.81%</f>
        <v>2.81E-2</v>
      </c>
      <c r="I63" s="36">
        <f t="shared" si="66"/>
        <v>2.81E-2</v>
      </c>
      <c r="J63" s="36">
        <f t="shared" si="66"/>
        <v>2.81E-2</v>
      </c>
      <c r="K63" s="36">
        <f t="shared" si="66"/>
        <v>2.81E-2</v>
      </c>
    </row>
    <row r="64" spans="1:11" x14ac:dyDescent="0.2">
      <c r="A64" s="22" t="s">
        <v>222</v>
      </c>
      <c r="B64" s="37">
        <v>8.8999999999999996E-2</v>
      </c>
      <c r="C64" s="37">
        <v>7.6999999999999999E-2</v>
      </c>
      <c r="D64" s="37">
        <v>6.7000000000000004E-2</v>
      </c>
      <c r="E64" s="37">
        <v>6.9000000000000006E-2</v>
      </c>
      <c r="F64" s="37">
        <v>7.4999999999999997E-2</v>
      </c>
    </row>
    <row r="65" spans="1:6" x14ac:dyDescent="0.2">
      <c r="E65" s="36"/>
    </row>
    <row r="66" spans="1:6" x14ac:dyDescent="0.2">
      <c r="B66" s="26"/>
      <c r="C66" s="26"/>
      <c r="D66" s="26"/>
      <c r="E66" s="26"/>
      <c r="F66" s="26"/>
    </row>
    <row r="67" spans="1:6" x14ac:dyDescent="0.2">
      <c r="A67"/>
      <c r="B67" s="1"/>
      <c r="C67" s="1"/>
      <c r="D67" s="1"/>
      <c r="E67" s="1"/>
      <c r="F67" s="2"/>
    </row>
    <row r="68" spans="1:6" x14ac:dyDescent="0.2">
      <c r="A68"/>
      <c r="B68" s="1"/>
      <c r="C68" s="1"/>
      <c r="D68" s="1"/>
      <c r="E68" s="1"/>
      <c r="F68" s="2"/>
    </row>
    <row r="69" spans="1:6" x14ac:dyDescent="0.2">
      <c r="A69"/>
      <c r="B69" s="1"/>
      <c r="C69" s="1"/>
      <c r="D69" s="1"/>
      <c r="E69" s="1"/>
      <c r="F69" s="2"/>
    </row>
    <row r="83" spans="1:11" x14ac:dyDescent="0.2">
      <c r="A83" s="22" t="s">
        <v>155</v>
      </c>
      <c r="B83" s="22" t="s">
        <v>66</v>
      </c>
      <c r="C83" s="22" t="s">
        <v>67</v>
      </c>
      <c r="D83" s="22" t="s">
        <v>68</v>
      </c>
      <c r="E83" s="22" t="s">
        <v>69</v>
      </c>
      <c r="F83" s="22" t="s">
        <v>70</v>
      </c>
      <c r="G83" s="22" t="s">
        <v>254</v>
      </c>
      <c r="H83" s="22" t="s">
        <v>255</v>
      </c>
      <c r="I83" s="22" t="s">
        <v>256</v>
      </c>
      <c r="J83" s="22" t="s">
        <v>257</v>
      </c>
      <c r="K83" s="22" t="s">
        <v>258</v>
      </c>
    </row>
    <row r="84" spans="1:11" x14ac:dyDescent="0.2">
      <c r="A84" s="22" t="s">
        <v>120</v>
      </c>
      <c r="B84" s="22">
        <v>2519378</v>
      </c>
      <c r="C84" s="22">
        <v>1417040</v>
      </c>
      <c r="D84" s="22">
        <v>2366476</v>
      </c>
      <c r="E84" s="22">
        <v>1603498</v>
      </c>
      <c r="F84" s="22">
        <v>678040</v>
      </c>
      <c r="G84">
        <v>638906.95821759675</v>
      </c>
      <c r="H84" s="22">
        <v>602032.47781673935</v>
      </c>
      <c r="I84" s="22">
        <v>567286.20604993182</v>
      </c>
      <c r="J84" s="22">
        <v>534545.31347142172</v>
      </c>
      <c r="K84" s="22">
        <v>503694.05973024864</v>
      </c>
    </row>
  </sheetData>
  <hyperlinks>
    <hyperlink ref="J83" r:id="rId1" display="FY@&amp;E" xr:uid="{0FCE5918-8881-044C-B9F8-7DD992FD5D2E}"/>
  </hyperlinks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5DBE-E5BA-CE40-BCFE-8BA7D58BEDB2}">
  <sheetPr codeName="Sheet22"/>
  <dimension ref="A1:R6"/>
  <sheetViews>
    <sheetView topLeftCell="P1" zoomScale="166" workbookViewId="0">
      <selection activeCell="P7" sqref="P7"/>
    </sheetView>
  </sheetViews>
  <sheetFormatPr baseColWidth="10" defaultRowHeight="16" x14ac:dyDescent="0.2"/>
  <cols>
    <col min="1" max="1" width="27.5" customWidth="1"/>
    <col min="17" max="17" width="20.6640625" customWidth="1"/>
    <col min="18" max="18" width="36.6640625" customWidth="1"/>
  </cols>
  <sheetData>
    <row r="1" spans="1:18" x14ac:dyDescent="0.2">
      <c r="A1" t="s">
        <v>57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Q1" t="s">
        <v>59</v>
      </c>
      <c r="R1" t="s">
        <v>60</v>
      </c>
    </row>
    <row r="2" spans="1:18" x14ac:dyDescent="0.2">
      <c r="A2" t="s">
        <v>53</v>
      </c>
      <c r="B2">
        <v>36</v>
      </c>
      <c r="C2">
        <v>-106</v>
      </c>
      <c r="D2">
        <v>159</v>
      </c>
      <c r="E2">
        <v>205</v>
      </c>
      <c r="F2">
        <v>155</v>
      </c>
      <c r="G2">
        <v>528</v>
      </c>
      <c r="H2">
        <v>435</v>
      </c>
      <c r="I2">
        <v>525</v>
      </c>
      <c r="J2">
        <v>1707</v>
      </c>
      <c r="K2">
        <v>1399</v>
      </c>
      <c r="P2" t="s">
        <v>0</v>
      </c>
      <c r="Q2">
        <v>0.24377114144719308</v>
      </c>
      <c r="R2">
        <v>1.2384105960264902</v>
      </c>
    </row>
    <row r="3" spans="1:18" x14ac:dyDescent="0.2">
      <c r="A3" t="s">
        <v>54</v>
      </c>
      <c r="B3">
        <v>-126</v>
      </c>
      <c r="C3">
        <v>-212</v>
      </c>
      <c r="D3">
        <v>13</v>
      </c>
      <c r="E3">
        <v>-29</v>
      </c>
      <c r="F3">
        <v>-174</v>
      </c>
      <c r="G3">
        <v>-191</v>
      </c>
      <c r="H3">
        <v>-59</v>
      </c>
      <c r="I3">
        <v>-781</v>
      </c>
      <c r="J3">
        <v>202</v>
      </c>
      <c r="K3">
        <v>-307</v>
      </c>
      <c r="P3" t="s">
        <v>1</v>
      </c>
      <c r="Q3">
        <v>-0.10437410766010145</v>
      </c>
      <c r="R3">
        <v>-3.2130177514792901</v>
      </c>
    </row>
    <row r="4" spans="1:18" x14ac:dyDescent="0.2">
      <c r="A4" t="s">
        <v>55</v>
      </c>
      <c r="B4">
        <v>-118</v>
      </c>
      <c r="C4">
        <v>129</v>
      </c>
      <c r="D4">
        <v>-52</v>
      </c>
      <c r="E4">
        <v>4</v>
      </c>
      <c r="F4">
        <v>-42</v>
      </c>
      <c r="G4">
        <v>-645</v>
      </c>
      <c r="H4">
        <v>392</v>
      </c>
      <c r="I4">
        <v>-350</v>
      </c>
      <c r="J4">
        <v>-638</v>
      </c>
      <c r="K4">
        <v>650</v>
      </c>
      <c r="P4" t="s">
        <v>2</v>
      </c>
      <c r="Q4">
        <v>-3.7657868200918196E-2</v>
      </c>
      <c r="R4">
        <v>-1.4792780748663101</v>
      </c>
    </row>
    <row r="5" spans="1:18" x14ac:dyDescent="0.2">
      <c r="A5" t="s">
        <v>56</v>
      </c>
      <c r="B5">
        <v>109</v>
      </c>
      <c r="C5">
        <v>263</v>
      </c>
      <c r="D5">
        <v>-201</v>
      </c>
      <c r="E5">
        <v>72</v>
      </c>
      <c r="F5">
        <v>-241</v>
      </c>
      <c r="G5">
        <v>-368</v>
      </c>
      <c r="H5">
        <v>728</v>
      </c>
      <c r="I5">
        <v>-111</v>
      </c>
      <c r="J5">
        <v>-1178</v>
      </c>
      <c r="K5">
        <v>-238</v>
      </c>
      <c r="P5" t="s">
        <v>3</v>
      </c>
      <c r="Q5">
        <v>0.75928609421044857</v>
      </c>
      <c r="R5">
        <v>-1.1297071129707112</v>
      </c>
    </row>
    <row r="6" spans="1:18" x14ac:dyDescent="0.2">
      <c r="B6">
        <f>SUM(B2:B5)</f>
        <v>-99</v>
      </c>
      <c r="C6">
        <f t="shared" ref="C6:K6" si="0">SUM(C2:C5)</f>
        <v>74</v>
      </c>
      <c r="D6">
        <f t="shared" si="0"/>
        <v>-81</v>
      </c>
      <c r="E6">
        <f t="shared" si="0"/>
        <v>252</v>
      </c>
      <c r="F6">
        <f t="shared" si="0"/>
        <v>-302</v>
      </c>
      <c r="G6">
        <f t="shared" si="0"/>
        <v>-676</v>
      </c>
      <c r="H6">
        <f t="shared" si="0"/>
        <v>1496</v>
      </c>
      <c r="I6">
        <f t="shared" si="0"/>
        <v>-717</v>
      </c>
      <c r="J6">
        <f t="shared" si="0"/>
        <v>93</v>
      </c>
      <c r="K6">
        <f t="shared" si="0"/>
        <v>1504</v>
      </c>
      <c r="P6" t="s">
        <v>4</v>
      </c>
      <c r="Q6">
        <v>8.8776744057971091E-2</v>
      </c>
      <c r="R6">
        <v>15.172043010752688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A97A-81FD-B541-9667-58A80046769B}">
  <sheetPr codeName="Sheet20"/>
  <dimension ref="B1:G2"/>
  <sheetViews>
    <sheetView zoomScale="125" workbookViewId="0">
      <selection activeCell="G2" sqref="G2"/>
    </sheetView>
  </sheetViews>
  <sheetFormatPr baseColWidth="10" defaultRowHeight="16" x14ac:dyDescent="0.2"/>
  <cols>
    <col min="1" max="1" width="8.83203125" customWidth="1"/>
  </cols>
  <sheetData>
    <row r="1" spans="2:7" x14ac:dyDescent="0.2"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2:7" x14ac:dyDescent="0.2">
      <c r="B2" t="s">
        <v>58</v>
      </c>
      <c r="C2" s="20">
        <v>9.9000000000000005E-2</v>
      </c>
      <c r="D2" s="20">
        <v>0.09</v>
      </c>
      <c r="E2" s="20">
        <v>7.5999999999999998E-2</v>
      </c>
      <c r="F2" s="20">
        <v>7.3999999999999996E-2</v>
      </c>
      <c r="G2" s="20">
        <v>7.8E-2</v>
      </c>
    </row>
  </sheetData>
  <hyperlinks>
    <hyperlink ref="C2" r:id="rId1" display="javascript:void(0);" xr:uid="{89048D19-730B-7C47-BD98-C48D0836689A}"/>
    <hyperlink ref="D2" r:id="rId2" display="javascript:void(0);" xr:uid="{401B233A-1071-0042-97A7-733BC11E9C51}"/>
    <hyperlink ref="E2" r:id="rId3" display="javascript:void(0);" xr:uid="{C2012032-5E8C-D744-93DB-3067C9EB680E}"/>
    <hyperlink ref="F2" r:id="rId4" display="javascript:void(0);" xr:uid="{A4D8073C-FECC-FC4E-BB81-FB3348FC276A}"/>
    <hyperlink ref="G2" r:id="rId5" display="javascript:void(0);" xr:uid="{9DC98BF9-A28E-1540-B2A4-80967BA333EB}"/>
  </hyperlinks>
  <pageMargins left="0.7" right="0.7" top="0.75" bottom="0.75" header="0.3" footer="0.3"/>
  <drawing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C095-2389-3D48-995A-2A7D4C2C0FB3}">
  <sheetPr codeName="Sheet18"/>
  <dimension ref="A1:G12"/>
  <sheetViews>
    <sheetView tabSelected="1" zoomScale="116" zoomScaleNormal="106" workbookViewId="0">
      <selection activeCell="A11" sqref="A11:G12"/>
    </sheetView>
  </sheetViews>
  <sheetFormatPr baseColWidth="10" defaultRowHeight="16" x14ac:dyDescent="0.2"/>
  <cols>
    <col min="2" max="2" width="21.83203125" customWidth="1"/>
    <col min="3" max="3" width="24.6640625" customWidth="1"/>
    <col min="4" max="4" width="31.83203125" customWidth="1"/>
    <col min="5" max="5" width="20" customWidth="1"/>
    <col min="6" max="6" width="21.33203125" customWidth="1"/>
    <col min="7" max="7" width="17.33203125" customWidth="1"/>
  </cols>
  <sheetData>
    <row r="1" spans="1:7" x14ac:dyDescent="0.2">
      <c r="A1" s="22"/>
      <c r="B1" s="22" t="s">
        <v>72</v>
      </c>
      <c r="C1" s="22" t="s">
        <v>73</v>
      </c>
      <c r="G1" s="22" t="s">
        <v>74</v>
      </c>
    </row>
    <row r="2" spans="1:7" x14ac:dyDescent="0.2">
      <c r="A2" s="22">
        <v>2018</v>
      </c>
      <c r="B2" s="26">
        <v>11792052183</v>
      </c>
      <c r="C2" s="26">
        <v>2779083561459</v>
      </c>
      <c r="E2" s="21"/>
      <c r="F2" s="21"/>
      <c r="G2" s="23">
        <v>91257672</v>
      </c>
    </row>
    <row r="3" spans="1:7" x14ac:dyDescent="0.2">
      <c r="A3" s="22">
        <v>2019</v>
      </c>
      <c r="B3" s="26">
        <v>13539967588</v>
      </c>
      <c r="C3" s="26">
        <v>3460713492261</v>
      </c>
      <c r="G3" s="22">
        <v>118266164</v>
      </c>
    </row>
    <row r="4" spans="1:7" x14ac:dyDescent="0.2">
      <c r="A4" s="22">
        <v>2020</v>
      </c>
      <c r="B4" s="26">
        <v>14076055770</v>
      </c>
      <c r="C4" s="26">
        <v>3434732880887</v>
      </c>
      <c r="G4" s="22">
        <v>109155131</v>
      </c>
    </row>
    <row r="5" spans="1:7" x14ac:dyDescent="0.2">
      <c r="A5" s="22">
        <v>2021</v>
      </c>
      <c r="B5" s="26">
        <v>15948760134</v>
      </c>
      <c r="C5" s="26">
        <v>3598298230376</v>
      </c>
      <c r="G5" s="22">
        <v>137075915</v>
      </c>
    </row>
    <row r="6" spans="1:7" x14ac:dyDescent="0.2">
      <c r="A6" s="22">
        <v>2022</v>
      </c>
      <c r="B6" s="26">
        <v>27949660295</v>
      </c>
      <c r="C6" s="26">
        <v>5927106534772</v>
      </c>
      <c r="G6" s="22">
        <v>151433417</v>
      </c>
    </row>
    <row r="7" spans="1:7" x14ac:dyDescent="0.2">
      <c r="A7" s="22">
        <v>2023</v>
      </c>
      <c r="B7" s="26">
        <v>27078338249</v>
      </c>
      <c r="C7" s="26">
        <v>6058590947164</v>
      </c>
      <c r="G7" s="23">
        <v>201543893</v>
      </c>
    </row>
    <row r="10" spans="1:7" x14ac:dyDescent="0.2">
      <c r="B10" s="21"/>
      <c r="C10" s="21"/>
      <c r="D10" s="21"/>
      <c r="E10" s="21"/>
      <c r="F10" s="21"/>
    </row>
    <row r="11" spans="1:7" x14ac:dyDescent="0.2">
      <c r="A11" s="22"/>
      <c r="B11" s="22">
        <v>2018</v>
      </c>
      <c r="C11" s="22">
        <v>2019</v>
      </c>
      <c r="D11" s="22">
        <v>2020</v>
      </c>
      <c r="E11" s="22">
        <v>2021</v>
      </c>
      <c r="F11" s="22">
        <v>2022</v>
      </c>
      <c r="G11" s="22">
        <v>2023</v>
      </c>
    </row>
    <row r="12" spans="1:7" x14ac:dyDescent="0.2">
      <c r="A12" s="22" t="s">
        <v>72</v>
      </c>
      <c r="B12" s="26">
        <v>11792052183</v>
      </c>
      <c r="C12" s="26">
        <v>13539967588</v>
      </c>
      <c r="D12" s="26">
        <v>14076055770</v>
      </c>
      <c r="E12" s="26">
        <v>15948760134</v>
      </c>
      <c r="F12" s="26">
        <v>27949660295</v>
      </c>
      <c r="G12" s="26">
        <v>27078338249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3BF3-0555-E049-ABC7-A0FFDEEBBC7F}">
  <sheetPr codeName="Sheet3"/>
  <dimension ref="A1:I38"/>
  <sheetViews>
    <sheetView topLeftCell="A24" zoomScale="125" workbookViewId="0">
      <selection activeCell="A32" sqref="A32:B38"/>
    </sheetView>
  </sheetViews>
  <sheetFormatPr baseColWidth="10" defaultRowHeight="16" x14ac:dyDescent="0.2"/>
  <cols>
    <col min="1" max="1" width="32.5" customWidth="1"/>
  </cols>
  <sheetData>
    <row r="1" spans="1:9" x14ac:dyDescent="0.2">
      <c r="A1" t="s">
        <v>25</v>
      </c>
    </row>
    <row r="2" spans="1:9" ht="17" thickBot="1" x14ac:dyDescent="0.25"/>
    <row r="3" spans="1:9" x14ac:dyDescent="0.2">
      <c r="A3" s="15" t="s">
        <v>26</v>
      </c>
      <c r="B3" s="15"/>
    </row>
    <row r="4" spans="1:9" x14ac:dyDescent="0.2">
      <c r="A4" t="s">
        <v>27</v>
      </c>
      <c r="B4">
        <v>0.47743512514761399</v>
      </c>
    </row>
    <row r="5" spans="1:9" x14ac:dyDescent="0.2">
      <c r="A5" t="s">
        <v>28</v>
      </c>
      <c r="B5">
        <v>0.22794429872471786</v>
      </c>
    </row>
    <row r="6" spans="1:9" x14ac:dyDescent="0.2">
      <c r="A6" t="s">
        <v>29</v>
      </c>
      <c r="B6">
        <v>0.22134553204715135</v>
      </c>
    </row>
    <row r="7" spans="1:9" x14ac:dyDescent="0.2">
      <c r="A7" t="s">
        <v>30</v>
      </c>
      <c r="B7">
        <v>5.2187548707654269E-2</v>
      </c>
    </row>
    <row r="8" spans="1:9" ht="17" thickBot="1" x14ac:dyDescent="0.25">
      <c r="A8" s="13" t="s">
        <v>31</v>
      </c>
      <c r="B8" s="13">
        <v>119</v>
      </c>
    </row>
    <row r="10" spans="1:9" ht="17" thickBot="1" x14ac:dyDescent="0.25">
      <c r="A10" t="s">
        <v>32</v>
      </c>
    </row>
    <row r="11" spans="1:9" x14ac:dyDescent="0.2">
      <c r="A11" s="14"/>
      <c r="B11" s="14" t="s">
        <v>37</v>
      </c>
      <c r="C11" s="14" t="s">
        <v>38</v>
      </c>
      <c r="D11" s="14" t="s">
        <v>39</v>
      </c>
      <c r="E11" s="14" t="s">
        <v>40</v>
      </c>
      <c r="F11" s="14" t="s">
        <v>41</v>
      </c>
    </row>
    <row r="12" spans="1:9" x14ac:dyDescent="0.2">
      <c r="A12" t="s">
        <v>33</v>
      </c>
      <c r="B12">
        <v>1</v>
      </c>
      <c r="C12">
        <v>9.408053056214899E-2</v>
      </c>
      <c r="D12">
        <v>9.408053056214899E-2</v>
      </c>
      <c r="E12">
        <v>34.543469994120009</v>
      </c>
      <c r="F12">
        <v>4.0165433456059577E-8</v>
      </c>
    </row>
    <row r="13" spans="1:9" x14ac:dyDescent="0.2">
      <c r="A13" t="s">
        <v>34</v>
      </c>
      <c r="B13">
        <v>117</v>
      </c>
      <c r="C13">
        <v>0.31865420809331302</v>
      </c>
      <c r="D13">
        <v>2.7235402401137865E-3</v>
      </c>
    </row>
    <row r="14" spans="1:9" ht="17" thickBot="1" x14ac:dyDescent="0.25">
      <c r="A14" s="13" t="s">
        <v>35</v>
      </c>
      <c r="B14" s="13">
        <v>118</v>
      </c>
      <c r="C14" s="13">
        <v>0.41273473865546201</v>
      </c>
      <c r="D14" s="13"/>
      <c r="E14" s="13"/>
      <c r="F14" s="13"/>
    </row>
    <row r="15" spans="1:9" ht="17" thickBot="1" x14ac:dyDescent="0.25"/>
    <row r="16" spans="1:9" x14ac:dyDescent="0.2">
      <c r="A16" s="14"/>
      <c r="B16" s="14" t="s">
        <v>42</v>
      </c>
      <c r="C16" s="14" t="s">
        <v>30</v>
      </c>
      <c r="D16" s="14" t="s">
        <v>43</v>
      </c>
      <c r="E16" s="14" t="s">
        <v>44</v>
      </c>
      <c r="F16" s="14" t="s">
        <v>45</v>
      </c>
      <c r="G16" s="14" t="s">
        <v>46</v>
      </c>
      <c r="H16" s="14" t="s">
        <v>47</v>
      </c>
      <c r="I16" s="14" t="s">
        <v>48</v>
      </c>
    </row>
    <row r="17" spans="1:9" x14ac:dyDescent="0.2">
      <c r="A17" t="s">
        <v>36</v>
      </c>
      <c r="B17">
        <v>1.9636439304409996E-4</v>
      </c>
      <c r="C17">
        <v>4.9695878716437807E-3</v>
      </c>
      <c r="D17">
        <v>3.9513214800878223E-2</v>
      </c>
      <c r="E17">
        <v>0.96854856286552748</v>
      </c>
      <c r="F17">
        <v>-9.6456439737989917E-3</v>
      </c>
      <c r="G17">
        <v>1.0038372759887192E-2</v>
      </c>
      <c r="H17">
        <v>-9.6456439737989917E-3</v>
      </c>
      <c r="I17">
        <v>1.0038372759887192E-2</v>
      </c>
    </row>
    <row r="18" spans="1:9" ht="17" thickBot="1" x14ac:dyDescent="0.25">
      <c r="A18" s="13" t="s">
        <v>23</v>
      </c>
      <c r="B18" s="13">
        <v>0.29602109017421252</v>
      </c>
      <c r="C18" s="13">
        <v>5.0366256502209071E-2</v>
      </c>
      <c r="D18" s="13">
        <v>5.8773693089783032</v>
      </c>
      <c r="E18" s="13">
        <v>4.0165433456057823E-8</v>
      </c>
      <c r="F18" s="13">
        <v>0.1962733584297402</v>
      </c>
      <c r="G18" s="13">
        <v>0.39576882191868484</v>
      </c>
      <c r="H18" s="13">
        <v>0.1962733584297402</v>
      </c>
      <c r="I18" s="13">
        <v>0.39576882191868484</v>
      </c>
    </row>
    <row r="21" spans="1:9" x14ac:dyDescent="0.2">
      <c r="A21" t="s">
        <v>107</v>
      </c>
      <c r="B21">
        <f>B18</f>
        <v>0.29602109017421252</v>
      </c>
    </row>
    <row r="22" spans="1:9" x14ac:dyDescent="0.2">
      <c r="A22" t="s">
        <v>106</v>
      </c>
      <c r="B22">
        <f>(2/3)*(B18) + (1/3)</f>
        <v>0.53068072678280831</v>
      </c>
    </row>
    <row r="24" spans="1:9" ht="136" x14ac:dyDescent="0.2">
      <c r="A24" s="16" t="s">
        <v>49</v>
      </c>
    </row>
    <row r="25" spans="1:9" ht="17" x14ac:dyDescent="0.2">
      <c r="A25" s="17" t="s">
        <v>50</v>
      </c>
    </row>
    <row r="26" spans="1:9" ht="17" x14ac:dyDescent="0.2">
      <c r="A26" s="17" t="s">
        <v>52</v>
      </c>
    </row>
    <row r="28" spans="1:9" ht="17" x14ac:dyDescent="0.2">
      <c r="A28" s="17" t="s">
        <v>51</v>
      </c>
    </row>
    <row r="30" spans="1:9" x14ac:dyDescent="0.2">
      <c r="A30" s="19">
        <f>2.861%+B22*(11.2%-2.861%)</f>
        <v>7.2863465806418393E-2</v>
      </c>
    </row>
    <row r="31" spans="1:9" x14ac:dyDescent="0.2">
      <c r="A31" s="55"/>
      <c r="B31" s="55"/>
    </row>
    <row r="32" spans="1:9" x14ac:dyDescent="0.2">
      <c r="A32" s="145" t="s">
        <v>252</v>
      </c>
      <c r="B32" s="148"/>
    </row>
    <row r="33" spans="1:2" x14ac:dyDescent="0.2">
      <c r="A33" s="116" t="s">
        <v>247</v>
      </c>
      <c r="B33" s="149">
        <v>0.29602109017421252</v>
      </c>
    </row>
    <row r="34" spans="1:2" x14ac:dyDescent="0.2">
      <c r="A34" s="146" t="s">
        <v>248</v>
      </c>
      <c r="B34" s="150">
        <v>0.53068072678280831</v>
      </c>
    </row>
    <row r="35" spans="1:2" x14ac:dyDescent="0.2">
      <c r="A35" s="116" t="s">
        <v>249</v>
      </c>
      <c r="B35" s="151">
        <v>2.861E-2</v>
      </c>
    </row>
    <row r="36" spans="1:2" x14ac:dyDescent="0.2">
      <c r="A36" s="147" t="s">
        <v>250</v>
      </c>
      <c r="B36" s="152">
        <v>0.112</v>
      </c>
    </row>
    <row r="37" spans="1:2" x14ac:dyDescent="0.2">
      <c r="A37" s="116" t="s">
        <v>251</v>
      </c>
      <c r="B37" s="126">
        <f>11.2%-2.861%</f>
        <v>8.3389999999999992E-2</v>
      </c>
    </row>
    <row r="38" spans="1:2" x14ac:dyDescent="0.2">
      <c r="A38" s="145" t="s">
        <v>253</v>
      </c>
      <c r="B38" s="153">
        <v>7.2863465806418393E-2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310-F985-2545-93EB-19199E0E9489}">
  <sheetPr codeName="Sheet4"/>
  <dimension ref="A1:K62"/>
  <sheetViews>
    <sheetView topLeftCell="A18" zoomScale="75" zoomScaleNormal="96" workbookViewId="0">
      <selection activeCell="F33" sqref="F33"/>
    </sheetView>
  </sheetViews>
  <sheetFormatPr baseColWidth="10" defaultRowHeight="16" x14ac:dyDescent="0.2"/>
  <cols>
    <col min="1" max="1" width="16.1640625" style="22" customWidth="1"/>
    <col min="2" max="2" width="13.33203125" style="22" customWidth="1"/>
    <col min="3" max="3" width="14.6640625" style="22" customWidth="1"/>
    <col min="4" max="4" width="15.1640625" style="22" customWidth="1"/>
    <col min="5" max="5" width="14.1640625" style="22" customWidth="1"/>
    <col min="6" max="6" width="19.1640625" style="22" customWidth="1"/>
    <col min="7" max="7" width="16.6640625" style="22" customWidth="1"/>
    <col min="8" max="8" width="15.6640625" style="22" customWidth="1"/>
    <col min="9" max="9" width="16" style="22" customWidth="1"/>
    <col min="10" max="10" width="16.1640625" style="22" customWidth="1"/>
    <col min="11" max="11" width="16.33203125" style="22" customWidth="1"/>
    <col min="12" max="16384" width="10.83203125" style="22"/>
  </cols>
  <sheetData>
    <row r="1" spans="1:11" x14ac:dyDescent="0.2">
      <c r="A1" s="200" t="s">
        <v>155</v>
      </c>
      <c r="B1" s="200" t="s">
        <v>66</v>
      </c>
      <c r="C1" s="200" t="s">
        <v>67</v>
      </c>
      <c r="D1" s="200" t="s">
        <v>68</v>
      </c>
      <c r="E1" s="200" t="s">
        <v>69</v>
      </c>
      <c r="F1" s="200" t="s">
        <v>70</v>
      </c>
      <c r="G1" s="200" t="s">
        <v>254</v>
      </c>
      <c r="H1" s="200" t="s">
        <v>255</v>
      </c>
      <c r="I1" s="200" t="s">
        <v>256</v>
      </c>
      <c r="J1" s="200" t="s">
        <v>257</v>
      </c>
      <c r="K1" s="200" t="s">
        <v>258</v>
      </c>
    </row>
    <row r="2" spans="1:11" ht="34" x14ac:dyDescent="0.2">
      <c r="A2" s="217" t="s">
        <v>134</v>
      </c>
      <c r="B2" s="186">
        <f>17021086914743/1000000</f>
        <v>17021086.914742999</v>
      </c>
      <c r="C2" s="186">
        <f>17487379140948/1000000</f>
        <v>17487379.140948001</v>
      </c>
      <c r="D2" s="186">
        <f>19608294312644/1000000</f>
        <v>19608294.312644001</v>
      </c>
      <c r="E2" s="186">
        <f>34023892071468/1000000</f>
        <v>34023892.071468003</v>
      </c>
      <c r="F2" s="186">
        <f>33348659223161/1000000</f>
        <v>33348659.223161001</v>
      </c>
      <c r="G2" s="193">
        <f>F2+F2*G4</f>
        <v>34682605.59208744</v>
      </c>
      <c r="H2" s="193">
        <f t="shared" ref="H2:K2" si="0">G2+G2*H4</f>
        <v>36069909.815770939</v>
      </c>
      <c r="I2" s="193">
        <f t="shared" si="0"/>
        <v>37512706.208401777</v>
      </c>
      <c r="J2" s="193">
        <f t="shared" si="0"/>
        <v>39013214.456737846</v>
      </c>
      <c r="K2" s="194">
        <f t="shared" si="0"/>
        <v>40573743.035007358</v>
      </c>
    </row>
    <row r="3" spans="1:11" ht="17" x14ac:dyDescent="0.2">
      <c r="A3" s="221" t="s">
        <v>156</v>
      </c>
      <c r="B3" s="121"/>
      <c r="C3" s="117">
        <v>0.98899814262512187</v>
      </c>
      <c r="D3" s="117">
        <v>0.99354711653622374</v>
      </c>
      <c r="E3" s="117">
        <v>0.99452701864682336</v>
      </c>
      <c r="F3" s="117">
        <v>0.99602917134540681</v>
      </c>
      <c r="G3" s="117">
        <f>G2/G11</f>
        <v>0.99509365393102256</v>
      </c>
      <c r="H3" s="117">
        <f t="shared" ref="H3:K3" si="1">H2/H11</f>
        <v>0.99382010131647724</v>
      </c>
      <c r="I3" s="117">
        <f t="shared" si="1"/>
        <v>0.99207797596591651</v>
      </c>
      <c r="J3" s="117">
        <f t="shared" si="1"/>
        <v>0.99094013173898754</v>
      </c>
      <c r="K3" s="222">
        <f t="shared" si="1"/>
        <v>0.98961451790667654</v>
      </c>
    </row>
    <row r="4" spans="1:11" ht="17" x14ac:dyDescent="0.2">
      <c r="A4" s="223" t="s">
        <v>157</v>
      </c>
      <c r="B4" s="224"/>
      <c r="C4" s="225">
        <f>(C2-B2)/B2</f>
        <v>2.739497357252306E-2</v>
      </c>
      <c r="D4" s="225">
        <f t="shared" ref="D4:F4" si="2">(D2-C2)/C2</f>
        <v>0.12128262071757333</v>
      </c>
      <c r="E4" s="225">
        <f t="shared" si="2"/>
        <v>0.73517856928169445</v>
      </c>
      <c r="F4" s="225">
        <f t="shared" si="2"/>
        <v>-1.9845843823177535E-2</v>
      </c>
      <c r="G4" s="225">
        <v>0.04</v>
      </c>
      <c r="H4" s="225">
        <v>0.04</v>
      </c>
      <c r="I4" s="225">
        <v>0.04</v>
      </c>
      <c r="J4" s="225">
        <v>0.04</v>
      </c>
      <c r="K4" s="226">
        <v>0.04</v>
      </c>
    </row>
    <row r="5" spans="1:11" ht="34" x14ac:dyDescent="0.2">
      <c r="A5" s="217" t="s">
        <v>135</v>
      </c>
      <c r="B5" s="186">
        <f>74094543466/1000000</f>
        <v>74094.543466000003</v>
      </c>
      <c r="C5" s="186">
        <f>153937831108/1000000</f>
        <v>153937.83110800001</v>
      </c>
      <c r="D5" s="186">
        <f>79149769974/1000000</f>
        <v>79149.769973999995</v>
      </c>
      <c r="E5" s="186">
        <f>130958118605/1000000</f>
        <v>130958.118605</v>
      </c>
      <c r="F5" s="186">
        <f>71543206509/1000000</f>
        <v>71543.206508999996</v>
      </c>
      <c r="G5" s="193">
        <f>F5+F5*G7</f>
        <v>104002.35930213329</v>
      </c>
      <c r="H5" s="193">
        <f t="shared" ref="H5:K5" si="3">G5+G5*H7</f>
        <v>151188.22971751116</v>
      </c>
      <c r="I5" s="193">
        <f t="shared" si="3"/>
        <v>219782.32954034599</v>
      </c>
      <c r="J5" s="193">
        <f t="shared" si="3"/>
        <v>269650.94011305051</v>
      </c>
      <c r="K5" s="194">
        <f t="shared" si="3"/>
        <v>330834.73842470167</v>
      </c>
    </row>
    <row r="6" spans="1:11" ht="17" x14ac:dyDescent="0.2">
      <c r="A6" s="221" t="s">
        <v>156</v>
      </c>
      <c r="B6" s="121"/>
      <c r="C6" s="117">
        <v>8.7059488913956533E-3</v>
      </c>
      <c r="D6" s="117">
        <v>4.0104980310023365E-3</v>
      </c>
      <c r="E6" s="117">
        <v>3.8279391137925251E-3</v>
      </c>
      <c r="F6" s="117">
        <v>2.1367911740530292E-3</v>
      </c>
      <c r="G6" s="117">
        <f>G5/G11</f>
        <v>2.9839767217206365E-3</v>
      </c>
      <c r="H6" s="117">
        <f t="shared" ref="H6:K6" si="4">H5/H11</f>
        <v>4.1656300928709245E-3</v>
      </c>
      <c r="I6" s="117">
        <f t="shared" si="4"/>
        <v>5.8124627808010688E-3</v>
      </c>
      <c r="J6" s="117">
        <f t="shared" si="4"/>
        <v>6.849164875031709E-3</v>
      </c>
      <c r="K6" s="222">
        <f t="shared" si="4"/>
        <v>8.0692298930976174E-3</v>
      </c>
    </row>
    <row r="7" spans="1:11" ht="17" x14ac:dyDescent="0.2">
      <c r="A7" s="223" t="s">
        <v>157</v>
      </c>
      <c r="B7" s="224"/>
      <c r="C7" s="225">
        <f>(C5-B5)/B5</f>
        <v>1.0775866063421788</v>
      </c>
      <c r="D7" s="225">
        <f t="shared" ref="D7:F7" si="5">(D5-C5)/C5</f>
        <v>-0.48583288848294909</v>
      </c>
      <c r="E7" s="225">
        <f t="shared" si="5"/>
        <v>0.65456095005732284</v>
      </c>
      <c r="F7" s="225">
        <f t="shared" si="5"/>
        <v>-0.45369399567512975</v>
      </c>
      <c r="G7" s="225">
        <v>0.45369999999999999</v>
      </c>
      <c r="H7" s="225">
        <v>0.45369999999999999</v>
      </c>
      <c r="I7" s="225">
        <v>0.45369999999999999</v>
      </c>
      <c r="J7" s="225">
        <v>0.22689999999999999</v>
      </c>
      <c r="K7" s="226">
        <v>0.22689999999999999</v>
      </c>
    </row>
    <row r="8" spans="1:11" ht="68" x14ac:dyDescent="0.2">
      <c r="A8" s="217" t="s">
        <v>136</v>
      </c>
      <c r="B8" s="218">
        <f>49069988423/1000000</f>
        <v>49069.988423000003</v>
      </c>
      <c r="C8" s="218">
        <f>40596054121/1000000</f>
        <v>40596.054121000001</v>
      </c>
      <c r="D8" s="218">
        <f>48202054632/1000000</f>
        <v>48202.054631999999</v>
      </c>
      <c r="E8" s="218">
        <f>56278752167/1000000</f>
        <v>56278.752166999999</v>
      </c>
      <c r="F8" s="218">
        <f>61406525733/1000000</f>
        <v>61406.525733000002</v>
      </c>
      <c r="G8" s="218">
        <f>F8+F8*G10</f>
        <v>67001.510470742825</v>
      </c>
      <c r="H8" s="218">
        <f>G8+G8*H10</f>
        <v>73106.275787046412</v>
      </c>
      <c r="I8" s="218">
        <f t="shared" ref="I8:K8" si="6">H8+H8*I10</f>
        <v>79767.26975111186</v>
      </c>
      <c r="J8" s="218">
        <f t="shared" si="6"/>
        <v>87035.172494371043</v>
      </c>
      <c r="K8" s="219">
        <f t="shared" si="6"/>
        <v>94965.281809953551</v>
      </c>
    </row>
    <row r="9" spans="1:11" ht="17" x14ac:dyDescent="0.2">
      <c r="A9" s="221" t="s">
        <v>156</v>
      </c>
      <c r="B9" s="121"/>
      <c r="C9" s="117">
        <v>2.2959084834825285E-3</v>
      </c>
      <c r="D9" s="117">
        <v>2.4423854327739057E-3</v>
      </c>
      <c r="E9" s="117">
        <v>1.64504223938408E-3</v>
      </c>
      <c r="F9" s="117">
        <v>1.8340374805402146E-3</v>
      </c>
      <c r="G9" s="117">
        <f>G8/G11</f>
        <v>1.9223693472568857E-3</v>
      </c>
      <c r="H9" s="117">
        <f t="shared" ref="H9:K9" si="7">H8/H11</f>
        <v>2.0142685906518647E-3</v>
      </c>
      <c r="I9" s="117">
        <f t="shared" si="7"/>
        <v>2.1095612532823949E-3</v>
      </c>
      <c r="J9" s="117">
        <f t="shared" si="7"/>
        <v>2.2107033859805974E-3</v>
      </c>
      <c r="K9" s="222">
        <f t="shared" si="7"/>
        <v>2.3162522002257223E-3</v>
      </c>
    </row>
    <row r="10" spans="1:11" ht="17" x14ac:dyDescent="0.2">
      <c r="A10" s="223" t="s">
        <v>157</v>
      </c>
      <c r="B10" s="224"/>
      <c r="C10" s="225">
        <f>(C8-B8)/B8</f>
        <v>-0.17269077442920513</v>
      </c>
      <c r="D10" s="225">
        <f t="shared" ref="D10:F10" si="8">(D8-C8)/C8</f>
        <v>0.1873581232385213</v>
      </c>
      <c r="E10" s="225">
        <f t="shared" si="8"/>
        <v>0.16755919631770438</v>
      </c>
      <c r="F10" s="225">
        <f t="shared" si="8"/>
        <v>9.1113846141861701E-2</v>
      </c>
      <c r="G10" s="227">
        <v>9.1113846141861632E-2</v>
      </c>
      <c r="H10" s="227">
        <v>9.1113846141861632E-2</v>
      </c>
      <c r="I10" s="227">
        <v>9.1113846141861632E-2</v>
      </c>
      <c r="J10" s="227">
        <v>9.1113846141861632E-2</v>
      </c>
      <c r="K10" s="228">
        <v>9.1113846141861632E-2</v>
      </c>
    </row>
    <row r="11" spans="1:11" ht="17" x14ac:dyDescent="0.2">
      <c r="A11" s="220" t="s">
        <v>149</v>
      </c>
      <c r="B11" s="201">
        <f>17144251446632/1000000</f>
        <v>17144251.446632002</v>
      </c>
      <c r="C11" s="201">
        <f>17681913026178.1/1000000</f>
        <v>17681913.026178103</v>
      </c>
      <c r="D11" s="201">
        <f>19735646137249.6/1000000</f>
        <v>19735646.1372496</v>
      </c>
      <c r="E11" s="201">
        <f>34211128942241.4/1000000</f>
        <v>34211128.9422414</v>
      </c>
      <c r="F11" s="201">
        <f>33481608955402.5/1000000</f>
        <v>33481608.955402501</v>
      </c>
      <c r="G11" s="195">
        <f>G2+G5+G8</f>
        <v>34853609.461860314</v>
      </c>
      <c r="H11" s="195">
        <f t="shared" ref="H11:K11" si="9">H2+H5+H8</f>
        <v>36294204.321275495</v>
      </c>
      <c r="I11" s="195">
        <f t="shared" si="9"/>
        <v>37812255.807693236</v>
      </c>
      <c r="J11" s="195">
        <f t="shared" si="9"/>
        <v>39369900.569345273</v>
      </c>
      <c r="K11" s="202">
        <f t="shared" si="9"/>
        <v>40999543.055242017</v>
      </c>
    </row>
    <row r="12" spans="1:11" ht="17" x14ac:dyDescent="0.2">
      <c r="A12" s="223" t="s">
        <v>157</v>
      </c>
      <c r="B12" s="229"/>
      <c r="C12" s="225">
        <v>3.1361041409114977E-2</v>
      </c>
      <c r="D12" s="225">
        <v>0.11614880742999785</v>
      </c>
      <c r="E12" s="225">
        <v>0.73346890719074576</v>
      </c>
      <c r="F12" s="225">
        <v>-2.13240547562903E-2</v>
      </c>
      <c r="G12" s="225">
        <f>(G11-F11)/F11</f>
        <v>4.0977735218319933E-2</v>
      </c>
      <c r="H12" s="225">
        <f t="shared" ref="H12:K12" si="10">(H11-G11)/G11</f>
        <v>4.1332730860819407E-2</v>
      </c>
      <c r="I12" s="225">
        <f t="shared" si="10"/>
        <v>4.182627818425174E-2</v>
      </c>
      <c r="J12" s="225">
        <f t="shared" si="10"/>
        <v>4.1194177083058899E-2</v>
      </c>
      <c r="K12" s="226">
        <f t="shared" si="10"/>
        <v>4.139310646787963E-2</v>
      </c>
    </row>
    <row r="16" spans="1:11" ht="17" x14ac:dyDescent="0.2">
      <c r="A16" s="230" t="s">
        <v>155</v>
      </c>
      <c r="B16" s="200" t="s">
        <v>66</v>
      </c>
      <c r="C16" s="200" t="s">
        <v>67</v>
      </c>
      <c r="D16" s="200" t="s">
        <v>68</v>
      </c>
      <c r="E16" s="200" t="s">
        <v>69</v>
      </c>
      <c r="F16" s="200" t="s">
        <v>70</v>
      </c>
      <c r="G16" s="200" t="s">
        <v>254</v>
      </c>
      <c r="H16" s="200" t="s">
        <v>255</v>
      </c>
      <c r="I16" s="200" t="s">
        <v>256</v>
      </c>
      <c r="J16" s="200" t="s">
        <v>257</v>
      </c>
      <c r="K16" s="200" t="s">
        <v>258</v>
      </c>
    </row>
    <row r="17" spans="1:11" ht="17" x14ac:dyDescent="0.2">
      <c r="A17" s="231" t="s">
        <v>149</v>
      </c>
      <c r="B17" s="175">
        <f>17144251446632/1000000</f>
        <v>17144251.446632002</v>
      </c>
      <c r="C17" s="175">
        <f>17681913026178.1/1000000</f>
        <v>17681913.026178103</v>
      </c>
      <c r="D17" s="175">
        <f>19735646137249.6/1000000</f>
        <v>19735646.1372496</v>
      </c>
      <c r="E17" s="175">
        <f>34211128942241.4/1000000</f>
        <v>34211128.9422414</v>
      </c>
      <c r="F17" s="175">
        <f>33481608955402.5/1000000</f>
        <v>33481608.955402501</v>
      </c>
      <c r="G17" s="178">
        <f>G8+G11+G14</f>
        <v>34920610.972331055</v>
      </c>
      <c r="H17" s="178">
        <f t="shared" ref="H17:K17" si="11">H8+H11+H14</f>
        <v>36367310.597062543</v>
      </c>
      <c r="I17" s="178">
        <f t="shared" si="11"/>
        <v>37892023.077444345</v>
      </c>
      <c r="J17" s="178">
        <f t="shared" si="11"/>
        <v>39456935.741839647</v>
      </c>
      <c r="K17" s="179">
        <f t="shared" si="11"/>
        <v>41094508.337051973</v>
      </c>
    </row>
    <row r="18" spans="1:11" ht="34" x14ac:dyDescent="0.2">
      <c r="A18" s="232" t="s">
        <v>158</v>
      </c>
      <c r="B18" s="203">
        <f>-3414537000/1000000</f>
        <v>-3414.5369999999998</v>
      </c>
      <c r="C18" s="203">
        <f>-6391807846/1000000</f>
        <v>-6391.8078459999997</v>
      </c>
      <c r="D18" s="203">
        <f>-64942006080/1000000</f>
        <v>-64942.006079999999</v>
      </c>
      <c r="E18" s="203">
        <f>-2868205863/1000000</f>
        <v>-2868.2058630000001</v>
      </c>
      <c r="F18" s="204">
        <f>-2374779451/1000000</f>
        <v>-2374.7794509999999</v>
      </c>
      <c r="G18" s="203">
        <f>-2333925378/1000000</f>
        <v>-2333.9253779999999</v>
      </c>
      <c r="H18" s="203">
        <f>-2293774131/1000000</f>
        <v>-2293.7741310000001</v>
      </c>
      <c r="I18" s="203">
        <f>-2254313619/1000000</f>
        <v>-2254.313619</v>
      </c>
      <c r="J18" s="203">
        <f>-2215531957/1000000</f>
        <v>-2215.5319570000001</v>
      </c>
      <c r="K18" s="205">
        <f>-2177417469/1000000</f>
        <v>-2177.417469</v>
      </c>
    </row>
    <row r="19" spans="1:11" ht="17" x14ac:dyDescent="0.2">
      <c r="A19" s="164" t="s">
        <v>159</v>
      </c>
      <c r="B19" s="165">
        <f>SUM(B17:B18)</f>
        <v>17140836.909632001</v>
      </c>
      <c r="C19" s="165">
        <f t="shared" ref="C19:K19" si="12">SUM(C17:C18)</f>
        <v>17675521.218332104</v>
      </c>
      <c r="D19" s="165">
        <f t="shared" si="12"/>
        <v>19670704.131169599</v>
      </c>
      <c r="E19" s="165">
        <f t="shared" si="12"/>
        <v>34208260.736378402</v>
      </c>
      <c r="F19" s="165">
        <f t="shared" si="12"/>
        <v>33479234.175951499</v>
      </c>
      <c r="G19" s="165">
        <f t="shared" si="12"/>
        <v>34918277.046953052</v>
      </c>
      <c r="H19" s="165">
        <f t="shared" si="12"/>
        <v>36365016.822931543</v>
      </c>
      <c r="I19" s="165">
        <f t="shared" si="12"/>
        <v>37889768.763825342</v>
      </c>
      <c r="J19" s="165">
        <f t="shared" si="12"/>
        <v>39454720.209882647</v>
      </c>
      <c r="K19" s="166">
        <f t="shared" si="12"/>
        <v>41092330.91958297</v>
      </c>
    </row>
    <row r="20" spans="1:11" ht="34" x14ac:dyDescent="0.2">
      <c r="A20" s="164" t="s">
        <v>137</v>
      </c>
      <c r="B20" s="99">
        <f>-13539967588/1000000</f>
        <v>-13539.967588</v>
      </c>
      <c r="C20" s="99">
        <f>-14076055770/1000000</f>
        <v>-14076.055770000001</v>
      </c>
      <c r="D20" s="99">
        <f>-15948760134/1000000</f>
        <v>-15948.760134</v>
      </c>
      <c r="E20" s="99">
        <f>-27949660295/1000000</f>
        <v>-27949.660295000001</v>
      </c>
      <c r="F20" s="99">
        <f>-27078338249/1000000</f>
        <v>-27078.338249</v>
      </c>
      <c r="G20" s="97">
        <f>-27359724532.2484/1000000</f>
        <v>-27359.724532248401</v>
      </c>
      <c r="H20" s="97">
        <f>-27644034859.0505/1000000</f>
        <v>-27644.034859050498</v>
      </c>
      <c r="I20" s="97">
        <f>-27931299614.7918/1000000</f>
        <v>-27931.299614791802</v>
      </c>
      <c r="J20" s="97">
        <f>-28221549500.6094/1000000</f>
        <v>-28221.549500609402</v>
      </c>
      <c r="K20" s="167">
        <f>-28514815536.6736/1000000</f>
        <v>-28514.815536673599</v>
      </c>
    </row>
    <row r="21" spans="1:11" ht="17" x14ac:dyDescent="0.2">
      <c r="A21" s="233" t="s">
        <v>73</v>
      </c>
      <c r="B21" s="206">
        <f t="shared" ref="B21:K21" si="13">B19+B20</f>
        <v>17127296.942044001</v>
      </c>
      <c r="C21" s="206">
        <f t="shared" si="13"/>
        <v>17661445.162562106</v>
      </c>
      <c r="D21" s="206">
        <f t="shared" si="13"/>
        <v>19654755.371035598</v>
      </c>
      <c r="E21" s="206">
        <f t="shared" si="13"/>
        <v>34180311.076083399</v>
      </c>
      <c r="F21" s="206">
        <f t="shared" si="13"/>
        <v>33452155.837702498</v>
      </c>
      <c r="G21" s="206">
        <f t="shared" si="13"/>
        <v>34890917.322420806</v>
      </c>
      <c r="H21" s="206">
        <f t="shared" si="13"/>
        <v>36337372.788072489</v>
      </c>
      <c r="I21" s="206">
        <f t="shared" si="13"/>
        <v>37861837.464210548</v>
      </c>
      <c r="J21" s="206">
        <f t="shared" si="13"/>
        <v>39426498.66038204</v>
      </c>
      <c r="K21" s="207">
        <f t="shared" si="13"/>
        <v>41063816.1040463</v>
      </c>
    </row>
    <row r="22" spans="1:11" ht="51" x14ac:dyDescent="0.2">
      <c r="A22" s="231" t="s">
        <v>130</v>
      </c>
      <c r="B22" s="208">
        <v>-1800831</v>
      </c>
      <c r="C22" s="208">
        <v>-1880961</v>
      </c>
      <c r="D22" s="208">
        <v>-2141966</v>
      </c>
      <c r="E22" s="208">
        <v>-3451420</v>
      </c>
      <c r="F22" s="208">
        <v>-3474982</v>
      </c>
      <c r="G22" s="175">
        <v>-3546150.55602969</v>
      </c>
      <c r="H22" s="175">
        <v>-3618776.6630243501</v>
      </c>
      <c r="I22" s="175">
        <v>-3692890.1720155901</v>
      </c>
      <c r="J22" s="175">
        <v>-3768521.5453920802</v>
      </c>
      <c r="K22" s="176">
        <v>-3845701.8694203398</v>
      </c>
    </row>
    <row r="23" spans="1:11" ht="34" x14ac:dyDescent="0.2">
      <c r="A23" s="164" t="s">
        <v>160</v>
      </c>
      <c r="B23" s="99">
        <v>-36808</v>
      </c>
      <c r="C23" s="99">
        <v>-45467</v>
      </c>
      <c r="D23" s="99">
        <v>-47508</v>
      </c>
      <c r="E23" s="99">
        <v>-50786</v>
      </c>
      <c r="F23" s="99">
        <v>-54723</v>
      </c>
      <c r="G23" s="99">
        <v>-58964.032500000001</v>
      </c>
      <c r="H23" s="99">
        <v>-63533.74501875</v>
      </c>
      <c r="I23" s="99">
        <v>-68457.610257703098</v>
      </c>
      <c r="J23" s="99">
        <v>-73763.075052675107</v>
      </c>
      <c r="K23" s="163">
        <v>-79479.713369257399</v>
      </c>
    </row>
    <row r="24" spans="1:11" ht="34" x14ac:dyDescent="0.2">
      <c r="A24" s="164" t="s">
        <v>111</v>
      </c>
      <c r="B24" s="99">
        <v>-115368</v>
      </c>
      <c r="C24" s="99">
        <v>-154417</v>
      </c>
      <c r="D24" s="99">
        <v>-104380</v>
      </c>
      <c r="E24" s="99">
        <v>-94421</v>
      </c>
      <c r="F24" s="99">
        <v>-118569</v>
      </c>
      <c r="G24" s="99">
        <v>-128676.935776999</v>
      </c>
      <c r="H24" s="99">
        <v>-139646.56698595599</v>
      </c>
      <c r="I24" s="99">
        <v>-151551.35264302001</v>
      </c>
      <c r="J24" s="99">
        <v>-164471.01410118301</v>
      </c>
      <c r="K24" s="163">
        <v>-178492.068910726</v>
      </c>
    </row>
    <row r="25" spans="1:11" ht="51" x14ac:dyDescent="0.2">
      <c r="A25" s="164" t="s">
        <v>112</v>
      </c>
      <c r="B25" s="209">
        <v>324</v>
      </c>
      <c r="C25" s="100">
        <v>1319</v>
      </c>
      <c r="D25" s="100">
        <v>-7661</v>
      </c>
      <c r="E25" s="100">
        <v>-17487</v>
      </c>
      <c r="F25" s="100">
        <v>-89920</v>
      </c>
      <c r="G25" s="165">
        <v>-108542.90661634356</v>
      </c>
      <c r="H25" s="165">
        <v>-131022.71548848176</v>
      </c>
      <c r="I25" s="165">
        <v>-158158.21143111686</v>
      </c>
      <c r="J25" s="165">
        <v>-190913.6118102273</v>
      </c>
      <c r="K25" s="166">
        <v>-230452.8284976242</v>
      </c>
    </row>
    <row r="26" spans="1:11" ht="34" x14ac:dyDescent="0.2">
      <c r="A26" s="164" t="s">
        <v>161</v>
      </c>
      <c r="B26" s="100">
        <v>-1167</v>
      </c>
      <c r="C26" s="100">
        <v>-3437</v>
      </c>
      <c r="D26" s="100">
        <v>-5208</v>
      </c>
      <c r="E26" s="100">
        <v>-10500</v>
      </c>
      <c r="F26" s="100">
        <v>-16106</v>
      </c>
      <c r="G26" s="99">
        <v>-32212</v>
      </c>
      <c r="H26" s="99">
        <v>-48318</v>
      </c>
      <c r="I26" s="99">
        <v>-96636</v>
      </c>
      <c r="J26" s="99">
        <v>-144954</v>
      </c>
      <c r="K26" s="163">
        <v>-289908</v>
      </c>
    </row>
    <row r="27" spans="1:11" ht="34" x14ac:dyDescent="0.2">
      <c r="A27" s="164" t="s">
        <v>167</v>
      </c>
      <c r="B27" s="100">
        <v>-15494465</v>
      </c>
      <c r="C27" s="100">
        <v>-16161656</v>
      </c>
      <c r="D27" s="100">
        <v>-18240161</v>
      </c>
      <c r="E27" s="100">
        <v>-31539300</v>
      </c>
      <c r="F27" s="100">
        <v>-30652798</v>
      </c>
      <c r="G27" s="100">
        <v>-31514141.623799998</v>
      </c>
      <c r="H27" s="100">
        <v>-32399689.003428798</v>
      </c>
      <c r="I27" s="100">
        <v>-33310120.264425099</v>
      </c>
      <c r="J27" s="100">
        <v>-34246134.643855497</v>
      </c>
      <c r="K27" s="210">
        <v>-35208451.027347803</v>
      </c>
    </row>
    <row r="28" spans="1:11" ht="34" x14ac:dyDescent="0.2">
      <c r="A28" s="164" t="s">
        <v>162</v>
      </c>
      <c r="B28" s="99">
        <f t="shared" ref="B28:K28" si="14">B19+B27</f>
        <v>1646371.9096320011</v>
      </c>
      <c r="C28" s="99">
        <f t="shared" si="14"/>
        <v>1513865.2183321044</v>
      </c>
      <c r="D28" s="99">
        <f t="shared" si="14"/>
        <v>1430543.1311695985</v>
      </c>
      <c r="E28" s="99">
        <f t="shared" si="14"/>
        <v>2668960.7363784015</v>
      </c>
      <c r="F28" s="99">
        <f t="shared" si="14"/>
        <v>2826436.1759514995</v>
      </c>
      <c r="G28" s="99">
        <f t="shared" si="14"/>
        <v>3404135.423153054</v>
      </c>
      <c r="H28" s="99">
        <f t="shared" si="14"/>
        <v>3965327.8195027448</v>
      </c>
      <c r="I28" s="99">
        <f t="shared" si="14"/>
        <v>4579648.4994002432</v>
      </c>
      <c r="J28" s="99">
        <f t="shared" si="14"/>
        <v>5208585.5660271496</v>
      </c>
      <c r="K28" s="163">
        <f t="shared" si="14"/>
        <v>5883879.8922351673</v>
      </c>
    </row>
    <row r="29" spans="1:11" ht="17" x14ac:dyDescent="0.2">
      <c r="A29" s="164" t="s">
        <v>163</v>
      </c>
      <c r="B29" s="22">
        <v>496</v>
      </c>
      <c r="C29" s="22">
        <v>-3152</v>
      </c>
      <c r="D29" s="22">
        <v>-27667</v>
      </c>
      <c r="E29" s="22">
        <v>-25139</v>
      </c>
      <c r="F29" s="22">
        <v>4629</v>
      </c>
      <c r="G29" s="22">
        <v>4860.45</v>
      </c>
      <c r="H29" s="211">
        <v>5103.4724999999999</v>
      </c>
      <c r="I29" s="211">
        <v>5358.6461250000002</v>
      </c>
      <c r="J29" s="211">
        <v>5626.57843125</v>
      </c>
      <c r="K29" s="212">
        <v>5907.9073528125</v>
      </c>
    </row>
    <row r="30" spans="1:11" ht="34" x14ac:dyDescent="0.2">
      <c r="A30" s="233" t="s">
        <v>164</v>
      </c>
      <c r="B30" s="206">
        <f>SUM(B28:B29)</f>
        <v>1646867.9096320011</v>
      </c>
      <c r="C30" s="206">
        <f t="shared" ref="C30:K30" si="15">SUM(C28:C29)</f>
        <v>1510713.2183321044</v>
      </c>
      <c r="D30" s="206">
        <f t="shared" si="15"/>
        <v>1402876.1311695985</v>
      </c>
      <c r="E30" s="206">
        <f t="shared" si="15"/>
        <v>2643821.7363784015</v>
      </c>
      <c r="F30" s="206">
        <f t="shared" si="15"/>
        <v>2831065.1759514995</v>
      </c>
      <c r="G30" s="206">
        <f t="shared" si="15"/>
        <v>3408995.8731530542</v>
      </c>
      <c r="H30" s="206">
        <f t="shared" si="15"/>
        <v>3970431.292002745</v>
      </c>
      <c r="I30" s="206">
        <f t="shared" si="15"/>
        <v>4585007.1455252431</v>
      </c>
      <c r="J30" s="206">
        <f t="shared" si="15"/>
        <v>5214212.1444583992</v>
      </c>
      <c r="K30" s="207">
        <f t="shared" si="15"/>
        <v>5889787.7995879799</v>
      </c>
    </row>
    <row r="31" spans="1:11" ht="34" x14ac:dyDescent="0.2">
      <c r="A31" s="231" t="s">
        <v>165</v>
      </c>
      <c r="B31" s="175">
        <v>-312787</v>
      </c>
      <c r="C31" s="175">
        <v>-276670</v>
      </c>
      <c r="D31" s="175">
        <v>-250188</v>
      </c>
      <c r="E31" s="175">
        <v>-501636</v>
      </c>
      <c r="F31" s="175">
        <v>-517661</v>
      </c>
      <c r="G31" s="175">
        <v>-534174.38589999999</v>
      </c>
      <c r="H31" s="175">
        <v>-551214.54881020996</v>
      </c>
      <c r="I31" s="175">
        <v>-568798.29291725601</v>
      </c>
      <c r="J31" s="175">
        <v>-586942.95846131595</v>
      </c>
      <c r="K31" s="176">
        <v>-605666.43883623194</v>
      </c>
    </row>
    <row r="32" spans="1:11" ht="17" x14ac:dyDescent="0.2">
      <c r="A32" s="164" t="s">
        <v>13</v>
      </c>
      <c r="B32" s="213">
        <v>0.2</v>
      </c>
      <c r="C32" s="213">
        <v>0.2</v>
      </c>
      <c r="D32" s="213">
        <v>0.2</v>
      </c>
      <c r="E32" s="213">
        <v>0.2</v>
      </c>
      <c r="F32" s="213">
        <v>0.2</v>
      </c>
      <c r="G32" s="213">
        <v>0.2</v>
      </c>
      <c r="H32" s="213">
        <v>0.2</v>
      </c>
      <c r="I32" s="213">
        <v>0.2</v>
      </c>
      <c r="J32" s="213">
        <v>0.2</v>
      </c>
      <c r="K32" s="214">
        <v>0.2</v>
      </c>
    </row>
    <row r="33" spans="1:11" ht="34" x14ac:dyDescent="0.2">
      <c r="A33" s="164" t="s">
        <v>178</v>
      </c>
      <c r="B33" s="99">
        <f>(B30+B31)-(B30+B31)*20%</f>
        <v>1067264.7277056009</v>
      </c>
      <c r="C33" s="99">
        <f t="shared" ref="C33:I33" si="16">(C30+C31)-(C30+C31)*20%</f>
        <v>987234.57466568355</v>
      </c>
      <c r="D33" s="99">
        <f t="shared" si="16"/>
        <v>922150.50493567879</v>
      </c>
      <c r="E33" s="99">
        <f t="shared" si="16"/>
        <v>1713748.5891027213</v>
      </c>
      <c r="F33" s="99">
        <f t="shared" si="16"/>
        <v>1850723.3407611996</v>
      </c>
      <c r="G33" s="99">
        <f t="shared" si="16"/>
        <v>2299857.1898024431</v>
      </c>
      <c r="H33" s="99">
        <f t="shared" si="16"/>
        <v>2735373.3945540278</v>
      </c>
      <c r="I33" s="99">
        <f t="shared" si="16"/>
        <v>3212967.0820863894</v>
      </c>
      <c r="J33" s="99">
        <f t="shared" ref="J33:K33" si="17">J30+J31</f>
        <v>4627269.1859970829</v>
      </c>
      <c r="K33" s="163">
        <f t="shared" si="17"/>
        <v>5284121.3607517481</v>
      </c>
    </row>
    <row r="34" spans="1:11" ht="17" x14ac:dyDescent="0.2">
      <c r="A34" s="233" t="s">
        <v>81</v>
      </c>
      <c r="B34" s="115">
        <f t="shared" ref="B34:K34" si="18">B33/B17</f>
        <v>6.2252045884176863E-2</v>
      </c>
      <c r="C34" s="115">
        <f t="shared" si="18"/>
        <v>5.5833018361988382E-2</v>
      </c>
      <c r="D34" s="115">
        <f t="shared" si="18"/>
        <v>4.6725123592238849E-2</v>
      </c>
      <c r="E34" s="115">
        <f t="shared" si="18"/>
        <v>5.0093307122253711E-2</v>
      </c>
      <c r="F34" s="115">
        <f t="shared" si="18"/>
        <v>5.5275818531491806E-2</v>
      </c>
      <c r="G34" s="115">
        <f t="shared" si="18"/>
        <v>6.5859591964891703E-2</v>
      </c>
      <c r="H34" s="115">
        <f t="shared" si="18"/>
        <v>7.5215168502863375E-2</v>
      </c>
      <c r="I34" s="115">
        <f t="shared" si="18"/>
        <v>8.47927036125697E-2</v>
      </c>
      <c r="J34" s="115">
        <f t="shared" si="18"/>
        <v>0.11727391139222157</v>
      </c>
      <c r="K34" s="185">
        <f t="shared" si="18"/>
        <v>0.12858461080522127</v>
      </c>
    </row>
    <row r="37" spans="1:11" ht="17" x14ac:dyDescent="0.2">
      <c r="A37" s="234" t="s">
        <v>155</v>
      </c>
      <c r="B37" s="171" t="s">
        <v>66</v>
      </c>
      <c r="C37" s="171" t="s">
        <v>67</v>
      </c>
      <c r="D37" s="171" t="s">
        <v>68</v>
      </c>
      <c r="E37" s="171" t="s">
        <v>69</v>
      </c>
      <c r="F37" s="171" t="s">
        <v>70</v>
      </c>
      <c r="G37" s="171" t="s">
        <v>254</v>
      </c>
      <c r="H37" s="171" t="s">
        <v>255</v>
      </c>
      <c r="I37" s="171" t="s">
        <v>256</v>
      </c>
      <c r="J37" s="171" t="s">
        <v>257</v>
      </c>
      <c r="K37" s="172" t="s">
        <v>258</v>
      </c>
    </row>
    <row r="38" spans="1:11" ht="34" x14ac:dyDescent="0.2">
      <c r="A38" s="164" t="s">
        <v>172</v>
      </c>
      <c r="B38" s="100">
        <v>48293</v>
      </c>
      <c r="C38" s="100">
        <v>66389</v>
      </c>
      <c r="D38" s="100">
        <v>57926</v>
      </c>
      <c r="E38" s="100">
        <v>53670</v>
      </c>
      <c r="F38" s="100">
        <v>64228</v>
      </c>
      <c r="G38" s="97">
        <v>76861.647599999997</v>
      </c>
      <c r="H38" s="97">
        <v>91980.333682919998</v>
      </c>
      <c r="I38" s="97">
        <v>110072.86531835036</v>
      </c>
      <c r="J38" s="97">
        <v>131724.19792646987</v>
      </c>
      <c r="K38" s="167">
        <v>157634.34765860651</v>
      </c>
    </row>
    <row r="39" spans="1:11" ht="17" x14ac:dyDescent="0.2">
      <c r="A39" s="164" t="s">
        <v>170</v>
      </c>
      <c r="B39" s="100">
        <v>7030420</v>
      </c>
      <c r="C39" s="100">
        <v>6545906</v>
      </c>
      <c r="D39" s="100">
        <v>8754742</v>
      </c>
      <c r="E39" s="100">
        <v>10506055</v>
      </c>
      <c r="F39" s="100">
        <v>10940938</v>
      </c>
      <c r="G39" s="97">
        <v>11597394.279999999</v>
      </c>
      <c r="H39" s="97">
        <v>12293237.936799999</v>
      </c>
      <c r="I39" s="97">
        <v>13030832.213008</v>
      </c>
      <c r="J39" s="97">
        <v>13812682.14578848</v>
      </c>
      <c r="K39" s="167">
        <v>14641443.074535789</v>
      </c>
    </row>
    <row r="40" spans="1:11" ht="17" x14ac:dyDescent="0.2">
      <c r="A40" s="235" t="s">
        <v>113</v>
      </c>
      <c r="B40" s="215">
        <v>-146501</v>
      </c>
      <c r="C40" s="215">
        <v>-86332</v>
      </c>
      <c r="D40" s="215">
        <v>-87376</v>
      </c>
      <c r="E40" s="215">
        <v>-142910</v>
      </c>
      <c r="F40" s="215">
        <v>-121827</v>
      </c>
      <c r="G40" s="215">
        <v>-139796.48250000001</v>
      </c>
      <c r="H40" s="215">
        <v>-160416.46366874999</v>
      </c>
      <c r="I40" s="215">
        <v>-184077.89205989099</v>
      </c>
      <c r="J40" s="215">
        <v>-211229.38113872401</v>
      </c>
      <c r="K40" s="216">
        <v>-242385.71485668601</v>
      </c>
    </row>
    <row r="41" spans="1:11" ht="17" x14ac:dyDescent="0.2">
      <c r="A41" s="235" t="s">
        <v>114</v>
      </c>
      <c r="B41" s="99">
        <v>-690808</v>
      </c>
      <c r="C41" s="99">
        <v>-481588</v>
      </c>
      <c r="D41" s="99">
        <v>-680447</v>
      </c>
      <c r="E41" s="99">
        <v>-277213</v>
      </c>
      <c r="F41" s="99">
        <v>-257305</v>
      </c>
      <c r="G41" s="99">
        <v>-266542.24949999998</v>
      </c>
      <c r="H41" s="99">
        <v>-276111.11625705002</v>
      </c>
      <c r="I41" s="99">
        <v>-286023.50533067802</v>
      </c>
      <c r="J41" s="99">
        <v>-296291.74917204899</v>
      </c>
      <c r="K41" s="163">
        <v>-306928.62296732602</v>
      </c>
    </row>
    <row r="42" spans="1:11" ht="34" x14ac:dyDescent="0.2">
      <c r="A42" s="164" t="s">
        <v>173</v>
      </c>
      <c r="B42" s="100">
        <v>-425882</v>
      </c>
      <c r="C42" s="100">
        <v>-443170</v>
      </c>
      <c r="D42" s="100">
        <v>-382429</v>
      </c>
      <c r="E42" s="100">
        <v>-570512</v>
      </c>
      <c r="F42" s="100">
        <v>-693356</v>
      </c>
      <c r="G42" s="99">
        <v>-768003.53104579751</v>
      </c>
      <c r="H42" s="99">
        <v>-850717.51133942988</v>
      </c>
      <c r="I42" s="99">
        <v>-942339.78731068643</v>
      </c>
      <c r="J42" s="99">
        <v>-1043829.7824040473</v>
      </c>
      <c r="K42" s="163">
        <v>-1156250.2499689632</v>
      </c>
    </row>
    <row r="43" spans="1:11" ht="59" customHeight="1" x14ac:dyDescent="0.2">
      <c r="A43" s="233" t="s">
        <v>171</v>
      </c>
      <c r="B43" s="206">
        <f>SUM(B38:B42)</f>
        <v>5815522</v>
      </c>
      <c r="C43" s="206">
        <f t="shared" ref="C43:K43" si="19">SUM(C38:C42)</f>
        <v>5601205</v>
      </c>
      <c r="D43" s="206">
        <f t="shared" si="19"/>
        <v>7662416</v>
      </c>
      <c r="E43" s="206">
        <f t="shared" si="19"/>
        <v>9569090</v>
      </c>
      <c r="F43" s="206">
        <f t="shared" si="19"/>
        <v>9932678</v>
      </c>
      <c r="G43" s="206">
        <f t="shared" si="19"/>
        <v>10499913.664554201</v>
      </c>
      <c r="H43" s="206">
        <f t="shared" si="19"/>
        <v>11097973.179217691</v>
      </c>
      <c r="I43" s="206">
        <f t="shared" si="19"/>
        <v>11728463.893625095</v>
      </c>
      <c r="J43" s="206">
        <f t="shared" si="19"/>
        <v>12393055.43100013</v>
      </c>
      <c r="K43" s="207">
        <f t="shared" si="19"/>
        <v>13093512.834401421</v>
      </c>
    </row>
    <row r="48" spans="1:11" ht="17" x14ac:dyDescent="0.2">
      <c r="A48" s="234" t="s">
        <v>155</v>
      </c>
      <c r="B48" s="171" t="s">
        <v>66</v>
      </c>
      <c r="C48" s="171" t="s">
        <v>67</v>
      </c>
      <c r="D48" s="171" t="s">
        <v>68</v>
      </c>
      <c r="E48" s="171" t="s">
        <v>69</v>
      </c>
      <c r="F48" s="171" t="s">
        <v>70</v>
      </c>
      <c r="G48" s="171" t="s">
        <v>254</v>
      </c>
      <c r="H48" s="171" t="s">
        <v>255</v>
      </c>
      <c r="I48" s="171" t="s">
        <v>256</v>
      </c>
      <c r="J48" s="171" t="s">
        <v>257</v>
      </c>
      <c r="K48" s="172" t="s">
        <v>258</v>
      </c>
    </row>
    <row r="49" spans="1:11" ht="51" x14ac:dyDescent="0.2">
      <c r="A49" s="164" t="s">
        <v>176</v>
      </c>
      <c r="B49" s="99">
        <v>-223766</v>
      </c>
      <c r="C49" s="99">
        <v>-85434</v>
      </c>
      <c r="D49" s="99">
        <v>-61304</v>
      </c>
      <c r="E49" s="99">
        <v>-52385</v>
      </c>
      <c r="F49" s="99">
        <v>-83115</v>
      </c>
      <c r="G49" s="99">
        <v>-88115</v>
      </c>
      <c r="H49" s="99">
        <v>-93115</v>
      </c>
      <c r="I49" s="99">
        <v>-95615</v>
      </c>
      <c r="J49" s="99">
        <v>-98115</v>
      </c>
      <c r="K49" s="163">
        <v>-100615</v>
      </c>
    </row>
    <row r="50" spans="1:11" ht="34" x14ac:dyDescent="0.2">
      <c r="A50" s="164" t="s">
        <v>174</v>
      </c>
      <c r="B50" s="99">
        <v>-61066</v>
      </c>
      <c r="C50" s="99">
        <v>-72155</v>
      </c>
      <c r="D50" s="99">
        <v>-75118</v>
      </c>
      <c r="E50" s="99">
        <v>-79516</v>
      </c>
      <c r="F50" s="99">
        <v>-81257</v>
      </c>
      <c r="G50" s="99">
        <v>-83036.528300000005</v>
      </c>
      <c r="H50" s="99">
        <v>-84855.028269770002</v>
      </c>
      <c r="I50" s="99">
        <v>-86713.353388877993</v>
      </c>
      <c r="J50" s="99">
        <v>-88612.375828094402</v>
      </c>
      <c r="K50" s="163">
        <v>-90552.986858729695</v>
      </c>
    </row>
    <row r="51" spans="1:11" ht="17" x14ac:dyDescent="0.2">
      <c r="A51" s="233" t="s">
        <v>175</v>
      </c>
      <c r="B51" s="206">
        <f>SUM(B49:B50)</f>
        <v>-284832</v>
      </c>
      <c r="C51" s="206">
        <f t="shared" ref="C51:K51" si="20">SUM(C49:C50)</f>
        <v>-157589</v>
      </c>
      <c r="D51" s="206">
        <f t="shared" si="20"/>
        <v>-136422</v>
      </c>
      <c r="E51" s="206">
        <f t="shared" si="20"/>
        <v>-131901</v>
      </c>
      <c r="F51" s="206">
        <f t="shared" si="20"/>
        <v>-164372</v>
      </c>
      <c r="G51" s="206">
        <f t="shared" si="20"/>
        <v>-171151.52830000001</v>
      </c>
      <c r="H51" s="206">
        <f t="shared" si="20"/>
        <v>-177970.02826977</v>
      </c>
      <c r="I51" s="206">
        <f t="shared" si="20"/>
        <v>-182328.35338887799</v>
      </c>
      <c r="J51" s="206">
        <f t="shared" si="20"/>
        <v>-186727.3758280944</v>
      </c>
      <c r="K51" s="207">
        <f t="shared" si="20"/>
        <v>-191167.98685872968</v>
      </c>
    </row>
    <row r="54" spans="1:11" x14ac:dyDescent="0.2">
      <c r="C54" s="36"/>
    </row>
    <row r="62" spans="1:11" x14ac:dyDescent="0.2">
      <c r="A62" s="22">
        <f>6111819-1174972</f>
        <v>4936847</v>
      </c>
    </row>
  </sheetData>
  <hyperlinks>
    <hyperlink ref="J1" r:id="rId1" display="FY@&amp;E" xr:uid="{E0876058-BE0C-D64D-8697-031334FCB786}"/>
    <hyperlink ref="J16" r:id="rId2" display="FY@&amp;E" xr:uid="{31E13714-7427-F14B-A4DA-262A8A93CDEF}"/>
    <hyperlink ref="J37" r:id="rId3" display="FY@&amp;E" xr:uid="{04DC9B49-6A92-4B42-9870-193556350224}"/>
    <hyperlink ref="J48" r:id="rId4" display="FY@&amp;E" xr:uid="{1C30BA8F-19A5-154C-8EB7-47FF0BE9C5F3}"/>
  </hyperlinks>
  <pageMargins left="0.7" right="0.7" top="0.75" bottom="0.75" header="0.3" footer="0.3"/>
  <ignoredErrors>
    <ignoredError sqref="C43:K43 B51 C51:J51" formulaRange="1"/>
  </ignoredError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C01A-7F6D-814E-8CE2-232067C3F902}">
  <sheetPr codeName="Sheet5"/>
  <dimension ref="A1:K17"/>
  <sheetViews>
    <sheetView zoomScale="144" workbookViewId="0">
      <selection activeCell="A22" sqref="A22"/>
    </sheetView>
  </sheetViews>
  <sheetFormatPr baseColWidth="10" defaultRowHeight="16" x14ac:dyDescent="0.2"/>
  <cols>
    <col min="1" max="1" width="21.1640625" customWidth="1"/>
    <col min="2" max="6" width="15.33203125" bestFit="1" customWidth="1"/>
    <col min="7" max="11" width="18" bestFit="1" customWidth="1"/>
  </cols>
  <sheetData>
    <row r="1" spans="1:11" s="22" customFormat="1" x14ac:dyDescent="0.2">
      <c r="A1" s="161"/>
      <c r="B1" s="52" t="s">
        <v>61</v>
      </c>
      <c r="C1" s="52" t="s">
        <v>62</v>
      </c>
      <c r="D1" s="52" t="s">
        <v>63</v>
      </c>
      <c r="E1" s="52" t="s">
        <v>64</v>
      </c>
      <c r="F1" s="52" t="s">
        <v>65</v>
      </c>
      <c r="G1" s="52" t="s">
        <v>217</v>
      </c>
      <c r="H1" s="52" t="s">
        <v>218</v>
      </c>
      <c r="I1" s="52" t="s">
        <v>219</v>
      </c>
      <c r="J1" s="52" t="s">
        <v>220</v>
      </c>
      <c r="K1" s="162" t="s">
        <v>221</v>
      </c>
    </row>
    <row r="2" spans="1:11" s="22" customFormat="1" x14ac:dyDescent="0.2">
      <c r="A2" s="80" t="s">
        <v>137</v>
      </c>
      <c r="B2" s="99">
        <v>13539967588</v>
      </c>
      <c r="C2" s="99">
        <v>14076055770</v>
      </c>
      <c r="D2" s="99">
        <v>15948760134</v>
      </c>
      <c r="E2" s="99">
        <v>27949660295</v>
      </c>
      <c r="F2" s="99">
        <v>27078338249</v>
      </c>
      <c r="G2" s="97">
        <v>27359724532.248428</v>
      </c>
      <c r="H2" s="97">
        <v>27644034859.050503</v>
      </c>
      <c r="I2" s="97">
        <v>27931299614.791763</v>
      </c>
      <c r="J2" s="97">
        <v>28221549500.609436</v>
      </c>
      <c r="K2" s="167">
        <v>28514815536.673569</v>
      </c>
    </row>
    <row r="3" spans="1:11" s="22" customFormat="1" x14ac:dyDescent="0.2">
      <c r="A3" s="168" t="s">
        <v>157</v>
      </c>
      <c r="B3" s="177"/>
      <c r="C3" s="173">
        <v>3.959301811587173E-2</v>
      </c>
      <c r="D3" s="173">
        <v>0.13304184031376567</v>
      </c>
      <c r="E3" s="173">
        <v>0.75246602620953307</v>
      </c>
      <c r="F3" s="173">
        <v>-3.1174691813906356E-2</v>
      </c>
      <c r="G3" s="236">
        <v>1.0391563937968785E-2</v>
      </c>
      <c r="H3" s="236">
        <v>1.0391563937968785E-2</v>
      </c>
      <c r="I3" s="236">
        <v>1.0391563937968785E-2</v>
      </c>
      <c r="J3" s="236">
        <v>1.0391563937968785E-2</v>
      </c>
      <c r="K3" s="237">
        <v>1.0391563937968785E-2</v>
      </c>
    </row>
    <row r="6" spans="1:11" x14ac:dyDescent="0.2">
      <c r="A6" s="53"/>
      <c r="B6" s="52" t="s">
        <v>61</v>
      </c>
      <c r="C6" s="52" t="s">
        <v>62</v>
      </c>
      <c r="D6" s="52" t="s">
        <v>63</v>
      </c>
      <c r="E6" s="52" t="s">
        <v>64</v>
      </c>
      <c r="F6" s="162" t="s">
        <v>65</v>
      </c>
    </row>
    <row r="7" spans="1:11" x14ac:dyDescent="0.2">
      <c r="A7" s="168" t="s">
        <v>222</v>
      </c>
      <c r="B7" s="173">
        <v>8.8999999999999996E-2</v>
      </c>
      <c r="C7" s="173">
        <v>7.6999999999999999E-2</v>
      </c>
      <c r="D7" s="173">
        <v>6.7000000000000004E-2</v>
      </c>
      <c r="E7" s="173">
        <v>6.9000000000000006E-2</v>
      </c>
      <c r="F7" s="174">
        <v>7.4999999999999997E-2</v>
      </c>
    </row>
    <row r="10" spans="1:11" x14ac:dyDescent="0.2">
      <c r="A10" s="53"/>
      <c r="B10" s="52" t="s">
        <v>61</v>
      </c>
      <c r="C10" s="52" t="s">
        <v>62</v>
      </c>
      <c r="D10" s="52" t="s">
        <v>63</v>
      </c>
      <c r="E10" s="52" t="s">
        <v>64</v>
      </c>
      <c r="F10" s="162" t="s">
        <v>65</v>
      </c>
    </row>
    <row r="11" spans="1:11" s="22" customFormat="1" x14ac:dyDescent="0.2">
      <c r="A11" s="80" t="s">
        <v>109</v>
      </c>
      <c r="B11" s="99">
        <v>132569</v>
      </c>
      <c r="C11" s="100">
        <v>146041</v>
      </c>
      <c r="D11" s="100">
        <v>126473</v>
      </c>
      <c r="E11" s="100">
        <v>233616</v>
      </c>
      <c r="F11" s="210">
        <v>256683</v>
      </c>
      <c r="H11" s="36"/>
    </row>
    <row r="12" spans="1:11" s="22" customFormat="1" x14ac:dyDescent="0.2">
      <c r="A12" s="168" t="s">
        <v>157</v>
      </c>
      <c r="B12" s="177"/>
      <c r="C12" s="238">
        <f>(C11-B11)/B11</f>
        <v>0.10162255127518499</v>
      </c>
      <c r="D12" s="238">
        <f t="shared" ref="D12:F12" si="0">(D11-C11)/C11</f>
        <v>-0.13398976999609699</v>
      </c>
      <c r="E12" s="238">
        <f t="shared" si="0"/>
        <v>0.84716105413803733</v>
      </c>
      <c r="F12" s="239">
        <f t="shared" si="0"/>
        <v>9.8738956235874253E-2</v>
      </c>
      <c r="H12" s="36"/>
    </row>
    <row r="16" spans="1:11" x14ac:dyDescent="0.2">
      <c r="A16" s="53"/>
      <c r="B16" s="52" t="s">
        <v>61</v>
      </c>
      <c r="C16" s="52" t="s">
        <v>62</v>
      </c>
      <c r="D16" s="52" t="s">
        <v>63</v>
      </c>
      <c r="E16" s="52" t="s">
        <v>64</v>
      </c>
      <c r="F16" s="162" t="s">
        <v>65</v>
      </c>
    </row>
    <row r="17" spans="1:6" x14ac:dyDescent="0.2">
      <c r="A17" s="54" t="s">
        <v>223</v>
      </c>
      <c r="B17" s="45">
        <v>10</v>
      </c>
      <c r="C17" s="45">
        <v>90</v>
      </c>
      <c r="D17" s="45">
        <v>18</v>
      </c>
      <c r="E17" s="45">
        <v>55</v>
      </c>
      <c r="F17" s="169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0B01-4ABA-054B-B675-CDFDA8C5AE63}">
  <sheetPr codeName="Sheet6"/>
  <dimension ref="A1:K6"/>
  <sheetViews>
    <sheetView topLeftCell="D1" zoomScale="161" zoomScaleNormal="161" workbookViewId="0">
      <selection sqref="A1:K6"/>
    </sheetView>
  </sheetViews>
  <sheetFormatPr baseColWidth="10" defaultRowHeight="16" x14ac:dyDescent="0.2"/>
  <cols>
    <col min="1" max="1" width="19.33203125" customWidth="1"/>
    <col min="2" max="2" width="11.83203125" customWidth="1"/>
    <col min="3" max="6" width="13.6640625" bestFit="1" customWidth="1"/>
    <col min="7" max="11" width="11.5" bestFit="1" customWidth="1"/>
  </cols>
  <sheetData>
    <row r="1" spans="1:11" x14ac:dyDescent="0.2">
      <c r="A1" s="118" t="s">
        <v>85</v>
      </c>
      <c r="B1" s="119" t="s">
        <v>66</v>
      </c>
      <c r="C1" s="119" t="s">
        <v>67</v>
      </c>
      <c r="D1" s="119" t="s">
        <v>68</v>
      </c>
      <c r="E1" s="119" t="s">
        <v>69</v>
      </c>
      <c r="F1" s="119" t="s">
        <v>70</v>
      </c>
      <c r="G1" s="119" t="s">
        <v>211</v>
      </c>
      <c r="H1" s="119" t="s">
        <v>212</v>
      </c>
      <c r="I1" s="119" t="s">
        <v>213</v>
      </c>
      <c r="J1" s="119" t="s">
        <v>214</v>
      </c>
      <c r="K1" s="120" t="s">
        <v>215</v>
      </c>
    </row>
    <row r="2" spans="1:11" x14ac:dyDescent="0.2">
      <c r="A2" s="116" t="s">
        <v>159</v>
      </c>
      <c r="B2" s="129">
        <v>17140836.909632001</v>
      </c>
      <c r="C2" s="129">
        <v>17675521.218332104</v>
      </c>
      <c r="D2" s="129">
        <v>19670704.131169599</v>
      </c>
      <c r="E2" s="129">
        <v>34208260.736378402</v>
      </c>
      <c r="F2" s="137">
        <v>33479234.175951499</v>
      </c>
      <c r="G2" s="129">
        <v>34918277.046953052</v>
      </c>
      <c r="H2" s="129">
        <v>36365016.822931543</v>
      </c>
      <c r="I2" s="129">
        <v>37889768.763825342</v>
      </c>
      <c r="J2" s="129">
        <v>39454720.209882647</v>
      </c>
      <c r="K2" s="130">
        <v>41092330.91958297</v>
      </c>
    </row>
    <row r="3" spans="1:11" x14ac:dyDescent="0.2">
      <c r="A3" s="124" t="s">
        <v>178</v>
      </c>
      <c r="B3" s="125">
        <v>1334081</v>
      </c>
      <c r="C3" s="125">
        <v>1234043</v>
      </c>
      <c r="D3" s="125">
        <v>1152688</v>
      </c>
      <c r="E3" s="125">
        <v>2142186</v>
      </c>
      <c r="F3" s="138">
        <v>2313404</v>
      </c>
      <c r="G3" s="125">
        <v>2874821</v>
      </c>
      <c r="H3" s="125">
        <v>3419217</v>
      </c>
      <c r="I3" s="125">
        <v>4016209</v>
      </c>
      <c r="J3" s="125">
        <v>4627269</v>
      </c>
      <c r="K3" s="125">
        <v>5284121</v>
      </c>
    </row>
    <row r="4" spans="1:11" x14ac:dyDescent="0.2">
      <c r="A4" s="116" t="s">
        <v>81</v>
      </c>
      <c r="B4" s="113">
        <v>7.7815057355221068E-2</v>
      </c>
      <c r="C4" s="113">
        <v>6.9791272952485467E-2</v>
      </c>
      <c r="D4" s="113">
        <v>5.8406404490298561E-2</v>
      </c>
      <c r="E4" s="113">
        <v>6.2616633902817145E-2</v>
      </c>
      <c r="F4" s="139">
        <v>6.9094773164364756E-2</v>
      </c>
      <c r="G4" s="113">
        <v>8.2324489956114619E-2</v>
      </c>
      <c r="H4" s="113">
        <v>9.4018960628579215E-2</v>
      </c>
      <c r="I4" s="113">
        <v>0.10599087951571212</v>
      </c>
      <c r="J4" s="113">
        <v>0.11727391139222157</v>
      </c>
      <c r="K4" s="126">
        <v>0.12858461080522127</v>
      </c>
    </row>
    <row r="5" spans="1:11" x14ac:dyDescent="0.2">
      <c r="A5" s="111" t="s">
        <v>210</v>
      </c>
      <c r="B5" s="121">
        <v>48293</v>
      </c>
      <c r="C5" s="121">
        <v>66389</v>
      </c>
      <c r="D5" s="121">
        <v>57926</v>
      </c>
      <c r="E5" s="121">
        <v>53670</v>
      </c>
      <c r="F5" s="140">
        <v>64228</v>
      </c>
      <c r="G5" s="127">
        <v>76861.647599999997</v>
      </c>
      <c r="H5" s="127">
        <v>91980.333682919998</v>
      </c>
      <c r="I5" s="127">
        <v>110072.86531835036</v>
      </c>
      <c r="J5" s="127">
        <v>131724.19792646987</v>
      </c>
      <c r="K5" s="127">
        <v>157634.34765860651</v>
      </c>
    </row>
    <row r="6" spans="1:11" x14ac:dyDescent="0.2">
      <c r="A6" s="122" t="s">
        <v>84</v>
      </c>
      <c r="B6" s="123">
        <v>0.28699999999999998</v>
      </c>
      <c r="C6" s="123">
        <v>0.218</v>
      </c>
      <c r="D6" s="123">
        <v>0.183</v>
      </c>
      <c r="E6" s="123">
        <v>0.25</v>
      </c>
      <c r="F6" s="141">
        <v>0.216</v>
      </c>
      <c r="G6" s="128">
        <f>Table313[[#This Row],[FY23A]]+Table313[[#This Row],[FY23A]]*2.16%</f>
        <v>0.22066559999999999</v>
      </c>
      <c r="H6" s="128">
        <f>Table313[[#This Row],[FY24F]]+Table313[[#This Row],[FY24F]]*2.16%</f>
        <v>0.22543197696</v>
      </c>
      <c r="I6" s="128">
        <f>Table313[[#This Row],[FY25F]]+Table313[[#This Row],[FY25F]]*2.16%</f>
        <v>0.230301307662336</v>
      </c>
      <c r="J6" s="128">
        <f>Table313[[#This Row],[FY26F]]+Table313[[#This Row],[FY26F]]*2.16%</f>
        <v>0.23527581590784247</v>
      </c>
      <c r="K6" s="128">
        <f>Table313[[#This Row],[FY27F]]+Table313[[#This Row],[FY27F]]*2.16%</f>
        <v>0.24035777353145185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92DA-89B0-614D-AC07-8AD6C59F8DE9}">
  <sheetPr codeName="Sheet7"/>
  <dimension ref="A1:G29"/>
  <sheetViews>
    <sheetView workbookViewId="0">
      <selection activeCell="C1" sqref="C1"/>
    </sheetView>
  </sheetViews>
  <sheetFormatPr baseColWidth="10" defaultRowHeight="16" x14ac:dyDescent="0.2"/>
  <cols>
    <col min="1" max="1" width="36.5" customWidth="1"/>
    <col min="2" max="2" width="17.83203125" customWidth="1"/>
    <col min="4" max="4" width="18" customWidth="1"/>
    <col min="6" max="6" width="26.1640625" customWidth="1"/>
    <col min="7" max="7" width="13.33203125" customWidth="1"/>
  </cols>
  <sheetData>
    <row r="1" spans="1:7" x14ac:dyDescent="0.2">
      <c r="A1" s="145" t="s">
        <v>185</v>
      </c>
      <c r="B1" s="148"/>
    </row>
    <row r="2" spans="1:7" x14ac:dyDescent="0.2">
      <c r="A2" s="116" t="s">
        <v>126</v>
      </c>
      <c r="B2" s="149">
        <v>5.0599999999999996</v>
      </c>
      <c r="G2" s="40"/>
    </row>
    <row r="3" spans="1:7" x14ac:dyDescent="0.2">
      <c r="A3" s="146" t="s">
        <v>86</v>
      </c>
      <c r="B3" s="150">
        <v>5.39</v>
      </c>
      <c r="G3" s="1"/>
    </row>
    <row r="4" spans="1:7" x14ac:dyDescent="0.2">
      <c r="A4" s="116" t="s">
        <v>123</v>
      </c>
      <c r="B4" s="156">
        <v>92.11</v>
      </c>
      <c r="G4" s="95"/>
    </row>
    <row r="5" spans="1:7" x14ac:dyDescent="0.2">
      <c r="A5" s="145" t="s">
        <v>186</v>
      </c>
      <c r="B5" s="148">
        <f>AVERAGE(B2:B4)</f>
        <v>34.186666666666667</v>
      </c>
      <c r="G5" s="95"/>
    </row>
    <row r="6" spans="1:7" x14ac:dyDescent="0.2">
      <c r="A6" s="116" t="s">
        <v>187</v>
      </c>
      <c r="B6" s="149">
        <f>MEDIAN(B2:B4)</f>
        <v>5.39</v>
      </c>
    </row>
    <row r="7" spans="1:7" x14ac:dyDescent="0.2">
      <c r="A7" s="22"/>
      <c r="B7" s="22"/>
    </row>
    <row r="8" spans="1:7" x14ac:dyDescent="0.2">
      <c r="A8" s="22"/>
      <c r="B8" s="22"/>
    </row>
    <row r="9" spans="1:7" x14ac:dyDescent="0.2">
      <c r="A9" s="22"/>
      <c r="B9" s="22"/>
    </row>
    <row r="10" spans="1:7" x14ac:dyDescent="0.2">
      <c r="A10" s="145" t="s">
        <v>182</v>
      </c>
      <c r="B10" s="148">
        <v>1971099</v>
      </c>
    </row>
    <row r="11" spans="1:7" x14ac:dyDescent="0.2">
      <c r="A11" s="116" t="s">
        <v>183</v>
      </c>
      <c r="B11" s="149">
        <f>334559621/1000000</f>
        <v>334.55962099999999</v>
      </c>
    </row>
    <row r="12" spans="1:7" x14ac:dyDescent="0.2">
      <c r="A12" s="146" t="s">
        <v>184</v>
      </c>
      <c r="B12" s="150">
        <f>B10/B11</f>
        <v>5891.6225278722441</v>
      </c>
    </row>
    <row r="13" spans="1:7" x14ac:dyDescent="0.2">
      <c r="A13" s="116" t="s">
        <v>188</v>
      </c>
      <c r="B13" s="156">
        <v>34.186666666666667</v>
      </c>
    </row>
    <row r="14" spans="1:7" x14ac:dyDescent="0.2">
      <c r="A14" s="157" t="s">
        <v>262</v>
      </c>
      <c r="B14" s="158">
        <f>B13*B12</f>
        <v>201414.93548619247</v>
      </c>
    </row>
    <row r="15" spans="1:7" x14ac:dyDescent="0.2">
      <c r="A15" s="22" t="s">
        <v>189</v>
      </c>
      <c r="B15" s="22">
        <v>5.39</v>
      </c>
    </row>
    <row r="16" spans="1:7" x14ac:dyDescent="0.2">
      <c r="A16" s="22" t="s">
        <v>261</v>
      </c>
      <c r="B16" s="97">
        <f>B15*B12</f>
        <v>31755.845425231393</v>
      </c>
    </row>
    <row r="21" spans="1:5" x14ac:dyDescent="0.2">
      <c r="A21" s="242" t="s">
        <v>191</v>
      </c>
      <c r="B21" s="243"/>
      <c r="C21" s="243"/>
      <c r="D21" s="243"/>
      <c r="E21" s="244"/>
    </row>
    <row r="22" spans="1:5" x14ac:dyDescent="0.2">
      <c r="A22" s="159"/>
      <c r="B22" s="112" t="s">
        <v>195</v>
      </c>
      <c r="C22" s="112" t="s">
        <v>259</v>
      </c>
      <c r="D22" s="112" t="s">
        <v>192</v>
      </c>
      <c r="E22" s="160" t="s">
        <v>260</v>
      </c>
    </row>
    <row r="23" spans="1:5" x14ac:dyDescent="0.2">
      <c r="A23" s="89" t="s">
        <v>190</v>
      </c>
      <c r="B23" s="93">
        <v>-89930.07</v>
      </c>
      <c r="C23" s="155">
        <v>0.5</v>
      </c>
      <c r="D23" s="247">
        <f>B23*C23+B24*C24</f>
        <v>55742.432743096229</v>
      </c>
      <c r="E23" s="245">
        <f>1-D23/94200</f>
        <v>0.40825442947880863</v>
      </c>
    </row>
    <row r="24" spans="1:5" x14ac:dyDescent="0.2">
      <c r="A24" s="154" t="s">
        <v>192</v>
      </c>
      <c r="B24" s="93">
        <v>201414.93548619247</v>
      </c>
      <c r="C24" s="155">
        <v>0.5</v>
      </c>
      <c r="D24" s="248"/>
      <c r="E24" s="246"/>
    </row>
    <row r="29" spans="1:5" x14ac:dyDescent="0.2">
      <c r="B29" s="18"/>
    </row>
  </sheetData>
  <mergeCells count="3">
    <mergeCell ref="A21:E21"/>
    <mergeCell ref="E23:E24"/>
    <mergeCell ref="D23:D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4F02-56E2-A843-81E4-35DF3EE91F45}">
  <sheetPr codeName="Sheet8"/>
  <dimension ref="A1:R151"/>
  <sheetViews>
    <sheetView topLeftCell="C58" zoomScale="84" zoomScaleNormal="125" workbookViewId="0">
      <selection activeCell="I62" sqref="I62"/>
    </sheetView>
  </sheetViews>
  <sheetFormatPr baseColWidth="10" defaultRowHeight="16" x14ac:dyDescent="0.2"/>
  <cols>
    <col min="1" max="1" width="20.33203125" style="22" customWidth="1"/>
    <col min="2" max="2" width="13.5" style="22" customWidth="1"/>
    <col min="3" max="3" width="14.83203125" style="22" customWidth="1"/>
    <col min="4" max="4" width="14.5" style="22" customWidth="1"/>
    <col min="5" max="5" width="15" style="22" customWidth="1"/>
    <col min="6" max="6" width="16.5" style="22" customWidth="1"/>
    <col min="7" max="7" width="17.33203125" style="22" customWidth="1"/>
    <col min="8" max="12" width="10.83203125" style="22"/>
    <col min="13" max="13" width="20.5" style="22" customWidth="1"/>
    <col min="14" max="14" width="31" style="22" customWidth="1"/>
    <col min="15" max="15" width="13.1640625" style="22" customWidth="1"/>
    <col min="16" max="16" width="10.83203125" style="22"/>
    <col min="17" max="17" width="35.33203125" style="22" customWidth="1"/>
    <col min="18" max="18" width="53.5" style="22" customWidth="1"/>
    <col min="19" max="16384" width="10.83203125" style="22"/>
  </cols>
  <sheetData>
    <row r="1" spans="1:9" x14ac:dyDescent="0.2">
      <c r="A1" s="49" t="s">
        <v>85</v>
      </c>
      <c r="B1" s="49" t="s">
        <v>61</v>
      </c>
      <c r="C1" s="49" t="s">
        <v>62</v>
      </c>
      <c r="D1" s="49" t="s">
        <v>63</v>
      </c>
      <c r="E1" s="49" t="s">
        <v>64</v>
      </c>
      <c r="F1" s="49" t="s">
        <v>65</v>
      </c>
    </row>
    <row r="2" spans="1:9" x14ac:dyDescent="0.2">
      <c r="A2" s="50" t="s">
        <v>81</v>
      </c>
      <c r="B2" s="47">
        <v>7.0000000000000007E-2</v>
      </c>
      <c r="C2" s="47">
        <v>6.0999999999999999E-2</v>
      </c>
      <c r="D2" s="47">
        <v>5.2999999999999999E-2</v>
      </c>
      <c r="E2" s="47">
        <v>5.2999999999999999E-2</v>
      </c>
      <c r="F2" s="47">
        <v>5.8999999999999997E-2</v>
      </c>
    </row>
    <row r="3" spans="1:9" x14ac:dyDescent="0.2">
      <c r="A3" s="74" t="s">
        <v>82</v>
      </c>
      <c r="B3" s="74">
        <v>2.2599999999999998</v>
      </c>
      <c r="C3" s="74">
        <v>2.0499999999999998</v>
      </c>
      <c r="D3" s="74">
        <v>2.0499999999999998</v>
      </c>
      <c r="E3" s="74">
        <v>2.83</v>
      </c>
      <c r="F3" s="74">
        <v>2.39</v>
      </c>
    </row>
    <row r="4" spans="1:9" x14ac:dyDescent="0.2">
      <c r="A4" s="51" t="s">
        <v>83</v>
      </c>
      <c r="B4" s="51">
        <v>1.88</v>
      </c>
      <c r="C4" s="51">
        <v>1.62</v>
      </c>
      <c r="D4" s="51">
        <v>1.77</v>
      </c>
      <c r="E4" s="51">
        <v>1.58</v>
      </c>
      <c r="F4" s="51">
        <v>1.47</v>
      </c>
    </row>
    <row r="5" spans="1:9" x14ac:dyDescent="0.2">
      <c r="A5" s="76" t="s">
        <v>84</v>
      </c>
      <c r="B5" s="79">
        <v>0.28699999999999998</v>
      </c>
      <c r="C5" s="79">
        <v>0.218</v>
      </c>
      <c r="D5" s="79">
        <v>0.183</v>
      </c>
      <c r="E5" s="79">
        <v>0.25</v>
      </c>
      <c r="F5" s="79">
        <v>0.216</v>
      </c>
    </row>
    <row r="8" spans="1:9" x14ac:dyDescent="0.2">
      <c r="A8" s="49" t="s">
        <v>126</v>
      </c>
      <c r="B8" s="49" t="s">
        <v>61</v>
      </c>
      <c r="C8" s="49" t="s">
        <v>62</v>
      </c>
      <c r="D8" s="49" t="s">
        <v>63</v>
      </c>
      <c r="E8" s="49" t="s">
        <v>64</v>
      </c>
      <c r="F8" s="49" t="s">
        <v>65</v>
      </c>
    </row>
    <row r="9" spans="1:9" x14ac:dyDescent="0.2">
      <c r="A9" s="50" t="s">
        <v>81</v>
      </c>
      <c r="B9" s="47">
        <v>2.5000000000000001E-2</v>
      </c>
      <c r="C9" s="47">
        <v>3.3000000000000002E-2</v>
      </c>
      <c r="D9" s="47">
        <v>4.1000000000000002E-2</v>
      </c>
      <c r="E9" s="47">
        <v>6.8000000000000005E-2</v>
      </c>
      <c r="F9" s="47">
        <v>5.2999999999999999E-2</v>
      </c>
    </row>
    <row r="10" spans="1:9" x14ac:dyDescent="0.2">
      <c r="A10" s="74" t="s">
        <v>82</v>
      </c>
      <c r="B10" s="74">
        <v>1.26</v>
      </c>
      <c r="C10" s="74">
        <v>0.95</v>
      </c>
      <c r="D10" s="74">
        <v>1.1299999999999999</v>
      </c>
      <c r="E10" s="74">
        <v>1.61</v>
      </c>
      <c r="F10" s="74">
        <v>1.56</v>
      </c>
      <c r="I10"/>
    </row>
    <row r="11" spans="1:9" x14ac:dyDescent="0.2">
      <c r="A11" s="51" t="s">
        <v>83</v>
      </c>
      <c r="B11" s="51">
        <v>1.43</v>
      </c>
      <c r="C11" s="51">
        <v>1.39</v>
      </c>
      <c r="D11" s="51">
        <v>1.34</v>
      </c>
      <c r="E11" s="51">
        <v>1.29</v>
      </c>
      <c r="F11" s="51">
        <v>1.31</v>
      </c>
    </row>
    <row r="12" spans="1:9" x14ac:dyDescent="0.2">
      <c r="A12" s="76" t="s">
        <v>84</v>
      </c>
      <c r="B12" s="79">
        <v>4.7E-2</v>
      </c>
      <c r="C12" s="79">
        <v>4.3999999999999997E-2</v>
      </c>
      <c r="D12" s="79">
        <v>6.3E-2</v>
      </c>
      <c r="E12" s="79">
        <v>0.14299999999999999</v>
      </c>
      <c r="F12" s="79">
        <v>0.108</v>
      </c>
    </row>
    <row r="15" spans="1:9" x14ac:dyDescent="0.2">
      <c r="A15" s="49" t="s">
        <v>86</v>
      </c>
      <c r="B15" s="49" t="s">
        <v>61</v>
      </c>
      <c r="C15" s="49" t="s">
        <v>62</v>
      </c>
      <c r="D15" s="49" t="s">
        <v>63</v>
      </c>
      <c r="E15" s="49" t="s">
        <v>64</v>
      </c>
      <c r="F15" s="49" t="s">
        <v>65</v>
      </c>
    </row>
    <row r="16" spans="1:9" x14ac:dyDescent="0.2">
      <c r="A16" s="50" t="s">
        <v>81</v>
      </c>
      <c r="B16" s="47">
        <v>3.5999999999999997E-2</v>
      </c>
      <c r="C16" s="47">
        <v>4.2999999999999997E-2</v>
      </c>
      <c r="D16" s="47">
        <v>3.4000000000000002E-2</v>
      </c>
      <c r="E16" s="47">
        <v>2.3E-2</v>
      </c>
      <c r="F16" s="47">
        <v>4.2000000000000003E-2</v>
      </c>
    </row>
    <row r="17" spans="1:14" x14ac:dyDescent="0.2">
      <c r="A17" s="74" t="s">
        <v>82</v>
      </c>
      <c r="B17" s="74">
        <v>1.18</v>
      </c>
      <c r="C17" s="74">
        <v>0.91</v>
      </c>
      <c r="D17" s="74">
        <v>1.26</v>
      </c>
      <c r="E17" s="74">
        <v>1.1200000000000001</v>
      </c>
      <c r="F17" s="74">
        <v>1.32</v>
      </c>
    </row>
    <row r="18" spans="1:14" x14ac:dyDescent="0.2">
      <c r="A18" s="51" t="s">
        <v>83</v>
      </c>
      <c r="B18" s="51">
        <v>1.53</v>
      </c>
      <c r="C18" s="51">
        <v>1.4</v>
      </c>
      <c r="D18" s="51">
        <v>1.42</v>
      </c>
      <c r="E18" s="51">
        <v>1.57</v>
      </c>
      <c r="F18" s="51">
        <v>1.57</v>
      </c>
    </row>
    <row r="19" spans="1:14" x14ac:dyDescent="0.2">
      <c r="A19" s="76" t="s">
        <v>84</v>
      </c>
      <c r="B19" s="79">
        <v>6.0999999999999999E-2</v>
      </c>
      <c r="C19" s="79">
        <v>5.6000000000000001E-2</v>
      </c>
      <c r="D19" s="79">
        <v>0.06</v>
      </c>
      <c r="E19" s="79">
        <v>3.9E-2</v>
      </c>
      <c r="F19" s="79">
        <v>8.7999999999999995E-2</v>
      </c>
    </row>
    <row r="22" spans="1:14" x14ac:dyDescent="0.2">
      <c r="A22" s="49" t="s">
        <v>123</v>
      </c>
      <c r="B22" s="49" t="s">
        <v>61</v>
      </c>
      <c r="C22" s="49" t="s">
        <v>62</v>
      </c>
      <c r="D22" s="49" t="s">
        <v>63</v>
      </c>
      <c r="E22" s="49" t="s">
        <v>64</v>
      </c>
      <c r="F22" s="49" t="s">
        <v>65</v>
      </c>
    </row>
    <row r="23" spans="1:14" x14ac:dyDescent="0.2">
      <c r="A23" s="50" t="s">
        <v>81</v>
      </c>
      <c r="B23" s="47">
        <v>7.0000000000000007E-2</v>
      </c>
      <c r="C23" s="47">
        <v>7.0999999999999994E-2</v>
      </c>
      <c r="D23" s="47">
        <v>4.4999999999999998E-2</v>
      </c>
      <c r="E23" s="47">
        <v>7.5999999999999998E-2</v>
      </c>
      <c r="F23" s="47">
        <v>8.1000000000000003E-2</v>
      </c>
    </row>
    <row r="24" spans="1:14" x14ac:dyDescent="0.2">
      <c r="A24" s="74" t="s">
        <v>82</v>
      </c>
      <c r="B24" s="74">
        <v>1.86</v>
      </c>
      <c r="C24" s="74">
        <v>1.67</v>
      </c>
      <c r="D24" s="74">
        <v>1.44</v>
      </c>
      <c r="E24" s="74">
        <v>1.53</v>
      </c>
      <c r="F24" s="74">
        <v>1.68</v>
      </c>
    </row>
    <row r="25" spans="1:14" x14ac:dyDescent="0.2">
      <c r="A25" s="51" t="s">
        <v>83</v>
      </c>
      <c r="B25" s="51">
        <v>1.93</v>
      </c>
      <c r="C25" s="51">
        <v>2.0299999999999998</v>
      </c>
      <c r="D25" s="51">
        <v>2.19</v>
      </c>
      <c r="E25" s="51">
        <v>2.2799999999999998</v>
      </c>
      <c r="F25" s="51">
        <v>2.2799999999999998</v>
      </c>
    </row>
    <row r="26" spans="1:14" x14ac:dyDescent="0.2">
      <c r="A26" s="76" t="s">
        <v>84</v>
      </c>
      <c r="B26" s="79">
        <v>0.252</v>
      </c>
      <c r="C26" s="79">
        <v>0.23599999999999999</v>
      </c>
      <c r="D26" s="79">
        <v>0.13700000000000001</v>
      </c>
      <c r="E26" s="79">
        <v>0.25900000000000001</v>
      </c>
      <c r="F26" s="79">
        <v>0.307</v>
      </c>
    </row>
    <row r="28" spans="1:14" x14ac:dyDescent="0.2">
      <c r="A28" s="73"/>
      <c r="B28" s="73"/>
      <c r="C28" s="73"/>
      <c r="D28" s="73"/>
      <c r="E28" s="73"/>
      <c r="F28" s="73"/>
    </row>
    <row r="29" spans="1:14" x14ac:dyDescent="0.2">
      <c r="N29"/>
    </row>
    <row r="30" spans="1:14" x14ac:dyDescent="0.2">
      <c r="A30" s="60" t="s">
        <v>81</v>
      </c>
      <c r="B30" s="49" t="s">
        <v>61</v>
      </c>
      <c r="C30" s="49" t="s">
        <v>62</v>
      </c>
      <c r="D30" s="49" t="s">
        <v>63</v>
      </c>
      <c r="E30" s="49" t="s">
        <v>64</v>
      </c>
      <c r="F30" s="49" t="s">
        <v>65</v>
      </c>
    </row>
    <row r="31" spans="1:14" x14ac:dyDescent="0.2">
      <c r="A31" s="82" t="s">
        <v>21</v>
      </c>
      <c r="B31" s="62">
        <v>7.0000000000000007E-2</v>
      </c>
      <c r="C31" s="62">
        <v>6.0999999999999999E-2</v>
      </c>
      <c r="D31" s="62">
        <v>5.2999999999999999E-2</v>
      </c>
      <c r="E31" s="62">
        <v>5.2999999999999999E-2</v>
      </c>
      <c r="F31" s="83">
        <v>5.8999999999999997E-2</v>
      </c>
    </row>
    <row r="32" spans="1:14" ht="22" customHeight="1" x14ac:dyDescent="0.2">
      <c r="A32" s="86" t="s">
        <v>126</v>
      </c>
      <c r="B32" s="69">
        <v>2.5000000000000001E-2</v>
      </c>
      <c r="C32" s="69">
        <v>3.3000000000000002E-2</v>
      </c>
      <c r="D32" s="69">
        <v>4.1000000000000002E-2</v>
      </c>
      <c r="E32" s="69">
        <v>6.8000000000000005E-2</v>
      </c>
      <c r="F32" s="87">
        <v>5.2999999999999999E-2</v>
      </c>
    </row>
    <row r="33" spans="1:14" ht="19" customHeight="1" x14ac:dyDescent="0.2">
      <c r="A33" s="84" t="s">
        <v>86</v>
      </c>
      <c r="B33" s="66">
        <v>3.5999999999999997E-2</v>
      </c>
      <c r="C33" s="66">
        <v>4.2999999999999997E-2</v>
      </c>
      <c r="D33" s="66">
        <v>3.4000000000000002E-2</v>
      </c>
      <c r="E33" s="66">
        <v>2.3E-2</v>
      </c>
      <c r="F33" s="85">
        <v>4.2000000000000003E-2</v>
      </c>
    </row>
    <row r="34" spans="1:14" ht="22" customHeight="1" x14ac:dyDescent="0.2">
      <c r="A34" s="86" t="s">
        <v>123</v>
      </c>
      <c r="B34" s="69">
        <v>7.0000000000000007E-2</v>
      </c>
      <c r="C34" s="69">
        <v>7.0999999999999994E-2</v>
      </c>
      <c r="D34" s="69">
        <v>4.4999999999999998E-2</v>
      </c>
      <c r="E34" s="69">
        <v>7.5999999999999998E-2</v>
      </c>
      <c r="F34" s="87">
        <v>8.1000000000000003E-2</v>
      </c>
    </row>
    <row r="37" spans="1:14" x14ac:dyDescent="0.2">
      <c r="A37" s="49" t="s">
        <v>82</v>
      </c>
      <c r="B37" s="49" t="s">
        <v>61</v>
      </c>
      <c r="C37" s="49" t="s">
        <v>62</v>
      </c>
      <c r="D37" s="49" t="s">
        <v>63</v>
      </c>
      <c r="E37" s="49" t="s">
        <v>64</v>
      </c>
      <c r="F37" s="49" t="s">
        <v>65</v>
      </c>
    </row>
    <row r="38" spans="1:14" x14ac:dyDescent="0.2">
      <c r="A38" s="50" t="s">
        <v>21</v>
      </c>
      <c r="B38" s="57">
        <v>2.2599999999999998</v>
      </c>
      <c r="C38" s="57">
        <v>2.0499999999999998</v>
      </c>
      <c r="D38" s="57">
        <v>2.0499999999999998</v>
      </c>
      <c r="E38" s="57">
        <v>2.83</v>
      </c>
      <c r="F38" s="57">
        <v>2.39</v>
      </c>
    </row>
    <row r="39" spans="1:14" x14ac:dyDescent="0.2">
      <c r="A39" s="74" t="s">
        <v>126</v>
      </c>
      <c r="B39" s="74">
        <v>1.26</v>
      </c>
      <c r="C39" s="74">
        <v>0.95</v>
      </c>
      <c r="D39" s="74">
        <v>1.1299999999999999</v>
      </c>
      <c r="E39" s="74">
        <v>1.61</v>
      </c>
      <c r="F39" s="74">
        <v>1.56</v>
      </c>
    </row>
    <row r="40" spans="1:14" x14ac:dyDescent="0.2">
      <c r="A40" s="51" t="s">
        <v>86</v>
      </c>
      <c r="B40" s="58">
        <v>1.18</v>
      </c>
      <c r="C40" s="58">
        <v>0.91</v>
      </c>
      <c r="D40" s="58">
        <v>1.26</v>
      </c>
      <c r="E40" s="58">
        <v>1.1200000000000001</v>
      </c>
      <c r="F40" s="58">
        <v>1.32</v>
      </c>
    </row>
    <row r="41" spans="1:14" x14ac:dyDescent="0.2">
      <c r="A41" s="76" t="s">
        <v>123</v>
      </c>
      <c r="B41" s="77">
        <v>1.86</v>
      </c>
      <c r="C41" s="77">
        <v>1.67</v>
      </c>
      <c r="D41" s="77">
        <v>1.44</v>
      </c>
      <c r="E41" s="77">
        <v>1.53</v>
      </c>
      <c r="F41" s="77">
        <v>1.68</v>
      </c>
    </row>
    <row r="44" spans="1:14" ht="21" customHeight="1" x14ac:dyDescent="0.2">
      <c r="A44" s="60" t="s">
        <v>83</v>
      </c>
      <c r="B44" s="49" t="s">
        <v>66</v>
      </c>
      <c r="C44" s="49" t="s">
        <v>67</v>
      </c>
      <c r="D44" s="49" t="s">
        <v>68</v>
      </c>
      <c r="E44" s="49" t="s">
        <v>69</v>
      </c>
      <c r="F44" s="49" t="s">
        <v>70</v>
      </c>
    </row>
    <row r="45" spans="1:14" x14ac:dyDescent="0.2">
      <c r="A45" s="50" t="s">
        <v>21</v>
      </c>
      <c r="B45" s="51">
        <v>1.88</v>
      </c>
      <c r="C45" s="51">
        <v>1.62</v>
      </c>
      <c r="D45" s="51">
        <v>1.77</v>
      </c>
      <c r="E45" s="51">
        <v>1.58</v>
      </c>
      <c r="F45" s="51">
        <v>1.47</v>
      </c>
    </row>
    <row r="46" spans="1:14" x14ac:dyDescent="0.2">
      <c r="A46" s="74" t="s">
        <v>126</v>
      </c>
      <c r="B46" s="75">
        <v>1.43</v>
      </c>
      <c r="C46" s="75">
        <v>1.39</v>
      </c>
      <c r="D46" s="75">
        <v>1.34</v>
      </c>
      <c r="E46" s="75">
        <v>1.29</v>
      </c>
      <c r="F46" s="75">
        <v>1.31</v>
      </c>
    </row>
    <row r="47" spans="1:14" x14ac:dyDescent="0.2">
      <c r="A47" s="51" t="s">
        <v>86</v>
      </c>
      <c r="B47" s="59">
        <v>1.53</v>
      </c>
      <c r="C47" s="59">
        <v>1.4</v>
      </c>
      <c r="D47" s="59">
        <v>1.42</v>
      </c>
      <c r="E47" s="59">
        <v>1.57</v>
      </c>
      <c r="F47" s="59">
        <v>1.57</v>
      </c>
      <c r="N47"/>
    </row>
    <row r="48" spans="1:14" x14ac:dyDescent="0.2">
      <c r="A48" s="76" t="s">
        <v>123</v>
      </c>
      <c r="B48" s="77">
        <v>1.93</v>
      </c>
      <c r="C48" s="77">
        <v>2.0299999999999998</v>
      </c>
      <c r="D48" s="77">
        <v>2.19</v>
      </c>
      <c r="E48" s="77">
        <v>2.2799999999999998</v>
      </c>
      <c r="F48" s="77">
        <v>2.2799999999999998</v>
      </c>
    </row>
    <row r="49" spans="1:17" x14ac:dyDescent="0.2">
      <c r="Q49"/>
    </row>
    <row r="51" spans="1:17" x14ac:dyDescent="0.2">
      <c r="A51" s="49" t="s">
        <v>84</v>
      </c>
      <c r="B51" s="49" t="s">
        <v>61</v>
      </c>
      <c r="C51" s="49" t="s">
        <v>62</v>
      </c>
      <c r="D51" s="49" t="s">
        <v>63</v>
      </c>
      <c r="E51" s="49" t="s">
        <v>64</v>
      </c>
      <c r="F51" s="49" t="s">
        <v>65</v>
      </c>
    </row>
    <row r="52" spans="1:17" x14ac:dyDescent="0.2">
      <c r="A52" s="50" t="s">
        <v>21</v>
      </c>
      <c r="B52" s="47">
        <v>0.28699999999999998</v>
      </c>
      <c r="C52" s="47">
        <v>0.218</v>
      </c>
      <c r="D52" s="47">
        <v>0.183</v>
      </c>
      <c r="E52" s="47">
        <v>0.25</v>
      </c>
      <c r="F52" s="47">
        <v>0.216</v>
      </c>
    </row>
    <row r="53" spans="1:17" x14ac:dyDescent="0.2">
      <c r="A53" s="74" t="s">
        <v>126</v>
      </c>
      <c r="B53" s="78">
        <v>4.7E-2</v>
      </c>
      <c r="C53" s="78">
        <v>4.3999999999999997E-2</v>
      </c>
      <c r="D53" s="78">
        <v>6.3E-2</v>
      </c>
      <c r="E53" s="78">
        <v>0.14299999999999999</v>
      </c>
      <c r="F53" s="78">
        <v>0.108</v>
      </c>
    </row>
    <row r="54" spans="1:17" x14ac:dyDescent="0.2">
      <c r="A54" s="51" t="s">
        <v>86</v>
      </c>
      <c r="B54" s="56">
        <v>6.0999999999999999E-2</v>
      </c>
      <c r="C54" s="56">
        <v>5.6000000000000001E-2</v>
      </c>
      <c r="D54" s="56">
        <v>0.06</v>
      </c>
      <c r="E54" s="56">
        <v>3.9E-2</v>
      </c>
      <c r="F54" s="56">
        <v>8.7999999999999995E-2</v>
      </c>
    </row>
    <row r="55" spans="1:17" x14ac:dyDescent="0.2">
      <c r="A55" s="76" t="s">
        <v>123</v>
      </c>
      <c r="B55" s="79">
        <v>0.252</v>
      </c>
      <c r="C55" s="79">
        <v>0.23599999999999999</v>
      </c>
      <c r="D55" s="79">
        <v>0.13700000000000001</v>
      </c>
      <c r="E55" s="79">
        <v>0.25900000000000001</v>
      </c>
      <c r="F55" s="79">
        <v>0.307</v>
      </c>
    </row>
    <row r="138" spans="13:18" x14ac:dyDescent="0.2">
      <c r="M138" s="60" t="s">
        <v>94</v>
      </c>
      <c r="N138" s="60" t="s">
        <v>96</v>
      </c>
      <c r="O138" s="60" t="s">
        <v>104</v>
      </c>
      <c r="P138" s="60" t="s">
        <v>95</v>
      </c>
      <c r="Q138" s="60" t="s">
        <v>246</v>
      </c>
      <c r="R138" s="60" t="s">
        <v>97</v>
      </c>
    </row>
    <row r="139" spans="13:18" ht="34" x14ac:dyDescent="0.2">
      <c r="M139" s="61" t="s">
        <v>99</v>
      </c>
      <c r="N139" s="62" t="s">
        <v>103</v>
      </c>
      <c r="O139" s="62" t="s">
        <v>21</v>
      </c>
      <c r="P139" s="62" t="s">
        <v>88</v>
      </c>
      <c r="Q139" s="110">
        <v>30996935</v>
      </c>
      <c r="R139" s="63" t="s">
        <v>139</v>
      </c>
    </row>
    <row r="140" spans="13:18" ht="43" customHeight="1" x14ac:dyDescent="0.2">
      <c r="M140" s="64" t="s">
        <v>98</v>
      </c>
      <c r="N140" s="69" t="s">
        <v>138</v>
      </c>
      <c r="O140" s="69" t="s">
        <v>127</v>
      </c>
      <c r="P140" s="69" t="s">
        <v>128</v>
      </c>
      <c r="Q140" s="142">
        <v>7350050</v>
      </c>
      <c r="R140" s="70" t="s">
        <v>140</v>
      </c>
    </row>
    <row r="141" spans="13:18" ht="56" customHeight="1" x14ac:dyDescent="0.2">
      <c r="M141" s="65" t="s">
        <v>102</v>
      </c>
      <c r="N141" s="67" t="s">
        <v>105</v>
      </c>
      <c r="O141" s="66" t="s">
        <v>100</v>
      </c>
      <c r="P141" s="66" t="s">
        <v>87</v>
      </c>
      <c r="Q141" s="143">
        <v>1796960</v>
      </c>
      <c r="R141" s="67" t="s">
        <v>142</v>
      </c>
    </row>
    <row r="142" spans="13:18" ht="34" x14ac:dyDescent="0.2">
      <c r="M142" s="68" t="s">
        <v>101</v>
      </c>
      <c r="N142" s="71" t="s">
        <v>141</v>
      </c>
      <c r="O142" s="71" t="s">
        <v>125</v>
      </c>
      <c r="P142" s="71" t="s">
        <v>124</v>
      </c>
      <c r="Q142" s="144">
        <v>97071350</v>
      </c>
      <c r="R142" s="72" t="s">
        <v>143</v>
      </c>
    </row>
    <row r="147" spans="13:14" x14ac:dyDescent="0.2">
      <c r="M147" s="88" t="s">
        <v>95</v>
      </c>
      <c r="N147" s="91" t="s">
        <v>144</v>
      </c>
    </row>
    <row r="148" spans="13:14" x14ac:dyDescent="0.2">
      <c r="M148" s="46" t="s">
        <v>87</v>
      </c>
      <c r="N148" s="92">
        <v>15819925.34</v>
      </c>
    </row>
    <row r="149" spans="13:14" x14ac:dyDescent="0.2">
      <c r="M149" s="89" t="s">
        <v>128</v>
      </c>
      <c r="N149" s="93">
        <v>7979610</v>
      </c>
    </row>
    <row r="150" spans="13:14" x14ac:dyDescent="0.2">
      <c r="M150" s="90" t="s">
        <v>88</v>
      </c>
      <c r="N150" s="94">
        <v>7048957.5</v>
      </c>
    </row>
    <row r="151" spans="13:14" x14ac:dyDescent="0.2">
      <c r="M151" s="89" t="s">
        <v>124</v>
      </c>
      <c r="N151" s="93">
        <v>1654087.5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A4E2-0FB8-124D-A193-6E7566005A6C}">
  <sheetPr codeName="Sheet9"/>
  <dimension ref="A1:B11"/>
  <sheetViews>
    <sheetView workbookViewId="0">
      <selection sqref="A1:B11"/>
    </sheetView>
  </sheetViews>
  <sheetFormatPr baseColWidth="10" defaultRowHeight="16" x14ac:dyDescent="0.2"/>
  <cols>
    <col min="1" max="1" width="28.1640625" customWidth="1"/>
    <col min="2" max="2" width="20.1640625" customWidth="1"/>
  </cols>
  <sheetData>
    <row r="1" spans="1:2" x14ac:dyDescent="0.2">
      <c r="A1" s="88" t="s">
        <v>193</v>
      </c>
      <c r="B1" s="91"/>
    </row>
    <row r="2" spans="1:2" x14ac:dyDescent="0.2">
      <c r="A2" s="89" t="s">
        <v>194</v>
      </c>
      <c r="B2" s="131">
        <v>94200</v>
      </c>
    </row>
    <row r="3" spans="1:2" x14ac:dyDescent="0.2">
      <c r="A3" s="90" t="s">
        <v>195</v>
      </c>
      <c r="B3" s="94">
        <v>55742.43</v>
      </c>
    </row>
    <row r="4" spans="1:2" x14ac:dyDescent="0.2">
      <c r="A4" s="89" t="s">
        <v>196</v>
      </c>
      <c r="B4" s="132" t="s">
        <v>197</v>
      </c>
    </row>
    <row r="5" spans="1:2" x14ac:dyDescent="0.2">
      <c r="A5" s="46" t="s">
        <v>198</v>
      </c>
      <c r="B5" s="92">
        <v>1654400</v>
      </c>
    </row>
    <row r="6" spans="1:2" x14ac:dyDescent="0.2">
      <c r="A6" s="89" t="s">
        <v>199</v>
      </c>
      <c r="B6" s="133" t="s">
        <v>200</v>
      </c>
    </row>
    <row r="7" spans="1:2" x14ac:dyDescent="0.2">
      <c r="A7" s="90" t="s">
        <v>201</v>
      </c>
      <c r="B7" s="134" t="s">
        <v>202</v>
      </c>
    </row>
    <row r="8" spans="1:2" x14ac:dyDescent="0.2">
      <c r="A8" s="89" t="s">
        <v>203</v>
      </c>
      <c r="B8" s="93">
        <v>31783163</v>
      </c>
    </row>
    <row r="9" spans="1:2" x14ac:dyDescent="0.2">
      <c r="A9" s="46" t="s">
        <v>204</v>
      </c>
      <c r="B9" s="48">
        <v>334.55962099999999</v>
      </c>
    </row>
    <row r="10" spans="1:2" x14ac:dyDescent="0.2">
      <c r="A10" s="89" t="s">
        <v>205</v>
      </c>
      <c r="B10" s="131">
        <v>1.6799999999999999E-2</v>
      </c>
    </row>
    <row r="11" spans="1:2" x14ac:dyDescent="0.2">
      <c r="A11" s="135" t="s">
        <v>206</v>
      </c>
      <c r="B11" s="136">
        <v>2215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DCF-FCFE Model</vt:lpstr>
      <vt:lpstr>Raw Data</vt:lpstr>
      <vt:lpstr>Beta Calculation</vt:lpstr>
      <vt:lpstr>Revenue Forecast</vt:lpstr>
      <vt:lpstr>Related Ratio</vt:lpstr>
      <vt:lpstr>Financial Values Summary</vt:lpstr>
      <vt:lpstr>PE Model</vt:lpstr>
      <vt:lpstr>DuPont analysis</vt:lpstr>
      <vt:lpstr>Market Profile</vt:lpstr>
      <vt:lpstr>Raw Revenue Distribution</vt:lpstr>
      <vt:lpstr>Gross Profit Margin</vt:lpstr>
      <vt:lpstr>Inventory Asset Turnover Ratio</vt:lpstr>
      <vt:lpstr>Change in Inventory</vt:lpstr>
      <vt:lpstr>Time Interest Earned</vt:lpstr>
      <vt:lpstr>Inventory</vt:lpstr>
      <vt:lpstr>Change in Account Receivables</vt:lpstr>
      <vt:lpstr>Accounts Receivable Turnover</vt:lpstr>
      <vt:lpstr>Revenue contribution</vt:lpstr>
      <vt:lpstr>Returns</vt:lpstr>
      <vt:lpstr>Operating cash flow</vt:lpstr>
      <vt:lpstr>EBIDTA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Phan</dc:creator>
  <cp:lastModifiedBy>pnha1103@gmail.com</cp:lastModifiedBy>
  <dcterms:created xsi:type="dcterms:W3CDTF">2024-04-07T13:53:05Z</dcterms:created>
  <dcterms:modified xsi:type="dcterms:W3CDTF">2024-11-11T12:27:55Z</dcterms:modified>
</cp:coreProperties>
</file>